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430" yWindow="375" windowWidth="28800" windowHeight="15555" tabRatio="930"/>
  </bookViews>
  <sheets>
    <sheet name="Rekapitulace stavby" sheetId="1" r:id="rId1"/>
    <sheet name="D.1.1 ASR" sheetId="2" r:id="rId2"/>
    <sheet name="D.1.4.01 ZTI" sheetId="3" r:id="rId3"/>
    <sheet name="ZTI" sheetId="19" r:id="rId4"/>
    <sheet name="D.1.4.02 UT" sheetId="4" r:id="rId5"/>
    <sheet name="UT" sheetId="20" r:id="rId6"/>
    <sheet name="D.1.4.03 ELEKTRO" sheetId="5" r:id="rId7"/>
    <sheet name="ELEKTRO" sheetId="21" r:id="rId8"/>
    <sheet name="D.1.4.04.1 EPS" sheetId="6" r:id="rId9"/>
    <sheet name="EPS" sheetId="22" r:id="rId10"/>
    <sheet name="D.1.4.04.2 NZS" sheetId="7" r:id="rId11"/>
    <sheet name="NZS" sheetId="23" r:id="rId12"/>
    <sheet name="D.1.4.04.3 PZTS" sheetId="8" r:id="rId13"/>
    <sheet name="PZTS" sheetId="24" r:id="rId14"/>
    <sheet name="D.1.4.04.4 SLB" sheetId="9" r:id="rId15"/>
    <sheet name="SLB" sheetId="25" r:id="rId16"/>
    <sheet name="D.1.4.05 VZT" sheetId="10" r:id="rId17"/>
    <sheet name="VZT" sheetId="26" r:id="rId18"/>
    <sheet name="D.1.4.06.1 GASTRO" sheetId="11" r:id="rId19"/>
    <sheet name="G-PS" sheetId="27" r:id="rId20"/>
    <sheet name="G-BPS" sheetId="28" r:id="rId21"/>
    <sheet name="D.1.4.06.2 GASTRO-OS" sheetId="12" r:id="rId22"/>
    <sheet name="G-OS" sheetId="29" r:id="rId23"/>
    <sheet name="D.1.4.06.3 HACCP" sheetId="13" r:id="rId24"/>
    <sheet name="HACCP" sheetId="30" r:id="rId25"/>
    <sheet name="D.1.4.06.4 G-DEM" sheetId="14" r:id="rId26"/>
    <sheet name="G-DEM" sheetId="31" r:id="rId27"/>
    <sheet name="D.1.4.06.5 G-DEM TG" sheetId="15" r:id="rId28"/>
    <sheet name="G-DEM TG" sheetId="32" r:id="rId29"/>
    <sheet name="D.1.4.07 Servis" sheetId="16" r:id="rId30"/>
    <sheet name="Servis" sheetId="33" r:id="rId31"/>
    <sheet name="VON - Soupis prací - Vedl..." sheetId="17" r:id="rId32"/>
    <sheet name="Pokyny pro vyplnění" sheetId="18" r:id="rId33"/>
  </sheets>
  <externalReferences>
    <externalReference r:id="rId34"/>
    <externalReference r:id="rId35"/>
    <externalReference r:id="rId36"/>
    <externalReference r:id="rId37"/>
    <externalReference r:id="rId38"/>
  </externalReferences>
  <definedNames>
    <definedName name="_xlnm._FilterDatabase" localSheetId="1" hidden="1">'D.1.1 ASR'!$C$114:$K$1204</definedName>
    <definedName name="_xlnm._FilterDatabase" localSheetId="2" hidden="1">'D.1.4.01 ZTI'!$C$86:$K$90</definedName>
    <definedName name="_xlnm._FilterDatabase" localSheetId="4" hidden="1">'D.1.4.02 UT'!$C$86:$K$90</definedName>
    <definedName name="_xlnm._FilterDatabase" localSheetId="6" hidden="1">'D.1.4.03 ELEKTRO'!$C$86:$K$90</definedName>
    <definedName name="_xlnm._FilterDatabase" localSheetId="8" hidden="1">'D.1.4.04.1 EPS'!$C$92:$K$96</definedName>
    <definedName name="_xlnm._FilterDatabase" localSheetId="10" hidden="1">'D.1.4.04.2 NZS'!$C$92:$K$96</definedName>
    <definedName name="_xlnm._FilterDatabase" localSheetId="12" hidden="1">'D.1.4.04.3 PZTS'!$C$92:$K$96</definedName>
    <definedName name="_xlnm._FilterDatabase" localSheetId="14" hidden="1">'D.1.4.04.4 SLB'!$C$92:$K$96</definedName>
    <definedName name="_xlnm._FilterDatabase" localSheetId="16" hidden="1">'D.1.4.05 VZT'!$C$86:$K$90</definedName>
    <definedName name="_xlnm._FilterDatabase" localSheetId="18" hidden="1">'D.1.4.06.1 GASTRO'!$C$92:$K$97</definedName>
    <definedName name="_xlnm._FilterDatabase" localSheetId="21" hidden="1">'D.1.4.06.2 GASTRO-OS'!$C$92:$K$96</definedName>
    <definedName name="_xlnm._FilterDatabase" localSheetId="23" hidden="1">'D.1.4.06.3 HACCP'!$C$92:$K$96</definedName>
    <definedName name="_xlnm._FilterDatabase" localSheetId="25" hidden="1">'D.1.4.06.4 G-DEM'!$C$92:$K$96</definedName>
    <definedName name="_xlnm._FilterDatabase" localSheetId="27" hidden="1">'D.1.4.06.5 G-DEM TG'!$C$92:$K$96</definedName>
    <definedName name="_xlnm._FilterDatabase" localSheetId="29" hidden="1">'D.1.4.07 Servis'!$C$86:$K$90</definedName>
    <definedName name="_xlnm._FilterDatabase" localSheetId="31" hidden="1">'VON - Soupis prací - Vedl...'!$C$90:$K$113</definedName>
    <definedName name="afterdetail_lua_rozpdph" localSheetId="11">[1]Rekapitulace!#REF!</definedName>
    <definedName name="afterdetail_lua_rozpdph" localSheetId="13">[2]Rekapitulace!#REF!</definedName>
    <definedName name="afterdetail_lua_rozpdph" localSheetId="15">[3]Rekapitulace!#REF!</definedName>
    <definedName name="afterdetail_lua_rozpdph">[4]Rekapitulace!#REF!</definedName>
    <definedName name="afterdetail_rozpocty_rkap" localSheetId="11">NZS!#REF!</definedName>
    <definedName name="afterdetail_rozpocty_rkap" localSheetId="13">PZTS!#REF!</definedName>
    <definedName name="afterdetail_rozpocty_rkap" localSheetId="15">SLB!#REF!</definedName>
    <definedName name="afterdetail_rozpocty_rkap">EPS!#REF!</definedName>
    <definedName name="afterdetail_rozpocty_rozpocty" localSheetId="11">NZS!#REF!</definedName>
    <definedName name="afterdetail_rozpocty_rozpocty" localSheetId="13">PZTS!#REF!</definedName>
    <definedName name="afterdetail_rozpocty_rozpocty" localSheetId="15">SLB!#REF!</definedName>
    <definedName name="afterdetail_rozpocty_rozpocty">EPS!#REF!</definedName>
    <definedName name="beforebody_rozpocty_rozpocty.Poznamka2" localSheetId="11">[1]Rekapitulace!#REF!</definedName>
    <definedName name="beforebody_rozpocty_rozpocty.Poznamka2" localSheetId="13">[2]Rekapitulace!#REF!</definedName>
    <definedName name="beforebody_rozpocty_rozpocty.Poznamka2" localSheetId="15">[3]Rekapitulace!#REF!</definedName>
    <definedName name="beforebody_rozpocty_rozpocty.Poznamka2">[4]Rekapitulace!#REF!</definedName>
    <definedName name="beforeend_lua_rozpdph.Poznamka2.1" localSheetId="11">[1]Rekapitulace!#REF!</definedName>
    <definedName name="beforeend_lua_rozpdph.Poznamka2.1" localSheetId="13">[2]Rekapitulace!#REF!</definedName>
    <definedName name="beforeend_lua_rozpdph.Poznamka2.1" localSheetId="15">[3]Rekapitulace!#REF!</definedName>
    <definedName name="beforeend_lua_rozpdph.Poznamka2.1">[4]Rekapitulace!#REF!</definedName>
    <definedName name="body_lua_dph" localSheetId="11">[1]Rekapitulace!#REF!</definedName>
    <definedName name="body_lua_dph" localSheetId="13">[2]Rekapitulace!#REF!</definedName>
    <definedName name="body_lua_dph" localSheetId="15">[3]Rekapitulace!#REF!</definedName>
    <definedName name="body_lua_dph">[4]Rekapitulace!#REF!</definedName>
    <definedName name="body_lua_hlavy" localSheetId="11">[1]Rekapitulace!#REF!</definedName>
    <definedName name="body_lua_hlavy" localSheetId="13">[2]Rekapitulace!#REF!</definedName>
    <definedName name="body_lua_hlavy" localSheetId="15">[3]Rekapitulace!#REF!</definedName>
    <definedName name="body_lua_hlavy">[4]Rekapitulace!#REF!</definedName>
    <definedName name="body_lua_rekap" localSheetId="11">[1]Rekapitulace!#REF!</definedName>
    <definedName name="body_lua_rekap" localSheetId="13">[2]Rekapitulace!#REF!</definedName>
    <definedName name="body_lua_rekap" localSheetId="15">[3]Rekapitulace!#REF!</definedName>
    <definedName name="body_lua_rekap">[4]Rekapitulace!#REF!</definedName>
    <definedName name="body_rozpocty_rkap" localSheetId="11">NZS!#REF!</definedName>
    <definedName name="body_rozpocty_rkap" localSheetId="13">PZTS!#REF!</definedName>
    <definedName name="body_rozpocty_rkap" localSheetId="15">SLB!#REF!</definedName>
    <definedName name="body_rozpocty_rkap">EPS!#REF!</definedName>
    <definedName name="body_rozpocty_rozpocty" localSheetId="11">[1]Rekapitulace!#REF!</definedName>
    <definedName name="body_rozpocty_rozpocty" localSheetId="13">[2]Rekapitulace!#REF!</definedName>
    <definedName name="body_rozpocty_rozpocty" localSheetId="15">[3]Rekapitulace!#REF!</definedName>
    <definedName name="body_rozpocty_rozpocty">[4]Rekapitulace!#REF!</definedName>
    <definedName name="body_rozpocty_rpolozky" localSheetId="11">NZS!#REF!</definedName>
    <definedName name="body_rozpocty_rpolozky" localSheetId="13">PZTS!#REF!</definedName>
    <definedName name="body_rozpocty_rpolozky" localSheetId="15">SLB!#REF!</definedName>
    <definedName name="body_rozpocty_rpolozky">EPS!#REF!</definedName>
    <definedName name="body_rozpocty_rpolozky.Poznamka2" localSheetId="13">PZTS!#REF!</definedName>
    <definedName name="body_rozpocty_rpolozky.Poznamka2">NZS!#REF!</definedName>
    <definedName name="CenaCelkem">#REF!</definedName>
    <definedName name="CenaCelkemBezDPH">#REF!</definedName>
    <definedName name="cisloobjektu">#REF!</definedName>
    <definedName name="CisloRozpoctu">'[5]Krycí list'!$C$2</definedName>
    <definedName name="cislostavby">'[5]Krycí list'!$A$7</definedName>
    <definedName name="CisloStavebnihoRozpoctu">#REF!</definedName>
    <definedName name="dadresa">#REF!</definedName>
    <definedName name="dmisto">#REF!</definedName>
    <definedName name="DPHSni">#REF!</definedName>
    <definedName name="DPHZakl">#REF!</definedName>
    <definedName name="end_lua_rozpdph" localSheetId="11">[1]Rekapitulace!#REF!</definedName>
    <definedName name="end_lua_rozpdph" localSheetId="13">[2]Rekapitulace!#REF!</definedName>
    <definedName name="end_lua_rozpdph" localSheetId="15">[3]Rekapitulace!#REF!</definedName>
    <definedName name="end_lua_rozpdph">[4]Rekapitulace!#REF!</definedName>
    <definedName name="end_rozpocty_rozpocty" localSheetId="11">NZS!#REF!</definedName>
    <definedName name="end_rozpocty_rozpocty" localSheetId="13">PZTS!#REF!</definedName>
    <definedName name="end_rozpocty_rozpocty" localSheetId="15">SLB!#REF!</definedName>
    <definedName name="end_rozpocty_rozpocty">EPS!#REF!</definedName>
    <definedName name="header_rozpocty_rozpocty" localSheetId="11">[1]Rekapitulace!#REF!</definedName>
    <definedName name="header_rozpocty_rozpocty" localSheetId="13">[2]Rekapitulace!#REF!</definedName>
    <definedName name="header_rozpocty_rozpocty" localSheetId="15">[3]Rekapitulace!#REF!</definedName>
    <definedName name="header_rozpocty_rozpocty">[4]Rekapitulace!#REF!</definedName>
    <definedName name="Mena">#REF!</definedName>
    <definedName name="MistoStavby">#REF!</definedName>
    <definedName name="nazevobjektu">#REF!</definedName>
    <definedName name="NazevRozpoctu">'[5]Krycí list'!$D$2</definedName>
    <definedName name="nazevstavby">'[5]Krycí list'!$C$7</definedName>
    <definedName name="NazevStavebnihoRozpoctu">#REF!</definedName>
    <definedName name="_xlnm.Print_Titles" localSheetId="1">'D.1.1 ASR'!$114:$114</definedName>
    <definedName name="_xlnm.Print_Titles" localSheetId="2">'D.1.4.01 ZTI'!$86:$86</definedName>
    <definedName name="_xlnm.Print_Titles" localSheetId="4">'D.1.4.02 UT'!$86:$86</definedName>
    <definedName name="_xlnm.Print_Titles" localSheetId="6">'D.1.4.03 ELEKTRO'!$86:$86</definedName>
    <definedName name="_xlnm.Print_Titles" localSheetId="8">'D.1.4.04.1 EPS'!$92:$92</definedName>
    <definedName name="_xlnm.Print_Titles" localSheetId="10">'D.1.4.04.2 NZS'!$92:$92</definedName>
    <definedName name="_xlnm.Print_Titles" localSheetId="12">'D.1.4.04.3 PZTS'!$92:$92</definedName>
    <definedName name="_xlnm.Print_Titles" localSheetId="14">'D.1.4.04.4 SLB'!$92:$92</definedName>
    <definedName name="_xlnm.Print_Titles" localSheetId="16">'D.1.4.05 VZT'!$86:$86</definedName>
    <definedName name="_xlnm.Print_Titles" localSheetId="18">'D.1.4.06.1 GASTRO'!$92:$92</definedName>
    <definedName name="_xlnm.Print_Titles" localSheetId="21">'D.1.4.06.2 GASTRO-OS'!$92:$92</definedName>
    <definedName name="_xlnm.Print_Titles" localSheetId="23">'D.1.4.06.3 HACCP'!$92:$92</definedName>
    <definedName name="_xlnm.Print_Titles" localSheetId="25">'D.1.4.06.4 G-DEM'!$92:$92</definedName>
    <definedName name="_xlnm.Print_Titles" localSheetId="27">'D.1.4.06.5 G-DEM TG'!$92:$92</definedName>
    <definedName name="_xlnm.Print_Titles" localSheetId="29">'D.1.4.07 Servis'!$86:$86</definedName>
    <definedName name="_xlnm.Print_Titles" localSheetId="7">ELEKTRO!$1:$7</definedName>
    <definedName name="_xlnm.Print_Titles" localSheetId="0">'Rekapitulace stavby'!$52:$52</definedName>
    <definedName name="_xlnm.Print_Titles" localSheetId="31">'VON - Soupis prací - Vedl...'!$90:$90</definedName>
    <definedName name="oadresa">#REF!</definedName>
    <definedName name="_xlnm.Print_Area" localSheetId="1">'D.1.1 ASR'!$C$4:$J$41,'D.1.1 ASR'!$C$47:$J$94,'D.1.1 ASR'!$C$100:$K$1204</definedName>
    <definedName name="_xlnm.Print_Area" localSheetId="2">'D.1.4.01 ZTI'!$C$4:$J$41,'D.1.4.01 ZTI'!$C$47:$J$66,'D.1.4.01 ZTI'!$C$72:$K$90</definedName>
    <definedName name="_xlnm.Print_Area" localSheetId="4">'D.1.4.02 UT'!$C$4:$J$41,'D.1.4.02 UT'!$C$47:$J$66,'D.1.4.02 UT'!$C$72:$K$90</definedName>
    <definedName name="_xlnm.Print_Area" localSheetId="6">'D.1.4.03 ELEKTRO'!$C$4:$J$41,'D.1.4.03 ELEKTRO'!$C$47:$J$66,'D.1.4.03 ELEKTRO'!$C$72:$K$90</definedName>
    <definedName name="_xlnm.Print_Area" localSheetId="8">'D.1.4.04.1 EPS'!$C$4:$J$43,'D.1.4.04.1 EPS'!$C$49:$J$70,'D.1.4.04.1 EPS'!$C$76:$K$96</definedName>
    <definedName name="_xlnm.Print_Area" localSheetId="10">'D.1.4.04.2 NZS'!$C$4:$J$43,'D.1.4.04.2 NZS'!$C$49:$J$70,'D.1.4.04.2 NZS'!$C$76:$K$96</definedName>
    <definedName name="_xlnm.Print_Area" localSheetId="12">'D.1.4.04.3 PZTS'!$C$4:$J$43,'D.1.4.04.3 PZTS'!$C$49:$J$70,'D.1.4.04.3 PZTS'!$C$76:$K$96</definedName>
    <definedName name="_xlnm.Print_Area" localSheetId="14">'D.1.4.04.4 SLB'!$C$4:$J$43,'D.1.4.04.4 SLB'!$C$49:$J$70,'D.1.4.04.4 SLB'!$C$76:$K$96</definedName>
    <definedName name="_xlnm.Print_Area" localSheetId="16">'D.1.4.05 VZT'!$C$4:$J$41,'D.1.4.05 VZT'!$C$47:$J$66,'D.1.4.05 VZT'!$C$72:$K$90</definedName>
    <definedName name="_xlnm.Print_Area" localSheetId="18">'D.1.4.06.1 GASTRO'!$C$4:$J$43,'D.1.4.06.1 GASTRO'!$C$49:$J$70,'D.1.4.06.1 GASTRO'!$C$76:$K$97</definedName>
    <definedName name="_xlnm.Print_Area" localSheetId="21">'D.1.4.06.2 GASTRO-OS'!$C$4:$J$43,'D.1.4.06.2 GASTRO-OS'!$C$49:$J$70,'D.1.4.06.2 GASTRO-OS'!$C$76:$K$96</definedName>
    <definedName name="_xlnm.Print_Area" localSheetId="23">'D.1.4.06.3 HACCP'!$C$4:$J$43,'D.1.4.06.3 HACCP'!$C$49:$J$70,'D.1.4.06.3 HACCP'!$C$76:$K$96</definedName>
    <definedName name="_xlnm.Print_Area" localSheetId="25">'D.1.4.06.4 G-DEM'!$C$4:$J$43,'D.1.4.06.4 G-DEM'!$C$49:$J$70,'D.1.4.06.4 G-DEM'!$C$76:$K$96</definedName>
    <definedName name="_xlnm.Print_Area" localSheetId="27">'D.1.4.06.5 G-DEM TG'!$C$4:$J$43,'D.1.4.06.5 G-DEM TG'!$C$49:$J$70,'D.1.4.06.5 G-DEM TG'!$C$76:$K$96</definedName>
    <definedName name="_xlnm.Print_Area" localSheetId="29">'D.1.4.07 Servis'!$C$4:$J$41,'D.1.4.07 Servis'!$C$47:$J$66,'D.1.4.07 Servis'!$C$72:$K$90</definedName>
    <definedName name="_xlnm.Print_Area" localSheetId="7">ELEKTRO!$B$1:$I$97</definedName>
    <definedName name="_xlnm.Print_Area" localSheetId="20">'G-BPS'!$A$1:$N$103</definedName>
    <definedName name="_xlnm.Print_Area" localSheetId="28">'G-DEM TG'!$A$1:$I$44</definedName>
    <definedName name="_xlnm.Print_Area" localSheetId="22">'G-OS'!$A$1:$N$35</definedName>
    <definedName name="_xlnm.Print_Area" localSheetId="19">'G-PS'!$A$1:$N$79</definedName>
    <definedName name="_xlnm.Print_Area" localSheetId="24">HACCP!$A$1:$N$19</definedName>
    <definedName name="_xlnm.Print_Area" localSheetId="32">'Pokyny pro vyplnění'!$B$2:$K$71,'Pokyny pro vyplnění'!$B$74:$K$118,'Pokyny pro vyplnění'!$B$121:$K$190,'Pokyny pro vyplnění'!$B$198:$K$218</definedName>
    <definedName name="_xlnm.Print_Area" localSheetId="0">'Rekapitulace stavby'!$D$4:$AO$36,'Rekapitulace stavby'!$C$42:$AQ$76</definedName>
    <definedName name="_xlnm.Print_Area" localSheetId="30">Servis!$A$1:$G$6</definedName>
    <definedName name="_xlnm.Print_Area" localSheetId="31">'VON - Soupis prací - Vedl...'!$C$4:$J$41,'VON - Soupis prací - Vedl...'!$C$47:$J$70,'VON - Soupis prací - Vedl...'!$C$76:$K$113</definedName>
    <definedName name="padresa">#REF!</definedName>
    <definedName name="partneri_partneri.0" localSheetId="11">[1]Rekapitulace!#REF!</definedName>
    <definedName name="partneri_partneri.0" localSheetId="13">[2]Rekapitulace!#REF!</definedName>
    <definedName name="partneri_partneri.0" localSheetId="15">[3]Rekapitulace!#REF!</definedName>
    <definedName name="partneri_partneri.0">[4]Rekapitulace!#REF!</definedName>
    <definedName name="partneri_partneri.1" localSheetId="11">[1]Rekapitulace!#REF!</definedName>
    <definedName name="partneri_partneri.1" localSheetId="13">[2]Rekapitulace!#REF!</definedName>
    <definedName name="partneri_partneri.1" localSheetId="15">[3]Rekapitulace!#REF!</definedName>
    <definedName name="partneri_partneri.1">[4]Rekapitulace!#REF!</definedName>
    <definedName name="pdic">#REF!</definedName>
    <definedName name="pico">#REF!</definedName>
    <definedName name="pmisto">#REF!</definedName>
    <definedName name="PocetMJ">#REF!</definedName>
    <definedName name="PoptavkaID">#REF!</definedName>
    <definedName name="pPSC">#REF!</definedName>
    <definedName name="Projektant">#REF!</definedName>
    <definedName name="SazbaDPH1">'[5]Krycí list'!$C$30</definedName>
    <definedName name="SazbaDPH2">'[5]Krycí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um_lua_hlavy" localSheetId="11">[1]Rekapitulace!#REF!</definedName>
    <definedName name="sum_lua_hlavy" localSheetId="13">[2]Rekapitulace!#REF!</definedName>
    <definedName name="sum_lua_hlavy" localSheetId="15">[3]Rekapitulace!#REF!</definedName>
    <definedName name="sum_lua_hlavy">[4]Rekapitulace!#REF!</definedName>
    <definedName name="top_lua_dph" localSheetId="11">[1]Rekapitulace!#REF!</definedName>
    <definedName name="top_lua_dph" localSheetId="13">[2]Rekapitulace!#REF!</definedName>
    <definedName name="top_lua_dph" localSheetId="15">[3]Rekapitulace!#REF!</definedName>
    <definedName name="top_lua_dph">[4]Rekapitulace!#REF!</definedName>
    <definedName name="top_lua_hlavy" localSheetId="11">[1]Rekapitulace!#REF!</definedName>
    <definedName name="top_lua_hlavy" localSheetId="13">[2]Rekapitulace!#REF!</definedName>
    <definedName name="top_lua_hlavy" localSheetId="15">[3]Rekapitulace!#REF!</definedName>
    <definedName name="top_lua_hlavy">[4]Rekapitulace!#REF!</definedName>
    <definedName name="top_rozpocty_rkap" localSheetId="11">NZS!#REF!</definedName>
    <definedName name="top_rozpocty_rkap" localSheetId="13">PZTS!#REF!</definedName>
    <definedName name="top_rozpocty_rkap" localSheetId="15">SLB!#REF!</definedName>
    <definedName name="top_rozpocty_rkap">EPS!#REF!</definedName>
    <definedName name="Vypracoval">#REF!</definedName>
    <definedName name="ZakladDPHSni">#REF!</definedName>
    <definedName name="ZakladDPHZakl">#REF!</definedName>
    <definedName name="Zaokrouhleni">#REF!</definedName>
    <definedName name="Zhotovitel">#REF!</definedName>
  </definedNames>
  <calcPr calcId="145621"/>
</workbook>
</file>

<file path=xl/calcChain.xml><?xml version="1.0" encoding="utf-8"?>
<calcChain xmlns="http://schemas.openxmlformats.org/spreadsheetml/2006/main">
  <c r="F24" i="24" l="1"/>
  <c r="F62" i="24"/>
  <c r="J13" i="19" l="1"/>
  <c r="E3" i="33" l="1"/>
  <c r="G3" i="33" s="1"/>
  <c r="E2" i="33"/>
  <c r="G2" i="33" s="1"/>
  <c r="G37" i="32"/>
  <c r="G38" i="32"/>
  <c r="G39" i="32"/>
  <c r="G40" i="32"/>
  <c r="G41" i="32"/>
  <c r="G42" i="32"/>
  <c r="G4" i="32"/>
  <c r="G5" i="32"/>
  <c r="G6" i="32"/>
  <c r="G7" i="32"/>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 i="32"/>
  <c r="G183" i="31"/>
  <c r="G184"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13" i="31"/>
  <c r="G114" i="31"/>
  <c r="G115" i="31"/>
  <c r="G116" i="31"/>
  <c r="G117" i="31"/>
  <c r="G118" i="31"/>
  <c r="G119" i="31"/>
  <c r="G120" i="31"/>
  <c r="G121" i="31"/>
  <c r="G122" i="31"/>
  <c r="G123" i="31"/>
  <c r="G124" i="31"/>
  <c r="G125" i="31"/>
  <c r="G126" i="31"/>
  <c r="G127" i="31"/>
  <c r="G128" i="31"/>
  <c r="G129" i="31"/>
  <c r="G130" i="31"/>
  <c r="G131" i="31"/>
  <c r="G132" i="31"/>
  <c r="G133" i="31"/>
  <c r="G134" i="31"/>
  <c r="G93" i="31"/>
  <c r="G94" i="31"/>
  <c r="G95" i="31"/>
  <c r="G96" i="31"/>
  <c r="G97" i="31"/>
  <c r="G98" i="31"/>
  <c r="G99" i="31"/>
  <c r="G100" i="31"/>
  <c r="G101" i="31"/>
  <c r="G102" i="31"/>
  <c r="G103" i="31"/>
  <c r="G104" i="31"/>
  <c r="G105" i="31"/>
  <c r="G106" i="31"/>
  <c r="G107" i="31"/>
  <c r="G108" i="31"/>
  <c r="G109" i="31"/>
  <c r="G110" i="31"/>
  <c r="G111" i="31"/>
  <c r="G112" i="31"/>
  <c r="G71" i="31"/>
  <c r="G72" i="31"/>
  <c r="G73" i="31"/>
  <c r="G74" i="31"/>
  <c r="G75" i="31"/>
  <c r="G76" i="31"/>
  <c r="G77" i="31"/>
  <c r="G78" i="31"/>
  <c r="G79" i="31"/>
  <c r="G80" i="31"/>
  <c r="G81" i="31"/>
  <c r="G82" i="31"/>
  <c r="G83" i="31"/>
  <c r="G84" i="31"/>
  <c r="G85" i="31"/>
  <c r="G86" i="31"/>
  <c r="G87" i="31"/>
  <c r="G88" i="31"/>
  <c r="G89" i="31"/>
  <c r="G90" i="31"/>
  <c r="G91" i="31"/>
  <c r="G92" i="31"/>
  <c r="G50" i="31"/>
  <c r="G51" i="31"/>
  <c r="G52" i="31"/>
  <c r="G53" i="31"/>
  <c r="G54" i="31"/>
  <c r="G55" i="31"/>
  <c r="G56" i="31"/>
  <c r="G57" i="31"/>
  <c r="G58" i="31"/>
  <c r="G59" i="31"/>
  <c r="G60" i="31"/>
  <c r="G61" i="31"/>
  <c r="G62" i="31"/>
  <c r="G63" i="31"/>
  <c r="G64" i="31"/>
  <c r="G65" i="31"/>
  <c r="G66" i="31"/>
  <c r="G67" i="31"/>
  <c r="G68" i="31"/>
  <c r="G69" i="31"/>
  <c r="G70" i="31"/>
  <c r="G27" i="31"/>
  <c r="G28" i="31"/>
  <c r="G29" i="31"/>
  <c r="G30" i="31"/>
  <c r="G31" i="31"/>
  <c r="G32" i="31"/>
  <c r="G33" i="31"/>
  <c r="G34" i="31"/>
  <c r="G35" i="31"/>
  <c r="G36" i="31"/>
  <c r="G37" i="31"/>
  <c r="G38" i="31"/>
  <c r="G39" i="31"/>
  <c r="G40" i="31"/>
  <c r="G41" i="31"/>
  <c r="G42" i="31"/>
  <c r="G43" i="31"/>
  <c r="G44" i="31"/>
  <c r="G45" i="31"/>
  <c r="G46" i="31"/>
  <c r="G47" i="31"/>
  <c r="G48" i="31"/>
  <c r="G49" i="31"/>
  <c r="G26" i="31"/>
  <c r="G4" i="31"/>
  <c r="G5" i="31"/>
  <c r="G6" i="31"/>
  <c r="G7" i="31"/>
  <c r="G8" i="31"/>
  <c r="G9" i="31"/>
  <c r="G10" i="31"/>
  <c r="G11" i="31"/>
  <c r="G12" i="31"/>
  <c r="G13" i="31"/>
  <c r="G14" i="31"/>
  <c r="G15" i="31"/>
  <c r="G16" i="31"/>
  <c r="G17" i="31"/>
  <c r="G18" i="31"/>
  <c r="G19" i="31"/>
  <c r="G20" i="31"/>
  <c r="G21" i="31"/>
  <c r="G22" i="31"/>
  <c r="G23" i="31"/>
  <c r="G24" i="31"/>
  <c r="G25" i="31"/>
  <c r="G3" i="31"/>
  <c r="E4" i="33" l="1"/>
  <c r="G4" i="33"/>
  <c r="J118" i="2"/>
  <c r="F77" i="22" l="1"/>
  <c r="F85" i="22"/>
  <c r="L11" i="27" l="1"/>
  <c r="N11" i="27" s="1"/>
  <c r="L13" i="27"/>
  <c r="I90" i="16" l="1"/>
  <c r="I3" i="32"/>
  <c r="I4" i="32"/>
  <c r="G43" i="32"/>
  <c r="I96" i="15" s="1"/>
  <c r="I6" i="32"/>
  <c r="I7" i="32"/>
  <c r="I8" i="32"/>
  <c r="I9" i="32"/>
  <c r="I10" i="32"/>
  <c r="I11" i="32"/>
  <c r="I12" i="32"/>
  <c r="I13" i="32"/>
  <c r="I14" i="32"/>
  <c r="I15" i="32"/>
  <c r="I16" i="32"/>
  <c r="I17" i="32"/>
  <c r="I18" i="32"/>
  <c r="I19" i="32"/>
  <c r="I20" i="32"/>
  <c r="I21" i="32"/>
  <c r="I22" i="32"/>
  <c r="I23" i="32"/>
  <c r="I24" i="32"/>
  <c r="I25" i="32"/>
  <c r="I26" i="32"/>
  <c r="I27" i="32"/>
  <c r="I28" i="32"/>
  <c r="I29" i="32"/>
  <c r="I30" i="32"/>
  <c r="I31" i="32"/>
  <c r="I32" i="32"/>
  <c r="I33" i="32"/>
  <c r="I34" i="32"/>
  <c r="I35" i="32"/>
  <c r="I36" i="32"/>
  <c r="I37" i="32"/>
  <c r="I38" i="32"/>
  <c r="I39" i="32"/>
  <c r="I40" i="32"/>
  <c r="I41" i="32"/>
  <c r="I42" i="32"/>
  <c r="I5" i="32" l="1"/>
  <c r="I43" i="32" s="1"/>
  <c r="I3" i="31"/>
  <c r="I4" i="31"/>
  <c r="I5" i="31"/>
  <c r="I6" i="31"/>
  <c r="I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G185" i="31"/>
  <c r="I96" i="14" s="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l="1"/>
  <c r="L2" i="30"/>
  <c r="N2" i="30" s="1"/>
  <c r="L3" i="30"/>
  <c r="N3" i="30" s="1"/>
  <c r="L4" i="30"/>
  <c r="N4" i="30" s="1"/>
  <c r="L5" i="30"/>
  <c r="N5" i="30" s="1"/>
  <c r="L6" i="30"/>
  <c r="N6" i="30" s="1"/>
  <c r="L7" i="30"/>
  <c r="N7" i="30" s="1"/>
  <c r="L8" i="30"/>
  <c r="N8" i="30" s="1"/>
  <c r="L9" i="30"/>
  <c r="N9" i="30" s="1"/>
  <c r="L10" i="30"/>
  <c r="N10" i="30" s="1"/>
  <c r="N11" i="30" l="1"/>
  <c r="L11" i="30"/>
  <c r="I96" i="13" s="1"/>
  <c r="L2" i="29"/>
  <c r="N2" i="29" s="1"/>
  <c r="L3" i="29"/>
  <c r="N3" i="29" s="1"/>
  <c r="L4" i="29"/>
  <c r="N4" i="29" s="1"/>
  <c r="L5" i="29"/>
  <c r="N5" i="29" s="1"/>
  <c r="L6" i="29"/>
  <c r="N6" i="29" s="1"/>
  <c r="L7" i="29"/>
  <c r="N7" i="29"/>
  <c r="L8" i="29"/>
  <c r="N8" i="29" s="1"/>
  <c r="L9" i="29"/>
  <c r="N9" i="29" s="1"/>
  <c r="L10" i="29"/>
  <c r="N10" i="29" s="1"/>
  <c r="L11" i="29"/>
  <c r="N11" i="29" s="1"/>
  <c r="L12" i="29"/>
  <c r="N12" i="29" s="1"/>
  <c r="L13" i="29"/>
  <c r="N13" i="29" s="1"/>
  <c r="L14" i="29"/>
  <c r="N14" i="29" s="1"/>
  <c r="L15" i="29"/>
  <c r="N15" i="29" s="1"/>
  <c r="L16" i="29"/>
  <c r="N16" i="29" s="1"/>
  <c r="L17" i="29"/>
  <c r="N17" i="29" s="1"/>
  <c r="L18" i="29"/>
  <c r="N18" i="29" s="1"/>
  <c r="L19" i="29"/>
  <c r="N19" i="29" s="1"/>
  <c r="L20" i="29"/>
  <c r="N20" i="29" s="1"/>
  <c r="L21" i="29"/>
  <c r="N21" i="29" s="1"/>
  <c r="L22" i="29"/>
  <c r="N22" i="29" s="1"/>
  <c r="L23" i="29"/>
  <c r="N23" i="29" s="1"/>
  <c r="L24" i="29"/>
  <c r="N24" i="29"/>
  <c r="L25" i="29" l="1"/>
  <c r="I96" i="12" s="1"/>
  <c r="N25" i="29"/>
  <c r="L4" i="28"/>
  <c r="N4" i="28" s="1"/>
  <c r="L5" i="28"/>
  <c r="N5" i="28" s="1"/>
  <c r="L6" i="28"/>
  <c r="N6" i="28" s="1"/>
  <c r="L7" i="28"/>
  <c r="N7" i="28" s="1"/>
  <c r="L8" i="28"/>
  <c r="N8" i="28" s="1"/>
  <c r="L9" i="28"/>
  <c r="N9" i="28"/>
  <c r="L10" i="28"/>
  <c r="N10" i="28" s="1"/>
  <c r="L11" i="28"/>
  <c r="N11" i="28" s="1"/>
  <c r="L12" i="28"/>
  <c r="N12" i="28" s="1"/>
  <c r="L13" i="28"/>
  <c r="N13" i="28" s="1"/>
  <c r="L14" i="28"/>
  <c r="N14" i="28" s="1"/>
  <c r="L15" i="28"/>
  <c r="N15" i="28" s="1"/>
  <c r="L16" i="28"/>
  <c r="N16" i="28"/>
  <c r="L17" i="28"/>
  <c r="N17" i="28" s="1"/>
  <c r="L18" i="28"/>
  <c r="N18" i="28" s="1"/>
  <c r="L19" i="28"/>
  <c r="N19" i="28" s="1"/>
  <c r="L20" i="28"/>
  <c r="N20" i="28" s="1"/>
  <c r="L21" i="28"/>
  <c r="N21" i="28" s="1"/>
  <c r="L22" i="28"/>
  <c r="N22" i="28" s="1"/>
  <c r="L23" i="28"/>
  <c r="N23" i="28" s="1"/>
  <c r="L24" i="28"/>
  <c r="N24" i="28" s="1"/>
  <c r="L25" i="28"/>
  <c r="N25" i="28"/>
  <c r="L26" i="28"/>
  <c r="N26" i="28" s="1"/>
  <c r="L27" i="28"/>
  <c r="N27" i="28" s="1"/>
  <c r="L28" i="28"/>
  <c r="N28" i="28" s="1"/>
  <c r="L29" i="28"/>
  <c r="N29" i="28" s="1"/>
  <c r="L30" i="28"/>
  <c r="N30" i="28" s="1"/>
  <c r="L31" i="28"/>
  <c r="N31" i="28" s="1"/>
  <c r="L32" i="28"/>
  <c r="N32" i="28" s="1"/>
  <c r="L33" i="28"/>
  <c r="N33" i="28" s="1"/>
  <c r="L34" i="28"/>
  <c r="N34" i="28" s="1"/>
  <c r="L35" i="28"/>
  <c r="N35" i="28" s="1"/>
  <c r="L36" i="28"/>
  <c r="N36" i="28" s="1"/>
  <c r="L37" i="28"/>
  <c r="N37" i="28" s="1"/>
  <c r="L38" i="28"/>
  <c r="N38" i="28" s="1"/>
  <c r="L39" i="28"/>
  <c r="N39" i="28" s="1"/>
  <c r="L40" i="28"/>
  <c r="N40" i="28" s="1"/>
  <c r="L41" i="28"/>
  <c r="N41" i="28"/>
  <c r="L42" i="28"/>
  <c r="N42" i="28" s="1"/>
  <c r="L43" i="28"/>
  <c r="N43" i="28" s="1"/>
  <c r="L44" i="28"/>
  <c r="N44" i="28" s="1"/>
  <c r="L45" i="28"/>
  <c r="N45" i="28" s="1"/>
  <c r="L46" i="28"/>
  <c r="N46" i="28" s="1"/>
  <c r="L47" i="28"/>
  <c r="N47" i="28"/>
  <c r="L48" i="28"/>
  <c r="N48" i="28" s="1"/>
  <c r="L49" i="28"/>
  <c r="N49" i="28" s="1"/>
  <c r="L50" i="28"/>
  <c r="N50" i="28" s="1"/>
  <c r="L51" i="28"/>
  <c r="N51" i="28"/>
  <c r="L52" i="28"/>
  <c r="N52" i="28" s="1"/>
  <c r="L53" i="28"/>
  <c r="N53" i="28" s="1"/>
  <c r="L54" i="28"/>
  <c r="N54" i="28" s="1"/>
  <c r="L55" i="28"/>
  <c r="N55" i="28" s="1"/>
  <c r="L56" i="28"/>
  <c r="N56" i="28" s="1"/>
  <c r="L57" i="28"/>
  <c r="N57" i="28" s="1"/>
  <c r="L58" i="28"/>
  <c r="N58" i="28" s="1"/>
  <c r="L59" i="28"/>
  <c r="N59" i="28"/>
  <c r="L60" i="28"/>
  <c r="N60" i="28" s="1"/>
  <c r="L61" i="28"/>
  <c r="N61" i="28" s="1"/>
  <c r="L62" i="28"/>
  <c r="N62" i="28" s="1"/>
  <c r="L63" i="28"/>
  <c r="N63" i="28"/>
  <c r="L64" i="28"/>
  <c r="N64" i="28" s="1"/>
  <c r="L65" i="28"/>
  <c r="N65" i="28" s="1"/>
  <c r="L66" i="28"/>
  <c r="N66" i="28" s="1"/>
  <c r="L67" i="28"/>
  <c r="N67" i="28" s="1"/>
  <c r="L68" i="28"/>
  <c r="N68" i="28" s="1"/>
  <c r="L69" i="28"/>
  <c r="N69" i="28" s="1"/>
  <c r="L70" i="28"/>
  <c r="N70" i="28" s="1"/>
  <c r="L71" i="28"/>
  <c r="N71" i="28" s="1"/>
  <c r="L72" i="28"/>
  <c r="N72" i="28" s="1"/>
  <c r="L73" i="28"/>
  <c r="N73" i="28" s="1"/>
  <c r="L74" i="28"/>
  <c r="N74" i="28" s="1"/>
  <c r="L75" i="28"/>
  <c r="N75" i="28"/>
  <c r="L76" i="28"/>
  <c r="N76" i="28" s="1"/>
  <c r="L77" i="28"/>
  <c r="N77" i="28" s="1"/>
  <c r="L78" i="28"/>
  <c r="N78" i="28" s="1"/>
  <c r="L79" i="28"/>
  <c r="N79" i="28" s="1"/>
  <c r="L80" i="28"/>
  <c r="N80" i="28" s="1"/>
  <c r="L81" i="28"/>
  <c r="N81" i="28" s="1"/>
  <c r="L82" i="28"/>
  <c r="N82" i="28" s="1"/>
  <c r="L83" i="28"/>
  <c r="N83" i="28" s="1"/>
  <c r="L84" i="28"/>
  <c r="N84" i="28" s="1"/>
  <c r="L85" i="28"/>
  <c r="N85" i="28" s="1"/>
  <c r="L86" i="28"/>
  <c r="N86" i="28" s="1"/>
  <c r="L87" i="28"/>
  <c r="N87" i="28" s="1"/>
  <c r="L88" i="28"/>
  <c r="N88" i="28"/>
  <c r="L89" i="28"/>
  <c r="N89" i="28"/>
  <c r="L90" i="28"/>
  <c r="N90" i="28" s="1"/>
  <c r="L91" i="28"/>
  <c r="N91" i="28" s="1"/>
  <c r="L4" i="27"/>
  <c r="N4" i="27" s="1"/>
  <c r="L5" i="27"/>
  <c r="N5" i="27" s="1"/>
  <c r="L6" i="27"/>
  <c r="N6" i="27"/>
  <c r="L7" i="27"/>
  <c r="N7" i="27" s="1"/>
  <c r="L8" i="27"/>
  <c r="N8" i="27" s="1"/>
  <c r="L9" i="27"/>
  <c r="N9" i="27" s="1"/>
  <c r="L10" i="27"/>
  <c r="N10" i="27" s="1"/>
  <c r="N13" i="27"/>
  <c r="L15" i="27"/>
  <c r="N15" i="27" s="1"/>
  <c r="L16" i="27"/>
  <c r="N16" i="27" s="1"/>
  <c r="L17" i="27"/>
  <c r="N17" i="27" s="1"/>
  <c r="L18" i="27"/>
  <c r="N18" i="27" s="1"/>
  <c r="L19" i="27"/>
  <c r="N19" i="27" s="1"/>
  <c r="L20" i="27"/>
  <c r="N20" i="27" s="1"/>
  <c r="L21" i="27"/>
  <c r="N21" i="27" s="1"/>
  <c r="L22" i="27"/>
  <c r="N22" i="27" s="1"/>
  <c r="L23" i="27"/>
  <c r="N23" i="27" s="1"/>
  <c r="L24" i="27"/>
  <c r="N24" i="27" s="1"/>
  <c r="L25" i="27"/>
  <c r="N25" i="27" s="1"/>
  <c r="L26" i="27"/>
  <c r="N26" i="27" s="1"/>
  <c r="L27" i="27"/>
  <c r="N27" i="27" s="1"/>
  <c r="L28" i="27"/>
  <c r="N28" i="27" s="1"/>
  <c r="L29" i="27"/>
  <c r="N29" i="27" s="1"/>
  <c r="L30" i="27"/>
  <c r="N30" i="27" s="1"/>
  <c r="L31" i="27"/>
  <c r="N31" i="27" s="1"/>
  <c r="L32" i="27"/>
  <c r="N32" i="27" s="1"/>
  <c r="L33" i="27"/>
  <c r="N33" i="27" s="1"/>
  <c r="L34" i="27"/>
  <c r="N34" i="27" s="1"/>
  <c r="L35" i="27"/>
  <c r="N35" i="27" s="1"/>
  <c r="L36" i="27"/>
  <c r="N36" i="27" s="1"/>
  <c r="L37" i="27"/>
  <c r="N37" i="27" s="1"/>
  <c r="L38" i="27"/>
  <c r="N38" i="27" s="1"/>
  <c r="L39" i="27"/>
  <c r="N39" i="27" s="1"/>
  <c r="L40" i="27"/>
  <c r="N40" i="27" s="1"/>
  <c r="L41" i="27"/>
  <c r="N41" i="27" s="1"/>
  <c r="L42" i="27"/>
  <c r="N42" i="27" s="1"/>
  <c r="L43" i="27"/>
  <c r="N43" i="27" s="1"/>
  <c r="L44" i="27"/>
  <c r="N44" i="27" s="1"/>
  <c r="L45" i="27"/>
  <c r="N45" i="27" s="1"/>
  <c r="L46" i="27"/>
  <c r="N46" i="27" s="1"/>
  <c r="L47" i="27"/>
  <c r="N47" i="27" s="1"/>
  <c r="L48" i="27"/>
  <c r="N48" i="27" s="1"/>
  <c r="L49" i="27"/>
  <c r="N49" i="27" s="1"/>
  <c r="L50" i="27"/>
  <c r="N50" i="27" s="1"/>
  <c r="L51" i="27"/>
  <c r="N51" i="27" s="1"/>
  <c r="L52" i="27"/>
  <c r="N52" i="27" s="1"/>
  <c r="L53" i="27"/>
  <c r="N53" i="27" s="1"/>
  <c r="L54" i="27"/>
  <c r="N54" i="27" s="1"/>
  <c r="L55" i="27"/>
  <c r="N55" i="27" s="1"/>
  <c r="L56" i="27"/>
  <c r="N56" i="27" s="1"/>
  <c r="L57" i="27"/>
  <c r="N57" i="27" s="1"/>
  <c r="L58" i="27"/>
  <c r="N58" i="27" s="1"/>
  <c r="L59" i="27"/>
  <c r="N59" i="27" s="1"/>
  <c r="L60" i="27"/>
  <c r="N60" i="27" s="1"/>
  <c r="L61" i="27"/>
  <c r="N61" i="27" s="1"/>
  <c r="L62" i="27"/>
  <c r="N62" i="27" s="1"/>
  <c r="L63" i="27"/>
  <c r="N63" i="27" s="1"/>
  <c r="L64" i="27"/>
  <c r="N64" i="27" s="1"/>
  <c r="L65" i="27"/>
  <c r="N65" i="27" s="1"/>
  <c r="L66" i="27"/>
  <c r="N66" i="27" s="1"/>
  <c r="L67" i="27"/>
  <c r="N67" i="27" s="1"/>
  <c r="BG167" i="26"/>
  <c r="BC167" i="26"/>
  <c r="BA167" i="26"/>
  <c r="AM167" i="26"/>
  <c r="BF167" i="26" s="1"/>
  <c r="Z167" i="26" s="1"/>
  <c r="AL167" i="26"/>
  <c r="BE167" i="26" s="1"/>
  <c r="Y167" i="26" s="1"/>
  <c r="AH167" i="26"/>
  <c r="AG167" i="26"/>
  <c r="AE167" i="26"/>
  <c r="AD167" i="26"/>
  <c r="AC167" i="26"/>
  <c r="AB167" i="26"/>
  <c r="AA167" i="26"/>
  <c r="W167" i="26"/>
  <c r="J167" i="26"/>
  <c r="AI167" i="26" s="1"/>
  <c r="J13" i="26"/>
  <c r="W13" i="26"/>
  <c r="Y13" i="26"/>
  <c r="Z13" i="26"/>
  <c r="AC13" i="26"/>
  <c r="AD13" i="26"/>
  <c r="AE13" i="26"/>
  <c r="AG13" i="26"/>
  <c r="AH13" i="26"/>
  <c r="AL13" i="26"/>
  <c r="H13" i="26" s="1"/>
  <c r="AM13" i="26"/>
  <c r="I13" i="26" s="1"/>
  <c r="BA13" i="26"/>
  <c r="BC13" i="26"/>
  <c r="BE13" i="26"/>
  <c r="AA13" i="26" s="1"/>
  <c r="BG13" i="26"/>
  <c r="J15" i="26"/>
  <c r="AI15" i="26" s="1"/>
  <c r="W15" i="26"/>
  <c r="Y15" i="26"/>
  <c r="Z15" i="26"/>
  <c r="AC15" i="26"/>
  <c r="AD15" i="26"/>
  <c r="AE15" i="26"/>
  <c r="AG15" i="26"/>
  <c r="AH15" i="26"/>
  <c r="AL15" i="26"/>
  <c r="AT15" i="26" s="1"/>
  <c r="AM15" i="26"/>
  <c r="I15" i="26" s="1"/>
  <c r="BA15" i="26"/>
  <c r="BC15" i="26"/>
  <c r="BG15" i="26"/>
  <c r="J16" i="26"/>
  <c r="AI16" i="26" s="1"/>
  <c r="W16" i="26"/>
  <c r="Y16" i="26"/>
  <c r="Z16" i="26"/>
  <c r="AC16" i="26"/>
  <c r="AD16" i="26"/>
  <c r="AE16" i="26"/>
  <c r="AG16" i="26"/>
  <c r="AH16" i="26"/>
  <c r="AL16" i="26"/>
  <c r="H16" i="26" s="1"/>
  <c r="AM16" i="26"/>
  <c r="I16" i="26" s="1"/>
  <c r="BA16" i="26"/>
  <c r="BC16" i="26"/>
  <c r="BG16" i="26"/>
  <c r="J17" i="26"/>
  <c r="W17" i="26"/>
  <c r="Y17" i="26"/>
  <c r="Z17" i="26"/>
  <c r="AC17" i="26"/>
  <c r="AD17" i="26"/>
  <c r="AE17" i="26"/>
  <c r="AG17" i="26"/>
  <c r="AH17" i="26"/>
  <c r="AI17" i="26"/>
  <c r="AL17" i="26"/>
  <c r="AM17" i="26"/>
  <c r="I17" i="26" s="1"/>
  <c r="BA17" i="26"/>
  <c r="BC17" i="26"/>
  <c r="BG17" i="26"/>
  <c r="J18" i="26"/>
  <c r="AI18" i="26" s="1"/>
  <c r="W18" i="26"/>
  <c r="Y18" i="26"/>
  <c r="Z18" i="26"/>
  <c r="AC18" i="26"/>
  <c r="AD18" i="26"/>
  <c r="AE18" i="26"/>
  <c r="AG18" i="26"/>
  <c r="AH18" i="26"/>
  <c r="AL18" i="26"/>
  <c r="BE18" i="26" s="1"/>
  <c r="AA18" i="26" s="1"/>
  <c r="AM18" i="26"/>
  <c r="I18" i="26" s="1"/>
  <c r="BA18" i="26"/>
  <c r="BC18" i="26"/>
  <c r="BG18" i="26"/>
  <c r="J19" i="26"/>
  <c r="AI19" i="26" s="1"/>
  <c r="W19" i="26"/>
  <c r="Y19" i="26"/>
  <c r="Z19" i="26"/>
  <c r="AC19" i="26"/>
  <c r="AD19" i="26"/>
  <c r="AE19" i="26"/>
  <c r="AG19" i="26"/>
  <c r="AH19" i="26"/>
  <c r="AL19" i="26"/>
  <c r="H19" i="26" s="1"/>
  <c r="AM19" i="26"/>
  <c r="AU19" i="26" s="1"/>
  <c r="BA19" i="26"/>
  <c r="BC19" i="26"/>
  <c r="BG19" i="26"/>
  <c r="J20" i="26"/>
  <c r="AI20" i="26" s="1"/>
  <c r="W20" i="26"/>
  <c r="Y20" i="26"/>
  <c r="Z20" i="26"/>
  <c r="AC20" i="26"/>
  <c r="AD20" i="26"/>
  <c r="AE20" i="26"/>
  <c r="AG20" i="26"/>
  <c r="AH20" i="26"/>
  <c r="AL20" i="26"/>
  <c r="BE20" i="26" s="1"/>
  <c r="AA20" i="26" s="1"/>
  <c r="AM20" i="26"/>
  <c r="BF20" i="26" s="1"/>
  <c r="AB20" i="26" s="1"/>
  <c r="BA20" i="26"/>
  <c r="BC20" i="26"/>
  <c r="BG20" i="26"/>
  <c r="J21" i="26"/>
  <c r="AI21" i="26" s="1"/>
  <c r="W21" i="26"/>
  <c r="Y21" i="26"/>
  <c r="Z21" i="26"/>
  <c r="AC21" i="26"/>
  <c r="AD21" i="26"/>
  <c r="AE21" i="26"/>
  <c r="AG21" i="26"/>
  <c r="AH21" i="26"/>
  <c r="AL21" i="26"/>
  <c r="AT21" i="26" s="1"/>
  <c r="AM21" i="26"/>
  <c r="I21" i="26" s="1"/>
  <c r="BA21" i="26"/>
  <c r="BC21" i="26"/>
  <c r="BE21" i="26"/>
  <c r="AA21" i="26" s="1"/>
  <c r="BF21" i="26"/>
  <c r="AB21" i="26" s="1"/>
  <c r="BG21" i="26"/>
  <c r="J22" i="26"/>
  <c r="AI22" i="26" s="1"/>
  <c r="W22" i="26"/>
  <c r="Y22" i="26"/>
  <c r="Z22" i="26"/>
  <c r="AC22" i="26"/>
  <c r="AD22" i="26"/>
  <c r="AE22" i="26"/>
  <c r="AG22" i="26"/>
  <c r="AH22" i="26"/>
  <c r="AL22" i="26"/>
  <c r="BE22" i="26" s="1"/>
  <c r="AA22" i="26" s="1"/>
  <c r="AM22" i="26"/>
  <c r="AU22" i="26" s="1"/>
  <c r="BA22" i="26"/>
  <c r="BC22" i="26"/>
  <c r="BG22" i="26"/>
  <c r="J23" i="26"/>
  <c r="AI23" i="26" s="1"/>
  <c r="W23" i="26"/>
  <c r="Y23" i="26"/>
  <c r="Z23" i="26"/>
  <c r="AC23" i="26"/>
  <c r="AD23" i="26"/>
  <c r="AE23" i="26"/>
  <c r="AG23" i="26"/>
  <c r="AH23" i="26"/>
  <c r="AL23" i="26"/>
  <c r="H23" i="26" s="1"/>
  <c r="AM23" i="26"/>
  <c r="AU23" i="26" s="1"/>
  <c r="BA23" i="26"/>
  <c r="BC23" i="26"/>
  <c r="BE23" i="26"/>
  <c r="AA23" i="26" s="1"/>
  <c r="BF23" i="26"/>
  <c r="AB23" i="26" s="1"/>
  <c r="BG23" i="26"/>
  <c r="J24" i="26"/>
  <c r="AI24" i="26" s="1"/>
  <c r="W24" i="26"/>
  <c r="Y24" i="26"/>
  <c r="Z24" i="26"/>
  <c r="AC24" i="26"/>
  <c r="AD24" i="26"/>
  <c r="AE24" i="26"/>
  <c r="AG24" i="26"/>
  <c r="AH24" i="26"/>
  <c r="AL24" i="26"/>
  <c r="H24" i="26" s="1"/>
  <c r="AM24" i="26"/>
  <c r="BA24" i="26"/>
  <c r="BC24" i="26"/>
  <c r="BG24" i="26"/>
  <c r="J25" i="26"/>
  <c r="AI25" i="26" s="1"/>
  <c r="W25" i="26"/>
  <c r="Y25" i="26"/>
  <c r="Z25" i="26"/>
  <c r="AC25" i="26"/>
  <c r="AD25" i="26"/>
  <c r="AE25" i="26"/>
  <c r="AG25" i="26"/>
  <c r="AH25" i="26"/>
  <c r="AL25" i="26"/>
  <c r="H25" i="26" s="1"/>
  <c r="AM25" i="26"/>
  <c r="BF25" i="26" s="1"/>
  <c r="AB25" i="26" s="1"/>
  <c r="BA25" i="26"/>
  <c r="BC25" i="26"/>
  <c r="BG25" i="26"/>
  <c r="J26" i="26"/>
  <c r="AI26" i="26" s="1"/>
  <c r="W26" i="26"/>
  <c r="Y26" i="26"/>
  <c r="Z26" i="26"/>
  <c r="AC26" i="26"/>
  <c r="AD26" i="26"/>
  <c r="AE26" i="26"/>
  <c r="AG26" i="26"/>
  <c r="AH26" i="26"/>
  <c r="AL26" i="26"/>
  <c r="H26" i="26" s="1"/>
  <c r="AM26" i="26"/>
  <c r="I26" i="26" s="1"/>
  <c r="BA26" i="26"/>
  <c r="BC26" i="26"/>
  <c r="BG26" i="26"/>
  <c r="J27" i="26"/>
  <c r="AI27" i="26" s="1"/>
  <c r="W27" i="26"/>
  <c r="Y27" i="26"/>
  <c r="Z27" i="26"/>
  <c r="AC27" i="26"/>
  <c r="AD27" i="26"/>
  <c r="AE27" i="26"/>
  <c r="AG27" i="26"/>
  <c r="AH27" i="26"/>
  <c r="AL27" i="26"/>
  <c r="H27" i="26" s="1"/>
  <c r="AM27" i="26"/>
  <c r="BF27" i="26" s="1"/>
  <c r="AB27" i="26" s="1"/>
  <c r="BA27" i="26"/>
  <c r="BC27" i="26"/>
  <c r="BG27" i="26"/>
  <c r="J28" i="26"/>
  <c r="AI28" i="26" s="1"/>
  <c r="W28" i="26"/>
  <c r="Y28" i="26"/>
  <c r="Z28" i="26"/>
  <c r="AC28" i="26"/>
  <c r="AD28" i="26"/>
  <c r="AE28" i="26"/>
  <c r="AG28" i="26"/>
  <c r="AH28" i="26"/>
  <c r="AL28" i="26"/>
  <c r="H28" i="26" s="1"/>
  <c r="AM28" i="26"/>
  <c r="AU28" i="26" s="1"/>
  <c r="BA28" i="26"/>
  <c r="BC28" i="26"/>
  <c r="BE28" i="26"/>
  <c r="AA28" i="26" s="1"/>
  <c r="BG28" i="26"/>
  <c r="J29" i="26"/>
  <c r="AI29" i="26" s="1"/>
  <c r="W29" i="26"/>
  <c r="Y29" i="26"/>
  <c r="Z29" i="26"/>
  <c r="AC29" i="26"/>
  <c r="AD29" i="26"/>
  <c r="AE29" i="26"/>
  <c r="AG29" i="26"/>
  <c r="AH29" i="26"/>
  <c r="AL29" i="26"/>
  <c r="BE29" i="26" s="1"/>
  <c r="AA29" i="26" s="1"/>
  <c r="AM29" i="26"/>
  <c r="BF29" i="26" s="1"/>
  <c r="AB29" i="26" s="1"/>
  <c r="BA29" i="26"/>
  <c r="BC29" i="26"/>
  <c r="BG29" i="26"/>
  <c r="J30" i="26"/>
  <c r="AI30" i="26" s="1"/>
  <c r="W30" i="26"/>
  <c r="Y30" i="26"/>
  <c r="Z30" i="26"/>
  <c r="AC30" i="26"/>
  <c r="AD30" i="26"/>
  <c r="AE30" i="26"/>
  <c r="AG30" i="26"/>
  <c r="AH30" i="26"/>
  <c r="AL30" i="26"/>
  <c r="H30" i="26" s="1"/>
  <c r="AM30" i="26"/>
  <c r="I30" i="26" s="1"/>
  <c r="BA30" i="26"/>
  <c r="BC30" i="26"/>
  <c r="BG30" i="26"/>
  <c r="J31" i="26"/>
  <c r="AI31" i="26" s="1"/>
  <c r="W31" i="26"/>
  <c r="Y31" i="26"/>
  <c r="Z31" i="26"/>
  <c r="AC31" i="26"/>
  <c r="AD31" i="26"/>
  <c r="AE31" i="26"/>
  <c r="AG31" i="26"/>
  <c r="AH31" i="26"/>
  <c r="AL31" i="26"/>
  <c r="AT31" i="26" s="1"/>
  <c r="AM31" i="26"/>
  <c r="I31" i="26" s="1"/>
  <c r="BA31" i="26"/>
  <c r="BC31" i="26"/>
  <c r="BG31" i="26"/>
  <c r="J32" i="26"/>
  <c r="AI32" i="26" s="1"/>
  <c r="W32" i="26"/>
  <c r="Y32" i="26"/>
  <c r="Z32" i="26"/>
  <c r="AC32" i="26"/>
  <c r="AD32" i="26"/>
  <c r="AE32" i="26"/>
  <c r="AG32" i="26"/>
  <c r="AH32" i="26"/>
  <c r="AL32" i="26"/>
  <c r="H32" i="26" s="1"/>
  <c r="AM32" i="26"/>
  <c r="I32" i="26" s="1"/>
  <c r="BA32" i="26"/>
  <c r="BC32" i="26"/>
  <c r="BG32" i="26"/>
  <c r="J33" i="26"/>
  <c r="AI33" i="26" s="1"/>
  <c r="W33" i="26"/>
  <c r="Y33" i="26"/>
  <c r="Z33" i="26"/>
  <c r="AC33" i="26"/>
  <c r="AD33" i="26"/>
  <c r="AE33" i="26"/>
  <c r="AG33" i="26"/>
  <c r="AH33" i="26"/>
  <c r="AL33" i="26"/>
  <c r="AM33" i="26"/>
  <c r="I33" i="26" s="1"/>
  <c r="BA33" i="26"/>
  <c r="BC33" i="26"/>
  <c r="BG33" i="26"/>
  <c r="J34" i="26"/>
  <c r="AI34" i="26" s="1"/>
  <c r="W34" i="26"/>
  <c r="Y34" i="26"/>
  <c r="Z34" i="26"/>
  <c r="AC34" i="26"/>
  <c r="AD34" i="26"/>
  <c r="AE34" i="26"/>
  <c r="AG34" i="26"/>
  <c r="AH34" i="26"/>
  <c r="AL34" i="26"/>
  <c r="BE34" i="26" s="1"/>
  <c r="AA34" i="26" s="1"/>
  <c r="AM34" i="26"/>
  <c r="I34" i="26" s="1"/>
  <c r="BA34" i="26"/>
  <c r="BC34" i="26"/>
  <c r="BG34" i="26"/>
  <c r="J35" i="26"/>
  <c r="AI35" i="26" s="1"/>
  <c r="W35" i="26"/>
  <c r="Y35" i="26"/>
  <c r="Z35" i="26"/>
  <c r="AC35" i="26"/>
  <c r="AD35" i="26"/>
  <c r="AE35" i="26"/>
  <c r="AG35" i="26"/>
  <c r="AH35" i="26"/>
  <c r="AL35" i="26"/>
  <c r="H35" i="26" s="1"/>
  <c r="AM35" i="26"/>
  <c r="AU35" i="26" s="1"/>
  <c r="BA35" i="26"/>
  <c r="BC35" i="26"/>
  <c r="BG35" i="26"/>
  <c r="J36" i="26"/>
  <c r="AI36" i="26" s="1"/>
  <c r="W36" i="26"/>
  <c r="Y36" i="26"/>
  <c r="Z36" i="26"/>
  <c r="AC36" i="26"/>
  <c r="AD36" i="26"/>
  <c r="AE36" i="26"/>
  <c r="AG36" i="26"/>
  <c r="AH36" i="26"/>
  <c r="AL36" i="26"/>
  <c r="BE36" i="26" s="1"/>
  <c r="AA36" i="26" s="1"/>
  <c r="AM36" i="26"/>
  <c r="BF36" i="26" s="1"/>
  <c r="AB36" i="26" s="1"/>
  <c r="BA36" i="26"/>
  <c r="BC36" i="26"/>
  <c r="BG36" i="26"/>
  <c r="J37" i="26"/>
  <c r="AI37" i="26" s="1"/>
  <c r="W37" i="26"/>
  <c r="Y37" i="26"/>
  <c r="Z37" i="26"/>
  <c r="AC37" i="26"/>
  <c r="AD37" i="26"/>
  <c r="AE37" i="26"/>
  <c r="AG37" i="26"/>
  <c r="AH37" i="26"/>
  <c r="AL37" i="26"/>
  <c r="AT37" i="26" s="1"/>
  <c r="AM37" i="26"/>
  <c r="I37" i="26" s="1"/>
  <c r="BA37" i="26"/>
  <c r="BC37" i="26"/>
  <c r="BG37" i="26"/>
  <c r="J38" i="26"/>
  <c r="AI38" i="26" s="1"/>
  <c r="W38" i="26"/>
  <c r="Y38" i="26"/>
  <c r="Z38" i="26"/>
  <c r="AC38" i="26"/>
  <c r="AD38" i="26"/>
  <c r="AE38" i="26"/>
  <c r="AG38" i="26"/>
  <c r="AH38" i="26"/>
  <c r="AL38" i="26"/>
  <c r="BE38" i="26" s="1"/>
  <c r="AA38" i="26" s="1"/>
  <c r="AM38" i="26"/>
  <c r="AU38" i="26" s="1"/>
  <c r="BA38" i="26"/>
  <c r="BC38" i="26"/>
  <c r="BG38" i="26"/>
  <c r="J39" i="26"/>
  <c r="AI39" i="26" s="1"/>
  <c r="W39" i="26"/>
  <c r="Y39" i="26"/>
  <c r="Z39" i="26"/>
  <c r="AC39" i="26"/>
  <c r="AD39" i="26"/>
  <c r="AE39" i="26"/>
  <c r="AG39" i="26"/>
  <c r="AH39" i="26"/>
  <c r="AL39" i="26"/>
  <c r="H39" i="26" s="1"/>
  <c r="AM39" i="26"/>
  <c r="AU39" i="26" s="1"/>
  <c r="BA39" i="26"/>
  <c r="BC39" i="26"/>
  <c r="BE39" i="26"/>
  <c r="AA39" i="26" s="1"/>
  <c r="BF39" i="26"/>
  <c r="AB39" i="26" s="1"/>
  <c r="BG39" i="26"/>
  <c r="J40" i="26"/>
  <c r="AI40" i="26" s="1"/>
  <c r="W40" i="26"/>
  <c r="Y40" i="26"/>
  <c r="Z40" i="26"/>
  <c r="AC40" i="26"/>
  <c r="AD40" i="26"/>
  <c r="AE40" i="26"/>
  <c r="AG40" i="26"/>
  <c r="AH40" i="26"/>
  <c r="AL40" i="26"/>
  <c r="H40" i="26" s="1"/>
  <c r="AM40" i="26"/>
  <c r="BA40" i="26"/>
  <c r="BC40" i="26"/>
  <c r="BG40" i="26"/>
  <c r="J41" i="26"/>
  <c r="AI41" i="26" s="1"/>
  <c r="W41" i="26"/>
  <c r="Y41" i="26"/>
  <c r="Z41" i="26"/>
  <c r="AC41" i="26"/>
  <c r="AD41" i="26"/>
  <c r="AE41" i="26"/>
  <c r="AG41" i="26"/>
  <c r="AH41" i="26"/>
  <c r="AL41" i="26"/>
  <c r="H41" i="26" s="1"/>
  <c r="AM41" i="26"/>
  <c r="BF41" i="26" s="1"/>
  <c r="AB41" i="26" s="1"/>
  <c r="BA41" i="26"/>
  <c r="BC41" i="26"/>
  <c r="BE41" i="26"/>
  <c r="AA41" i="26" s="1"/>
  <c r="BG41" i="26"/>
  <c r="J42" i="26"/>
  <c r="AI42" i="26" s="1"/>
  <c r="W42" i="26"/>
  <c r="Y42" i="26"/>
  <c r="Z42" i="26"/>
  <c r="AC42" i="26"/>
  <c r="AD42" i="26"/>
  <c r="AE42" i="26"/>
  <c r="AG42" i="26"/>
  <c r="AH42" i="26"/>
  <c r="AL42" i="26"/>
  <c r="H42" i="26" s="1"/>
  <c r="AM42" i="26"/>
  <c r="I42" i="26" s="1"/>
  <c r="BA42" i="26"/>
  <c r="BC42" i="26"/>
  <c r="BE42" i="26"/>
  <c r="AA42" i="26" s="1"/>
  <c r="BG42" i="26"/>
  <c r="J43" i="26"/>
  <c r="AI43" i="26" s="1"/>
  <c r="W43" i="26"/>
  <c r="Y43" i="26"/>
  <c r="Z43" i="26"/>
  <c r="AC43" i="26"/>
  <c r="AD43" i="26"/>
  <c r="AE43" i="26"/>
  <c r="AG43" i="26"/>
  <c r="AH43" i="26"/>
  <c r="AL43" i="26"/>
  <c r="H43" i="26" s="1"/>
  <c r="AM43" i="26"/>
  <c r="BF43" i="26" s="1"/>
  <c r="AB43" i="26" s="1"/>
  <c r="BA43" i="26"/>
  <c r="BC43" i="26"/>
  <c r="BG43" i="26"/>
  <c r="J44" i="26"/>
  <c r="AI44" i="26" s="1"/>
  <c r="W44" i="26"/>
  <c r="Y44" i="26"/>
  <c r="Z44" i="26"/>
  <c r="AC44" i="26"/>
  <c r="AD44" i="26"/>
  <c r="AE44" i="26"/>
  <c r="AG44" i="26"/>
  <c r="AH44" i="26"/>
  <c r="AL44" i="26"/>
  <c r="H44" i="26" s="1"/>
  <c r="AM44" i="26"/>
  <c r="AU44" i="26" s="1"/>
  <c r="BA44" i="26"/>
  <c r="BC44" i="26"/>
  <c r="BE44" i="26"/>
  <c r="AA44" i="26" s="1"/>
  <c r="BG44" i="26"/>
  <c r="J45" i="26"/>
  <c r="AI45" i="26" s="1"/>
  <c r="W45" i="26"/>
  <c r="Y45" i="26"/>
  <c r="Z45" i="26"/>
  <c r="AC45" i="26"/>
  <c r="AD45" i="26"/>
  <c r="AE45" i="26"/>
  <c r="AG45" i="26"/>
  <c r="AH45" i="26"/>
  <c r="AL45" i="26"/>
  <c r="BE45" i="26" s="1"/>
  <c r="AA45" i="26" s="1"/>
  <c r="AM45" i="26"/>
  <c r="BF45" i="26" s="1"/>
  <c r="AB45" i="26" s="1"/>
  <c r="BA45" i="26"/>
  <c r="BC45" i="26"/>
  <c r="BG45" i="26"/>
  <c r="J46" i="26"/>
  <c r="AI46" i="26" s="1"/>
  <c r="W46" i="26"/>
  <c r="Y46" i="26"/>
  <c r="Z46" i="26"/>
  <c r="AC46" i="26"/>
  <c r="AD46" i="26"/>
  <c r="AE46" i="26"/>
  <c r="AG46" i="26"/>
  <c r="AH46" i="26"/>
  <c r="AL46" i="26"/>
  <c r="H46" i="26" s="1"/>
  <c r="AM46" i="26"/>
  <c r="I46" i="26" s="1"/>
  <c r="BA46" i="26"/>
  <c r="BC46" i="26"/>
  <c r="BE46" i="26"/>
  <c r="AA46" i="26" s="1"/>
  <c r="BF46" i="26"/>
  <c r="AB46" i="26" s="1"/>
  <c r="BG46" i="26"/>
  <c r="J47" i="26"/>
  <c r="AI47" i="26" s="1"/>
  <c r="W47" i="26"/>
  <c r="Y47" i="26"/>
  <c r="Z47" i="26"/>
  <c r="AC47" i="26"/>
  <c r="AD47" i="26"/>
  <c r="AE47" i="26"/>
  <c r="AG47" i="26"/>
  <c r="AH47" i="26"/>
  <c r="AL47" i="26"/>
  <c r="AT47" i="26" s="1"/>
  <c r="AM47" i="26"/>
  <c r="I47" i="26" s="1"/>
  <c r="BA47" i="26"/>
  <c r="BC47" i="26"/>
  <c r="BG47" i="26"/>
  <c r="J48" i="26"/>
  <c r="AI48" i="26" s="1"/>
  <c r="W48" i="26"/>
  <c r="Y48" i="26"/>
  <c r="Z48" i="26"/>
  <c r="AC48" i="26"/>
  <c r="AD48" i="26"/>
  <c r="AE48" i="26"/>
  <c r="AG48" i="26"/>
  <c r="AH48" i="26"/>
  <c r="AL48" i="26"/>
  <c r="AT48" i="26" s="1"/>
  <c r="AM48" i="26"/>
  <c r="I48" i="26" s="1"/>
  <c r="BA48" i="26"/>
  <c r="BC48" i="26"/>
  <c r="BG48" i="26"/>
  <c r="J49" i="26"/>
  <c r="AI49" i="26" s="1"/>
  <c r="W49" i="26"/>
  <c r="Y49" i="26"/>
  <c r="Z49" i="26"/>
  <c r="AC49" i="26"/>
  <c r="AD49" i="26"/>
  <c r="AE49" i="26"/>
  <c r="AG49" i="26"/>
  <c r="AH49" i="26"/>
  <c r="AL49" i="26"/>
  <c r="AM49" i="26"/>
  <c r="I49" i="26" s="1"/>
  <c r="BA49" i="26"/>
  <c r="BC49" i="26"/>
  <c r="BG49" i="26"/>
  <c r="J50" i="26"/>
  <c r="AI50" i="26" s="1"/>
  <c r="W50" i="26"/>
  <c r="Y50" i="26"/>
  <c r="Z50" i="26"/>
  <c r="AC50" i="26"/>
  <c r="AD50" i="26"/>
  <c r="AE50" i="26"/>
  <c r="AG50" i="26"/>
  <c r="AH50" i="26"/>
  <c r="AL50" i="26"/>
  <c r="BE50" i="26" s="1"/>
  <c r="AA50" i="26" s="1"/>
  <c r="AM50" i="26"/>
  <c r="BF50" i="26" s="1"/>
  <c r="AB50" i="26" s="1"/>
  <c r="BA50" i="26"/>
  <c r="BC50" i="26"/>
  <c r="BG50" i="26"/>
  <c r="J51" i="26"/>
  <c r="AI51" i="26" s="1"/>
  <c r="W51" i="26"/>
  <c r="Y51" i="26"/>
  <c r="Z51" i="26"/>
  <c r="AC51" i="26"/>
  <c r="AD51" i="26"/>
  <c r="AE51" i="26"/>
  <c r="AG51" i="26"/>
  <c r="AH51" i="26"/>
  <c r="AL51" i="26"/>
  <c r="H51" i="26" s="1"/>
  <c r="AM51" i="26"/>
  <c r="BF51" i="26" s="1"/>
  <c r="AB51" i="26" s="1"/>
  <c r="BA51" i="26"/>
  <c r="BC51" i="26"/>
  <c r="BG51" i="26"/>
  <c r="J52" i="26"/>
  <c r="AI52" i="26" s="1"/>
  <c r="W52" i="26"/>
  <c r="Y52" i="26"/>
  <c r="Z52" i="26"/>
  <c r="AC52" i="26"/>
  <c r="AD52" i="26"/>
  <c r="AE52" i="26"/>
  <c r="AG52" i="26"/>
  <c r="AH52" i="26"/>
  <c r="AL52" i="26"/>
  <c r="BE52" i="26" s="1"/>
  <c r="AA52" i="26" s="1"/>
  <c r="AM52" i="26"/>
  <c r="BF52" i="26" s="1"/>
  <c r="AB52" i="26" s="1"/>
  <c r="BA52" i="26"/>
  <c r="BC52" i="26"/>
  <c r="BG52" i="26"/>
  <c r="J53" i="26"/>
  <c r="AI53" i="26" s="1"/>
  <c r="W53" i="26"/>
  <c r="Y53" i="26"/>
  <c r="Z53" i="26"/>
  <c r="AC53" i="26"/>
  <c r="AD53" i="26"/>
  <c r="AE53" i="26"/>
  <c r="AG53" i="26"/>
  <c r="AH53" i="26"/>
  <c r="AL53" i="26"/>
  <c r="AT53" i="26" s="1"/>
  <c r="AM53" i="26"/>
  <c r="I53" i="26" s="1"/>
  <c r="BA53" i="26"/>
  <c r="BC53" i="26"/>
  <c r="BG53" i="26"/>
  <c r="J54" i="26"/>
  <c r="AI54" i="26" s="1"/>
  <c r="W54" i="26"/>
  <c r="Y54" i="26"/>
  <c r="Z54" i="26"/>
  <c r="AC54" i="26"/>
  <c r="AD54" i="26"/>
  <c r="AE54" i="26"/>
  <c r="AG54" i="26"/>
  <c r="AH54" i="26"/>
  <c r="AL54" i="26"/>
  <c r="BE54" i="26" s="1"/>
  <c r="AA54" i="26" s="1"/>
  <c r="AM54" i="26"/>
  <c r="AU54" i="26" s="1"/>
  <c r="BA54" i="26"/>
  <c r="BC54" i="26"/>
  <c r="BG54" i="26"/>
  <c r="J55" i="26"/>
  <c r="AI55" i="26" s="1"/>
  <c r="W55" i="26"/>
  <c r="Y55" i="26"/>
  <c r="Z55" i="26"/>
  <c r="AC55" i="26"/>
  <c r="AD55" i="26"/>
  <c r="AE55" i="26"/>
  <c r="AG55" i="26"/>
  <c r="AH55" i="26"/>
  <c r="AL55" i="26"/>
  <c r="H55" i="26" s="1"/>
  <c r="AM55" i="26"/>
  <c r="AU55" i="26" s="1"/>
  <c r="BA55" i="26"/>
  <c r="BC55" i="26"/>
  <c r="BG55" i="26"/>
  <c r="J56" i="26"/>
  <c r="AI56" i="26" s="1"/>
  <c r="W56" i="26"/>
  <c r="Y56" i="26"/>
  <c r="Z56" i="26"/>
  <c r="AC56" i="26"/>
  <c r="AD56" i="26"/>
  <c r="AE56" i="26"/>
  <c r="AG56" i="26"/>
  <c r="AH56" i="26"/>
  <c r="AL56" i="26"/>
  <c r="H56" i="26" s="1"/>
  <c r="AM56" i="26"/>
  <c r="BA56" i="26"/>
  <c r="BC56" i="26"/>
  <c r="BG56" i="26"/>
  <c r="J57" i="26"/>
  <c r="AI57" i="26" s="1"/>
  <c r="W57" i="26"/>
  <c r="Y57" i="26"/>
  <c r="Z57" i="26"/>
  <c r="AC57" i="26"/>
  <c r="AD57" i="26"/>
  <c r="AE57" i="26"/>
  <c r="AG57" i="26"/>
  <c r="AH57" i="26"/>
  <c r="AL57" i="26"/>
  <c r="H57" i="26" s="1"/>
  <c r="AM57" i="26"/>
  <c r="BF57" i="26" s="1"/>
  <c r="AB57" i="26" s="1"/>
  <c r="BA57" i="26"/>
  <c r="BC57" i="26"/>
  <c r="BG57" i="26"/>
  <c r="J58" i="26"/>
  <c r="AI58" i="26" s="1"/>
  <c r="W58" i="26"/>
  <c r="Y58" i="26"/>
  <c r="Z58" i="26"/>
  <c r="AC58" i="26"/>
  <c r="AD58" i="26"/>
  <c r="AE58" i="26"/>
  <c r="AG58" i="26"/>
  <c r="AH58" i="26"/>
  <c r="AL58" i="26"/>
  <c r="H58" i="26" s="1"/>
  <c r="AM58" i="26"/>
  <c r="I58" i="26" s="1"/>
  <c r="BA58" i="26"/>
  <c r="BC58" i="26"/>
  <c r="BG58" i="26"/>
  <c r="J59" i="26"/>
  <c r="AI59" i="26" s="1"/>
  <c r="W59" i="26"/>
  <c r="Y59" i="26"/>
  <c r="Z59" i="26"/>
  <c r="AC59" i="26"/>
  <c r="AD59" i="26"/>
  <c r="AE59" i="26"/>
  <c r="AG59" i="26"/>
  <c r="AH59" i="26"/>
  <c r="AL59" i="26"/>
  <c r="BE59" i="26" s="1"/>
  <c r="AA59" i="26" s="1"/>
  <c r="AM59" i="26"/>
  <c r="BF59" i="26" s="1"/>
  <c r="AB59" i="26" s="1"/>
  <c r="BA59" i="26"/>
  <c r="BC59" i="26"/>
  <c r="BG59" i="26"/>
  <c r="J60" i="26"/>
  <c r="AI60" i="26" s="1"/>
  <c r="W60" i="26"/>
  <c r="Y60" i="26"/>
  <c r="Z60" i="26"/>
  <c r="AC60" i="26"/>
  <c r="AD60" i="26"/>
  <c r="AE60" i="26"/>
  <c r="AG60" i="26"/>
  <c r="AH60" i="26"/>
  <c r="AL60" i="26"/>
  <c r="AT60" i="26" s="1"/>
  <c r="AM60" i="26"/>
  <c r="AU60" i="26" s="1"/>
  <c r="BA60" i="26"/>
  <c r="BC60" i="26"/>
  <c r="BG60" i="26"/>
  <c r="J61" i="26"/>
  <c r="AI61" i="26" s="1"/>
  <c r="W61" i="26"/>
  <c r="Y61" i="26"/>
  <c r="Z61" i="26"/>
  <c r="AC61" i="26"/>
  <c r="AD61" i="26"/>
  <c r="AE61" i="26"/>
  <c r="AG61" i="26"/>
  <c r="AH61" i="26"/>
  <c r="AL61" i="26"/>
  <c r="BE61" i="26" s="1"/>
  <c r="AA61" i="26" s="1"/>
  <c r="AM61" i="26"/>
  <c r="BF61" i="26" s="1"/>
  <c r="AB61" i="26" s="1"/>
  <c r="BA61" i="26"/>
  <c r="BC61" i="26"/>
  <c r="BG61" i="26"/>
  <c r="J62" i="26"/>
  <c r="AI62" i="26" s="1"/>
  <c r="W62" i="26"/>
  <c r="Y62" i="26"/>
  <c r="Z62" i="26"/>
  <c r="AC62" i="26"/>
  <c r="AD62" i="26"/>
  <c r="AE62" i="26"/>
  <c r="AG62" i="26"/>
  <c r="AH62" i="26"/>
  <c r="AL62" i="26"/>
  <c r="H62" i="26" s="1"/>
  <c r="AM62" i="26"/>
  <c r="I62" i="26" s="1"/>
  <c r="BA62" i="26"/>
  <c r="BC62" i="26"/>
  <c r="BG62" i="26"/>
  <c r="J63" i="26"/>
  <c r="AI63" i="26" s="1"/>
  <c r="W63" i="26"/>
  <c r="Y63" i="26"/>
  <c r="Z63" i="26"/>
  <c r="AA63" i="26"/>
  <c r="AB63" i="26"/>
  <c r="AE63" i="26"/>
  <c r="AG63" i="26"/>
  <c r="AH63" i="26"/>
  <c r="AL63" i="26"/>
  <c r="AT63" i="26" s="1"/>
  <c r="AM63" i="26"/>
  <c r="I63" i="26" s="1"/>
  <c r="BA63" i="26"/>
  <c r="BC63" i="26"/>
  <c r="BG63" i="26"/>
  <c r="J65" i="26"/>
  <c r="AI65" i="26" s="1"/>
  <c r="W65" i="26"/>
  <c r="Y65" i="26"/>
  <c r="Z65" i="26"/>
  <c r="AC65" i="26"/>
  <c r="AD65" i="26"/>
  <c r="AE65" i="26"/>
  <c r="AG65" i="26"/>
  <c r="AH65" i="26"/>
  <c r="AL65" i="26"/>
  <c r="AT65" i="26" s="1"/>
  <c r="AM65" i="26"/>
  <c r="I65" i="26" s="1"/>
  <c r="BA65" i="26"/>
  <c r="BC65" i="26"/>
  <c r="BG65" i="26"/>
  <c r="J66" i="26"/>
  <c r="AI66" i="26" s="1"/>
  <c r="W66" i="26"/>
  <c r="Y66" i="26"/>
  <c r="Z66" i="26"/>
  <c r="AC66" i="26"/>
  <c r="AD66" i="26"/>
  <c r="AE66" i="26"/>
  <c r="AG66" i="26"/>
  <c r="AH66" i="26"/>
  <c r="AL66" i="26"/>
  <c r="AM66" i="26"/>
  <c r="I66" i="26" s="1"/>
  <c r="BA66" i="26"/>
  <c r="BC66" i="26"/>
  <c r="BG66" i="26"/>
  <c r="H67" i="26"/>
  <c r="J67" i="26"/>
  <c r="AI67" i="26" s="1"/>
  <c r="W67" i="26"/>
  <c r="Y67" i="26"/>
  <c r="Z67" i="26"/>
  <c r="AC67" i="26"/>
  <c r="AD67" i="26"/>
  <c r="AE67" i="26"/>
  <c r="AG67" i="26"/>
  <c r="AH67" i="26"/>
  <c r="AL67" i="26"/>
  <c r="BE67" i="26" s="1"/>
  <c r="AA67" i="26" s="1"/>
  <c r="AM67" i="26"/>
  <c r="BF67" i="26" s="1"/>
  <c r="AB67" i="26" s="1"/>
  <c r="AT67" i="26"/>
  <c r="BA67" i="26"/>
  <c r="BC67" i="26"/>
  <c r="BG67" i="26"/>
  <c r="J68" i="26"/>
  <c r="AI68" i="26" s="1"/>
  <c r="W68" i="26"/>
  <c r="Y68" i="26"/>
  <c r="Z68" i="26"/>
  <c r="AC68" i="26"/>
  <c r="AD68" i="26"/>
  <c r="AE68" i="26"/>
  <c r="AG68" i="26"/>
  <c r="AH68" i="26"/>
  <c r="AL68" i="26"/>
  <c r="H68" i="26" s="1"/>
  <c r="AM68" i="26"/>
  <c r="BF68" i="26" s="1"/>
  <c r="AB68" i="26" s="1"/>
  <c r="BA68" i="26"/>
  <c r="BC68" i="26"/>
  <c r="BG68" i="26"/>
  <c r="J69" i="26"/>
  <c r="AI69" i="26" s="1"/>
  <c r="W69" i="26"/>
  <c r="Y69" i="26"/>
  <c r="Z69" i="26"/>
  <c r="AC69" i="26"/>
  <c r="AD69" i="26"/>
  <c r="AE69" i="26"/>
  <c r="AG69" i="26"/>
  <c r="AH69" i="26"/>
  <c r="AL69" i="26"/>
  <c r="BE69" i="26" s="1"/>
  <c r="AA69" i="26" s="1"/>
  <c r="AM69" i="26"/>
  <c r="BF69" i="26" s="1"/>
  <c r="AB69" i="26" s="1"/>
  <c r="BA69" i="26"/>
  <c r="BC69" i="26"/>
  <c r="BG69" i="26"/>
  <c r="J70" i="26"/>
  <c r="AI70" i="26" s="1"/>
  <c r="W70" i="26"/>
  <c r="Y70" i="26"/>
  <c r="Z70" i="26"/>
  <c r="AC70" i="26"/>
  <c r="AD70" i="26"/>
  <c r="AE70" i="26"/>
  <c r="AG70" i="26"/>
  <c r="AH70" i="26"/>
  <c r="AL70" i="26"/>
  <c r="AT70" i="26" s="1"/>
  <c r="AM70" i="26"/>
  <c r="I70" i="26" s="1"/>
  <c r="BA70" i="26"/>
  <c r="BC70" i="26"/>
  <c r="BG70" i="26"/>
  <c r="J71" i="26"/>
  <c r="AI71" i="26" s="1"/>
  <c r="W71" i="26"/>
  <c r="Y71" i="26"/>
  <c r="Z71" i="26"/>
  <c r="AC71" i="26"/>
  <c r="AD71" i="26"/>
  <c r="AE71" i="26"/>
  <c r="AG71" i="26"/>
  <c r="AH71" i="26"/>
  <c r="AL71" i="26"/>
  <c r="BE71" i="26" s="1"/>
  <c r="AA71" i="26" s="1"/>
  <c r="AM71" i="26"/>
  <c r="AU71" i="26" s="1"/>
  <c r="BA71" i="26"/>
  <c r="BC71" i="26"/>
  <c r="BG71" i="26"/>
  <c r="J72" i="26"/>
  <c r="AI72" i="26" s="1"/>
  <c r="W72" i="26"/>
  <c r="Y72" i="26"/>
  <c r="Z72" i="26"/>
  <c r="AC72" i="26"/>
  <c r="AD72" i="26"/>
  <c r="AE72" i="26"/>
  <c r="AG72" i="26"/>
  <c r="AH72" i="26"/>
  <c r="AL72" i="26"/>
  <c r="H72" i="26" s="1"/>
  <c r="AM72" i="26"/>
  <c r="AU72" i="26" s="1"/>
  <c r="BA72" i="26"/>
  <c r="BC72" i="26"/>
  <c r="BG72" i="26"/>
  <c r="J73" i="26"/>
  <c r="AI73" i="26" s="1"/>
  <c r="W73" i="26"/>
  <c r="Y73" i="26"/>
  <c r="Z73" i="26"/>
  <c r="AC73" i="26"/>
  <c r="AD73" i="26"/>
  <c r="AE73" i="26"/>
  <c r="AG73" i="26"/>
  <c r="AH73" i="26"/>
  <c r="AL73" i="26"/>
  <c r="H73" i="26" s="1"/>
  <c r="AM73" i="26"/>
  <c r="BA73" i="26"/>
  <c r="BC73" i="26"/>
  <c r="BG73" i="26"/>
  <c r="J75" i="26"/>
  <c r="AI75" i="26" s="1"/>
  <c r="W75" i="26"/>
  <c r="Y75" i="26"/>
  <c r="Z75" i="26"/>
  <c r="AC75" i="26"/>
  <c r="AD75" i="26"/>
  <c r="AE75" i="26"/>
  <c r="AG75" i="26"/>
  <c r="AH75" i="26"/>
  <c r="AL75" i="26"/>
  <c r="AT75" i="26" s="1"/>
  <c r="AM75" i="26"/>
  <c r="I75" i="26" s="1"/>
  <c r="BA75" i="26"/>
  <c r="BC75" i="26"/>
  <c r="BG75" i="26"/>
  <c r="J77" i="26"/>
  <c r="AI77" i="26" s="1"/>
  <c r="W77" i="26"/>
  <c r="Y77" i="26"/>
  <c r="Z77" i="26"/>
  <c r="AC77" i="26"/>
  <c r="AD77" i="26"/>
  <c r="AE77" i="26"/>
  <c r="AG77" i="26"/>
  <c r="AH77" i="26"/>
  <c r="AL77" i="26"/>
  <c r="AT77" i="26" s="1"/>
  <c r="AM77" i="26"/>
  <c r="I77" i="26" s="1"/>
  <c r="BA77" i="26"/>
  <c r="BC77" i="26"/>
  <c r="BG77" i="26"/>
  <c r="J78" i="26"/>
  <c r="AI78" i="26" s="1"/>
  <c r="W78" i="26"/>
  <c r="Y78" i="26"/>
  <c r="Z78" i="26"/>
  <c r="AC78" i="26"/>
  <c r="AD78" i="26"/>
  <c r="AE78" i="26"/>
  <c r="AG78" i="26"/>
  <c r="AH78" i="26"/>
  <c r="AL78" i="26"/>
  <c r="AM78" i="26"/>
  <c r="I78" i="26" s="1"/>
  <c r="BA78" i="26"/>
  <c r="BC78" i="26"/>
  <c r="BG78" i="26"/>
  <c r="J79" i="26"/>
  <c r="AI79" i="26" s="1"/>
  <c r="W79" i="26"/>
  <c r="Y79" i="26"/>
  <c r="Z79" i="26"/>
  <c r="AC79" i="26"/>
  <c r="AD79" i="26"/>
  <c r="AE79" i="26"/>
  <c r="AG79" i="26"/>
  <c r="AH79" i="26"/>
  <c r="AL79" i="26"/>
  <c r="BE79" i="26" s="1"/>
  <c r="AA79" i="26" s="1"/>
  <c r="AM79" i="26"/>
  <c r="I79" i="26" s="1"/>
  <c r="BA79" i="26"/>
  <c r="BC79" i="26"/>
  <c r="BG79" i="26"/>
  <c r="J80" i="26"/>
  <c r="AI80" i="26" s="1"/>
  <c r="W80" i="26"/>
  <c r="Y80" i="26"/>
  <c r="Z80" i="26"/>
  <c r="AC80" i="26"/>
  <c r="AD80" i="26"/>
  <c r="AE80" i="26"/>
  <c r="AG80" i="26"/>
  <c r="AH80" i="26"/>
  <c r="AL80" i="26"/>
  <c r="H80" i="26" s="1"/>
  <c r="AM80" i="26"/>
  <c r="AU80" i="26" s="1"/>
  <c r="BA80" i="26"/>
  <c r="BC80" i="26"/>
  <c r="BG80" i="26"/>
  <c r="J81" i="26"/>
  <c r="AI81" i="26" s="1"/>
  <c r="W81" i="26"/>
  <c r="Y81" i="26"/>
  <c r="Z81" i="26"/>
  <c r="AC81" i="26"/>
  <c r="AD81" i="26"/>
  <c r="AE81" i="26"/>
  <c r="AG81" i="26"/>
  <c r="AH81" i="26"/>
  <c r="AL81" i="26"/>
  <c r="BE81" i="26" s="1"/>
  <c r="AA81" i="26" s="1"/>
  <c r="AM81" i="26"/>
  <c r="BF81" i="26" s="1"/>
  <c r="AB81" i="26" s="1"/>
  <c r="BA81" i="26"/>
  <c r="BC81" i="26"/>
  <c r="BG81" i="26"/>
  <c r="J82" i="26"/>
  <c r="AI82" i="26" s="1"/>
  <c r="W82" i="26"/>
  <c r="Y82" i="26"/>
  <c r="Z82" i="26"/>
  <c r="AC82" i="26"/>
  <c r="AD82" i="26"/>
  <c r="AE82" i="26"/>
  <c r="AG82" i="26"/>
  <c r="AH82" i="26"/>
  <c r="AL82" i="26"/>
  <c r="AT82" i="26" s="1"/>
  <c r="AM82" i="26"/>
  <c r="I82" i="26" s="1"/>
  <c r="BA82" i="26"/>
  <c r="BC82" i="26"/>
  <c r="BG82" i="26"/>
  <c r="J83" i="26"/>
  <c r="AI83" i="26" s="1"/>
  <c r="W83" i="26"/>
  <c r="Y83" i="26"/>
  <c r="Z83" i="26"/>
  <c r="AC83" i="26"/>
  <c r="AD83" i="26"/>
  <c r="AE83" i="26"/>
  <c r="AG83" i="26"/>
  <c r="AH83" i="26"/>
  <c r="AL83" i="26"/>
  <c r="BE83" i="26" s="1"/>
  <c r="AA83" i="26" s="1"/>
  <c r="AM83" i="26"/>
  <c r="AU83" i="26" s="1"/>
  <c r="BA83" i="26"/>
  <c r="BC83" i="26"/>
  <c r="BG83" i="26"/>
  <c r="J84" i="26"/>
  <c r="AI84" i="26" s="1"/>
  <c r="W84" i="26"/>
  <c r="Y84" i="26"/>
  <c r="Z84" i="26"/>
  <c r="AC84" i="26"/>
  <c r="AD84" i="26"/>
  <c r="AE84" i="26"/>
  <c r="AG84" i="26"/>
  <c r="AH84" i="26"/>
  <c r="AL84" i="26"/>
  <c r="H84" i="26" s="1"/>
  <c r="AM84" i="26"/>
  <c r="AU84" i="26" s="1"/>
  <c r="BA84" i="26"/>
  <c r="BC84" i="26"/>
  <c r="BG84" i="26"/>
  <c r="J85" i="26"/>
  <c r="AI85" i="26" s="1"/>
  <c r="W85" i="26"/>
  <c r="Y85" i="26"/>
  <c r="Z85" i="26"/>
  <c r="AC85" i="26"/>
  <c r="AD85" i="26"/>
  <c r="AE85" i="26"/>
  <c r="AG85" i="26"/>
  <c r="AH85" i="26"/>
  <c r="AL85" i="26"/>
  <c r="H85" i="26" s="1"/>
  <c r="AM85" i="26"/>
  <c r="BA85" i="26"/>
  <c r="BC85" i="26"/>
  <c r="BG85" i="26"/>
  <c r="J86" i="26"/>
  <c r="AI86" i="26" s="1"/>
  <c r="W86" i="26"/>
  <c r="Y86" i="26"/>
  <c r="Z86" i="26"/>
  <c r="AC86" i="26"/>
  <c r="AD86" i="26"/>
  <c r="AE86" i="26"/>
  <c r="AG86" i="26"/>
  <c r="AH86" i="26"/>
  <c r="AL86" i="26"/>
  <c r="H86" i="26" s="1"/>
  <c r="AM86" i="26"/>
  <c r="BF86" i="26" s="1"/>
  <c r="AB86" i="26" s="1"/>
  <c r="BA86" i="26"/>
  <c r="BC86" i="26"/>
  <c r="BG86" i="26"/>
  <c r="J87" i="26"/>
  <c r="AI87" i="26" s="1"/>
  <c r="W87" i="26"/>
  <c r="Y87" i="26"/>
  <c r="Z87" i="26"/>
  <c r="AC87" i="26"/>
  <c r="AD87" i="26"/>
  <c r="AE87" i="26"/>
  <c r="AG87" i="26"/>
  <c r="AH87" i="26"/>
  <c r="AL87" i="26"/>
  <c r="H87" i="26" s="1"/>
  <c r="AM87" i="26"/>
  <c r="I87" i="26" s="1"/>
  <c r="BA87" i="26"/>
  <c r="BC87" i="26"/>
  <c r="BG87" i="26"/>
  <c r="J88" i="26"/>
  <c r="AI88" i="26" s="1"/>
  <c r="W88" i="26"/>
  <c r="Y88" i="26"/>
  <c r="Z88" i="26"/>
  <c r="AC88" i="26"/>
  <c r="AD88" i="26"/>
  <c r="AE88" i="26"/>
  <c r="AG88" i="26"/>
  <c r="AH88" i="26"/>
  <c r="AL88" i="26"/>
  <c r="AT88" i="26" s="1"/>
  <c r="AM88" i="26"/>
  <c r="BF88" i="26" s="1"/>
  <c r="AB88" i="26" s="1"/>
  <c r="BA88" i="26"/>
  <c r="BC88" i="26"/>
  <c r="BG88" i="26"/>
  <c r="J89" i="26"/>
  <c r="W89" i="26"/>
  <c r="Y89" i="26"/>
  <c r="Z89" i="26"/>
  <c r="AC89" i="26"/>
  <c r="AD89" i="26"/>
  <c r="AE89" i="26"/>
  <c r="AG89" i="26"/>
  <c r="AH89" i="26"/>
  <c r="AI89" i="26"/>
  <c r="AL89" i="26"/>
  <c r="AT89" i="26" s="1"/>
  <c r="AM89" i="26"/>
  <c r="AU89" i="26" s="1"/>
  <c r="BA89" i="26"/>
  <c r="BC89" i="26"/>
  <c r="BG89" i="26"/>
  <c r="J90" i="26"/>
  <c r="AI90" i="26" s="1"/>
  <c r="W90" i="26"/>
  <c r="Y90" i="26"/>
  <c r="Z90" i="26"/>
  <c r="AC90" i="26"/>
  <c r="AD90" i="26"/>
  <c r="AE90" i="26"/>
  <c r="AG90" i="26"/>
  <c r="AH90" i="26"/>
  <c r="AL90" i="26"/>
  <c r="BE90" i="26" s="1"/>
  <c r="AA90" i="26" s="1"/>
  <c r="AM90" i="26"/>
  <c r="BF90" i="26" s="1"/>
  <c r="AB90" i="26" s="1"/>
  <c r="BA90" i="26"/>
  <c r="BC90" i="26"/>
  <c r="BG90" i="26"/>
  <c r="J91" i="26"/>
  <c r="AI91" i="26" s="1"/>
  <c r="W91" i="26"/>
  <c r="Y91" i="26"/>
  <c r="Z91" i="26"/>
  <c r="AC91" i="26"/>
  <c r="AD91" i="26"/>
  <c r="AE91" i="26"/>
  <c r="AG91" i="26"/>
  <c r="AH91" i="26"/>
  <c r="AL91" i="26"/>
  <c r="H91" i="26" s="1"/>
  <c r="AM91" i="26"/>
  <c r="I91" i="26" s="1"/>
  <c r="BA91" i="26"/>
  <c r="BC91" i="26"/>
  <c r="BG91" i="26"/>
  <c r="J92" i="26"/>
  <c r="AI92" i="26" s="1"/>
  <c r="W92" i="26"/>
  <c r="Y92" i="26"/>
  <c r="Z92" i="26"/>
  <c r="AC92" i="26"/>
  <c r="AD92" i="26"/>
  <c r="AE92" i="26"/>
  <c r="AG92" i="26"/>
  <c r="AH92" i="26"/>
  <c r="AL92" i="26"/>
  <c r="H92" i="26" s="1"/>
  <c r="AM92" i="26"/>
  <c r="BA92" i="26"/>
  <c r="BC92" i="26"/>
  <c r="BG92" i="26"/>
  <c r="J93" i="26"/>
  <c r="AI93" i="26" s="1"/>
  <c r="W93" i="26"/>
  <c r="Y93" i="26"/>
  <c r="Z93" i="26"/>
  <c r="AC93" i="26"/>
  <c r="AD93" i="26"/>
  <c r="AE93" i="26"/>
  <c r="AG93" i="26"/>
  <c r="AH93" i="26"/>
  <c r="AL93" i="26"/>
  <c r="H93" i="26" s="1"/>
  <c r="AM93" i="26"/>
  <c r="I93" i="26" s="1"/>
  <c r="BA93" i="26"/>
  <c r="BC93" i="26"/>
  <c r="BG93" i="26"/>
  <c r="J94" i="26"/>
  <c r="AI94" i="26" s="1"/>
  <c r="W94" i="26"/>
  <c r="Y94" i="26"/>
  <c r="Z94" i="26"/>
  <c r="AC94" i="26"/>
  <c r="AD94" i="26"/>
  <c r="AE94" i="26"/>
  <c r="AG94" i="26"/>
  <c r="AH94" i="26"/>
  <c r="AL94" i="26"/>
  <c r="AM94" i="26"/>
  <c r="I94" i="26" s="1"/>
  <c r="BA94" i="26"/>
  <c r="BC94" i="26"/>
  <c r="BG94" i="26"/>
  <c r="J95" i="26"/>
  <c r="AI95" i="26" s="1"/>
  <c r="W95" i="26"/>
  <c r="Y95" i="26"/>
  <c r="Z95" i="26"/>
  <c r="AC95" i="26"/>
  <c r="AD95" i="26"/>
  <c r="AE95" i="26"/>
  <c r="AG95" i="26"/>
  <c r="AH95" i="26"/>
  <c r="AL95" i="26"/>
  <c r="AT95" i="26" s="1"/>
  <c r="AM95" i="26"/>
  <c r="I95" i="26" s="1"/>
  <c r="BA95" i="26"/>
  <c r="BC95" i="26"/>
  <c r="BG95" i="26"/>
  <c r="J96" i="26"/>
  <c r="AI96" i="26" s="1"/>
  <c r="W96" i="26"/>
  <c r="Y96" i="26"/>
  <c r="Z96" i="26"/>
  <c r="AC96" i="26"/>
  <c r="AD96" i="26"/>
  <c r="AE96" i="26"/>
  <c r="AG96" i="26"/>
  <c r="AH96" i="26"/>
  <c r="AL96" i="26"/>
  <c r="AT96" i="26" s="1"/>
  <c r="AM96" i="26"/>
  <c r="AU96" i="26" s="1"/>
  <c r="BA96" i="26"/>
  <c r="BC96" i="26"/>
  <c r="BG96" i="26"/>
  <c r="J97" i="26"/>
  <c r="AI97" i="26" s="1"/>
  <c r="W97" i="26"/>
  <c r="Y97" i="26"/>
  <c r="Z97" i="26"/>
  <c r="AC97" i="26"/>
  <c r="AD97" i="26"/>
  <c r="AE97" i="26"/>
  <c r="AG97" i="26"/>
  <c r="AH97" i="26"/>
  <c r="AL97" i="26"/>
  <c r="BE97" i="26" s="1"/>
  <c r="AA97" i="26" s="1"/>
  <c r="AM97" i="26"/>
  <c r="BF97" i="26" s="1"/>
  <c r="AB97" i="26" s="1"/>
  <c r="BA97" i="26"/>
  <c r="BC97" i="26"/>
  <c r="BG97" i="26"/>
  <c r="J98" i="26"/>
  <c r="AI98" i="26" s="1"/>
  <c r="W98" i="26"/>
  <c r="Y98" i="26"/>
  <c r="Z98" i="26"/>
  <c r="AC98" i="26"/>
  <c r="AD98" i="26"/>
  <c r="AE98" i="26"/>
  <c r="AG98" i="26"/>
  <c r="AH98" i="26"/>
  <c r="AL98" i="26"/>
  <c r="AT98" i="26" s="1"/>
  <c r="AM98" i="26"/>
  <c r="BA98" i="26"/>
  <c r="BC98" i="26"/>
  <c r="BG98" i="26"/>
  <c r="J99" i="26"/>
  <c r="AI99" i="26" s="1"/>
  <c r="W99" i="26"/>
  <c r="Y99" i="26"/>
  <c r="Z99" i="26"/>
  <c r="AC99" i="26"/>
  <c r="AD99" i="26"/>
  <c r="AE99" i="26"/>
  <c r="AG99" i="26"/>
  <c r="AH99" i="26"/>
  <c r="AL99" i="26"/>
  <c r="H99" i="26" s="1"/>
  <c r="AM99" i="26"/>
  <c r="AU99" i="26" s="1"/>
  <c r="BA99" i="26"/>
  <c r="BC99" i="26"/>
  <c r="BG99" i="26"/>
  <c r="J100" i="26"/>
  <c r="AI100" i="26" s="1"/>
  <c r="W100" i="26"/>
  <c r="Y100" i="26"/>
  <c r="Z100" i="26"/>
  <c r="AC100" i="26"/>
  <c r="AD100" i="26"/>
  <c r="AE100" i="26"/>
  <c r="AG100" i="26"/>
  <c r="AH100" i="26"/>
  <c r="AL100" i="26"/>
  <c r="BE100" i="26" s="1"/>
  <c r="AA100" i="26" s="1"/>
  <c r="AM100" i="26"/>
  <c r="I100" i="26" s="1"/>
  <c r="BA100" i="26"/>
  <c r="BC100" i="26"/>
  <c r="BG100" i="26"/>
  <c r="J101" i="26"/>
  <c r="AI101" i="26" s="1"/>
  <c r="W101" i="26"/>
  <c r="Y101" i="26"/>
  <c r="Z101" i="26"/>
  <c r="AC101" i="26"/>
  <c r="AD101" i="26"/>
  <c r="AE101" i="26"/>
  <c r="AG101" i="26"/>
  <c r="AH101" i="26"/>
  <c r="AL101" i="26"/>
  <c r="AT101" i="26" s="1"/>
  <c r="AM101" i="26"/>
  <c r="BA101" i="26"/>
  <c r="BC101" i="26"/>
  <c r="BG101" i="26"/>
  <c r="J102" i="26"/>
  <c r="AI102" i="26" s="1"/>
  <c r="W102" i="26"/>
  <c r="Y102" i="26"/>
  <c r="Z102" i="26"/>
  <c r="AC102" i="26"/>
  <c r="AD102" i="26"/>
  <c r="AE102" i="26"/>
  <c r="AG102" i="26"/>
  <c r="AH102" i="26"/>
  <c r="AL102" i="26"/>
  <c r="H102" i="26" s="1"/>
  <c r="AM102" i="26"/>
  <c r="AU102" i="26" s="1"/>
  <c r="BA102" i="26"/>
  <c r="BC102" i="26"/>
  <c r="BG102" i="26"/>
  <c r="J103" i="26"/>
  <c r="AI103" i="26" s="1"/>
  <c r="W103" i="26"/>
  <c r="Y103" i="26"/>
  <c r="Z103" i="26"/>
  <c r="AC103" i="26"/>
  <c r="AD103" i="26"/>
  <c r="AE103" i="26"/>
  <c r="AG103" i="26"/>
  <c r="AH103" i="26"/>
  <c r="AL103" i="26"/>
  <c r="AT103" i="26" s="1"/>
  <c r="AM103" i="26"/>
  <c r="AU103" i="26" s="1"/>
  <c r="BA103" i="26"/>
  <c r="BC103" i="26"/>
  <c r="BG103" i="26"/>
  <c r="J104" i="26"/>
  <c r="AI104" i="26" s="1"/>
  <c r="W104" i="26"/>
  <c r="Y104" i="26"/>
  <c r="Z104" i="26"/>
  <c r="AC104" i="26"/>
  <c r="AD104" i="26"/>
  <c r="AE104" i="26"/>
  <c r="AG104" i="26"/>
  <c r="AH104" i="26"/>
  <c r="AL104" i="26"/>
  <c r="AT104" i="26" s="1"/>
  <c r="AM104" i="26"/>
  <c r="BF104" i="26" s="1"/>
  <c r="AB104" i="26" s="1"/>
  <c r="BA104" i="26"/>
  <c r="BC104" i="26"/>
  <c r="BG104" i="26"/>
  <c r="J105" i="26"/>
  <c r="AI105" i="26" s="1"/>
  <c r="W105" i="26"/>
  <c r="Y105" i="26"/>
  <c r="Z105" i="26"/>
  <c r="AC105" i="26"/>
  <c r="AD105" i="26"/>
  <c r="AE105" i="26"/>
  <c r="AG105" i="26"/>
  <c r="AH105" i="26"/>
  <c r="AL105" i="26"/>
  <c r="H105" i="26" s="1"/>
  <c r="AM105" i="26"/>
  <c r="AU105" i="26" s="1"/>
  <c r="BA105" i="26"/>
  <c r="BC105" i="26"/>
  <c r="BG105" i="26"/>
  <c r="J106" i="26"/>
  <c r="AI106" i="26" s="1"/>
  <c r="W106" i="26"/>
  <c r="Y106" i="26"/>
  <c r="Z106" i="26"/>
  <c r="AA106" i="26"/>
  <c r="AB106" i="26"/>
  <c r="AE106" i="26"/>
  <c r="AG106" i="26"/>
  <c r="AH106" i="26"/>
  <c r="AL106" i="26"/>
  <c r="BE106" i="26" s="1"/>
  <c r="AC106" i="26" s="1"/>
  <c r="AM106" i="26"/>
  <c r="AU106" i="26" s="1"/>
  <c r="BA106" i="26"/>
  <c r="BC106" i="26"/>
  <c r="BG106" i="26"/>
  <c r="J108" i="26"/>
  <c r="AI108" i="26" s="1"/>
  <c r="W108" i="26"/>
  <c r="Y108" i="26"/>
  <c r="Z108" i="26"/>
  <c r="AC108" i="26"/>
  <c r="AD108" i="26"/>
  <c r="AE108" i="26"/>
  <c r="AG108" i="26"/>
  <c r="AH108" i="26"/>
  <c r="AL108" i="26"/>
  <c r="BE108" i="26" s="1"/>
  <c r="AA108" i="26" s="1"/>
  <c r="AM108" i="26"/>
  <c r="BA108" i="26"/>
  <c r="BC108" i="26"/>
  <c r="BG108" i="26"/>
  <c r="J110" i="26"/>
  <c r="AI110" i="26" s="1"/>
  <c r="W110" i="26"/>
  <c r="Y110" i="26"/>
  <c r="Z110" i="26"/>
  <c r="AC110" i="26"/>
  <c r="AD110" i="26"/>
  <c r="AE110" i="26"/>
  <c r="AG110" i="26"/>
  <c r="AH110" i="26"/>
  <c r="AL110" i="26"/>
  <c r="AT110" i="26" s="1"/>
  <c r="AM110" i="26"/>
  <c r="BF110" i="26" s="1"/>
  <c r="AB110" i="26" s="1"/>
  <c r="BA110" i="26"/>
  <c r="BC110" i="26"/>
  <c r="BG110" i="26"/>
  <c r="J111" i="26"/>
  <c r="AI111" i="26" s="1"/>
  <c r="W111" i="26"/>
  <c r="Y111" i="26"/>
  <c r="Z111" i="26"/>
  <c r="AC111" i="26"/>
  <c r="AD111" i="26"/>
  <c r="AE111" i="26"/>
  <c r="AG111" i="26"/>
  <c r="AH111" i="26"/>
  <c r="AL111" i="26"/>
  <c r="AT111" i="26" s="1"/>
  <c r="AM111" i="26"/>
  <c r="AU111" i="26" s="1"/>
  <c r="BA111" i="26"/>
  <c r="BC111" i="26"/>
  <c r="BG111" i="26"/>
  <c r="J112" i="26"/>
  <c r="AI112" i="26" s="1"/>
  <c r="W112" i="26"/>
  <c r="Y112" i="26"/>
  <c r="Z112" i="26"/>
  <c r="AC112" i="26"/>
  <c r="AD112" i="26"/>
  <c r="AE112" i="26"/>
  <c r="AG112" i="26"/>
  <c r="AH112" i="26"/>
  <c r="AL112" i="26"/>
  <c r="AM112" i="26"/>
  <c r="I112" i="26" s="1"/>
  <c r="BA112" i="26"/>
  <c r="BC112" i="26"/>
  <c r="BG112" i="26"/>
  <c r="J113" i="26"/>
  <c r="AI113" i="26" s="1"/>
  <c r="W113" i="26"/>
  <c r="Y113" i="26"/>
  <c r="Z113" i="26"/>
  <c r="AC113" i="26"/>
  <c r="AD113" i="26"/>
  <c r="AE113" i="26"/>
  <c r="AG113" i="26"/>
  <c r="AH113" i="26"/>
  <c r="AL113" i="26"/>
  <c r="AT113" i="26" s="1"/>
  <c r="AM113" i="26"/>
  <c r="I113" i="26" s="1"/>
  <c r="BA113" i="26"/>
  <c r="BC113" i="26"/>
  <c r="BG113" i="26"/>
  <c r="J114" i="26"/>
  <c r="AI114" i="26" s="1"/>
  <c r="W114" i="26"/>
  <c r="Y114" i="26"/>
  <c r="Z114" i="26"/>
  <c r="AC114" i="26"/>
  <c r="AD114" i="26"/>
  <c r="AE114" i="26"/>
  <c r="AG114" i="26"/>
  <c r="AH114" i="26"/>
  <c r="AL114" i="26"/>
  <c r="H114" i="26" s="1"/>
  <c r="AM114" i="26"/>
  <c r="AU114" i="26" s="1"/>
  <c r="BA114" i="26"/>
  <c r="BC114" i="26"/>
  <c r="BG114" i="26"/>
  <c r="J115" i="26"/>
  <c r="W115" i="26"/>
  <c r="Y115" i="26"/>
  <c r="Z115" i="26"/>
  <c r="AC115" i="26"/>
  <c r="AD115" i="26"/>
  <c r="AE115" i="26"/>
  <c r="AG115" i="26"/>
  <c r="AH115" i="26"/>
  <c r="AL115" i="26"/>
  <c r="H115" i="26" s="1"/>
  <c r="AM115" i="26"/>
  <c r="AU115" i="26" s="1"/>
  <c r="BA115" i="26"/>
  <c r="BC115" i="26"/>
  <c r="BG115" i="26"/>
  <c r="J116" i="26"/>
  <c r="AI116" i="26" s="1"/>
  <c r="W116" i="26"/>
  <c r="Y116" i="26"/>
  <c r="Z116" i="26"/>
  <c r="AC116" i="26"/>
  <c r="AD116" i="26"/>
  <c r="AE116" i="26"/>
  <c r="AG116" i="26"/>
  <c r="AH116" i="26"/>
  <c r="AL116" i="26"/>
  <c r="AT116" i="26" s="1"/>
  <c r="AM116" i="26"/>
  <c r="BF116" i="26" s="1"/>
  <c r="AB116" i="26" s="1"/>
  <c r="BA116" i="26"/>
  <c r="BC116" i="26"/>
  <c r="BG116" i="26"/>
  <c r="J117" i="26"/>
  <c r="AI117" i="26" s="1"/>
  <c r="W117" i="26"/>
  <c r="Y117" i="26"/>
  <c r="Z117" i="26"/>
  <c r="AC117" i="26"/>
  <c r="AD117" i="26"/>
  <c r="AE117" i="26"/>
  <c r="AG117" i="26"/>
  <c r="AH117" i="26"/>
  <c r="AL117" i="26"/>
  <c r="H117" i="26" s="1"/>
  <c r="AM117" i="26"/>
  <c r="AU117" i="26" s="1"/>
  <c r="BA117" i="26"/>
  <c r="BC117" i="26"/>
  <c r="BG117" i="26"/>
  <c r="J118" i="26"/>
  <c r="AI118" i="26" s="1"/>
  <c r="W118" i="26"/>
  <c r="Y118" i="26"/>
  <c r="Z118" i="26"/>
  <c r="AC118" i="26"/>
  <c r="AD118" i="26"/>
  <c r="AE118" i="26"/>
  <c r="AG118" i="26"/>
  <c r="AH118" i="26"/>
  <c r="AL118" i="26"/>
  <c r="BE118" i="26" s="1"/>
  <c r="AA118" i="26" s="1"/>
  <c r="AM118" i="26"/>
  <c r="BF118" i="26" s="1"/>
  <c r="AB118" i="26" s="1"/>
  <c r="BA118" i="26"/>
  <c r="BC118" i="26"/>
  <c r="BG118" i="26"/>
  <c r="J119" i="26"/>
  <c r="AI119" i="26" s="1"/>
  <c r="W119" i="26"/>
  <c r="Y119" i="26"/>
  <c r="Z119" i="26"/>
  <c r="AC119" i="26"/>
  <c r="AD119" i="26"/>
  <c r="AE119" i="26"/>
  <c r="AG119" i="26"/>
  <c r="AH119" i="26"/>
  <c r="AL119" i="26"/>
  <c r="AM119" i="26"/>
  <c r="BF119" i="26" s="1"/>
  <c r="AB119" i="26" s="1"/>
  <c r="BA119" i="26"/>
  <c r="BC119" i="26"/>
  <c r="BG119" i="26"/>
  <c r="J120" i="26"/>
  <c r="AI120" i="26" s="1"/>
  <c r="W120" i="26"/>
  <c r="Y120" i="26"/>
  <c r="Z120" i="26"/>
  <c r="AC120" i="26"/>
  <c r="AD120" i="26"/>
  <c r="AE120" i="26"/>
  <c r="AG120" i="26"/>
  <c r="AH120" i="26"/>
  <c r="AL120" i="26"/>
  <c r="AT120" i="26" s="1"/>
  <c r="AM120" i="26"/>
  <c r="AU120" i="26" s="1"/>
  <c r="BA120" i="26"/>
  <c r="BC120" i="26"/>
  <c r="BG120" i="26"/>
  <c r="J122" i="26"/>
  <c r="AI122" i="26" s="1"/>
  <c r="W122" i="26"/>
  <c r="Y122" i="26"/>
  <c r="Z122" i="26"/>
  <c r="AC122" i="26"/>
  <c r="AD122" i="26"/>
  <c r="AE122" i="26"/>
  <c r="AG122" i="26"/>
  <c r="AH122" i="26"/>
  <c r="AL122" i="26"/>
  <c r="BE122" i="26" s="1"/>
  <c r="AA122" i="26" s="1"/>
  <c r="AM122" i="26"/>
  <c r="AU122" i="26" s="1"/>
  <c r="BA122" i="26"/>
  <c r="BC122" i="26"/>
  <c r="BG122" i="26"/>
  <c r="J123" i="26"/>
  <c r="AI123" i="26" s="1"/>
  <c r="W123" i="26"/>
  <c r="Y123" i="26"/>
  <c r="Z123" i="26"/>
  <c r="AC123" i="26"/>
  <c r="AD123" i="26"/>
  <c r="AE123" i="26"/>
  <c r="AG123" i="26"/>
  <c r="AH123" i="26"/>
  <c r="AL123" i="26"/>
  <c r="BE123" i="26" s="1"/>
  <c r="AA123" i="26" s="1"/>
  <c r="AM123" i="26"/>
  <c r="AU123" i="26" s="1"/>
  <c r="BA123" i="26"/>
  <c r="BC123" i="26"/>
  <c r="BG123" i="26"/>
  <c r="J124" i="26"/>
  <c r="AI124" i="26" s="1"/>
  <c r="W124" i="26"/>
  <c r="Y124" i="26"/>
  <c r="Z124" i="26"/>
  <c r="AC124" i="26"/>
  <c r="AD124" i="26"/>
  <c r="AE124" i="26"/>
  <c r="AG124" i="26"/>
  <c r="AH124" i="26"/>
  <c r="AL124" i="26"/>
  <c r="AT124" i="26" s="1"/>
  <c r="AM124" i="26"/>
  <c r="I124" i="26" s="1"/>
  <c r="BA124" i="26"/>
  <c r="BC124" i="26"/>
  <c r="BG124" i="26"/>
  <c r="J125" i="26"/>
  <c r="AI125" i="26" s="1"/>
  <c r="W125" i="26"/>
  <c r="Y125" i="26"/>
  <c r="Z125" i="26"/>
  <c r="AC125" i="26"/>
  <c r="AD125" i="26"/>
  <c r="AE125" i="26"/>
  <c r="AG125" i="26"/>
  <c r="AH125" i="26"/>
  <c r="AL125" i="26"/>
  <c r="H125" i="26" s="1"/>
  <c r="AM125" i="26"/>
  <c r="BF125" i="26" s="1"/>
  <c r="AB125" i="26" s="1"/>
  <c r="BA125" i="26"/>
  <c r="BC125" i="26"/>
  <c r="BG125" i="26"/>
  <c r="J126" i="26"/>
  <c r="AI126" i="26" s="1"/>
  <c r="W126" i="26"/>
  <c r="Y126" i="26"/>
  <c r="Z126" i="26"/>
  <c r="AC126" i="26"/>
  <c r="AD126" i="26"/>
  <c r="AE126" i="26"/>
  <c r="AG126" i="26"/>
  <c r="AH126" i="26"/>
  <c r="AL126" i="26"/>
  <c r="H126" i="26" s="1"/>
  <c r="AM126" i="26"/>
  <c r="AU126" i="26" s="1"/>
  <c r="BA126" i="26"/>
  <c r="BC126" i="26"/>
  <c r="BG126" i="26"/>
  <c r="J127" i="26"/>
  <c r="AI127" i="26" s="1"/>
  <c r="W127" i="26"/>
  <c r="Y127" i="26"/>
  <c r="Z127" i="26"/>
  <c r="AC127" i="26"/>
  <c r="AD127" i="26"/>
  <c r="AE127" i="26"/>
  <c r="AG127" i="26"/>
  <c r="AH127" i="26"/>
  <c r="AL127" i="26"/>
  <c r="H127" i="26" s="1"/>
  <c r="AM127" i="26"/>
  <c r="BF127" i="26" s="1"/>
  <c r="AB127" i="26" s="1"/>
  <c r="BA127" i="26"/>
  <c r="BC127" i="26"/>
  <c r="BG127" i="26"/>
  <c r="J128" i="26"/>
  <c r="AI128" i="26" s="1"/>
  <c r="W128" i="26"/>
  <c r="Y128" i="26"/>
  <c r="Z128" i="26"/>
  <c r="AC128" i="26"/>
  <c r="AD128" i="26"/>
  <c r="AE128" i="26"/>
  <c r="AG128" i="26"/>
  <c r="AH128" i="26"/>
  <c r="AL128" i="26"/>
  <c r="AT128" i="26" s="1"/>
  <c r="AM128" i="26"/>
  <c r="AU128" i="26" s="1"/>
  <c r="BA128" i="26"/>
  <c r="BC128" i="26"/>
  <c r="BG128" i="26"/>
  <c r="J129" i="26"/>
  <c r="AI129" i="26" s="1"/>
  <c r="W129" i="26"/>
  <c r="Y129" i="26"/>
  <c r="Z129" i="26"/>
  <c r="AC129" i="26"/>
  <c r="AD129" i="26"/>
  <c r="AE129" i="26"/>
  <c r="AG129" i="26"/>
  <c r="AH129" i="26"/>
  <c r="AL129" i="26"/>
  <c r="BE129" i="26" s="1"/>
  <c r="AA129" i="26" s="1"/>
  <c r="AM129" i="26"/>
  <c r="I129" i="26" s="1"/>
  <c r="BA129" i="26"/>
  <c r="BC129" i="26"/>
  <c r="BG129" i="26"/>
  <c r="J130" i="26"/>
  <c r="AI130" i="26" s="1"/>
  <c r="W130" i="26"/>
  <c r="Y130" i="26"/>
  <c r="Z130" i="26"/>
  <c r="AC130" i="26"/>
  <c r="AD130" i="26"/>
  <c r="AE130" i="26"/>
  <c r="AG130" i="26"/>
  <c r="AH130" i="26"/>
  <c r="AL130" i="26"/>
  <c r="BE130" i="26" s="1"/>
  <c r="AA130" i="26" s="1"/>
  <c r="AM130" i="26"/>
  <c r="BF130" i="26" s="1"/>
  <c r="AB130" i="26" s="1"/>
  <c r="BA130" i="26"/>
  <c r="BC130" i="26"/>
  <c r="BG130" i="26"/>
  <c r="J131" i="26"/>
  <c r="AI131" i="26" s="1"/>
  <c r="W131" i="26"/>
  <c r="Y131" i="26"/>
  <c r="Z131" i="26"/>
  <c r="AC131" i="26"/>
  <c r="AD131" i="26"/>
  <c r="AE131" i="26"/>
  <c r="AG131" i="26"/>
  <c r="AH131" i="26"/>
  <c r="AL131" i="26"/>
  <c r="AT131" i="26" s="1"/>
  <c r="AM131" i="26"/>
  <c r="AU131" i="26" s="1"/>
  <c r="BA131" i="26"/>
  <c r="BC131" i="26"/>
  <c r="BG131" i="26"/>
  <c r="J133" i="26"/>
  <c r="AI133" i="26" s="1"/>
  <c r="W133" i="26"/>
  <c r="Y133" i="26"/>
  <c r="Z133" i="26"/>
  <c r="AC133" i="26"/>
  <c r="AD133" i="26"/>
  <c r="AE133" i="26"/>
  <c r="AG133" i="26"/>
  <c r="AH133" i="26"/>
  <c r="AL133" i="26"/>
  <c r="AT133" i="26" s="1"/>
  <c r="AM133" i="26"/>
  <c r="AU133" i="26" s="1"/>
  <c r="BA133" i="26"/>
  <c r="BC133" i="26"/>
  <c r="BG133" i="26"/>
  <c r="J135" i="26"/>
  <c r="AI135" i="26" s="1"/>
  <c r="W135" i="26"/>
  <c r="Y135" i="26"/>
  <c r="Z135" i="26"/>
  <c r="AC135" i="26"/>
  <c r="AD135" i="26"/>
  <c r="AE135" i="26"/>
  <c r="AG135" i="26"/>
  <c r="AH135" i="26"/>
  <c r="AL135" i="26"/>
  <c r="BE135" i="26" s="1"/>
  <c r="AA135" i="26" s="1"/>
  <c r="AM135" i="26"/>
  <c r="AU135" i="26" s="1"/>
  <c r="BA135" i="26"/>
  <c r="BC135" i="26"/>
  <c r="BG135" i="26"/>
  <c r="J136" i="26"/>
  <c r="AI136" i="26" s="1"/>
  <c r="W136" i="26"/>
  <c r="Y136" i="26"/>
  <c r="Z136" i="26"/>
  <c r="AC136" i="26"/>
  <c r="AD136" i="26"/>
  <c r="AE136" i="26"/>
  <c r="AG136" i="26"/>
  <c r="AH136" i="26"/>
  <c r="AL136" i="26"/>
  <c r="AT136" i="26" s="1"/>
  <c r="AM136" i="26"/>
  <c r="I136" i="26" s="1"/>
  <c r="BA136" i="26"/>
  <c r="BC136" i="26"/>
  <c r="BG136" i="26"/>
  <c r="J137" i="26"/>
  <c r="AI137" i="26" s="1"/>
  <c r="W137" i="26"/>
  <c r="Y137" i="26"/>
  <c r="Z137" i="26"/>
  <c r="AC137" i="26"/>
  <c r="AD137" i="26"/>
  <c r="AE137" i="26"/>
  <c r="AG137" i="26"/>
  <c r="AH137" i="26"/>
  <c r="AL137" i="26"/>
  <c r="H137" i="26" s="1"/>
  <c r="AM137" i="26"/>
  <c r="BF137" i="26" s="1"/>
  <c r="AB137" i="26" s="1"/>
  <c r="BA137" i="26"/>
  <c r="BC137" i="26"/>
  <c r="BE137" i="26"/>
  <c r="AA137" i="26" s="1"/>
  <c r="BG137" i="26"/>
  <c r="J138" i="26"/>
  <c r="AI138" i="26" s="1"/>
  <c r="W138" i="26"/>
  <c r="Y138" i="26"/>
  <c r="Z138" i="26"/>
  <c r="AC138" i="26"/>
  <c r="AD138" i="26"/>
  <c r="AE138" i="26"/>
  <c r="AG138" i="26"/>
  <c r="AH138" i="26"/>
  <c r="AL138" i="26"/>
  <c r="H138" i="26" s="1"/>
  <c r="AM138" i="26"/>
  <c r="I138" i="26" s="1"/>
  <c r="BA138" i="26"/>
  <c r="BC138" i="26"/>
  <c r="BG138" i="26"/>
  <c r="J139" i="26"/>
  <c r="AI139" i="26" s="1"/>
  <c r="W139" i="26"/>
  <c r="Y139" i="26"/>
  <c r="Z139" i="26"/>
  <c r="AC139" i="26"/>
  <c r="AD139" i="26"/>
  <c r="AE139" i="26"/>
  <c r="AG139" i="26"/>
  <c r="AH139" i="26"/>
  <c r="AL139" i="26"/>
  <c r="BE139" i="26" s="1"/>
  <c r="AA139" i="26" s="1"/>
  <c r="AM139" i="26"/>
  <c r="BF139" i="26" s="1"/>
  <c r="AB139" i="26" s="1"/>
  <c r="BA139" i="26"/>
  <c r="BC139" i="26"/>
  <c r="BG139" i="26"/>
  <c r="J140" i="26"/>
  <c r="AI140" i="26" s="1"/>
  <c r="W140" i="26"/>
  <c r="Y140" i="26"/>
  <c r="Z140" i="26"/>
  <c r="AC140" i="26"/>
  <c r="AD140" i="26"/>
  <c r="AE140" i="26"/>
  <c r="AG140" i="26"/>
  <c r="AH140" i="26"/>
  <c r="AL140" i="26"/>
  <c r="H140" i="26" s="1"/>
  <c r="AM140" i="26"/>
  <c r="AU140" i="26" s="1"/>
  <c r="BA140" i="26"/>
  <c r="BC140" i="26"/>
  <c r="BG140" i="26"/>
  <c r="J141" i="26"/>
  <c r="AI141" i="26" s="1"/>
  <c r="W141" i="26"/>
  <c r="Y141" i="26"/>
  <c r="Z141" i="26"/>
  <c r="AC141" i="26"/>
  <c r="AD141" i="26"/>
  <c r="AE141" i="26"/>
  <c r="AG141" i="26"/>
  <c r="AH141" i="26"/>
  <c r="AL141" i="26"/>
  <c r="BE141" i="26" s="1"/>
  <c r="AA141" i="26" s="1"/>
  <c r="AM141" i="26"/>
  <c r="BF141" i="26" s="1"/>
  <c r="AB141" i="26" s="1"/>
  <c r="BA141" i="26"/>
  <c r="BC141" i="26"/>
  <c r="BG141" i="26"/>
  <c r="J142" i="26"/>
  <c r="AI142" i="26" s="1"/>
  <c r="W142" i="26"/>
  <c r="Y142" i="26"/>
  <c r="Z142" i="26"/>
  <c r="AC142" i="26"/>
  <c r="AD142" i="26"/>
  <c r="AE142" i="26"/>
  <c r="AG142" i="26"/>
  <c r="AH142" i="26"/>
  <c r="AL142" i="26"/>
  <c r="H142" i="26" s="1"/>
  <c r="AM142" i="26"/>
  <c r="I142" i="26" s="1"/>
  <c r="BA142" i="26"/>
  <c r="BC142" i="26"/>
  <c r="BG142" i="26"/>
  <c r="J143" i="26"/>
  <c r="AI143" i="26" s="1"/>
  <c r="W143" i="26"/>
  <c r="Y143" i="26"/>
  <c r="Z143" i="26"/>
  <c r="AC143" i="26"/>
  <c r="AD143" i="26"/>
  <c r="AE143" i="26"/>
  <c r="AG143" i="26"/>
  <c r="AH143" i="26"/>
  <c r="AL143" i="26"/>
  <c r="BE143" i="26" s="1"/>
  <c r="AA143" i="26" s="1"/>
  <c r="AM143" i="26"/>
  <c r="AU143" i="26" s="1"/>
  <c r="BA143" i="26"/>
  <c r="BC143" i="26"/>
  <c r="BG143" i="26"/>
  <c r="J144" i="26"/>
  <c r="AI144" i="26" s="1"/>
  <c r="W144" i="26"/>
  <c r="Y144" i="26"/>
  <c r="Z144" i="26"/>
  <c r="AC144" i="26"/>
  <c r="AD144" i="26"/>
  <c r="AE144" i="26"/>
  <c r="AG144" i="26"/>
  <c r="AH144" i="26"/>
  <c r="AL144" i="26"/>
  <c r="H144" i="26" s="1"/>
  <c r="AM144" i="26"/>
  <c r="AU144" i="26" s="1"/>
  <c r="BA144" i="26"/>
  <c r="BC144" i="26"/>
  <c r="BG144" i="26"/>
  <c r="J145" i="26"/>
  <c r="AI145" i="26" s="1"/>
  <c r="W145" i="26"/>
  <c r="Y145" i="26"/>
  <c r="Z145" i="26"/>
  <c r="AC145" i="26"/>
  <c r="AD145" i="26"/>
  <c r="AE145" i="26"/>
  <c r="AG145" i="26"/>
  <c r="AH145" i="26"/>
  <c r="AL145" i="26"/>
  <c r="H145" i="26" s="1"/>
  <c r="AM145" i="26"/>
  <c r="I145" i="26" s="1"/>
  <c r="BA145" i="26"/>
  <c r="BC145" i="26"/>
  <c r="BG145" i="26"/>
  <c r="J146" i="26"/>
  <c r="AI146" i="26" s="1"/>
  <c r="W146" i="26"/>
  <c r="Y146" i="26"/>
  <c r="Z146" i="26"/>
  <c r="AC146" i="26"/>
  <c r="AD146" i="26"/>
  <c r="AE146" i="26"/>
  <c r="AG146" i="26"/>
  <c r="AH146" i="26"/>
  <c r="AL146" i="26"/>
  <c r="BE146" i="26" s="1"/>
  <c r="AA146" i="26" s="1"/>
  <c r="AM146" i="26"/>
  <c r="BF146" i="26" s="1"/>
  <c r="AB146" i="26" s="1"/>
  <c r="BA146" i="26"/>
  <c r="BC146" i="26"/>
  <c r="BG146" i="26"/>
  <c r="J147" i="26"/>
  <c r="AI147" i="26" s="1"/>
  <c r="W147" i="26"/>
  <c r="Y147" i="26"/>
  <c r="Z147" i="26"/>
  <c r="AC147" i="26"/>
  <c r="AD147" i="26"/>
  <c r="AE147" i="26"/>
  <c r="AG147" i="26"/>
  <c r="AH147" i="26"/>
  <c r="AL147" i="26"/>
  <c r="H147" i="26" s="1"/>
  <c r="AM147" i="26"/>
  <c r="AU147" i="26" s="1"/>
  <c r="BA147" i="26"/>
  <c r="BC147" i="26"/>
  <c r="BG147" i="26"/>
  <c r="J148" i="26"/>
  <c r="AI148" i="26" s="1"/>
  <c r="W148" i="26"/>
  <c r="Y148" i="26"/>
  <c r="Z148" i="26"/>
  <c r="AC148" i="26"/>
  <c r="AD148" i="26"/>
  <c r="AE148" i="26"/>
  <c r="AG148" i="26"/>
  <c r="AH148" i="26"/>
  <c r="AL148" i="26"/>
  <c r="BE148" i="26" s="1"/>
  <c r="AA148" i="26" s="1"/>
  <c r="AM148" i="26"/>
  <c r="BF148" i="26" s="1"/>
  <c r="AB148" i="26" s="1"/>
  <c r="BA148" i="26"/>
  <c r="BC148" i="26"/>
  <c r="BG148" i="26"/>
  <c r="H149" i="26"/>
  <c r="J149" i="26"/>
  <c r="AI149" i="26" s="1"/>
  <c r="W149" i="26"/>
  <c r="Y149" i="26"/>
  <c r="Z149" i="26"/>
  <c r="AC149" i="26"/>
  <c r="AD149" i="26"/>
  <c r="AE149" i="26"/>
  <c r="AG149" i="26"/>
  <c r="AH149" i="26"/>
  <c r="AL149" i="26"/>
  <c r="AT149" i="26" s="1"/>
  <c r="AM149" i="26"/>
  <c r="I149" i="26" s="1"/>
  <c r="BA149" i="26"/>
  <c r="BC149" i="26"/>
  <c r="BG149" i="26"/>
  <c r="J150" i="26"/>
  <c r="AI150" i="26" s="1"/>
  <c r="W150" i="26"/>
  <c r="Y150" i="26"/>
  <c r="Z150" i="26"/>
  <c r="AA150" i="26"/>
  <c r="AB150" i="26"/>
  <c r="AE150" i="26"/>
  <c r="AG150" i="26"/>
  <c r="AH150" i="26"/>
  <c r="AL150" i="26"/>
  <c r="BE150" i="26" s="1"/>
  <c r="AC150" i="26" s="1"/>
  <c r="AM150" i="26"/>
  <c r="BF150" i="26" s="1"/>
  <c r="AD150" i="26" s="1"/>
  <c r="BA150" i="26"/>
  <c r="BC150" i="26"/>
  <c r="BG150" i="26"/>
  <c r="J152" i="26"/>
  <c r="AI152" i="26" s="1"/>
  <c r="W152" i="26"/>
  <c r="Y152" i="26"/>
  <c r="Z152" i="26"/>
  <c r="AC152" i="26"/>
  <c r="AD152" i="26"/>
  <c r="AE152" i="26"/>
  <c r="AG152" i="26"/>
  <c r="AH152" i="26"/>
  <c r="AL152" i="26"/>
  <c r="H152" i="26" s="1"/>
  <c r="AM152" i="26"/>
  <c r="AU152" i="26" s="1"/>
  <c r="BA152" i="26"/>
  <c r="BC152" i="26"/>
  <c r="BG152" i="26"/>
  <c r="J154" i="26"/>
  <c r="W154" i="26"/>
  <c r="Y154" i="26"/>
  <c r="Z154" i="26"/>
  <c r="AC154" i="26"/>
  <c r="AD154" i="26"/>
  <c r="AE154" i="26"/>
  <c r="AG154" i="26"/>
  <c r="AH154" i="26"/>
  <c r="AL154" i="26"/>
  <c r="H154" i="26" s="1"/>
  <c r="AM154" i="26"/>
  <c r="I154" i="26" s="1"/>
  <c r="BA154" i="26"/>
  <c r="BC154" i="26"/>
  <c r="BG154" i="26"/>
  <c r="J155" i="26"/>
  <c r="AI155" i="26" s="1"/>
  <c r="W155" i="26"/>
  <c r="Y155" i="26"/>
  <c r="Z155" i="26"/>
  <c r="AC155" i="26"/>
  <c r="AD155" i="26"/>
  <c r="AE155" i="26"/>
  <c r="AG155" i="26"/>
  <c r="AH155" i="26"/>
  <c r="AL155" i="26"/>
  <c r="BE155" i="26" s="1"/>
  <c r="AA155" i="26" s="1"/>
  <c r="AM155" i="26"/>
  <c r="AU155" i="26" s="1"/>
  <c r="BA155" i="26"/>
  <c r="BC155" i="26"/>
  <c r="BG155" i="26"/>
  <c r="J156" i="26"/>
  <c r="AI156" i="26" s="1"/>
  <c r="W156" i="26"/>
  <c r="Y156" i="26"/>
  <c r="Z156" i="26"/>
  <c r="AC156" i="26"/>
  <c r="AD156" i="26"/>
  <c r="AE156" i="26"/>
  <c r="AG156" i="26"/>
  <c r="AH156" i="26"/>
  <c r="AL156" i="26"/>
  <c r="AT156" i="26" s="1"/>
  <c r="AM156" i="26"/>
  <c r="BF156" i="26" s="1"/>
  <c r="AB156" i="26" s="1"/>
  <c r="BA156" i="26"/>
  <c r="BC156" i="26"/>
  <c r="BG156" i="26"/>
  <c r="J157" i="26"/>
  <c r="AI157" i="26" s="1"/>
  <c r="W157" i="26"/>
  <c r="Y157" i="26"/>
  <c r="Z157" i="26"/>
  <c r="AC157" i="26"/>
  <c r="AD157" i="26"/>
  <c r="AE157" i="26"/>
  <c r="AG157" i="26"/>
  <c r="AH157" i="26"/>
  <c r="AL157" i="26"/>
  <c r="H157" i="26" s="1"/>
  <c r="AM157" i="26"/>
  <c r="I157" i="26" s="1"/>
  <c r="BA157" i="26"/>
  <c r="BC157" i="26"/>
  <c r="BG157" i="26"/>
  <c r="J158" i="26"/>
  <c r="AI158" i="26" s="1"/>
  <c r="W158" i="26"/>
  <c r="Y158" i="26"/>
  <c r="Z158" i="26"/>
  <c r="AC158" i="26"/>
  <c r="AD158" i="26"/>
  <c r="AE158" i="26"/>
  <c r="AG158" i="26"/>
  <c r="AH158" i="26"/>
  <c r="AL158" i="26"/>
  <c r="H158" i="26" s="1"/>
  <c r="AM158" i="26"/>
  <c r="BF158" i="26" s="1"/>
  <c r="AB158" i="26" s="1"/>
  <c r="BA158" i="26"/>
  <c r="BC158" i="26"/>
  <c r="BG158" i="26"/>
  <c r="J159" i="26"/>
  <c r="AI159" i="26" s="1"/>
  <c r="W159" i="26"/>
  <c r="Y159" i="26"/>
  <c r="Z159" i="26"/>
  <c r="AC159" i="26"/>
  <c r="AD159" i="26"/>
  <c r="AE159" i="26"/>
  <c r="AG159" i="26"/>
  <c r="AH159" i="26"/>
  <c r="AL159" i="26"/>
  <c r="H159" i="26" s="1"/>
  <c r="AM159" i="26"/>
  <c r="AU159" i="26" s="1"/>
  <c r="BA159" i="26"/>
  <c r="BC159" i="26"/>
  <c r="BG159" i="26"/>
  <c r="J160" i="26"/>
  <c r="AI160" i="26" s="1"/>
  <c r="W160" i="26"/>
  <c r="Y160" i="26"/>
  <c r="Z160" i="26"/>
  <c r="AC160" i="26"/>
  <c r="AD160" i="26"/>
  <c r="AE160" i="26"/>
  <c r="AG160" i="26"/>
  <c r="AH160" i="26"/>
  <c r="AL160" i="26"/>
  <c r="BE160" i="26" s="1"/>
  <c r="AA160" i="26" s="1"/>
  <c r="AM160" i="26"/>
  <c r="BF160" i="26" s="1"/>
  <c r="AB160" i="26" s="1"/>
  <c r="BA160" i="26"/>
  <c r="BC160" i="26"/>
  <c r="BG160" i="26"/>
  <c r="H161" i="26"/>
  <c r="J161" i="26"/>
  <c r="AI161" i="26" s="1"/>
  <c r="W161" i="26"/>
  <c r="Y161" i="26"/>
  <c r="Z161" i="26"/>
  <c r="AC161" i="26"/>
  <c r="AD161" i="26"/>
  <c r="AE161" i="26"/>
  <c r="AG161" i="26"/>
  <c r="AH161" i="26"/>
  <c r="AL161" i="26"/>
  <c r="AT161" i="26" s="1"/>
  <c r="AM161" i="26"/>
  <c r="I161" i="26" s="1"/>
  <c r="BA161" i="26"/>
  <c r="BC161" i="26"/>
  <c r="BG161" i="26"/>
  <c r="J162" i="26"/>
  <c r="AI162" i="26" s="1"/>
  <c r="W162" i="26"/>
  <c r="Y162" i="26"/>
  <c r="Z162" i="26"/>
  <c r="AC162" i="26"/>
  <c r="AD162" i="26"/>
  <c r="AE162" i="26"/>
  <c r="AG162" i="26"/>
  <c r="AH162" i="26"/>
  <c r="AL162" i="26"/>
  <c r="BE162" i="26" s="1"/>
  <c r="AA162" i="26" s="1"/>
  <c r="AM162" i="26"/>
  <c r="BF162" i="26" s="1"/>
  <c r="AB162" i="26" s="1"/>
  <c r="BA162" i="26"/>
  <c r="BC162" i="26"/>
  <c r="BG162" i="26"/>
  <c r="J163" i="26"/>
  <c r="AI163" i="26" s="1"/>
  <c r="W163" i="26"/>
  <c r="Y163" i="26"/>
  <c r="Z163" i="26"/>
  <c r="AC163" i="26"/>
  <c r="AD163" i="26"/>
  <c r="AE163" i="26"/>
  <c r="AG163" i="26"/>
  <c r="AH163" i="26"/>
  <c r="AL163" i="26"/>
  <c r="H163" i="26" s="1"/>
  <c r="AM163" i="26"/>
  <c r="BF163" i="26" s="1"/>
  <c r="AB163" i="26" s="1"/>
  <c r="BA163" i="26"/>
  <c r="BC163" i="26"/>
  <c r="BG163" i="26"/>
  <c r="J165" i="26"/>
  <c r="W165" i="26"/>
  <c r="AA165" i="26"/>
  <c r="AB165" i="26"/>
  <c r="AC165" i="26"/>
  <c r="AD165" i="26"/>
  <c r="AE165" i="26"/>
  <c r="AG165" i="26"/>
  <c r="AH165" i="26"/>
  <c r="AL165" i="26"/>
  <c r="H165" i="26" s="1"/>
  <c r="AM165" i="26"/>
  <c r="I165" i="26" s="1"/>
  <c r="BA165" i="26"/>
  <c r="BC165" i="26"/>
  <c r="BG165" i="26"/>
  <c r="J166" i="26"/>
  <c r="AI166" i="26" s="1"/>
  <c r="W166" i="26"/>
  <c r="AA166" i="26"/>
  <c r="AB166" i="26"/>
  <c r="AC166" i="26"/>
  <c r="AD166" i="26"/>
  <c r="AE166" i="26"/>
  <c r="AG166" i="26"/>
  <c r="AH166" i="26"/>
  <c r="AL166" i="26"/>
  <c r="BE166" i="26" s="1"/>
  <c r="Y166" i="26" s="1"/>
  <c r="AM166" i="26"/>
  <c r="AU166" i="26" s="1"/>
  <c r="BA166" i="26"/>
  <c r="BC166" i="26"/>
  <c r="BG166" i="26"/>
  <c r="J168" i="26"/>
  <c r="AI168" i="26" s="1"/>
  <c r="W168" i="26"/>
  <c r="AA168" i="26"/>
  <c r="AB168" i="26"/>
  <c r="AC168" i="26"/>
  <c r="AD168" i="26"/>
  <c r="AE168" i="26"/>
  <c r="AG168" i="26"/>
  <c r="AH168" i="26"/>
  <c r="AL168" i="26"/>
  <c r="AT168" i="26" s="1"/>
  <c r="AM168" i="26"/>
  <c r="AU168" i="26" s="1"/>
  <c r="BA168" i="26"/>
  <c r="BC168" i="26"/>
  <c r="BG168" i="26"/>
  <c r="F4" i="25"/>
  <c r="F5" i="25"/>
  <c r="F6" i="25"/>
  <c r="F7" i="25"/>
  <c r="F8" i="25"/>
  <c r="F9" i="25"/>
  <c r="F10" i="25"/>
  <c r="F11" i="25"/>
  <c r="F12" i="25"/>
  <c r="F13" i="25"/>
  <c r="F14" i="25"/>
  <c r="F15" i="25"/>
  <c r="F16" i="25"/>
  <c r="F17" i="25"/>
  <c r="F18" i="25"/>
  <c r="F24" i="25"/>
  <c r="F25" i="25"/>
  <c r="F26" i="25"/>
  <c r="F27" i="25"/>
  <c r="F28" i="25"/>
  <c r="F29" i="25"/>
  <c r="F30" i="25"/>
  <c r="F31" i="25"/>
  <c r="F32" i="25"/>
  <c r="F33" i="25"/>
  <c r="F34" i="25"/>
  <c r="F35" i="25"/>
  <c r="F36" i="25"/>
  <c r="F37" i="25"/>
  <c r="F38" i="25"/>
  <c r="F39" i="25"/>
  <c r="F40" i="25"/>
  <c r="F41" i="25"/>
  <c r="F42" i="25"/>
  <c r="F43" i="25"/>
  <c r="F44" i="25"/>
  <c r="F45" i="25"/>
  <c r="F51" i="25"/>
  <c r="F55" i="25"/>
  <c r="F59" i="25"/>
  <c r="F63" i="25"/>
  <c r="F67" i="25"/>
  <c r="F71" i="25"/>
  <c r="F76" i="25"/>
  <c r="F5" i="24"/>
  <c r="F9" i="24"/>
  <c r="F10" i="24"/>
  <c r="F11" i="24"/>
  <c r="F12" i="24"/>
  <c r="F13" i="24"/>
  <c r="F14" i="24"/>
  <c r="F20" i="24"/>
  <c r="F21" i="24"/>
  <c r="F22" i="24"/>
  <c r="F23" i="24"/>
  <c r="F25" i="24"/>
  <c r="F26" i="24"/>
  <c r="F27" i="24"/>
  <c r="F28" i="24"/>
  <c r="F29" i="24"/>
  <c r="F30" i="24"/>
  <c r="F37" i="24"/>
  <c r="F42" i="24"/>
  <c r="F47" i="24"/>
  <c r="F52" i="24"/>
  <c r="F57" i="24"/>
  <c r="F68" i="24"/>
  <c r="F57" i="23"/>
  <c r="F52" i="23"/>
  <c r="F47" i="23"/>
  <c r="F42" i="23"/>
  <c r="F37" i="23"/>
  <c r="F32" i="23"/>
  <c r="F5" i="23"/>
  <c r="F93" i="22"/>
  <c r="F89" i="22"/>
  <c r="F81" i="22"/>
  <c r="F73" i="22"/>
  <c r="F69" i="22"/>
  <c r="F4"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38" i="22"/>
  <c r="F9" i="22"/>
  <c r="F10" i="22"/>
  <c r="F11" i="22"/>
  <c r="F12" i="22"/>
  <c r="F13" i="22"/>
  <c r="F14" i="22"/>
  <c r="F15" i="22"/>
  <c r="F16" i="22"/>
  <c r="F17" i="22"/>
  <c r="F18" i="22"/>
  <c r="F19" i="22"/>
  <c r="F20" i="22"/>
  <c r="F21" i="22"/>
  <c r="F22" i="22"/>
  <c r="F23" i="22"/>
  <c r="F24" i="22"/>
  <c r="F25" i="22"/>
  <c r="F26" i="22"/>
  <c r="F27" i="22"/>
  <c r="F28" i="22"/>
  <c r="F29" i="22"/>
  <c r="F30" i="22"/>
  <c r="F31" i="22"/>
  <c r="F32" i="22"/>
  <c r="F8" i="22"/>
  <c r="F9" i="23"/>
  <c r="F10" i="23"/>
  <c r="F16" i="23"/>
  <c r="F17" i="23"/>
  <c r="F18" i="23"/>
  <c r="F19" i="23"/>
  <c r="F20" i="23"/>
  <c r="F21" i="23"/>
  <c r="F22" i="23"/>
  <c r="F23" i="23"/>
  <c r="F24" i="23"/>
  <c r="F25" i="23"/>
  <c r="F63" i="23"/>
  <c r="F98" i="22"/>
  <c r="AM98" i="21"/>
  <c r="I88" i="21"/>
  <c r="I87" i="21"/>
  <c r="I86" i="21"/>
  <c r="I85" i="21"/>
  <c r="I84" i="21"/>
  <c r="I83" i="21"/>
  <c r="I82" i="21"/>
  <c r="I81" i="21"/>
  <c r="I80" i="21"/>
  <c r="I77" i="21"/>
  <c r="I76" i="21"/>
  <c r="I75" i="21"/>
  <c r="I74" i="21"/>
  <c r="I73" i="21"/>
  <c r="I72" i="21"/>
  <c r="I71" i="21"/>
  <c r="I70" i="21"/>
  <c r="I69" i="21"/>
  <c r="I68" i="21"/>
  <c r="I67" i="21"/>
  <c r="I66" i="21"/>
  <c r="I63" i="21"/>
  <c r="I62" i="21"/>
  <c r="I61" i="21"/>
  <c r="I60" i="21"/>
  <c r="I59" i="21"/>
  <c r="I58" i="21"/>
  <c r="I57" i="21"/>
  <c r="I56" i="21"/>
  <c r="I55" i="21"/>
  <c r="I54" i="21"/>
  <c r="I53" i="21"/>
  <c r="I52" i="21"/>
  <c r="I51" i="21"/>
  <c r="I50" i="21"/>
  <c r="I49" i="21"/>
  <c r="I48" i="21"/>
  <c r="I47" i="21"/>
  <c r="I46" i="21"/>
  <c r="I45" i="21"/>
  <c r="I44" i="21"/>
  <c r="I43" i="21"/>
  <c r="I41" i="21"/>
  <c r="I40" i="21"/>
  <c r="I39" i="21"/>
  <c r="I38" i="21"/>
  <c r="I37" i="21"/>
  <c r="I36" i="21"/>
  <c r="I35" i="21"/>
  <c r="I34" i="21"/>
  <c r="I33" i="21"/>
  <c r="I32" i="21"/>
  <c r="I31" i="21"/>
  <c r="I30" i="21"/>
  <c r="I29" i="21"/>
  <c r="I28" i="21"/>
  <c r="I27" i="21"/>
  <c r="I26" i="21"/>
  <c r="I25" i="21"/>
  <c r="I24" i="21"/>
  <c r="I23" i="21"/>
  <c r="I22" i="21"/>
  <c r="I21" i="21"/>
  <c r="I18" i="21"/>
  <c r="I17" i="21"/>
  <c r="I16" i="21"/>
  <c r="I15" i="21"/>
  <c r="I14" i="21"/>
  <c r="I13" i="21"/>
  <c r="I12" i="21"/>
  <c r="I11" i="21"/>
  <c r="I10" i="21"/>
  <c r="I67" i="26" l="1"/>
  <c r="BF17" i="26"/>
  <c r="AB17" i="26" s="1"/>
  <c r="H37" i="26"/>
  <c r="I23" i="26"/>
  <c r="AT16" i="26"/>
  <c r="BF49" i="26"/>
  <c r="AB49" i="26" s="1"/>
  <c r="H48" i="26"/>
  <c r="H38" i="26"/>
  <c r="I99" i="26"/>
  <c r="I22" i="26"/>
  <c r="BF16" i="26"/>
  <c r="AB16" i="26" s="1"/>
  <c r="I38" i="26"/>
  <c r="BF154" i="26"/>
  <c r="AB154" i="26" s="1"/>
  <c r="I152" i="26"/>
  <c r="I146" i="26"/>
  <c r="BE144" i="26"/>
  <c r="AA144" i="26" s="1"/>
  <c r="I140" i="26"/>
  <c r="H98" i="26"/>
  <c r="AU16" i="26"/>
  <c r="AT144" i="26"/>
  <c r="AZ144" i="26" s="1"/>
  <c r="BF99" i="26"/>
  <c r="AB99" i="26" s="1"/>
  <c r="H97" i="26"/>
  <c r="AU138" i="26"/>
  <c r="F11" i="23"/>
  <c r="F12" i="23" s="1"/>
  <c r="J164" i="26"/>
  <c r="AU163" i="26"/>
  <c r="I163" i="26"/>
  <c r="AT162" i="26"/>
  <c r="H162" i="26"/>
  <c r="AT158" i="26"/>
  <c r="BF152" i="26"/>
  <c r="AB152" i="26" s="1"/>
  <c r="BF135" i="26"/>
  <c r="AB135" i="26" s="1"/>
  <c r="AU125" i="26"/>
  <c r="AT106" i="26"/>
  <c r="I96" i="26"/>
  <c r="AS60" i="26"/>
  <c r="I55" i="26"/>
  <c r="AT52" i="26"/>
  <c r="BF48" i="26"/>
  <c r="AB48" i="26" s="1"/>
  <c r="AT45" i="26"/>
  <c r="H45" i="26"/>
  <c r="AU25" i="26"/>
  <c r="I25" i="26"/>
  <c r="H22" i="26"/>
  <c r="AU20" i="26"/>
  <c r="AT140" i="26"/>
  <c r="AZ140" i="26" s="1"/>
  <c r="AT127" i="26"/>
  <c r="H83" i="26"/>
  <c r="BF65" i="26"/>
  <c r="AB65" i="26" s="1"/>
  <c r="H61" i="26"/>
  <c r="AT43" i="26"/>
  <c r="AT22" i="26"/>
  <c r="F26" i="23"/>
  <c r="F27" i="23" s="1"/>
  <c r="I156" i="26"/>
  <c r="AU87" i="26"/>
  <c r="I41" i="26"/>
  <c r="I36" i="26"/>
  <c r="BE25" i="26"/>
  <c r="AA25" i="26" s="1"/>
  <c r="AU18" i="26"/>
  <c r="I79" i="21"/>
  <c r="I65" i="21"/>
  <c r="I20" i="21"/>
  <c r="I9" i="21"/>
  <c r="F64" i="22"/>
  <c r="F65" i="22" s="1"/>
  <c r="F33" i="22"/>
  <c r="F34" i="22" s="1"/>
  <c r="F31" i="24"/>
  <c r="F15" i="24"/>
  <c r="F16" i="24" s="1"/>
  <c r="F46" i="25"/>
  <c r="F47" i="25" s="1"/>
  <c r="F19" i="25"/>
  <c r="H50" i="26"/>
  <c r="H146" i="26"/>
  <c r="BF144" i="26"/>
  <c r="AB144" i="26" s="1"/>
  <c r="I141" i="26"/>
  <c r="AZ128" i="26"/>
  <c r="BF44" i="26"/>
  <c r="AB44" i="26" s="1"/>
  <c r="I44" i="26"/>
  <c r="I39" i="26"/>
  <c r="I148" i="26"/>
  <c r="I144" i="26"/>
  <c r="H141" i="26"/>
  <c r="BE48" i="26"/>
  <c r="AA48" i="26" s="1"/>
  <c r="BF142" i="26"/>
  <c r="AB142" i="26" s="1"/>
  <c r="AT146" i="26"/>
  <c r="BE142" i="26"/>
  <c r="AA142" i="26" s="1"/>
  <c r="BF96" i="26"/>
  <c r="AB96" i="26" s="1"/>
  <c r="AT50" i="26"/>
  <c r="BF149" i="26"/>
  <c r="AB149" i="26" s="1"/>
  <c r="AU141" i="26"/>
  <c r="AU51" i="26"/>
  <c r="AT44" i="26"/>
  <c r="AS44" i="26" s="1"/>
  <c r="AU43" i="26"/>
  <c r="AU41" i="26"/>
  <c r="AT27" i="26"/>
  <c r="AT25" i="26"/>
  <c r="AZ25" i="26" s="1"/>
  <c r="I160" i="26"/>
  <c r="BE161" i="26"/>
  <c r="AA161" i="26" s="1"/>
  <c r="H160" i="26"/>
  <c r="I118" i="26"/>
  <c r="BE115" i="26"/>
  <c r="AA115" i="26" s="1"/>
  <c r="I84" i="26"/>
  <c r="H82" i="26"/>
  <c r="AU67" i="26"/>
  <c r="AZ67" i="26" s="1"/>
  <c r="I168" i="26"/>
  <c r="H122" i="26"/>
  <c r="H120" i="26"/>
  <c r="H118" i="26"/>
  <c r="I105" i="26"/>
  <c r="I90" i="26"/>
  <c r="I86" i="26"/>
  <c r="BE82" i="26"/>
  <c r="AA82" i="26" s="1"/>
  <c r="I71" i="26"/>
  <c r="AU68" i="26"/>
  <c r="BF161" i="26"/>
  <c r="AB161" i="26" s="1"/>
  <c r="I159" i="26"/>
  <c r="I123" i="26"/>
  <c r="H104" i="26"/>
  <c r="BF84" i="26"/>
  <c r="AB84" i="26" s="1"/>
  <c r="BF168" i="26"/>
  <c r="Z168" i="26" s="1"/>
  <c r="BF159" i="26"/>
  <c r="AB159" i="26" s="1"/>
  <c r="I128" i="26"/>
  <c r="AU160" i="26"/>
  <c r="BF123" i="26"/>
  <c r="AB123" i="26" s="1"/>
  <c r="BE120" i="26"/>
  <c r="AA120" i="26" s="1"/>
  <c r="AU118" i="26"/>
  <c r="AT115" i="26"/>
  <c r="AZ115" i="26" s="1"/>
  <c r="BE104" i="26"/>
  <c r="AA104" i="26" s="1"/>
  <c r="BF89" i="26"/>
  <c r="AB89" i="26" s="1"/>
  <c r="I89" i="26"/>
  <c r="BF128" i="26"/>
  <c r="AB128" i="26" s="1"/>
  <c r="BE127" i="26"/>
  <c r="AA127" i="26" s="1"/>
  <c r="I127" i="26"/>
  <c r="AT118" i="26"/>
  <c r="AZ118" i="26" s="1"/>
  <c r="BE89" i="26"/>
  <c r="AA89" i="26" s="1"/>
  <c r="H89" i="26"/>
  <c r="I135" i="26"/>
  <c r="BE131" i="26"/>
  <c r="AA131" i="26" s="1"/>
  <c r="BF91" i="26"/>
  <c r="AB91" i="26" s="1"/>
  <c r="H75" i="26"/>
  <c r="BE72" i="26"/>
  <c r="AA72" i="26" s="1"/>
  <c r="I45" i="26"/>
  <c r="AU50" i="26"/>
  <c r="AT32" i="26"/>
  <c r="AT29" i="26"/>
  <c r="AU49" i="26"/>
  <c r="AU45" i="26"/>
  <c r="AZ45" i="26" s="1"/>
  <c r="AT28" i="26"/>
  <c r="AS28" i="26" s="1"/>
  <c r="AU27" i="26"/>
  <c r="AU26" i="26"/>
  <c r="AT18" i="26"/>
  <c r="AS18" i="26" s="1"/>
  <c r="H116" i="26"/>
  <c r="J109" i="26"/>
  <c r="BE156" i="26"/>
  <c r="AA156" i="26" s="1"/>
  <c r="BE116" i="26"/>
  <c r="AA116" i="26" s="1"/>
  <c r="BF82" i="26"/>
  <c r="AB82" i="26" s="1"/>
  <c r="BF72" i="26"/>
  <c r="AB72" i="26" s="1"/>
  <c r="I72" i="26"/>
  <c r="H71" i="26"/>
  <c r="BF114" i="26"/>
  <c r="AB114" i="26" s="1"/>
  <c r="BE110" i="26"/>
  <c r="AA110" i="26" s="1"/>
  <c r="H110" i="26"/>
  <c r="BE105" i="26"/>
  <c r="AA105" i="26" s="1"/>
  <c r="H103" i="26"/>
  <c r="BE99" i="26"/>
  <c r="AA99" i="26" s="1"/>
  <c r="BE93" i="26"/>
  <c r="AA93" i="26" s="1"/>
  <c r="BE84" i="26"/>
  <c r="AA84" i="26" s="1"/>
  <c r="H79" i="26"/>
  <c r="H77" i="26"/>
  <c r="BF66" i="26"/>
  <c r="AB66" i="26" s="1"/>
  <c r="H63" i="26"/>
  <c r="H59" i="26"/>
  <c r="BF37" i="26"/>
  <c r="AB37" i="26" s="1"/>
  <c r="AT159" i="26"/>
  <c r="AT139" i="26"/>
  <c r="AT137" i="26"/>
  <c r="AT126" i="26"/>
  <c r="AZ126" i="26" s="1"/>
  <c r="AT125" i="26"/>
  <c r="AZ125" i="26" s="1"/>
  <c r="AT122" i="26"/>
  <c r="AS122" i="26" s="1"/>
  <c r="AT117" i="26"/>
  <c r="BE114" i="26"/>
  <c r="AA114" i="26" s="1"/>
  <c r="BE111" i="26"/>
  <c r="AA111" i="26" s="1"/>
  <c r="AT97" i="26"/>
  <c r="AU86" i="26"/>
  <c r="BF77" i="26"/>
  <c r="AB77" i="26" s="1"/>
  <c r="BE70" i="26"/>
  <c r="AA70" i="26" s="1"/>
  <c r="AS67" i="26"/>
  <c r="BE65" i="26"/>
  <c r="AA65" i="26" s="1"/>
  <c r="H65" i="26"/>
  <c r="BE57" i="26"/>
  <c r="AA57" i="26" s="1"/>
  <c r="I57" i="26"/>
  <c r="BF55" i="26"/>
  <c r="AB55" i="26" s="1"/>
  <c r="I54" i="26"/>
  <c r="AT41" i="26"/>
  <c r="AS41" i="26" s="1"/>
  <c r="AT38" i="26"/>
  <c r="BE37" i="26"/>
  <c r="AA37" i="26" s="1"/>
  <c r="BF33" i="26"/>
  <c r="AB33" i="26" s="1"/>
  <c r="BF32" i="26"/>
  <c r="AB32" i="26" s="1"/>
  <c r="H31" i="26"/>
  <c r="H156" i="26"/>
  <c r="BE152" i="26"/>
  <c r="AA152" i="26" s="1"/>
  <c r="AU158" i="26"/>
  <c r="AZ158" i="26" s="1"/>
  <c r="AU156" i="26"/>
  <c r="AZ156" i="26" s="1"/>
  <c r="AS120" i="26"/>
  <c r="I114" i="26"/>
  <c r="BF112" i="26"/>
  <c r="AB112" i="26" s="1"/>
  <c r="BE103" i="26"/>
  <c r="AA103" i="26" s="1"/>
  <c r="AU94" i="26"/>
  <c r="AT86" i="26"/>
  <c r="BF78" i="26"/>
  <c r="AB78" i="26" s="1"/>
  <c r="BE77" i="26"/>
  <c r="AA77" i="26" s="1"/>
  <c r="BF62" i="26"/>
  <c r="AB62" i="26" s="1"/>
  <c r="BE58" i="26"/>
  <c r="AA58" i="26" s="1"/>
  <c r="BE55" i="26"/>
  <c r="AA55" i="26" s="1"/>
  <c r="H54" i="26"/>
  <c r="BE32" i="26"/>
  <c r="AA32" i="26" s="1"/>
  <c r="I29" i="26"/>
  <c r="AZ168" i="26"/>
  <c r="BE154" i="26"/>
  <c r="AA154" i="26" s="1"/>
  <c r="AU104" i="26"/>
  <c r="AZ104" i="26" s="1"/>
  <c r="AU95" i="26"/>
  <c r="AS95" i="26" s="1"/>
  <c r="AU79" i="26"/>
  <c r="AU66" i="26"/>
  <c r="AT61" i="26"/>
  <c r="AU59" i="26"/>
  <c r="H53" i="26"/>
  <c r="I50" i="26"/>
  <c r="AU36" i="26"/>
  <c r="AU34" i="26"/>
  <c r="BF30" i="26"/>
  <c r="AB30" i="26" s="1"/>
  <c r="H29" i="26"/>
  <c r="AU81" i="26"/>
  <c r="AT79" i="26"/>
  <c r="AT59" i="26"/>
  <c r="AU57" i="26"/>
  <c r="AT54" i="26"/>
  <c r="AZ54" i="26" s="1"/>
  <c r="BF53" i="26"/>
  <c r="AB53" i="26" s="1"/>
  <c r="AT36" i="26"/>
  <c r="AT34" i="26"/>
  <c r="BE30" i="26"/>
  <c r="AA30" i="26" s="1"/>
  <c r="AT114" i="26"/>
  <c r="AS114" i="26" s="1"/>
  <c r="AT81" i="26"/>
  <c r="AT57" i="26"/>
  <c r="AZ57" i="26" s="1"/>
  <c r="H47" i="26"/>
  <c r="AU32" i="26"/>
  <c r="AS32" i="26" s="1"/>
  <c r="AU29" i="26"/>
  <c r="AZ29" i="26" s="1"/>
  <c r="BF28" i="26"/>
  <c r="AB28" i="26" s="1"/>
  <c r="AS111" i="26"/>
  <c r="AZ111" i="26"/>
  <c r="J153" i="26"/>
  <c r="AU146" i="26"/>
  <c r="AT105" i="26"/>
  <c r="AZ105" i="26" s="1"/>
  <c r="BE98" i="26"/>
  <c r="AA98" i="26" s="1"/>
  <c r="I97" i="26"/>
  <c r="AU93" i="26"/>
  <c r="BE91" i="26"/>
  <c r="AA91" i="26" s="1"/>
  <c r="H90" i="26"/>
  <c r="I83" i="26"/>
  <c r="AU90" i="26"/>
  <c r="AT58" i="26"/>
  <c r="AU97" i="26"/>
  <c r="AT90" i="26"/>
  <c r="AT83" i="26"/>
  <c r="AZ83" i="26" s="1"/>
  <c r="AU77" i="26"/>
  <c r="AS77" i="26" s="1"/>
  <c r="AP132" i="26"/>
  <c r="H128" i="26"/>
  <c r="H111" i="26"/>
  <c r="I61" i="26"/>
  <c r="H21" i="26"/>
  <c r="AZ106" i="26"/>
  <c r="AS144" i="26"/>
  <c r="BE168" i="26"/>
  <c r="Y168" i="26" s="1"/>
  <c r="AT160" i="26"/>
  <c r="BE159" i="26"/>
  <c r="AA159" i="26" s="1"/>
  <c r="AQ153" i="26"/>
  <c r="AT141" i="26"/>
  <c r="BF140" i="26"/>
  <c r="AB140" i="26" s="1"/>
  <c r="AS131" i="26"/>
  <c r="BF102" i="26"/>
  <c r="AB102" i="26" s="1"/>
  <c r="BF95" i="26"/>
  <c r="AB95" i="26" s="1"/>
  <c r="I81" i="26"/>
  <c r="AT71" i="26"/>
  <c r="BF70" i="26"/>
  <c r="AB70" i="26" s="1"/>
  <c r="H70" i="26"/>
  <c r="AU65" i="26"/>
  <c r="AS65" i="26" s="1"/>
  <c r="BE62" i="26"/>
  <c r="AA62" i="26" s="1"/>
  <c r="AU48" i="26"/>
  <c r="I28" i="26"/>
  <c r="BE128" i="26"/>
  <c r="AA128" i="26" s="1"/>
  <c r="AP153" i="26"/>
  <c r="AT150" i="26"/>
  <c r="AU148" i="26"/>
  <c r="BF147" i="26"/>
  <c r="AB147" i="26" s="1"/>
  <c r="BE140" i="26"/>
  <c r="AA140" i="26" s="1"/>
  <c r="BE102" i="26"/>
  <c r="AA102" i="26" s="1"/>
  <c r="BE95" i="26"/>
  <c r="AA95" i="26" s="1"/>
  <c r="AS89" i="26"/>
  <c r="BE88" i="26"/>
  <c r="AA88" i="26" s="1"/>
  <c r="BE149" i="26"/>
  <c r="AA149" i="26" s="1"/>
  <c r="H148" i="26"/>
  <c r="AT148" i="26"/>
  <c r="BE147" i="26"/>
  <c r="AA147" i="26" s="1"/>
  <c r="AQ132" i="26"/>
  <c r="AQ121" i="26"/>
  <c r="H88" i="26"/>
  <c r="BF80" i="26"/>
  <c r="AB80" i="26" s="1"/>
  <c r="I80" i="26"/>
  <c r="I69" i="26"/>
  <c r="AU61" i="26"/>
  <c r="BF60" i="26"/>
  <c r="AB60" i="26" s="1"/>
  <c r="BE53" i="26"/>
  <c r="AA53" i="26" s="1"/>
  <c r="BF35" i="26"/>
  <c r="AB35" i="26" s="1"/>
  <c r="I35" i="26"/>
  <c r="BF19" i="26"/>
  <c r="AB19" i="26" s="1"/>
  <c r="I19" i="26"/>
  <c r="BF117" i="26"/>
  <c r="AB117" i="26" s="1"/>
  <c r="BF106" i="26"/>
  <c r="AD106" i="26" s="1"/>
  <c r="I106" i="26"/>
  <c r="AZ103" i="26"/>
  <c r="I102" i="26"/>
  <c r="H95" i="26"/>
  <c r="I68" i="26"/>
  <c r="BE60" i="26"/>
  <c r="AA60" i="26" s="1"/>
  <c r="I60" i="26"/>
  <c r="I52" i="26"/>
  <c r="BE27" i="26"/>
  <c r="AA27" i="26" s="1"/>
  <c r="AQ164" i="26"/>
  <c r="I158" i="26"/>
  <c r="BE117" i="26"/>
  <c r="AA117" i="26" s="1"/>
  <c r="H106" i="26"/>
  <c r="BE87" i="26"/>
  <c r="AA87" i="26" s="1"/>
  <c r="BF79" i="26"/>
  <c r="AB79" i="26" s="1"/>
  <c r="H60" i="26"/>
  <c r="I51" i="26"/>
  <c r="BE43" i="26"/>
  <c r="AA43" i="26" s="1"/>
  <c r="BF34" i="26"/>
  <c r="AB34" i="26" s="1"/>
  <c r="BF18" i="26"/>
  <c r="AB18" i="26" s="1"/>
  <c r="BE158" i="26"/>
  <c r="AA158" i="26" s="1"/>
  <c r="I139" i="26"/>
  <c r="H168" i="26"/>
  <c r="I147" i="26"/>
  <c r="H139" i="26"/>
  <c r="BE126" i="26"/>
  <c r="AA126" i="26" s="1"/>
  <c r="AR121" i="26"/>
  <c r="BF165" i="26"/>
  <c r="Z165" i="26" s="1"/>
  <c r="AS140" i="26"/>
  <c r="BE125" i="26"/>
  <c r="AA125" i="26" s="1"/>
  <c r="I125" i="26"/>
  <c r="I117" i="26"/>
  <c r="BF100" i="26"/>
  <c r="AB100" i="26" s="1"/>
  <c r="BF94" i="26"/>
  <c r="AB94" i="26" s="1"/>
  <c r="AU88" i="26"/>
  <c r="AS88" i="26" s="1"/>
  <c r="AU69" i="26"/>
  <c r="AT20" i="26"/>
  <c r="H18" i="26"/>
  <c r="AS158" i="26"/>
  <c r="AS159" i="26"/>
  <c r="BE165" i="26"/>
  <c r="Y165" i="26" s="1"/>
  <c r="BE163" i="26"/>
  <c r="AA163" i="26" s="1"/>
  <c r="AT147" i="26"/>
  <c r="AS147" i="26" s="1"/>
  <c r="AU139" i="26"/>
  <c r="AZ139" i="26" s="1"/>
  <c r="BF138" i="26"/>
  <c r="AB138" i="26" s="1"/>
  <c r="AP121" i="26"/>
  <c r="BF105" i="26"/>
  <c r="AB105" i="26" s="1"/>
  <c r="AT102" i="26"/>
  <c r="BF93" i="26"/>
  <c r="AB93" i="26" s="1"/>
  <c r="BE86" i="26"/>
  <c r="AA86" i="26" s="1"/>
  <c r="AT80" i="26"/>
  <c r="AS80" i="26" s="1"/>
  <c r="AT69" i="26"/>
  <c r="AU52" i="26"/>
  <c r="AZ52" i="26" s="1"/>
  <c r="AT35" i="26"/>
  <c r="AS35" i="26" s="1"/>
  <c r="H34" i="26"/>
  <c r="BE26" i="26"/>
  <c r="AA26" i="26" s="1"/>
  <c r="AT19" i="26"/>
  <c r="AS19" i="26" s="1"/>
  <c r="BE16" i="26"/>
  <c r="AA16" i="26" s="1"/>
  <c r="H15" i="26"/>
  <c r="BF13" i="26"/>
  <c r="AB13" i="26" s="1"/>
  <c r="L92" i="28"/>
  <c r="I97" i="11" s="1"/>
  <c r="N68" i="27"/>
  <c r="N92" i="28"/>
  <c r="L68" i="27"/>
  <c r="I96" i="11" s="1"/>
  <c r="AS168" i="26"/>
  <c r="AP164" i="26"/>
  <c r="H167" i="26"/>
  <c r="I167" i="26"/>
  <c r="AT167" i="26"/>
  <c r="AU167" i="26"/>
  <c r="AR132" i="26"/>
  <c r="AZ133" i="26"/>
  <c r="AS133" i="26"/>
  <c r="AT166" i="26"/>
  <c r="I166" i="26"/>
  <c r="AU162" i="26"/>
  <c r="AS162" i="26" s="1"/>
  <c r="AT155" i="26"/>
  <c r="I155" i="26"/>
  <c r="AU150" i="26"/>
  <c r="AT143" i="26"/>
  <c r="I143" i="26"/>
  <c r="H133" i="26"/>
  <c r="AT129" i="26"/>
  <c r="H129" i="26"/>
  <c r="I119" i="26"/>
  <c r="AU119" i="26"/>
  <c r="AU116" i="26"/>
  <c r="AZ116" i="26" s="1"/>
  <c r="AP109" i="26"/>
  <c r="I98" i="26"/>
  <c r="AU98" i="26"/>
  <c r="AZ98" i="26" s="1"/>
  <c r="AZ38" i="26"/>
  <c r="AS38" i="26"/>
  <c r="H155" i="26"/>
  <c r="I150" i="26"/>
  <c r="H143" i="26"/>
  <c r="I122" i="26"/>
  <c r="H119" i="26"/>
  <c r="AT119" i="26"/>
  <c r="H112" i="26"/>
  <c r="AT112" i="26"/>
  <c r="AU101" i="26"/>
  <c r="AS101" i="26" s="1"/>
  <c r="BF101" i="26"/>
  <c r="AB101" i="26" s="1"/>
  <c r="AP74" i="26"/>
  <c r="AZ22" i="26"/>
  <c r="AS22" i="26"/>
  <c r="H166" i="26"/>
  <c r="I162" i="26"/>
  <c r="H150" i="26"/>
  <c r="I137" i="26"/>
  <c r="I104" i="26"/>
  <c r="H101" i="26"/>
  <c r="BE101" i="26"/>
  <c r="AA101" i="26" s="1"/>
  <c r="AS48" i="26"/>
  <c r="AZ48" i="26"/>
  <c r="AU137" i="26"/>
  <c r="J132" i="26"/>
  <c r="I111" i="26"/>
  <c r="H108" i="26"/>
  <c r="AT108" i="26"/>
  <c r="I126" i="26"/>
  <c r="BF126" i="26"/>
  <c r="AB126" i="26" s="1"/>
  <c r="H100" i="26"/>
  <c r="AT100" i="26"/>
  <c r="H94" i="26"/>
  <c r="AT94" i="26"/>
  <c r="BE94" i="26"/>
  <c r="AA94" i="26" s="1"/>
  <c r="J121" i="26"/>
  <c r="AQ12" i="26"/>
  <c r="AU136" i="26"/>
  <c r="AZ136" i="26" s="1"/>
  <c r="BF136" i="26"/>
  <c r="AB136" i="26" s="1"/>
  <c r="AS128" i="26"/>
  <c r="AS125" i="26"/>
  <c r="AS115" i="26"/>
  <c r="AS106" i="26"/>
  <c r="AR74" i="26"/>
  <c r="AU165" i="26"/>
  <c r="AT163" i="26"/>
  <c r="BF157" i="26"/>
  <c r="AB157" i="26" s="1"/>
  <c r="AU154" i="26"/>
  <c r="AT152" i="26"/>
  <c r="BF145" i="26"/>
  <c r="AB145" i="26" s="1"/>
  <c r="AU142" i="26"/>
  <c r="BE138" i="26"/>
  <c r="AA138" i="26" s="1"/>
  <c r="H136" i="26"/>
  <c r="BE136" i="26"/>
  <c r="AA136" i="26" s="1"/>
  <c r="H131" i="26"/>
  <c r="I115" i="26"/>
  <c r="BF115" i="26"/>
  <c r="AB115" i="26" s="1"/>
  <c r="AT99" i="26"/>
  <c r="AS96" i="26"/>
  <c r="AZ96" i="26"/>
  <c r="AP12" i="26"/>
  <c r="AT165" i="26"/>
  <c r="AU161" i="26"/>
  <c r="BE157" i="26"/>
  <c r="AA157" i="26" s="1"/>
  <c r="AT154" i="26"/>
  <c r="AU149" i="26"/>
  <c r="AS149" i="26" s="1"/>
  <c r="BE145" i="26"/>
  <c r="AA145" i="26" s="1"/>
  <c r="AT142" i="26"/>
  <c r="AU124" i="26"/>
  <c r="AS124" i="26" s="1"/>
  <c r="BF124" i="26"/>
  <c r="AB124" i="26" s="1"/>
  <c r="AZ117" i="26"/>
  <c r="I92" i="26"/>
  <c r="AU92" i="26"/>
  <c r="BF92" i="26"/>
  <c r="AB92" i="26" s="1"/>
  <c r="I85" i="26"/>
  <c r="AU85" i="26"/>
  <c r="BF85" i="26"/>
  <c r="AB85" i="26" s="1"/>
  <c r="BF166" i="26"/>
  <c r="Z166" i="26" s="1"/>
  <c r="AZ159" i="26"/>
  <c r="BF155" i="26"/>
  <c r="AB155" i="26" s="1"/>
  <c r="BF143" i="26"/>
  <c r="AB143" i="26" s="1"/>
  <c r="BF133" i="26"/>
  <c r="AB133" i="26" s="1"/>
  <c r="H124" i="26"/>
  <c r="BE124" i="26"/>
  <c r="AA124" i="26" s="1"/>
  <c r="AS117" i="26"/>
  <c r="AI115" i="26"/>
  <c r="AR109" i="26" s="1"/>
  <c r="AS103" i="26"/>
  <c r="H96" i="26"/>
  <c r="BE96" i="26"/>
  <c r="AA96" i="26" s="1"/>
  <c r="AT92" i="26"/>
  <c r="BE92" i="26"/>
  <c r="AA92" i="26" s="1"/>
  <c r="H135" i="26"/>
  <c r="AT135" i="26"/>
  <c r="BE133" i="26"/>
  <c r="AA133" i="26" s="1"/>
  <c r="I131" i="26"/>
  <c r="BF131" i="26"/>
  <c r="AB131" i="26" s="1"/>
  <c r="I103" i="26"/>
  <c r="BF103" i="26"/>
  <c r="AB103" i="26" s="1"/>
  <c r="BF98" i="26"/>
  <c r="AB98" i="26" s="1"/>
  <c r="AZ90" i="26"/>
  <c r="AS90" i="26"/>
  <c r="H78" i="26"/>
  <c r="AT78" i="26"/>
  <c r="BE78" i="26"/>
  <c r="AA78" i="26" s="1"/>
  <c r="AZ131" i="26"/>
  <c r="BF129" i="26"/>
  <c r="AB129" i="26" s="1"/>
  <c r="BF122" i="26"/>
  <c r="AB122" i="26" s="1"/>
  <c r="BE112" i="26"/>
  <c r="AA112" i="26" s="1"/>
  <c r="I110" i="26"/>
  <c r="AU110" i="26"/>
  <c r="AS110" i="26" s="1"/>
  <c r="AI165" i="26"/>
  <c r="AR164" i="26" s="1"/>
  <c r="AU157" i="26"/>
  <c r="AI154" i="26"/>
  <c r="AR153" i="26" s="1"/>
  <c r="AU145" i="26"/>
  <c r="AT138" i="26"/>
  <c r="AU127" i="26"/>
  <c r="H123" i="26"/>
  <c r="AT123" i="26"/>
  <c r="I120" i="26"/>
  <c r="BF120" i="26"/>
  <c r="AB120" i="26" s="1"/>
  <c r="BE119" i="26"/>
  <c r="AA119" i="26" s="1"/>
  <c r="AU113" i="26"/>
  <c r="AS113" i="26" s="1"/>
  <c r="BF113" i="26"/>
  <c r="AB113" i="26" s="1"/>
  <c r="AS105" i="26"/>
  <c r="I101" i="26"/>
  <c r="AQ74" i="26"/>
  <c r="I73" i="26"/>
  <c r="AU73" i="26"/>
  <c r="BF73" i="26"/>
  <c r="AB73" i="26" s="1"/>
  <c r="AT157" i="26"/>
  <c r="AT145" i="26"/>
  <c r="I130" i="26"/>
  <c r="AU130" i="26"/>
  <c r="AZ120" i="26"/>
  <c r="H113" i="26"/>
  <c r="BE113" i="26"/>
  <c r="AA113" i="26" s="1"/>
  <c r="I40" i="26"/>
  <c r="AU40" i="26"/>
  <c r="BF40" i="26"/>
  <c r="AB40" i="26" s="1"/>
  <c r="H33" i="26"/>
  <c r="AT33" i="26"/>
  <c r="BE33" i="26"/>
  <c r="AA33" i="26" s="1"/>
  <c r="H17" i="26"/>
  <c r="AT17" i="26"/>
  <c r="BE17" i="26"/>
  <c r="AA17" i="26" s="1"/>
  <c r="I108" i="26"/>
  <c r="AU108" i="26"/>
  <c r="I133" i="26"/>
  <c r="H130" i="26"/>
  <c r="AT130" i="26"/>
  <c r="AU129" i="26"/>
  <c r="I116" i="26"/>
  <c r="BF111" i="26"/>
  <c r="AB111" i="26" s="1"/>
  <c r="AQ109" i="26"/>
  <c r="BF108" i="26"/>
  <c r="AB108" i="26" s="1"/>
  <c r="AZ71" i="26"/>
  <c r="AS71" i="26"/>
  <c r="H66" i="26"/>
  <c r="AT66" i="26"/>
  <c r="BE66" i="26"/>
  <c r="AA66" i="26" s="1"/>
  <c r="I56" i="26"/>
  <c r="AU56" i="26"/>
  <c r="BF56" i="26"/>
  <c r="AB56" i="26" s="1"/>
  <c r="H49" i="26"/>
  <c r="AT49" i="26"/>
  <c r="BE49" i="26"/>
  <c r="AA49" i="26" s="1"/>
  <c r="I24" i="26"/>
  <c r="AU24" i="26"/>
  <c r="BF24" i="26"/>
  <c r="AB24" i="26" s="1"/>
  <c r="J12" i="26"/>
  <c r="AS45" i="26"/>
  <c r="AS29" i="26"/>
  <c r="I20" i="26"/>
  <c r="I88" i="26"/>
  <c r="H81" i="26"/>
  <c r="H69" i="26"/>
  <c r="I59" i="26"/>
  <c r="H52" i="26"/>
  <c r="I43" i="26"/>
  <c r="H36" i="26"/>
  <c r="I27" i="26"/>
  <c r="H20" i="26"/>
  <c r="J74" i="26"/>
  <c r="AU112" i="26"/>
  <c r="AU100" i="26"/>
  <c r="AT93" i="26"/>
  <c r="BF87" i="26"/>
  <c r="AB87" i="26" s="1"/>
  <c r="BE80" i="26"/>
  <c r="AA80" i="26" s="1"/>
  <c r="BE68" i="26"/>
  <c r="AA68" i="26" s="1"/>
  <c r="BF58" i="26"/>
  <c r="AB58" i="26" s="1"/>
  <c r="BE51" i="26"/>
  <c r="AA51" i="26" s="1"/>
  <c r="BF42" i="26"/>
  <c r="AB42" i="26" s="1"/>
  <c r="BE35" i="26"/>
  <c r="AA35" i="26" s="1"/>
  <c r="BF26" i="26"/>
  <c r="AB26" i="26" s="1"/>
  <c r="BE19" i="26"/>
  <c r="AA19" i="26" s="1"/>
  <c r="AU91" i="26"/>
  <c r="AT84" i="26"/>
  <c r="AT72" i="26"/>
  <c r="AU62" i="26"/>
  <c r="AT55" i="26"/>
  <c r="AU46" i="26"/>
  <c r="AT39" i="26"/>
  <c r="AU30" i="26"/>
  <c r="AT23" i="26"/>
  <c r="AU13" i="26"/>
  <c r="AT91" i="26"/>
  <c r="AZ89" i="26"/>
  <c r="AU82" i="26"/>
  <c r="AU70" i="26"/>
  <c r="AS70" i="26" s="1"/>
  <c r="AT62" i="26"/>
  <c r="AZ60" i="26"/>
  <c r="AU53" i="26"/>
  <c r="AS53" i="26" s="1"/>
  <c r="AT46" i="26"/>
  <c r="AU37" i="26"/>
  <c r="AS37" i="26" s="1"/>
  <c r="AT30" i="26"/>
  <c r="AU21" i="26"/>
  <c r="AT13" i="26"/>
  <c r="BE85" i="26"/>
  <c r="AA85" i="26" s="1"/>
  <c r="AZ80" i="26"/>
  <c r="BF75" i="26"/>
  <c r="AB75" i="26" s="1"/>
  <c r="BE73" i="26"/>
  <c r="AA73" i="26" s="1"/>
  <c r="BF63" i="26"/>
  <c r="AD63" i="26" s="1"/>
  <c r="BE56" i="26"/>
  <c r="AA56" i="26" s="1"/>
  <c r="BF47" i="26"/>
  <c r="AB47" i="26" s="1"/>
  <c r="BE40" i="26"/>
  <c r="AA40" i="26" s="1"/>
  <c r="BF31" i="26"/>
  <c r="AB31" i="26" s="1"/>
  <c r="BE24" i="26"/>
  <c r="AA24" i="26" s="1"/>
  <c r="AZ19" i="26"/>
  <c r="BF15" i="26"/>
  <c r="AB15" i="26" s="1"/>
  <c r="BF83" i="26"/>
  <c r="AB83" i="26" s="1"/>
  <c r="BE75" i="26"/>
  <c r="AA75" i="26" s="1"/>
  <c r="BF71" i="26"/>
  <c r="AB71" i="26" s="1"/>
  <c r="BE63" i="26"/>
  <c r="AC63" i="26" s="1"/>
  <c r="BF54" i="26"/>
  <c r="AB54" i="26" s="1"/>
  <c r="BE47" i="26"/>
  <c r="AA47" i="26" s="1"/>
  <c r="BF38" i="26"/>
  <c r="AB38" i="26" s="1"/>
  <c r="BE31" i="26"/>
  <c r="AA31" i="26" s="1"/>
  <c r="BF22" i="26"/>
  <c r="AB22" i="26" s="1"/>
  <c r="BE15" i="26"/>
  <c r="AA15" i="26" s="1"/>
  <c r="AT68" i="26"/>
  <c r="AU58" i="26"/>
  <c r="AZ58" i="26" s="1"/>
  <c r="AT51" i="26"/>
  <c r="AU42" i="26"/>
  <c r="AT87" i="26"/>
  <c r="AU78" i="26"/>
  <c r="AT42" i="26"/>
  <c r="AU33" i="26"/>
  <c r="AT26" i="26"/>
  <c r="AU17" i="26"/>
  <c r="AI13" i="26"/>
  <c r="AR12" i="26" s="1"/>
  <c r="AT85" i="26"/>
  <c r="AU75" i="26"/>
  <c r="AS75" i="26" s="1"/>
  <c r="AT73" i="26"/>
  <c r="AU63" i="26"/>
  <c r="AZ63" i="26" s="1"/>
  <c r="AT56" i="26"/>
  <c r="AU47" i="26"/>
  <c r="AS47" i="26" s="1"/>
  <c r="AT40" i="26"/>
  <c r="AU31" i="26"/>
  <c r="AS31" i="26" s="1"/>
  <c r="AT24" i="26"/>
  <c r="AU15" i="26"/>
  <c r="AS15" i="26" s="1"/>
  <c r="F20" i="25"/>
  <c r="F32" i="24"/>
  <c r="F90" i="21"/>
  <c r="I90" i="5" s="1"/>
  <c r="AZ18" i="26" l="1"/>
  <c r="AS43" i="26"/>
  <c r="AZ16" i="26"/>
  <c r="AS156" i="26"/>
  <c r="AS50" i="26"/>
  <c r="F67" i="24"/>
  <c r="F73" i="24" s="1"/>
  <c r="I96" i="8" s="1"/>
  <c r="AS136" i="26"/>
  <c r="AZ43" i="26"/>
  <c r="AS16" i="26"/>
  <c r="AZ114" i="26"/>
  <c r="AS25" i="26"/>
  <c r="AZ44" i="26"/>
  <c r="AZ65" i="26"/>
  <c r="AS126" i="26"/>
  <c r="AZ95" i="26"/>
  <c r="AZ50" i="26"/>
  <c r="AZ27" i="26"/>
  <c r="F62" i="23"/>
  <c r="F68" i="23" s="1"/>
  <c r="F71" i="23" s="1"/>
  <c r="F72" i="23" s="1"/>
  <c r="AZ110" i="26"/>
  <c r="H164" i="26"/>
  <c r="AS97" i="26"/>
  <c r="AS79" i="26"/>
  <c r="AZ86" i="26"/>
  <c r="F75" i="25"/>
  <c r="F81" i="25" s="1"/>
  <c r="I96" i="9" s="1"/>
  <c r="F97" i="22"/>
  <c r="F103" i="22" s="1"/>
  <c r="F106" i="22" s="1"/>
  <c r="F107" i="22" s="1"/>
  <c r="AZ28" i="26"/>
  <c r="AS34" i="26"/>
  <c r="AZ137" i="26"/>
  <c r="AS61" i="26"/>
  <c r="AZ148" i="26"/>
  <c r="AS160" i="26"/>
  <c r="AS52" i="26"/>
  <c r="AS81" i="26"/>
  <c r="AZ35" i="26"/>
  <c r="AS54" i="26"/>
  <c r="AS104" i="26"/>
  <c r="AS118" i="26"/>
  <c r="AZ146" i="26"/>
  <c r="AS59" i="26"/>
  <c r="AS86" i="26"/>
  <c r="AS27" i="26"/>
  <c r="H153" i="26"/>
  <c r="AZ31" i="26"/>
  <c r="AS150" i="26"/>
  <c r="AZ81" i="26"/>
  <c r="AS57" i="26"/>
  <c r="AZ101" i="26"/>
  <c r="I164" i="26"/>
  <c r="AZ34" i="26"/>
  <c r="AS36" i="26"/>
  <c r="AZ41" i="26"/>
  <c r="AZ97" i="26"/>
  <c r="AZ59" i="26"/>
  <c r="AZ122" i="26"/>
  <c r="AZ36" i="26"/>
  <c r="AZ79" i="26"/>
  <c r="AZ32" i="26"/>
  <c r="AS98" i="26"/>
  <c r="H74" i="26"/>
  <c r="H109" i="26"/>
  <c r="AZ162" i="26"/>
  <c r="AS83" i="26"/>
  <c r="AS146" i="26"/>
  <c r="AZ70" i="26"/>
  <c r="AZ149" i="26"/>
  <c r="AZ61" i="26"/>
  <c r="I12" i="26"/>
  <c r="H12" i="26"/>
  <c r="AS148" i="26"/>
  <c r="AS102" i="26"/>
  <c r="AZ102" i="26"/>
  <c r="AZ141" i="26"/>
  <c r="AS141" i="26"/>
  <c r="AZ77" i="26"/>
  <c r="AZ160" i="26"/>
  <c r="H121" i="26"/>
  <c r="AS69" i="26"/>
  <c r="AZ69" i="26"/>
  <c r="AS20" i="26"/>
  <c r="AZ20" i="26"/>
  <c r="AZ88" i="26"/>
  <c r="I74" i="26"/>
  <c r="AZ150" i="26"/>
  <c r="AZ147" i="26"/>
  <c r="I153" i="26"/>
  <c r="AS139" i="26"/>
  <c r="AZ53" i="26"/>
  <c r="AZ167" i="26"/>
  <c r="AS167" i="26"/>
  <c r="AS30" i="26"/>
  <c r="AZ30" i="26"/>
  <c r="AS55" i="26"/>
  <c r="AZ55" i="26"/>
  <c r="AS127" i="26"/>
  <c r="AZ127" i="26"/>
  <c r="AZ92" i="26"/>
  <c r="AS92" i="26"/>
  <c r="AZ47" i="26"/>
  <c r="AS42" i="26"/>
  <c r="AZ42" i="26"/>
  <c r="AS33" i="26"/>
  <c r="AZ33" i="26"/>
  <c r="AS165" i="26"/>
  <c r="AZ165" i="26"/>
  <c r="AS21" i="26"/>
  <c r="AZ21" i="26"/>
  <c r="AS46" i="26"/>
  <c r="AZ46" i="26"/>
  <c r="AS84" i="26"/>
  <c r="AZ84" i="26"/>
  <c r="AZ37" i="26"/>
  <c r="I121" i="26"/>
  <c r="AS51" i="26"/>
  <c r="AZ51" i="26"/>
  <c r="J169" i="26"/>
  <c r="I90" i="10" s="1"/>
  <c r="AZ163" i="26"/>
  <c r="AS163" i="26"/>
  <c r="AZ129" i="26"/>
  <c r="AS129" i="26"/>
  <c r="AS63" i="26"/>
  <c r="AS66" i="26"/>
  <c r="AZ66" i="26"/>
  <c r="AS87" i="26"/>
  <c r="AZ87" i="26"/>
  <c r="AS40" i="26"/>
  <c r="AZ40" i="26"/>
  <c r="H132" i="26"/>
  <c r="AS161" i="26"/>
  <c r="AZ161" i="26"/>
  <c r="AS58" i="26"/>
  <c r="AS99" i="26"/>
  <c r="AZ99" i="26"/>
  <c r="AS94" i="26"/>
  <c r="AZ94" i="26"/>
  <c r="AS78" i="26"/>
  <c r="AZ78" i="26"/>
  <c r="AS68" i="26"/>
  <c r="AZ68" i="26"/>
  <c r="AS56" i="26"/>
  <c r="AZ56" i="26"/>
  <c r="AZ75" i="26"/>
  <c r="AZ143" i="26"/>
  <c r="AS143" i="26"/>
  <c r="AS152" i="26"/>
  <c r="AZ152" i="26"/>
  <c r="AS62" i="26"/>
  <c r="AZ62" i="26"/>
  <c r="AS82" i="26"/>
  <c r="AZ82" i="26"/>
  <c r="I109" i="26"/>
  <c r="AS100" i="26"/>
  <c r="AZ100" i="26"/>
  <c r="AS154" i="26"/>
  <c r="AZ154" i="26"/>
  <c r="AS49" i="26"/>
  <c r="AZ49" i="26"/>
  <c r="AS130" i="26"/>
  <c r="AZ130" i="26"/>
  <c r="AZ124" i="26"/>
  <c r="AS91" i="26"/>
  <c r="AZ91" i="26"/>
  <c r="AZ113" i="26"/>
  <c r="AZ155" i="26"/>
  <c r="AS155" i="26"/>
  <c r="AS108" i="26"/>
  <c r="AZ108" i="26"/>
  <c r="AS72" i="26"/>
  <c r="AZ72" i="26"/>
  <c r="I132" i="26"/>
  <c r="AS24" i="26"/>
  <c r="AZ24" i="26"/>
  <c r="AS73" i="26"/>
  <c r="AZ73" i="26"/>
  <c r="AS85" i="26"/>
  <c r="AZ85" i="26"/>
  <c r="AS23" i="26"/>
  <c r="AZ23" i="26"/>
  <c r="AS142" i="26"/>
  <c r="AZ142" i="26"/>
  <c r="AS137" i="26"/>
  <c r="AS119" i="26"/>
  <c r="AZ119" i="26"/>
  <c r="AS145" i="26"/>
  <c r="AZ145" i="26"/>
  <c r="AS135" i="26"/>
  <c r="AZ135" i="26"/>
  <c r="AZ166" i="26"/>
  <c r="AS166" i="26"/>
  <c r="AS17" i="26"/>
  <c r="AZ17" i="26"/>
  <c r="AS112" i="26"/>
  <c r="AZ112" i="26"/>
  <c r="AS138" i="26"/>
  <c r="AZ138" i="26"/>
  <c r="AS26" i="26"/>
  <c r="AZ26" i="26"/>
  <c r="AS13" i="26"/>
  <c r="AZ13" i="26"/>
  <c r="AS39" i="26"/>
  <c r="AZ39" i="26"/>
  <c r="AS93" i="26"/>
  <c r="AZ93" i="26"/>
  <c r="AS157" i="26"/>
  <c r="AZ157" i="26"/>
  <c r="AS123" i="26"/>
  <c r="AZ123" i="26"/>
  <c r="AZ15" i="26"/>
  <c r="AS116" i="26"/>
  <c r="F76" i="24" l="1"/>
  <c r="F77" i="24" s="1"/>
  <c r="I96" i="7"/>
  <c r="F84" i="25"/>
  <c r="F85" i="25" s="1"/>
  <c r="I96" i="6"/>
  <c r="J13" i="20"/>
  <c r="W13" i="20"/>
  <c r="Y13" i="20"/>
  <c r="Z13" i="20"/>
  <c r="AC13" i="20"/>
  <c r="AD13" i="20"/>
  <c r="AE13" i="20"/>
  <c r="AG13" i="20"/>
  <c r="AH13" i="20"/>
  <c r="AL13" i="20"/>
  <c r="H13" i="20" s="1"/>
  <c r="AM13" i="20"/>
  <c r="I13" i="20" s="1"/>
  <c r="BA13" i="20"/>
  <c r="BC13" i="20"/>
  <c r="BG13" i="20"/>
  <c r="J14" i="20"/>
  <c r="AI14" i="20" s="1"/>
  <c r="W14" i="20"/>
  <c r="Y14" i="20"/>
  <c r="Z14" i="20"/>
  <c r="AC14" i="20"/>
  <c r="AD14" i="20"/>
  <c r="AE14" i="20"/>
  <c r="AG14" i="20"/>
  <c r="AH14" i="20"/>
  <c r="AL14" i="20"/>
  <c r="AT14" i="20" s="1"/>
  <c r="AM14" i="20"/>
  <c r="I14" i="20" s="1"/>
  <c r="BA14" i="20"/>
  <c r="BC14" i="20"/>
  <c r="BG14" i="20"/>
  <c r="J16" i="20"/>
  <c r="AI16" i="20" s="1"/>
  <c r="W16" i="20"/>
  <c r="Y16" i="20"/>
  <c r="Z16" i="20"/>
  <c r="AC16" i="20"/>
  <c r="AD16" i="20"/>
  <c r="AE16" i="20"/>
  <c r="AG16" i="20"/>
  <c r="AH16" i="20"/>
  <c r="AL16" i="20"/>
  <c r="AT16" i="20" s="1"/>
  <c r="AZ16" i="20" s="1"/>
  <c r="AM16" i="20"/>
  <c r="AU16" i="20" s="1"/>
  <c r="BA16" i="20"/>
  <c r="BC16" i="20"/>
  <c r="BG16" i="20"/>
  <c r="J17" i="20"/>
  <c r="AI17" i="20" s="1"/>
  <c r="W17" i="20"/>
  <c r="Y17" i="20"/>
  <c r="Z17" i="20"/>
  <c r="AC17" i="20"/>
  <c r="AD17" i="20"/>
  <c r="AE17" i="20"/>
  <c r="AG17" i="20"/>
  <c r="AH17" i="20"/>
  <c r="AL17" i="20"/>
  <c r="H17" i="20" s="1"/>
  <c r="AM17" i="20"/>
  <c r="I17" i="20" s="1"/>
  <c r="BA17" i="20"/>
  <c r="BC17" i="20"/>
  <c r="BG17" i="20"/>
  <c r="J18" i="20"/>
  <c r="AI18" i="20" s="1"/>
  <c r="W18" i="20"/>
  <c r="Y18" i="20"/>
  <c r="Z18" i="20"/>
  <c r="AC18" i="20"/>
  <c r="AD18" i="20"/>
  <c r="AE18" i="20"/>
  <c r="AG18" i="20"/>
  <c r="AH18" i="20"/>
  <c r="AL18" i="20"/>
  <c r="H18" i="20" s="1"/>
  <c r="AM18" i="20"/>
  <c r="I18" i="20" s="1"/>
  <c r="BA18" i="20"/>
  <c r="BC18" i="20"/>
  <c r="BG18" i="20"/>
  <c r="J20" i="20"/>
  <c r="AI20" i="20" s="1"/>
  <c r="W20" i="20"/>
  <c r="Y20" i="20"/>
  <c r="Z20" i="20"/>
  <c r="AC20" i="20"/>
  <c r="AD20" i="20"/>
  <c r="AE20" i="20"/>
  <c r="AG20" i="20"/>
  <c r="AH20" i="20"/>
  <c r="AL20" i="20"/>
  <c r="AT20" i="20" s="1"/>
  <c r="AM20" i="20"/>
  <c r="I20" i="20" s="1"/>
  <c r="BA20" i="20"/>
  <c r="BC20" i="20"/>
  <c r="BG20" i="20"/>
  <c r="J21" i="20"/>
  <c r="AI21" i="20" s="1"/>
  <c r="W21" i="20"/>
  <c r="Y21" i="20"/>
  <c r="Z21" i="20"/>
  <c r="AC21" i="20"/>
  <c r="AD21" i="20"/>
  <c r="AE21" i="20"/>
  <c r="AG21" i="20"/>
  <c r="AH21" i="20"/>
  <c r="AL21" i="20"/>
  <c r="BE21" i="20" s="1"/>
  <c r="AA21" i="20" s="1"/>
  <c r="AM21" i="20"/>
  <c r="I21" i="20" s="1"/>
  <c r="BA21" i="20"/>
  <c r="BC21" i="20"/>
  <c r="BG21" i="20"/>
  <c r="J23" i="20"/>
  <c r="W23" i="20"/>
  <c r="AA23" i="20"/>
  <c r="AB23" i="20"/>
  <c r="AC23" i="20"/>
  <c r="AD23" i="20"/>
  <c r="AE23" i="20"/>
  <c r="AG23" i="20"/>
  <c r="AH23" i="20"/>
  <c r="AL23" i="20"/>
  <c r="BE23" i="20" s="1"/>
  <c r="Y23" i="20" s="1"/>
  <c r="AM23" i="20"/>
  <c r="I23" i="20" s="1"/>
  <c r="BA23" i="20"/>
  <c r="BC23" i="20"/>
  <c r="BG23" i="20"/>
  <c r="J24" i="20"/>
  <c r="W24" i="20"/>
  <c r="AA24" i="20"/>
  <c r="AB24" i="20"/>
  <c r="AC24" i="20"/>
  <c r="AD24" i="20"/>
  <c r="AE24" i="20"/>
  <c r="AG24" i="20"/>
  <c r="AP22" i="20" s="1"/>
  <c r="AH24" i="20"/>
  <c r="AQ22" i="20" s="1"/>
  <c r="AI24" i="20"/>
  <c r="AL24" i="20"/>
  <c r="H24" i="20" s="1"/>
  <c r="AM24" i="20"/>
  <c r="I24" i="20" s="1"/>
  <c r="BA24" i="20"/>
  <c r="BC24" i="20"/>
  <c r="BG24" i="20"/>
  <c r="L13" i="19"/>
  <c r="Y13" i="19"/>
  <c r="AC13" i="19"/>
  <c r="AD13" i="19"/>
  <c r="AE13" i="19"/>
  <c r="AF13" i="19"/>
  <c r="AG13" i="19"/>
  <c r="AI13" i="19"/>
  <c r="AJ13" i="19"/>
  <c r="AK13" i="19"/>
  <c r="AN13" i="19"/>
  <c r="H13" i="19" s="1"/>
  <c r="AO13" i="19"/>
  <c r="I13" i="19" s="1"/>
  <c r="BC13" i="19"/>
  <c r="BE13" i="19"/>
  <c r="BI13" i="19"/>
  <c r="J14" i="19"/>
  <c r="L14" i="19"/>
  <c r="Y14" i="19"/>
  <c r="AC14" i="19"/>
  <c r="AD14" i="19"/>
  <c r="AE14" i="19"/>
  <c r="AF14" i="19"/>
  <c r="AG14" i="19"/>
  <c r="AI14" i="19"/>
  <c r="AJ14" i="19"/>
  <c r="AK14" i="19"/>
  <c r="AN14" i="19"/>
  <c r="H14" i="19" s="1"/>
  <c r="AO14" i="19"/>
  <c r="I14" i="19" s="1"/>
  <c r="AW14" i="19"/>
  <c r="BC14" i="19"/>
  <c r="BI14" i="19"/>
  <c r="J15" i="19"/>
  <c r="AK15" i="19" s="1"/>
  <c r="L15" i="19"/>
  <c r="BE15" i="19" s="1"/>
  <c r="Y15" i="19"/>
  <c r="AC15" i="19"/>
  <c r="AD15" i="19"/>
  <c r="AE15" i="19"/>
  <c r="AF15" i="19"/>
  <c r="AG15" i="19"/>
  <c r="AI15" i="19"/>
  <c r="AJ15" i="19"/>
  <c r="AN15" i="19"/>
  <c r="BG15" i="19" s="1"/>
  <c r="AA15" i="19" s="1"/>
  <c r="AO15" i="19"/>
  <c r="I15" i="19" s="1"/>
  <c r="BC15" i="19"/>
  <c r="BH15" i="19"/>
  <c r="AB15" i="19" s="1"/>
  <c r="BI15" i="19"/>
  <c r="J17" i="19"/>
  <c r="L17" i="19"/>
  <c r="BE17" i="19" s="1"/>
  <c r="Y17" i="19"/>
  <c r="AA17" i="19"/>
  <c r="AB17" i="19"/>
  <c r="AE17" i="19"/>
  <c r="AF17" i="19"/>
  <c r="AG17" i="19"/>
  <c r="AI17" i="19"/>
  <c r="AJ17" i="19"/>
  <c r="AN17" i="19"/>
  <c r="H17" i="19" s="1"/>
  <c r="AO17" i="19"/>
  <c r="I17" i="19" s="1"/>
  <c r="BC17" i="19"/>
  <c r="BG17" i="19"/>
  <c r="AC17" i="19" s="1"/>
  <c r="BI17" i="19"/>
  <c r="J18" i="19"/>
  <c r="L18" i="19"/>
  <c r="Y18" i="19"/>
  <c r="AA18" i="19"/>
  <c r="AB18" i="19"/>
  <c r="AE18" i="19"/>
  <c r="AF18" i="19"/>
  <c r="AG18" i="19"/>
  <c r="AI18" i="19"/>
  <c r="AJ18" i="19"/>
  <c r="AK18" i="19"/>
  <c r="AN18" i="19"/>
  <c r="H18" i="19" s="1"/>
  <c r="AO18" i="19"/>
  <c r="I18" i="19" s="1"/>
  <c r="BC18" i="19"/>
  <c r="BE18" i="19"/>
  <c r="BG18" i="19"/>
  <c r="AC18" i="19" s="1"/>
  <c r="BI18" i="19"/>
  <c r="J19" i="19"/>
  <c r="AK19" i="19" s="1"/>
  <c r="L19" i="19"/>
  <c r="BE19" i="19" s="1"/>
  <c r="Y19" i="19"/>
  <c r="AA19" i="19"/>
  <c r="AB19" i="19"/>
  <c r="AE19" i="19"/>
  <c r="AF19" i="19"/>
  <c r="AG19" i="19"/>
  <c r="AI19" i="19"/>
  <c r="AJ19" i="19"/>
  <c r="AN19" i="19"/>
  <c r="H19" i="19" s="1"/>
  <c r="AO19" i="19"/>
  <c r="I19" i="19" s="1"/>
  <c r="AW19" i="19"/>
  <c r="BC19" i="19"/>
  <c r="BI19" i="19"/>
  <c r="J20" i="19"/>
  <c r="AK20" i="19" s="1"/>
  <c r="L20" i="19"/>
  <c r="BE20" i="19" s="1"/>
  <c r="Y20" i="19"/>
  <c r="AA20" i="19"/>
  <c r="AB20" i="19"/>
  <c r="AE20" i="19"/>
  <c r="AF20" i="19"/>
  <c r="AG20" i="19"/>
  <c r="AI20" i="19"/>
  <c r="AJ20" i="19"/>
  <c r="AN20" i="19"/>
  <c r="H20" i="19" s="1"/>
  <c r="AO20" i="19"/>
  <c r="BH20" i="19" s="1"/>
  <c r="AD20" i="19" s="1"/>
  <c r="AV20" i="19"/>
  <c r="BC20" i="19"/>
  <c r="BI20" i="19"/>
  <c r="J21" i="19"/>
  <c r="AK21" i="19" s="1"/>
  <c r="L21" i="19"/>
  <c r="Y21" i="19"/>
  <c r="AA21" i="19"/>
  <c r="AB21" i="19"/>
  <c r="AE21" i="19"/>
  <c r="AF21" i="19"/>
  <c r="AG21" i="19"/>
  <c r="AI21" i="19"/>
  <c r="AJ21" i="19"/>
  <c r="AN21" i="19"/>
  <c r="H21" i="19" s="1"/>
  <c r="AO21" i="19"/>
  <c r="AW21" i="19" s="1"/>
  <c r="BC21" i="19"/>
  <c r="BE21" i="19"/>
  <c r="BI21" i="19"/>
  <c r="J22" i="19"/>
  <c r="L22" i="19"/>
  <c r="Y22" i="19"/>
  <c r="AA22" i="19"/>
  <c r="AB22" i="19"/>
  <c r="AE22" i="19"/>
  <c r="AF22" i="19"/>
  <c r="AG22" i="19"/>
  <c r="AI22" i="19"/>
  <c r="AJ22" i="19"/>
  <c r="AK22" i="19"/>
  <c r="AN22" i="19"/>
  <c r="AV22" i="19" s="1"/>
  <c r="AO22" i="19"/>
  <c r="AW22" i="19" s="1"/>
  <c r="BC22" i="19"/>
  <c r="BE22" i="19"/>
  <c r="BI22" i="19"/>
  <c r="J23" i="19"/>
  <c r="L23" i="19"/>
  <c r="Y23" i="19"/>
  <c r="AA23" i="19"/>
  <c r="AB23" i="19"/>
  <c r="AE23" i="19"/>
  <c r="AF23" i="19"/>
  <c r="AG23" i="19"/>
  <c r="AI23" i="19"/>
  <c r="AJ23" i="19"/>
  <c r="AK23" i="19"/>
  <c r="AN23" i="19"/>
  <c r="H23" i="19" s="1"/>
  <c r="AO23" i="19"/>
  <c r="BH23" i="19" s="1"/>
  <c r="AD23" i="19" s="1"/>
  <c r="BC23" i="19"/>
  <c r="BE23" i="19"/>
  <c r="BI23" i="19"/>
  <c r="J24" i="19"/>
  <c r="AK24" i="19" s="1"/>
  <c r="L24" i="19"/>
  <c r="BE24" i="19" s="1"/>
  <c r="Y24" i="19"/>
  <c r="AA24" i="19"/>
  <c r="AB24" i="19"/>
  <c r="AE24" i="19"/>
  <c r="AF24" i="19"/>
  <c r="AG24" i="19"/>
  <c r="AI24" i="19"/>
  <c r="AJ24" i="19"/>
  <c r="AN24" i="19"/>
  <c r="H24" i="19" s="1"/>
  <c r="AO24" i="19"/>
  <c r="I24" i="19" s="1"/>
  <c r="AW24" i="19"/>
  <c r="BC24" i="19"/>
  <c r="BI24" i="19"/>
  <c r="J25" i="19"/>
  <c r="AK25" i="19" s="1"/>
  <c r="L25" i="19"/>
  <c r="BE25" i="19" s="1"/>
  <c r="Y25" i="19"/>
  <c r="AA25" i="19"/>
  <c r="AB25" i="19"/>
  <c r="AE25" i="19"/>
  <c r="AF25" i="19"/>
  <c r="AG25" i="19"/>
  <c r="AI25" i="19"/>
  <c r="AJ25" i="19"/>
  <c r="AN25" i="19"/>
  <c r="H25" i="19" s="1"/>
  <c r="AO25" i="19"/>
  <c r="I25" i="19" s="1"/>
  <c r="BC25" i="19"/>
  <c r="BI25" i="19"/>
  <c r="J26" i="19"/>
  <c r="AK26" i="19" s="1"/>
  <c r="L26" i="19"/>
  <c r="Y26" i="19"/>
  <c r="AA26" i="19"/>
  <c r="AB26" i="19"/>
  <c r="AE26" i="19"/>
  <c r="AF26" i="19"/>
  <c r="AG26" i="19"/>
  <c r="AI26" i="19"/>
  <c r="AJ26" i="19"/>
  <c r="AN26" i="19"/>
  <c r="H26" i="19" s="1"/>
  <c r="AO26" i="19"/>
  <c r="I26" i="19" s="1"/>
  <c r="BC26" i="19"/>
  <c r="BE26" i="19"/>
  <c r="BG26" i="19"/>
  <c r="AC26" i="19" s="1"/>
  <c r="BH26" i="19"/>
  <c r="AD26" i="19" s="1"/>
  <c r="BI26" i="19"/>
  <c r="J27" i="19"/>
  <c r="L27" i="19"/>
  <c r="BE27" i="19" s="1"/>
  <c r="Y27" i="19"/>
  <c r="AA27" i="19"/>
  <c r="AB27" i="19"/>
  <c r="AE27" i="19"/>
  <c r="AF27" i="19"/>
  <c r="AG27" i="19"/>
  <c r="AI27" i="19"/>
  <c r="AJ27" i="19"/>
  <c r="AK27" i="19"/>
  <c r="AN27" i="19"/>
  <c r="H27" i="19" s="1"/>
  <c r="AO27" i="19"/>
  <c r="I27" i="19" s="1"/>
  <c r="AW27" i="19"/>
  <c r="BC27" i="19"/>
  <c r="BI27" i="19"/>
  <c r="J28" i="19"/>
  <c r="AK28" i="19" s="1"/>
  <c r="L28" i="19"/>
  <c r="BE28" i="19" s="1"/>
  <c r="Y28" i="19"/>
  <c r="AA28" i="19"/>
  <c r="AB28" i="19"/>
  <c r="AE28" i="19"/>
  <c r="AF28" i="19"/>
  <c r="AG28" i="19"/>
  <c r="AI28" i="19"/>
  <c r="AJ28" i="19"/>
  <c r="AN28" i="19"/>
  <c r="H28" i="19" s="1"/>
  <c r="AO28" i="19"/>
  <c r="BH28" i="19" s="1"/>
  <c r="AD28" i="19" s="1"/>
  <c r="BC28" i="19"/>
  <c r="BI28" i="19"/>
  <c r="J29" i="19"/>
  <c r="AK29" i="19" s="1"/>
  <c r="L29" i="19"/>
  <c r="Y29" i="19"/>
  <c r="AA29" i="19"/>
  <c r="AB29" i="19"/>
  <c r="AE29" i="19"/>
  <c r="AF29" i="19"/>
  <c r="AG29" i="19"/>
  <c r="AI29" i="19"/>
  <c r="AJ29" i="19"/>
  <c r="AN29" i="19"/>
  <c r="H29" i="19" s="1"/>
  <c r="AO29" i="19"/>
  <c r="AW29" i="19" s="1"/>
  <c r="BC29" i="19"/>
  <c r="BE29" i="19"/>
  <c r="BI29" i="19"/>
  <c r="J30" i="19"/>
  <c r="L30" i="19"/>
  <c r="Y30" i="19"/>
  <c r="AA30" i="19"/>
  <c r="AB30" i="19"/>
  <c r="AE30" i="19"/>
  <c r="AF30" i="19"/>
  <c r="AG30" i="19"/>
  <c r="AI30" i="19"/>
  <c r="AJ30" i="19"/>
  <c r="AK30" i="19"/>
  <c r="AN30" i="19"/>
  <c r="AV30" i="19" s="1"/>
  <c r="AO30" i="19"/>
  <c r="AW30" i="19" s="1"/>
  <c r="BC30" i="19"/>
  <c r="BE30" i="19"/>
  <c r="BI30" i="19"/>
  <c r="J31" i="19"/>
  <c r="L31" i="19"/>
  <c r="BE31" i="19" s="1"/>
  <c r="Y31" i="19"/>
  <c r="AA31" i="19"/>
  <c r="AB31" i="19"/>
  <c r="AE31" i="19"/>
  <c r="AF31" i="19"/>
  <c r="AG31" i="19"/>
  <c r="AI31" i="19"/>
  <c r="AJ31" i="19"/>
  <c r="AK31" i="19"/>
  <c r="AN31" i="19"/>
  <c r="H31" i="19" s="1"/>
  <c r="AO31" i="19"/>
  <c r="I31" i="19" s="1"/>
  <c r="AW31" i="19"/>
  <c r="BC31" i="19"/>
  <c r="BI31" i="19"/>
  <c r="J32" i="19"/>
  <c r="AK32" i="19" s="1"/>
  <c r="L32" i="19"/>
  <c r="BE32" i="19" s="1"/>
  <c r="Y32" i="19"/>
  <c r="AA32" i="19"/>
  <c r="AB32" i="19"/>
  <c r="AE32" i="19"/>
  <c r="AF32" i="19"/>
  <c r="AG32" i="19"/>
  <c r="AI32" i="19"/>
  <c r="AJ32" i="19"/>
  <c r="AN32" i="19"/>
  <c r="H32" i="19" s="1"/>
  <c r="AO32" i="19"/>
  <c r="AW32" i="19" s="1"/>
  <c r="BC32" i="19"/>
  <c r="BI32" i="19"/>
  <c r="J33" i="19"/>
  <c r="AK33" i="19" s="1"/>
  <c r="L33" i="19"/>
  <c r="BE33" i="19" s="1"/>
  <c r="Y33" i="19"/>
  <c r="AA33" i="19"/>
  <c r="AB33" i="19"/>
  <c r="AE33" i="19"/>
  <c r="AF33" i="19"/>
  <c r="AG33" i="19"/>
  <c r="AI33" i="19"/>
  <c r="AJ33" i="19"/>
  <c r="AN33" i="19"/>
  <c r="H33" i="19" s="1"/>
  <c r="AO33" i="19"/>
  <c r="I33" i="19" s="1"/>
  <c r="AW33" i="19"/>
  <c r="BC33" i="19"/>
  <c r="BI33" i="19"/>
  <c r="J34" i="19"/>
  <c r="L34" i="19"/>
  <c r="Y34" i="19"/>
  <c r="AA34" i="19"/>
  <c r="AB34" i="19"/>
  <c r="AE34" i="19"/>
  <c r="AF34" i="19"/>
  <c r="AG34" i="19"/>
  <c r="AI34" i="19"/>
  <c r="AJ34" i="19"/>
  <c r="AK34" i="19"/>
  <c r="AN34" i="19"/>
  <c r="H34" i="19" s="1"/>
  <c r="AO34" i="19"/>
  <c r="I34" i="19" s="1"/>
  <c r="BC34" i="19"/>
  <c r="BE34" i="19"/>
  <c r="BG34" i="19"/>
  <c r="AC34" i="19" s="1"/>
  <c r="BI34" i="19"/>
  <c r="J35" i="19"/>
  <c r="AK35" i="19" s="1"/>
  <c r="L35" i="19"/>
  <c r="BE35" i="19" s="1"/>
  <c r="Y35" i="19"/>
  <c r="AA35" i="19"/>
  <c r="AB35" i="19"/>
  <c r="AE35" i="19"/>
  <c r="AF35" i="19"/>
  <c r="AG35" i="19"/>
  <c r="AI35" i="19"/>
  <c r="AJ35" i="19"/>
  <c r="AN35" i="19"/>
  <c r="H35" i="19" s="1"/>
  <c r="AO35" i="19"/>
  <c r="I35" i="19" s="1"/>
  <c r="BC35" i="19"/>
  <c r="BI35" i="19"/>
  <c r="J37" i="19"/>
  <c r="L37" i="19"/>
  <c r="BE37" i="19" s="1"/>
  <c r="Y37" i="19"/>
  <c r="AA37" i="19"/>
  <c r="AB37" i="19"/>
  <c r="AE37" i="19"/>
  <c r="AF37" i="19"/>
  <c r="AG37" i="19"/>
  <c r="AI37" i="19"/>
  <c r="AJ37" i="19"/>
  <c r="AK37" i="19"/>
  <c r="AN37" i="19"/>
  <c r="H37" i="19" s="1"/>
  <c r="AO37" i="19"/>
  <c r="I37" i="19" s="1"/>
  <c r="BC37" i="19"/>
  <c r="BI37" i="19"/>
  <c r="J38" i="19"/>
  <c r="AK38" i="19" s="1"/>
  <c r="L38" i="19"/>
  <c r="BE38" i="19" s="1"/>
  <c r="Y38" i="19"/>
  <c r="AA38" i="19"/>
  <c r="AB38" i="19"/>
  <c r="AE38" i="19"/>
  <c r="AF38" i="19"/>
  <c r="AG38" i="19"/>
  <c r="AI38" i="19"/>
  <c r="AJ38" i="19"/>
  <c r="AN38" i="19"/>
  <c r="BG38" i="19" s="1"/>
  <c r="AC38" i="19" s="1"/>
  <c r="AO38" i="19"/>
  <c r="I38" i="19" s="1"/>
  <c r="AW38" i="19"/>
  <c r="BC38" i="19"/>
  <c r="BI38" i="19"/>
  <c r="J39" i="19"/>
  <c r="L39" i="19"/>
  <c r="BE39" i="19" s="1"/>
  <c r="Y39" i="19"/>
  <c r="AA39" i="19"/>
  <c r="AB39" i="19"/>
  <c r="AE39" i="19"/>
  <c r="AF39" i="19"/>
  <c r="AG39" i="19"/>
  <c r="AI39" i="19"/>
  <c r="AJ39" i="19"/>
  <c r="AK39" i="19"/>
  <c r="AN39" i="19"/>
  <c r="H39" i="19" s="1"/>
  <c r="AO39" i="19"/>
  <c r="I39" i="19" s="1"/>
  <c r="BC39" i="19"/>
  <c r="BI39" i="19"/>
  <c r="J40" i="19"/>
  <c r="L40" i="19"/>
  <c r="BE40" i="19" s="1"/>
  <c r="Y40" i="19"/>
  <c r="AA40" i="19"/>
  <c r="AB40" i="19"/>
  <c r="AE40" i="19"/>
  <c r="AF40" i="19"/>
  <c r="AG40" i="19"/>
  <c r="AI40" i="19"/>
  <c r="AJ40" i="19"/>
  <c r="AK40" i="19"/>
  <c r="AN40" i="19"/>
  <c r="AV40" i="19" s="1"/>
  <c r="AO40" i="19"/>
  <c r="I40" i="19" s="1"/>
  <c r="BC40" i="19"/>
  <c r="BI40" i="19"/>
  <c r="J41" i="19"/>
  <c r="AK41" i="19" s="1"/>
  <c r="L41" i="19"/>
  <c r="Y41" i="19"/>
  <c r="AA41" i="19"/>
  <c r="AB41" i="19"/>
  <c r="AE41" i="19"/>
  <c r="AF41" i="19"/>
  <c r="AG41" i="19"/>
  <c r="AI41" i="19"/>
  <c r="AJ41" i="19"/>
  <c r="AN41" i="19"/>
  <c r="H41" i="19" s="1"/>
  <c r="AO41" i="19"/>
  <c r="I41" i="19" s="1"/>
  <c r="BC41" i="19"/>
  <c r="BE41" i="19"/>
  <c r="BI41" i="19"/>
  <c r="J42" i="19"/>
  <c r="AK42" i="19" s="1"/>
  <c r="L42" i="19"/>
  <c r="BE42" i="19" s="1"/>
  <c r="Y42" i="19"/>
  <c r="AA42" i="19"/>
  <c r="AB42" i="19"/>
  <c r="AE42" i="19"/>
  <c r="AF42" i="19"/>
  <c r="AG42" i="19"/>
  <c r="AI42" i="19"/>
  <c r="AJ42" i="19"/>
  <c r="AN42" i="19"/>
  <c r="H42" i="19" s="1"/>
  <c r="AO42" i="19"/>
  <c r="I42" i="19" s="1"/>
  <c r="BC42" i="19"/>
  <c r="BI42" i="19"/>
  <c r="J43" i="19"/>
  <c r="AK43" i="19" s="1"/>
  <c r="L43" i="19"/>
  <c r="Y43" i="19"/>
  <c r="AA43" i="19"/>
  <c r="AB43" i="19"/>
  <c r="AE43" i="19"/>
  <c r="AF43" i="19"/>
  <c r="AG43" i="19"/>
  <c r="AI43" i="19"/>
  <c r="AJ43" i="19"/>
  <c r="AN43" i="19"/>
  <c r="H43" i="19" s="1"/>
  <c r="AO43" i="19"/>
  <c r="AW43" i="19" s="1"/>
  <c r="BC43" i="19"/>
  <c r="BE43" i="19"/>
  <c r="BI43" i="19"/>
  <c r="J44" i="19"/>
  <c r="L44" i="19"/>
  <c r="BE44" i="19" s="1"/>
  <c r="Y44" i="19"/>
  <c r="AA44" i="19"/>
  <c r="AB44" i="19"/>
  <c r="AE44" i="19"/>
  <c r="AF44" i="19"/>
  <c r="AG44" i="19"/>
  <c r="AI44" i="19"/>
  <c r="AJ44" i="19"/>
  <c r="AK44" i="19"/>
  <c r="AN44" i="19"/>
  <c r="H44" i="19" s="1"/>
  <c r="AO44" i="19"/>
  <c r="I44" i="19" s="1"/>
  <c r="BC44" i="19"/>
  <c r="BI44" i="19"/>
  <c r="J45" i="19"/>
  <c r="L45" i="19"/>
  <c r="BE45" i="19" s="1"/>
  <c r="Y45" i="19"/>
  <c r="AA45" i="19"/>
  <c r="AB45" i="19"/>
  <c r="AE45" i="19"/>
  <c r="AF45" i="19"/>
  <c r="AG45" i="19"/>
  <c r="AI45" i="19"/>
  <c r="AJ45" i="19"/>
  <c r="AK45" i="19"/>
  <c r="AN45" i="19"/>
  <c r="H45" i="19" s="1"/>
  <c r="AO45" i="19"/>
  <c r="I45" i="19" s="1"/>
  <c r="AV45" i="19"/>
  <c r="BC45" i="19"/>
  <c r="BI45" i="19"/>
  <c r="J47" i="19"/>
  <c r="AK47" i="19" s="1"/>
  <c r="L47" i="19"/>
  <c r="BE47" i="19" s="1"/>
  <c r="Y47" i="19"/>
  <c r="AA47" i="19"/>
  <c r="AB47" i="19"/>
  <c r="AE47" i="19"/>
  <c r="AF47" i="19"/>
  <c r="AG47" i="19"/>
  <c r="AI47" i="19"/>
  <c r="AJ47" i="19"/>
  <c r="AN47" i="19"/>
  <c r="BG47" i="19" s="1"/>
  <c r="AC47" i="19" s="1"/>
  <c r="AO47" i="19"/>
  <c r="I47" i="19" s="1"/>
  <c r="AV47" i="19"/>
  <c r="AW47" i="19"/>
  <c r="BC47" i="19"/>
  <c r="BI47" i="19"/>
  <c r="J49" i="19"/>
  <c r="L49" i="19"/>
  <c r="Y49" i="19"/>
  <c r="AA49" i="19"/>
  <c r="AB49" i="19"/>
  <c r="AE49" i="19"/>
  <c r="AF49" i="19"/>
  <c r="AG49" i="19"/>
  <c r="AI49" i="19"/>
  <c r="AJ49" i="19"/>
  <c r="AK49" i="19"/>
  <c r="AN49" i="19"/>
  <c r="H49" i="19" s="1"/>
  <c r="AO49" i="19"/>
  <c r="I49" i="19" s="1"/>
  <c r="BC49" i="19"/>
  <c r="BE49" i="19"/>
  <c r="BI49" i="19"/>
  <c r="J51" i="19"/>
  <c r="L51" i="19"/>
  <c r="Y51" i="19"/>
  <c r="AA51" i="19"/>
  <c r="AB51" i="19"/>
  <c r="AE51" i="19"/>
  <c r="AF51" i="19"/>
  <c r="AG51" i="19"/>
  <c r="AI51" i="19"/>
  <c r="AJ51" i="19"/>
  <c r="AK51" i="19"/>
  <c r="AN51" i="19"/>
  <c r="AV51" i="19" s="1"/>
  <c r="AO51" i="19"/>
  <c r="I51" i="19" s="1"/>
  <c r="BC51" i="19"/>
  <c r="BE51" i="19"/>
  <c r="BI51" i="19"/>
  <c r="J53" i="19"/>
  <c r="AK53" i="19" s="1"/>
  <c r="L53" i="19"/>
  <c r="Y53" i="19"/>
  <c r="AA53" i="19"/>
  <c r="AB53" i="19"/>
  <c r="AE53" i="19"/>
  <c r="AF53" i="19"/>
  <c r="AG53" i="19"/>
  <c r="AI53" i="19"/>
  <c r="AJ53" i="19"/>
  <c r="AN53" i="19"/>
  <c r="H53" i="19" s="1"/>
  <c r="AO53" i="19"/>
  <c r="I53" i="19" s="1"/>
  <c r="BC53" i="19"/>
  <c r="BE53" i="19"/>
  <c r="BI53" i="19"/>
  <c r="J55" i="19"/>
  <c r="AK55" i="19" s="1"/>
  <c r="L55" i="19"/>
  <c r="BE55" i="19" s="1"/>
  <c r="Y55" i="19"/>
  <c r="AA55" i="19"/>
  <c r="AB55" i="19"/>
  <c r="AE55" i="19"/>
  <c r="AF55" i="19"/>
  <c r="AG55" i="19"/>
  <c r="AI55" i="19"/>
  <c r="AJ55" i="19"/>
  <c r="AN55" i="19"/>
  <c r="H55" i="19" s="1"/>
  <c r="AO55" i="19"/>
  <c r="I55" i="19" s="1"/>
  <c r="BC55" i="19"/>
  <c r="BG55" i="19"/>
  <c r="AC55" i="19" s="1"/>
  <c r="BI55" i="19"/>
  <c r="J56" i="19"/>
  <c r="AK56" i="19" s="1"/>
  <c r="L56" i="19"/>
  <c r="Y56" i="19"/>
  <c r="AA56" i="19"/>
  <c r="AB56" i="19"/>
  <c r="AE56" i="19"/>
  <c r="AF56" i="19"/>
  <c r="AG56" i="19"/>
  <c r="AI56" i="19"/>
  <c r="AJ56" i="19"/>
  <c r="AN56" i="19"/>
  <c r="H56" i="19" s="1"/>
  <c r="AO56" i="19"/>
  <c r="AW56" i="19" s="1"/>
  <c r="BC56" i="19"/>
  <c r="BE56" i="19"/>
  <c r="BI56" i="19"/>
  <c r="J57" i="19"/>
  <c r="L57" i="19"/>
  <c r="Y57" i="19"/>
  <c r="AA57" i="19"/>
  <c r="AB57" i="19"/>
  <c r="AE57" i="19"/>
  <c r="AF57" i="19"/>
  <c r="AG57" i="19"/>
  <c r="AI57" i="19"/>
  <c r="AJ57" i="19"/>
  <c r="AK57" i="19"/>
  <c r="AN57" i="19"/>
  <c r="H57" i="19" s="1"/>
  <c r="AO57" i="19"/>
  <c r="I57" i="19" s="1"/>
  <c r="BC57" i="19"/>
  <c r="BE57" i="19"/>
  <c r="BI57" i="19"/>
  <c r="J58" i="19"/>
  <c r="L58" i="19"/>
  <c r="BE58" i="19" s="1"/>
  <c r="Y58" i="19"/>
  <c r="AA58" i="19"/>
  <c r="AB58" i="19"/>
  <c r="AE58" i="19"/>
  <c r="AF58" i="19"/>
  <c r="AG58" i="19"/>
  <c r="AI58" i="19"/>
  <c r="AJ58" i="19"/>
  <c r="AK58" i="19"/>
  <c r="AN58" i="19"/>
  <c r="H58" i="19" s="1"/>
  <c r="AO58" i="19"/>
  <c r="I58" i="19" s="1"/>
  <c r="BC58" i="19"/>
  <c r="BI58" i="19"/>
  <c r="J59" i="19"/>
  <c r="AK59" i="19" s="1"/>
  <c r="L59" i="19"/>
  <c r="BE59" i="19" s="1"/>
  <c r="Y59" i="19"/>
  <c r="AA59" i="19"/>
  <c r="AB59" i="19"/>
  <c r="AE59" i="19"/>
  <c r="AF59" i="19"/>
  <c r="AG59" i="19"/>
  <c r="AI59" i="19"/>
  <c r="AJ59" i="19"/>
  <c r="AN59" i="19"/>
  <c r="H59" i="19" s="1"/>
  <c r="AO59" i="19"/>
  <c r="I59" i="19" s="1"/>
  <c r="BC59" i="19"/>
  <c r="BI59" i="19"/>
  <c r="J60" i="19"/>
  <c r="L60" i="19"/>
  <c r="Y60" i="19"/>
  <c r="AA60" i="19"/>
  <c r="AB60" i="19"/>
  <c r="AE60" i="19"/>
  <c r="AF60" i="19"/>
  <c r="AG60" i="19"/>
  <c r="AI60" i="19"/>
  <c r="AJ60" i="19"/>
  <c r="AK60" i="19"/>
  <c r="AN60" i="19"/>
  <c r="AV60" i="19" s="1"/>
  <c r="AO60" i="19"/>
  <c r="I60" i="19" s="1"/>
  <c r="BC60" i="19"/>
  <c r="BE60" i="19"/>
  <c r="BG60" i="19"/>
  <c r="AC60" i="19" s="1"/>
  <c r="BI60" i="19"/>
  <c r="J61" i="19"/>
  <c r="L61" i="19"/>
  <c r="Y61" i="19"/>
  <c r="AA61" i="19"/>
  <c r="AB61" i="19"/>
  <c r="AE61" i="19"/>
  <c r="AF61" i="19"/>
  <c r="AG61" i="19"/>
  <c r="AI61" i="19"/>
  <c r="AJ61" i="19"/>
  <c r="AK61" i="19"/>
  <c r="AN61" i="19"/>
  <c r="AV61" i="19" s="1"/>
  <c r="AO61" i="19"/>
  <c r="I61" i="19" s="1"/>
  <c r="BC61" i="19"/>
  <c r="BE61" i="19"/>
  <c r="BI61" i="19"/>
  <c r="J62" i="19"/>
  <c r="AK62" i="19" s="1"/>
  <c r="L62" i="19"/>
  <c r="Y62" i="19"/>
  <c r="AA62" i="19"/>
  <c r="AB62" i="19"/>
  <c r="AE62" i="19"/>
  <c r="AF62" i="19"/>
  <c r="AG62" i="19"/>
  <c r="AI62" i="19"/>
  <c r="AJ62" i="19"/>
  <c r="AN62" i="19"/>
  <c r="H62" i="19" s="1"/>
  <c r="AO62" i="19"/>
  <c r="I62" i="19" s="1"/>
  <c r="BC62" i="19"/>
  <c r="BE62" i="19"/>
  <c r="BI62" i="19"/>
  <c r="J63" i="19"/>
  <c r="AK63" i="19" s="1"/>
  <c r="L63" i="19"/>
  <c r="BE63" i="19" s="1"/>
  <c r="Y63" i="19"/>
  <c r="AA63" i="19"/>
  <c r="AB63" i="19"/>
  <c r="AE63" i="19"/>
  <c r="AF63" i="19"/>
  <c r="AG63" i="19"/>
  <c r="AI63" i="19"/>
  <c r="AJ63" i="19"/>
  <c r="AN63" i="19"/>
  <c r="H63" i="19" s="1"/>
  <c r="AO63" i="19"/>
  <c r="I63" i="19" s="1"/>
  <c r="BC63" i="19"/>
  <c r="BI63" i="19"/>
  <c r="J64" i="19"/>
  <c r="AK64" i="19" s="1"/>
  <c r="L64" i="19"/>
  <c r="Y64" i="19"/>
  <c r="AA64" i="19"/>
  <c r="AB64" i="19"/>
  <c r="AE64" i="19"/>
  <c r="AF64" i="19"/>
  <c r="AG64" i="19"/>
  <c r="AI64" i="19"/>
  <c r="AJ64" i="19"/>
  <c r="AN64" i="19"/>
  <c r="BG64" i="19" s="1"/>
  <c r="AC64" i="19" s="1"/>
  <c r="AO64" i="19"/>
  <c r="AW64" i="19" s="1"/>
  <c r="BC64" i="19"/>
  <c r="BE64" i="19"/>
  <c r="BI64" i="19"/>
  <c r="J65" i="19"/>
  <c r="L65" i="19"/>
  <c r="Y65" i="19"/>
  <c r="AA65" i="19"/>
  <c r="AB65" i="19"/>
  <c r="AE65" i="19"/>
  <c r="AF65" i="19"/>
  <c r="AG65" i="19"/>
  <c r="AI65" i="19"/>
  <c r="AJ65" i="19"/>
  <c r="AK65" i="19"/>
  <c r="AN65" i="19"/>
  <c r="H65" i="19" s="1"/>
  <c r="AO65" i="19"/>
  <c r="I65" i="19" s="1"/>
  <c r="BC65" i="19"/>
  <c r="BE65" i="19"/>
  <c r="BG65" i="19"/>
  <c r="AC65" i="19" s="1"/>
  <c r="BI65" i="19"/>
  <c r="J66" i="19"/>
  <c r="L66" i="19"/>
  <c r="BE66" i="19" s="1"/>
  <c r="Y66" i="19"/>
  <c r="AA66" i="19"/>
  <c r="AB66" i="19"/>
  <c r="AE66" i="19"/>
  <c r="AF66" i="19"/>
  <c r="AG66" i="19"/>
  <c r="AI66" i="19"/>
  <c r="AJ66" i="19"/>
  <c r="AK66" i="19"/>
  <c r="AN66" i="19"/>
  <c r="H66" i="19" s="1"/>
  <c r="AO66" i="19"/>
  <c r="I66" i="19" s="1"/>
  <c r="BC66" i="19"/>
  <c r="BI66" i="19"/>
  <c r="J67" i="19"/>
  <c r="AK67" i="19" s="1"/>
  <c r="L67" i="19"/>
  <c r="BE67" i="19" s="1"/>
  <c r="Y67" i="19"/>
  <c r="AA67" i="19"/>
  <c r="AB67" i="19"/>
  <c r="AE67" i="19"/>
  <c r="AF67" i="19"/>
  <c r="AG67" i="19"/>
  <c r="AI67" i="19"/>
  <c r="AJ67" i="19"/>
  <c r="AN67" i="19"/>
  <c r="BG67" i="19" s="1"/>
  <c r="AC67" i="19" s="1"/>
  <c r="AO67" i="19"/>
  <c r="BH67" i="19" s="1"/>
  <c r="AD67" i="19" s="1"/>
  <c r="BC67" i="19"/>
  <c r="BI67" i="19"/>
  <c r="J68" i="19"/>
  <c r="L68" i="19"/>
  <c r="Y68" i="19"/>
  <c r="AA68" i="19"/>
  <c r="AB68" i="19"/>
  <c r="AE68" i="19"/>
  <c r="AF68" i="19"/>
  <c r="AG68" i="19"/>
  <c r="AI68" i="19"/>
  <c r="AJ68" i="19"/>
  <c r="AK68" i="19"/>
  <c r="AN68" i="19"/>
  <c r="AV68" i="19" s="1"/>
  <c r="AO68" i="19"/>
  <c r="I68" i="19" s="1"/>
  <c r="BC68" i="19"/>
  <c r="BE68" i="19"/>
  <c r="BG68" i="19"/>
  <c r="AC68" i="19" s="1"/>
  <c r="BI68" i="19"/>
  <c r="J69" i="19"/>
  <c r="L69" i="19"/>
  <c r="Y69" i="19"/>
  <c r="AA69" i="19"/>
  <c r="AB69" i="19"/>
  <c r="AE69" i="19"/>
  <c r="AF69" i="19"/>
  <c r="AG69" i="19"/>
  <c r="AI69" i="19"/>
  <c r="AJ69" i="19"/>
  <c r="AK69" i="19"/>
  <c r="AN69" i="19"/>
  <c r="AV69" i="19" s="1"/>
  <c r="AO69" i="19"/>
  <c r="I69" i="19" s="1"/>
  <c r="BC69" i="19"/>
  <c r="BE69" i="19"/>
  <c r="BI69" i="19"/>
  <c r="J70" i="19"/>
  <c r="AK70" i="19" s="1"/>
  <c r="L70" i="19"/>
  <c r="Y70" i="19"/>
  <c r="AA70" i="19"/>
  <c r="AB70" i="19"/>
  <c r="AE70" i="19"/>
  <c r="AF70" i="19"/>
  <c r="AG70" i="19"/>
  <c r="AI70" i="19"/>
  <c r="AJ70" i="19"/>
  <c r="AN70" i="19"/>
  <c r="H70" i="19" s="1"/>
  <c r="AO70" i="19"/>
  <c r="I70" i="19" s="1"/>
  <c r="BC70" i="19"/>
  <c r="BE70" i="19"/>
  <c r="BI70" i="19"/>
  <c r="J72" i="19"/>
  <c r="L72" i="19"/>
  <c r="BE72" i="19" s="1"/>
  <c r="Y72" i="19"/>
  <c r="AA72" i="19"/>
  <c r="AB72" i="19"/>
  <c r="AE72" i="19"/>
  <c r="AF72" i="19"/>
  <c r="AG72" i="19"/>
  <c r="AI72" i="19"/>
  <c r="AJ72" i="19"/>
  <c r="AN72" i="19"/>
  <c r="H72" i="19" s="1"/>
  <c r="AO72" i="19"/>
  <c r="BH72" i="19" s="1"/>
  <c r="AD72" i="19" s="1"/>
  <c r="BC72" i="19"/>
  <c r="BI72" i="19"/>
  <c r="J73" i="19"/>
  <c r="AK73" i="19" s="1"/>
  <c r="L73" i="19"/>
  <c r="Y73" i="19"/>
  <c r="AA73" i="19"/>
  <c r="AB73" i="19"/>
  <c r="AE73" i="19"/>
  <c r="AF73" i="19"/>
  <c r="AG73" i="19"/>
  <c r="AI73" i="19"/>
  <c r="AJ73" i="19"/>
  <c r="AN73" i="19"/>
  <c r="H73" i="19" s="1"/>
  <c r="AO73" i="19"/>
  <c r="AW73" i="19" s="1"/>
  <c r="BC73" i="19"/>
  <c r="BE73" i="19"/>
  <c r="BG73" i="19"/>
  <c r="AC73" i="19" s="1"/>
  <c r="BH73" i="19"/>
  <c r="AD73" i="19" s="1"/>
  <c r="BI73" i="19"/>
  <c r="J74" i="19"/>
  <c r="L74" i="19"/>
  <c r="Y74" i="19"/>
  <c r="AA74" i="19"/>
  <c r="AB74" i="19"/>
  <c r="AE74" i="19"/>
  <c r="AF74" i="19"/>
  <c r="AG74" i="19"/>
  <c r="AI74" i="19"/>
  <c r="AJ74" i="19"/>
  <c r="AK74" i="19"/>
  <c r="AN74" i="19"/>
  <c r="AV74" i="19" s="1"/>
  <c r="AO74" i="19"/>
  <c r="AW74" i="19" s="1"/>
  <c r="BC74" i="19"/>
  <c r="BE74" i="19"/>
  <c r="BI74" i="19"/>
  <c r="J75" i="19"/>
  <c r="L75" i="19"/>
  <c r="Y75" i="19"/>
  <c r="AA75" i="19"/>
  <c r="AB75" i="19"/>
  <c r="AE75" i="19"/>
  <c r="AF75" i="19"/>
  <c r="AG75" i="19"/>
  <c r="AI75" i="19"/>
  <c r="AJ75" i="19"/>
  <c r="AK75" i="19"/>
  <c r="AN75" i="19"/>
  <c r="H75" i="19" s="1"/>
  <c r="AO75" i="19"/>
  <c r="I75" i="19" s="1"/>
  <c r="BC75" i="19"/>
  <c r="BE75" i="19"/>
  <c r="BI75" i="19"/>
  <c r="J76" i="19"/>
  <c r="AK76" i="19" s="1"/>
  <c r="L76" i="19"/>
  <c r="BE76" i="19" s="1"/>
  <c r="Y76" i="19"/>
  <c r="AA76" i="19"/>
  <c r="AB76" i="19"/>
  <c r="AE76" i="19"/>
  <c r="AF76" i="19"/>
  <c r="AG76" i="19"/>
  <c r="AI76" i="19"/>
  <c r="AJ76" i="19"/>
  <c r="AN76" i="19"/>
  <c r="H76" i="19" s="1"/>
  <c r="AO76" i="19"/>
  <c r="BH76" i="19" s="1"/>
  <c r="AD76" i="19" s="1"/>
  <c r="BC76" i="19"/>
  <c r="BI76" i="19"/>
  <c r="J77" i="19"/>
  <c r="AK77" i="19" s="1"/>
  <c r="L77" i="19"/>
  <c r="BE77" i="19" s="1"/>
  <c r="Y77" i="19"/>
  <c r="AA77" i="19"/>
  <c r="AB77" i="19"/>
  <c r="AE77" i="19"/>
  <c r="AF77" i="19"/>
  <c r="AG77" i="19"/>
  <c r="AI77" i="19"/>
  <c r="AJ77" i="19"/>
  <c r="AN77" i="19"/>
  <c r="BG77" i="19" s="1"/>
  <c r="AC77" i="19" s="1"/>
  <c r="AO77" i="19"/>
  <c r="BH77" i="19" s="1"/>
  <c r="AD77" i="19" s="1"/>
  <c r="BC77" i="19"/>
  <c r="BI77" i="19"/>
  <c r="J78" i="19"/>
  <c r="L78" i="19"/>
  <c r="Y78" i="19"/>
  <c r="AA78" i="19"/>
  <c r="AB78" i="19"/>
  <c r="AE78" i="19"/>
  <c r="AF78" i="19"/>
  <c r="AG78" i="19"/>
  <c r="AI78" i="19"/>
  <c r="AJ78" i="19"/>
  <c r="AK78" i="19"/>
  <c r="AN78" i="19"/>
  <c r="AV78" i="19" s="1"/>
  <c r="AO78" i="19"/>
  <c r="I78" i="19" s="1"/>
  <c r="BC78" i="19"/>
  <c r="BE78" i="19"/>
  <c r="BI78" i="19"/>
  <c r="J79" i="19"/>
  <c r="L79" i="19"/>
  <c r="Y79" i="19"/>
  <c r="AA79" i="19"/>
  <c r="AB79" i="19"/>
  <c r="AE79" i="19"/>
  <c r="AF79" i="19"/>
  <c r="AG79" i="19"/>
  <c r="AI79" i="19"/>
  <c r="AJ79" i="19"/>
  <c r="AK79" i="19"/>
  <c r="AN79" i="19"/>
  <c r="H79" i="19" s="1"/>
  <c r="AO79" i="19"/>
  <c r="I79" i="19" s="1"/>
  <c r="BC79" i="19"/>
  <c r="BE79" i="19"/>
  <c r="BI79" i="19"/>
  <c r="J81" i="19"/>
  <c r="AK81" i="19" s="1"/>
  <c r="L81" i="19"/>
  <c r="BE81" i="19" s="1"/>
  <c r="Y81" i="19"/>
  <c r="AA81" i="19"/>
  <c r="AB81" i="19"/>
  <c r="AE81" i="19"/>
  <c r="AF81" i="19"/>
  <c r="AG81" i="19"/>
  <c r="AI81" i="19"/>
  <c r="AJ81" i="19"/>
  <c r="AN81" i="19"/>
  <c r="H81" i="19" s="1"/>
  <c r="AO81" i="19"/>
  <c r="I81" i="19" s="1"/>
  <c r="BC81" i="19"/>
  <c r="BI81" i="19"/>
  <c r="J82" i="19"/>
  <c r="AK82" i="19" s="1"/>
  <c r="L82" i="19"/>
  <c r="BE82" i="19" s="1"/>
  <c r="Y82" i="19"/>
  <c r="AA82" i="19"/>
  <c r="AB82" i="19"/>
  <c r="AE82" i="19"/>
  <c r="AF82" i="19"/>
  <c r="AG82" i="19"/>
  <c r="AI82" i="19"/>
  <c r="AJ82" i="19"/>
  <c r="AN82" i="19"/>
  <c r="BG82" i="19" s="1"/>
  <c r="AC82" i="19" s="1"/>
  <c r="AO82" i="19"/>
  <c r="I82" i="19" s="1"/>
  <c r="BC82" i="19"/>
  <c r="BI82" i="19"/>
  <c r="J83" i="19"/>
  <c r="L83" i="19"/>
  <c r="Y83" i="19"/>
  <c r="AA83" i="19"/>
  <c r="AB83" i="19"/>
  <c r="AE83" i="19"/>
  <c r="AF83" i="19"/>
  <c r="AG83" i="19"/>
  <c r="AI83" i="19"/>
  <c r="AJ83" i="19"/>
  <c r="AK83" i="19"/>
  <c r="AN83" i="19"/>
  <c r="AV83" i="19" s="1"/>
  <c r="AO83" i="19"/>
  <c r="AW83" i="19" s="1"/>
  <c r="BC83" i="19"/>
  <c r="BE83" i="19"/>
  <c r="BI83" i="19"/>
  <c r="J84" i="19"/>
  <c r="L84" i="19"/>
  <c r="Y84" i="19"/>
  <c r="AA84" i="19"/>
  <c r="AB84" i="19"/>
  <c r="AE84" i="19"/>
  <c r="AF84" i="19"/>
  <c r="AG84" i="19"/>
  <c r="AI84" i="19"/>
  <c r="AJ84" i="19"/>
  <c r="AK84" i="19"/>
  <c r="AN84" i="19"/>
  <c r="H84" i="19" s="1"/>
  <c r="AO84" i="19"/>
  <c r="I84" i="19" s="1"/>
  <c r="BC84" i="19"/>
  <c r="BE84" i="19"/>
  <c r="BI84" i="19"/>
  <c r="J85" i="19"/>
  <c r="AK85" i="19" s="1"/>
  <c r="L85" i="19"/>
  <c r="BE85" i="19" s="1"/>
  <c r="Y85" i="19"/>
  <c r="AA85" i="19"/>
  <c r="AB85" i="19"/>
  <c r="AE85" i="19"/>
  <c r="AF85" i="19"/>
  <c r="AG85" i="19"/>
  <c r="AI85" i="19"/>
  <c r="AJ85" i="19"/>
  <c r="AN85" i="19"/>
  <c r="H85" i="19" s="1"/>
  <c r="AO85" i="19"/>
  <c r="BH85" i="19" s="1"/>
  <c r="AD85" i="19" s="1"/>
  <c r="BC85" i="19"/>
  <c r="BI85" i="19"/>
  <c r="J86" i="19"/>
  <c r="AK86" i="19" s="1"/>
  <c r="L86" i="19"/>
  <c r="BE86" i="19" s="1"/>
  <c r="Y86" i="19"/>
  <c r="AA86" i="19"/>
  <c r="AB86" i="19"/>
  <c r="AE86" i="19"/>
  <c r="AF86" i="19"/>
  <c r="AG86" i="19"/>
  <c r="AI86" i="19"/>
  <c r="AJ86" i="19"/>
  <c r="AN86" i="19"/>
  <c r="BG86" i="19" s="1"/>
  <c r="AC86" i="19" s="1"/>
  <c r="AO86" i="19"/>
  <c r="BH86" i="19" s="1"/>
  <c r="AD86" i="19" s="1"/>
  <c r="BC86" i="19"/>
  <c r="BI86" i="19"/>
  <c r="J87" i="19"/>
  <c r="L87" i="19"/>
  <c r="Y87" i="19"/>
  <c r="AA87" i="19"/>
  <c r="AB87" i="19"/>
  <c r="AE87" i="19"/>
  <c r="AF87" i="19"/>
  <c r="AG87" i="19"/>
  <c r="AI87" i="19"/>
  <c r="AJ87" i="19"/>
  <c r="AK87" i="19"/>
  <c r="AN87" i="19"/>
  <c r="H87" i="19" s="1"/>
  <c r="AO87" i="19"/>
  <c r="I87" i="19" s="1"/>
  <c r="BC87" i="19"/>
  <c r="BE87" i="19"/>
  <c r="BG87" i="19"/>
  <c r="AC87" i="19" s="1"/>
  <c r="BH87" i="19"/>
  <c r="AD87" i="19" s="1"/>
  <c r="BI87" i="19"/>
  <c r="J88" i="19"/>
  <c r="AK88" i="19" s="1"/>
  <c r="L88" i="19"/>
  <c r="BE88" i="19" s="1"/>
  <c r="Y88" i="19"/>
  <c r="AA88" i="19"/>
  <c r="AB88" i="19"/>
  <c r="AE88" i="19"/>
  <c r="AF88" i="19"/>
  <c r="AG88" i="19"/>
  <c r="AI88" i="19"/>
  <c r="AJ88" i="19"/>
  <c r="AN88" i="19"/>
  <c r="H88" i="19" s="1"/>
  <c r="AO88" i="19"/>
  <c r="I88" i="19" s="1"/>
  <c r="BC88" i="19"/>
  <c r="BI88" i="19"/>
  <c r="J89" i="19"/>
  <c r="AK89" i="19" s="1"/>
  <c r="L89" i="19"/>
  <c r="BE89" i="19" s="1"/>
  <c r="Y89" i="19"/>
  <c r="AA89" i="19"/>
  <c r="AB89" i="19"/>
  <c r="AE89" i="19"/>
  <c r="AF89" i="19"/>
  <c r="AG89" i="19"/>
  <c r="AI89" i="19"/>
  <c r="AJ89" i="19"/>
  <c r="AN89" i="19"/>
  <c r="AV89" i="19" s="1"/>
  <c r="AO89" i="19"/>
  <c r="AW89" i="19" s="1"/>
  <c r="BC89" i="19"/>
  <c r="BI89" i="19"/>
  <c r="J90" i="19"/>
  <c r="AK90" i="19" s="1"/>
  <c r="L90" i="19"/>
  <c r="BE90" i="19" s="1"/>
  <c r="Y90" i="19"/>
  <c r="AA90" i="19"/>
  <c r="AB90" i="19"/>
  <c r="AE90" i="19"/>
  <c r="AF90" i="19"/>
  <c r="AG90" i="19"/>
  <c r="AI90" i="19"/>
  <c r="AJ90" i="19"/>
  <c r="AN90" i="19"/>
  <c r="BG90" i="19" s="1"/>
  <c r="AC90" i="19" s="1"/>
  <c r="AO90" i="19"/>
  <c r="I90" i="19" s="1"/>
  <c r="BC90" i="19"/>
  <c r="BI90" i="19"/>
  <c r="J91" i="19"/>
  <c r="AK91" i="19" s="1"/>
  <c r="L91" i="19"/>
  <c r="Y91" i="19"/>
  <c r="AA91" i="19"/>
  <c r="AB91" i="19"/>
  <c r="AE91" i="19"/>
  <c r="AF91" i="19"/>
  <c r="AG91" i="19"/>
  <c r="AI91" i="19"/>
  <c r="AJ91" i="19"/>
  <c r="AN91" i="19"/>
  <c r="AV91" i="19" s="1"/>
  <c r="AO91" i="19"/>
  <c r="AW91" i="19" s="1"/>
  <c r="BC91" i="19"/>
  <c r="BE91" i="19"/>
  <c r="BI91" i="19"/>
  <c r="J92" i="19"/>
  <c r="AK92" i="19" s="1"/>
  <c r="L92" i="19"/>
  <c r="Y92" i="19"/>
  <c r="AA92" i="19"/>
  <c r="AB92" i="19"/>
  <c r="AE92" i="19"/>
  <c r="AF92" i="19"/>
  <c r="AG92" i="19"/>
  <c r="AI92" i="19"/>
  <c r="AJ92" i="19"/>
  <c r="AN92" i="19"/>
  <c r="H92" i="19" s="1"/>
  <c r="AO92" i="19"/>
  <c r="I92" i="19" s="1"/>
  <c r="BC92" i="19"/>
  <c r="BE92" i="19"/>
  <c r="BI92" i="19"/>
  <c r="J93" i="19"/>
  <c r="AK93" i="19" s="1"/>
  <c r="L93" i="19"/>
  <c r="BE93" i="19" s="1"/>
  <c r="Y93" i="19"/>
  <c r="AA93" i="19"/>
  <c r="AB93" i="19"/>
  <c r="AE93" i="19"/>
  <c r="AF93" i="19"/>
  <c r="AG93" i="19"/>
  <c r="AI93" i="19"/>
  <c r="AJ93" i="19"/>
  <c r="AN93" i="19"/>
  <c r="H93" i="19" s="1"/>
  <c r="AO93" i="19"/>
  <c r="BH93" i="19" s="1"/>
  <c r="AD93" i="19" s="1"/>
  <c r="AV93" i="19"/>
  <c r="BC93" i="19"/>
  <c r="BI93" i="19"/>
  <c r="J94" i="19"/>
  <c r="AK94" i="19" s="1"/>
  <c r="L94" i="19"/>
  <c r="BE94" i="19" s="1"/>
  <c r="Y94" i="19"/>
  <c r="AA94" i="19"/>
  <c r="AB94" i="19"/>
  <c r="AE94" i="19"/>
  <c r="AF94" i="19"/>
  <c r="AG94" i="19"/>
  <c r="AI94" i="19"/>
  <c r="AJ94" i="19"/>
  <c r="AN94" i="19"/>
  <c r="BG94" i="19" s="1"/>
  <c r="AC94" i="19" s="1"/>
  <c r="AO94" i="19"/>
  <c r="BH94" i="19" s="1"/>
  <c r="AD94" i="19" s="1"/>
  <c r="AV94" i="19"/>
  <c r="BC94" i="19"/>
  <c r="BI94" i="19"/>
  <c r="J95" i="19"/>
  <c r="AK95" i="19" s="1"/>
  <c r="L95" i="19"/>
  <c r="BE95" i="19" s="1"/>
  <c r="Y95" i="19"/>
  <c r="AA95" i="19"/>
  <c r="AB95" i="19"/>
  <c r="AE95" i="19"/>
  <c r="AF95" i="19"/>
  <c r="AG95" i="19"/>
  <c r="AI95" i="19"/>
  <c r="AJ95" i="19"/>
  <c r="AN95" i="19"/>
  <c r="H95" i="19" s="1"/>
  <c r="AO95" i="19"/>
  <c r="I95" i="19" s="1"/>
  <c r="BC95" i="19"/>
  <c r="BG95" i="19"/>
  <c r="AC95" i="19" s="1"/>
  <c r="BI95" i="19"/>
  <c r="J96" i="19"/>
  <c r="L96" i="19"/>
  <c r="Y96" i="19"/>
  <c r="AA96" i="19"/>
  <c r="AB96" i="19"/>
  <c r="AE96" i="19"/>
  <c r="AF96" i="19"/>
  <c r="AG96" i="19"/>
  <c r="AI96" i="19"/>
  <c r="AJ96" i="19"/>
  <c r="AK96" i="19"/>
  <c r="AN96" i="19"/>
  <c r="H96" i="19" s="1"/>
  <c r="AO96" i="19"/>
  <c r="I96" i="19" s="1"/>
  <c r="BC96" i="19"/>
  <c r="BE96" i="19"/>
  <c r="BI96" i="19"/>
  <c r="J97" i="19"/>
  <c r="AK97" i="19" s="1"/>
  <c r="L97" i="19"/>
  <c r="BE97" i="19" s="1"/>
  <c r="Y97" i="19"/>
  <c r="AA97" i="19"/>
  <c r="AB97" i="19"/>
  <c r="AE97" i="19"/>
  <c r="AF97" i="19"/>
  <c r="AG97" i="19"/>
  <c r="AI97" i="19"/>
  <c r="AJ97" i="19"/>
  <c r="AN97" i="19"/>
  <c r="H97" i="19" s="1"/>
  <c r="AO97" i="19"/>
  <c r="AW97" i="19" s="1"/>
  <c r="BC97" i="19"/>
  <c r="BI97" i="19"/>
  <c r="J98" i="19"/>
  <c r="AK98" i="19" s="1"/>
  <c r="L98" i="19"/>
  <c r="BE98" i="19" s="1"/>
  <c r="Y98" i="19"/>
  <c r="AA98" i="19"/>
  <c r="AB98" i="19"/>
  <c r="AE98" i="19"/>
  <c r="AF98" i="19"/>
  <c r="AG98" i="19"/>
  <c r="AI98" i="19"/>
  <c r="AJ98" i="19"/>
  <c r="AN98" i="19"/>
  <c r="H98" i="19" s="1"/>
  <c r="AO98" i="19"/>
  <c r="AW98" i="19" s="1"/>
  <c r="BC98" i="19"/>
  <c r="BI98" i="19"/>
  <c r="J99" i="19"/>
  <c r="AK99" i="19" s="1"/>
  <c r="L99" i="19"/>
  <c r="BE99" i="19" s="1"/>
  <c r="Y99" i="19"/>
  <c r="AA99" i="19"/>
  <c r="AB99" i="19"/>
  <c r="AE99" i="19"/>
  <c r="AF99" i="19"/>
  <c r="AG99" i="19"/>
  <c r="AI99" i="19"/>
  <c r="AJ99" i="19"/>
  <c r="AN99" i="19"/>
  <c r="AV99" i="19" s="1"/>
  <c r="AO99" i="19"/>
  <c r="AW99" i="19" s="1"/>
  <c r="BC99" i="19"/>
  <c r="BI99" i="19"/>
  <c r="J100" i="19"/>
  <c r="AK100" i="19" s="1"/>
  <c r="L100" i="19"/>
  <c r="BE100" i="19" s="1"/>
  <c r="Y100" i="19"/>
  <c r="AA100" i="19"/>
  <c r="AB100" i="19"/>
  <c r="AE100" i="19"/>
  <c r="AF100" i="19"/>
  <c r="AG100" i="19"/>
  <c r="AI100" i="19"/>
  <c r="AJ100" i="19"/>
  <c r="AN100" i="19"/>
  <c r="H100" i="19" s="1"/>
  <c r="AO100" i="19"/>
  <c r="I100" i="19" s="1"/>
  <c r="BC100" i="19"/>
  <c r="BI100" i="19"/>
  <c r="J101" i="19"/>
  <c r="AK101" i="19" s="1"/>
  <c r="L101" i="19"/>
  <c r="BE101" i="19" s="1"/>
  <c r="Y101" i="19"/>
  <c r="AA101" i="19"/>
  <c r="AB101" i="19"/>
  <c r="AE101" i="19"/>
  <c r="AF101" i="19"/>
  <c r="AG101" i="19"/>
  <c r="AI101" i="19"/>
  <c r="AJ101" i="19"/>
  <c r="AN101" i="19"/>
  <c r="H101" i="19" s="1"/>
  <c r="AO101" i="19"/>
  <c r="BH101" i="19" s="1"/>
  <c r="AD101" i="19" s="1"/>
  <c r="BC101" i="19"/>
  <c r="BI101" i="19"/>
  <c r="J102" i="19"/>
  <c r="AK102" i="19" s="1"/>
  <c r="L102" i="19"/>
  <c r="BE102" i="19" s="1"/>
  <c r="Y102" i="19"/>
  <c r="AA102" i="19"/>
  <c r="AB102" i="19"/>
  <c r="AE102" i="19"/>
  <c r="AF102" i="19"/>
  <c r="AG102" i="19"/>
  <c r="AI102" i="19"/>
  <c r="AJ102" i="19"/>
  <c r="AN102" i="19"/>
  <c r="BG102" i="19" s="1"/>
  <c r="AC102" i="19" s="1"/>
  <c r="AO102" i="19"/>
  <c r="BH102" i="19" s="1"/>
  <c r="AD102" i="19" s="1"/>
  <c r="BC102" i="19"/>
  <c r="BI102" i="19"/>
  <c r="J103" i="19"/>
  <c r="AK103" i="19" s="1"/>
  <c r="L103" i="19"/>
  <c r="BE103" i="19" s="1"/>
  <c r="Y103" i="19"/>
  <c r="AA103" i="19"/>
  <c r="AB103" i="19"/>
  <c r="AE103" i="19"/>
  <c r="AF103" i="19"/>
  <c r="AG103" i="19"/>
  <c r="AI103" i="19"/>
  <c r="AJ103" i="19"/>
  <c r="AN103" i="19"/>
  <c r="H103" i="19" s="1"/>
  <c r="AO103" i="19"/>
  <c r="I103" i="19" s="1"/>
  <c r="BC103" i="19"/>
  <c r="BI103" i="19"/>
  <c r="J104" i="19"/>
  <c r="AK104" i="19" s="1"/>
  <c r="L104" i="19"/>
  <c r="Y104" i="19"/>
  <c r="AA104" i="19"/>
  <c r="AB104" i="19"/>
  <c r="AE104" i="19"/>
  <c r="AF104" i="19"/>
  <c r="AG104" i="19"/>
  <c r="AI104" i="19"/>
  <c r="AJ104" i="19"/>
  <c r="AN104" i="19"/>
  <c r="H104" i="19" s="1"/>
  <c r="AO104" i="19"/>
  <c r="I104" i="19" s="1"/>
  <c r="BC104" i="19"/>
  <c r="BE104" i="19"/>
  <c r="BI104" i="19"/>
  <c r="J105" i="19"/>
  <c r="AK105" i="19" s="1"/>
  <c r="L105" i="19"/>
  <c r="BE105" i="19" s="1"/>
  <c r="Y105" i="19"/>
  <c r="AA105" i="19"/>
  <c r="AB105" i="19"/>
  <c r="AE105" i="19"/>
  <c r="AF105" i="19"/>
  <c r="AG105" i="19"/>
  <c r="AI105" i="19"/>
  <c r="AJ105" i="19"/>
  <c r="AN105" i="19"/>
  <c r="H105" i="19" s="1"/>
  <c r="AO105" i="19"/>
  <c r="AW105" i="19" s="1"/>
  <c r="BC105" i="19"/>
  <c r="BI105" i="19"/>
  <c r="J106" i="19"/>
  <c r="AK106" i="19" s="1"/>
  <c r="L106" i="19"/>
  <c r="BE106" i="19" s="1"/>
  <c r="Y106" i="19"/>
  <c r="AA106" i="19"/>
  <c r="AB106" i="19"/>
  <c r="AE106" i="19"/>
  <c r="AF106" i="19"/>
  <c r="AG106" i="19"/>
  <c r="AI106" i="19"/>
  <c r="AJ106" i="19"/>
  <c r="AN106" i="19"/>
  <c r="H106" i="19" s="1"/>
  <c r="AO106" i="19"/>
  <c r="AW106" i="19" s="1"/>
  <c r="BC106" i="19"/>
  <c r="BI106" i="19"/>
  <c r="J107" i="19"/>
  <c r="AK107" i="19" s="1"/>
  <c r="L107" i="19"/>
  <c r="BE107" i="19" s="1"/>
  <c r="Y107" i="19"/>
  <c r="AA107" i="19"/>
  <c r="AB107" i="19"/>
  <c r="AE107" i="19"/>
  <c r="AF107" i="19"/>
  <c r="AG107" i="19"/>
  <c r="AI107" i="19"/>
  <c r="AJ107" i="19"/>
  <c r="AN107" i="19"/>
  <c r="AV107" i="19" s="1"/>
  <c r="AO107" i="19"/>
  <c r="AW107" i="19" s="1"/>
  <c r="BC107" i="19"/>
  <c r="BI107" i="19"/>
  <c r="L108" i="19"/>
  <c r="J109" i="19"/>
  <c r="J108" i="19" s="1"/>
  <c r="L109" i="19"/>
  <c r="Y109" i="19"/>
  <c r="AC109" i="19"/>
  <c r="AD109" i="19"/>
  <c r="AE109" i="19"/>
  <c r="AF109" i="19"/>
  <c r="AG109" i="19"/>
  <c r="AI109" i="19"/>
  <c r="AR108" i="19" s="1"/>
  <c r="AJ109" i="19"/>
  <c r="AS108" i="19" s="1"/>
  <c r="AK109" i="19"/>
  <c r="AT108" i="19" s="1"/>
  <c r="AN109" i="19"/>
  <c r="AV109" i="19" s="1"/>
  <c r="AO109" i="19"/>
  <c r="I109" i="19" s="1"/>
  <c r="I108" i="19" s="1"/>
  <c r="BC109" i="19"/>
  <c r="BE109" i="19"/>
  <c r="BI109" i="19"/>
  <c r="I107" i="19" l="1"/>
  <c r="AV31" i="19"/>
  <c r="AU23" i="20"/>
  <c r="H82" i="19"/>
  <c r="AU17" i="20"/>
  <c r="I30" i="19"/>
  <c r="BG100" i="19"/>
  <c r="AC100" i="19" s="1"/>
  <c r="AW93" i="19"/>
  <c r="AW79" i="19"/>
  <c r="AW58" i="19"/>
  <c r="BB31" i="19"/>
  <c r="H30" i="19"/>
  <c r="AQ19" i="20"/>
  <c r="AV105" i="19"/>
  <c r="AW104" i="19"/>
  <c r="AV102" i="19"/>
  <c r="AV97" i="19"/>
  <c r="AW94" i="19"/>
  <c r="AW88" i="19"/>
  <c r="H107" i="19"/>
  <c r="AW101" i="19"/>
  <c r="H99" i="19"/>
  <c r="AV86" i="19"/>
  <c r="AV85" i="19"/>
  <c r="AV82" i="19"/>
  <c r="AV77" i="19"/>
  <c r="AV67" i="19"/>
  <c r="AV64" i="19"/>
  <c r="AV56" i="19"/>
  <c r="AV55" i="19"/>
  <c r="AV43" i="19"/>
  <c r="BB43" i="19" s="1"/>
  <c r="AV38" i="19"/>
  <c r="BB38" i="19" s="1"/>
  <c r="AV33" i="19"/>
  <c r="AU33" i="19" s="1"/>
  <c r="AV25" i="19"/>
  <c r="AV24" i="19"/>
  <c r="AU24" i="19" s="1"/>
  <c r="AW17" i="19"/>
  <c r="AV15" i="19"/>
  <c r="J12" i="19"/>
  <c r="AT23" i="20"/>
  <c r="AZ23" i="20" s="1"/>
  <c r="H23" i="20"/>
  <c r="H22" i="20" s="1"/>
  <c r="AU21" i="20"/>
  <c r="H21" i="20"/>
  <c r="AT17" i="20"/>
  <c r="AZ17" i="20" s="1"/>
  <c r="I99" i="19"/>
  <c r="AW86" i="19"/>
  <c r="AW85" i="19"/>
  <c r="AW77" i="19"/>
  <c r="AV70" i="19"/>
  <c r="BG63" i="19"/>
  <c r="AC63" i="19" s="1"/>
  <c r="AV58" i="19"/>
  <c r="AU58" i="19" s="1"/>
  <c r="BG42" i="19"/>
  <c r="AC42" i="19" s="1"/>
  <c r="L12" i="19"/>
  <c r="BH82" i="19"/>
  <c r="AD82" i="19" s="1"/>
  <c r="I29" i="19"/>
  <c r="BE16" i="20"/>
  <c r="AA16" i="20" s="1"/>
  <c r="H16" i="20"/>
  <c r="AV101" i="19"/>
  <c r="I77" i="19"/>
  <c r="I73" i="19"/>
  <c r="H68" i="19"/>
  <c r="H64" i="19"/>
  <c r="H60" i="19"/>
  <c r="BG43" i="19"/>
  <c r="AC43" i="19" s="1"/>
  <c r="H38" i="19"/>
  <c r="H22" i="19"/>
  <c r="AU13" i="20"/>
  <c r="AT13" i="20"/>
  <c r="AZ13" i="20" s="1"/>
  <c r="AW13" i="19"/>
  <c r="AW92" i="19"/>
  <c r="BG92" i="19"/>
  <c r="AC92" i="19" s="1"/>
  <c r="H109" i="19"/>
  <c r="H108" i="19" s="1"/>
  <c r="AV106" i="19"/>
  <c r="BH106" i="19"/>
  <c r="AD106" i="19" s="1"/>
  <c r="BG106" i="19"/>
  <c r="AC106" i="19" s="1"/>
  <c r="I106" i="19"/>
  <c r="AU105" i="19"/>
  <c r="BH105" i="19"/>
  <c r="AD105" i="19" s="1"/>
  <c r="I105" i="19"/>
  <c r="BG105" i="19"/>
  <c r="AC105" i="19" s="1"/>
  <c r="BB105" i="19"/>
  <c r="BH103" i="19"/>
  <c r="AD103" i="19" s="1"/>
  <c r="BG103" i="19"/>
  <c r="AC103" i="19" s="1"/>
  <c r="I102" i="19"/>
  <c r="H102" i="19"/>
  <c r="AW102" i="19"/>
  <c r="BB102" i="19" s="1"/>
  <c r="AU101" i="19"/>
  <c r="I101" i="19"/>
  <c r="AW100" i="19"/>
  <c r="BH100" i="19"/>
  <c r="AD100" i="19" s="1"/>
  <c r="BH98" i="19"/>
  <c r="AD98" i="19" s="1"/>
  <c r="BG98" i="19"/>
  <c r="AC98" i="19" s="1"/>
  <c r="I98" i="19"/>
  <c r="AV98" i="19"/>
  <c r="BB98" i="19" s="1"/>
  <c r="BH97" i="19"/>
  <c r="AD97" i="19" s="1"/>
  <c r="AU97" i="19"/>
  <c r="BG97" i="19"/>
  <c r="AC97" i="19" s="1"/>
  <c r="I97" i="19"/>
  <c r="BB97" i="19"/>
  <c r="AW96" i="19"/>
  <c r="BH95" i="19"/>
  <c r="AD95" i="19" s="1"/>
  <c r="BB94" i="19"/>
  <c r="I94" i="19"/>
  <c r="H94" i="19"/>
  <c r="AU93" i="19"/>
  <c r="I93" i="19"/>
  <c r="BH92" i="19"/>
  <c r="AD92" i="19" s="1"/>
  <c r="I91" i="19"/>
  <c r="AV90" i="19"/>
  <c r="BH90" i="19"/>
  <c r="AD90" i="19" s="1"/>
  <c r="H90" i="19"/>
  <c r="AU89" i="19"/>
  <c r="BB89" i="19"/>
  <c r="BH89" i="19"/>
  <c r="AD89" i="19" s="1"/>
  <c r="BG89" i="19"/>
  <c r="AC89" i="19" s="1"/>
  <c r="I89" i="19"/>
  <c r="H89" i="19"/>
  <c r="BB86" i="19"/>
  <c r="I86" i="19"/>
  <c r="H86" i="19"/>
  <c r="AU85" i="19"/>
  <c r="I85" i="19"/>
  <c r="AW84" i="19"/>
  <c r="BH84" i="19"/>
  <c r="AD84" i="19" s="1"/>
  <c r="BG84" i="19"/>
  <c r="AC84" i="19" s="1"/>
  <c r="I83" i="19"/>
  <c r="H83" i="19"/>
  <c r="AW81" i="19"/>
  <c r="AV81" i="19"/>
  <c r="BH81" i="19"/>
  <c r="AD81" i="19" s="1"/>
  <c r="BG81" i="19"/>
  <c r="AC81" i="19" s="1"/>
  <c r="BH78" i="19"/>
  <c r="AD78" i="19" s="1"/>
  <c r="BG78" i="19"/>
  <c r="AC78" i="19" s="1"/>
  <c r="H78" i="19"/>
  <c r="BB77" i="19"/>
  <c r="AW76" i="19"/>
  <c r="AV76" i="19"/>
  <c r="I76" i="19"/>
  <c r="AW75" i="19"/>
  <c r="BH75" i="19"/>
  <c r="AD75" i="19" s="1"/>
  <c r="BG75" i="19"/>
  <c r="AC75" i="19" s="1"/>
  <c r="I74" i="19"/>
  <c r="AV73" i="19"/>
  <c r="AU73" i="19" s="1"/>
  <c r="AS71" i="19"/>
  <c r="AR71" i="19"/>
  <c r="J71" i="19"/>
  <c r="AW72" i="19"/>
  <c r="AV72" i="19"/>
  <c r="BG72" i="19"/>
  <c r="AC72" i="19" s="1"/>
  <c r="I72" i="19"/>
  <c r="AW70" i="19"/>
  <c r="BB70" i="19" s="1"/>
  <c r="BH70" i="19"/>
  <c r="AD70" i="19" s="1"/>
  <c r="BG70" i="19"/>
  <c r="AC70" i="19" s="1"/>
  <c r="AU70" i="19"/>
  <c r="H69" i="19"/>
  <c r="BH68" i="19"/>
  <c r="AD68" i="19" s="1"/>
  <c r="AW67" i="19"/>
  <c r="BB67" i="19" s="1"/>
  <c r="H67" i="19"/>
  <c r="AW66" i="19"/>
  <c r="AV66" i="19"/>
  <c r="BH65" i="19"/>
  <c r="AD65" i="19" s="1"/>
  <c r="AV63" i="19"/>
  <c r="AW62" i="19"/>
  <c r="AV62" i="19"/>
  <c r="BH62" i="19"/>
  <c r="AD62" i="19" s="1"/>
  <c r="BG62" i="19"/>
  <c r="AC62" i="19" s="1"/>
  <c r="H61" i="19"/>
  <c r="BH60" i="19"/>
  <c r="AD60" i="19" s="1"/>
  <c r="AW59" i="19"/>
  <c r="AV59" i="19"/>
  <c r="BH59" i="19"/>
  <c r="AD59" i="19" s="1"/>
  <c r="BG59" i="19"/>
  <c r="AC59" i="19" s="1"/>
  <c r="BH57" i="19"/>
  <c r="AD57" i="19" s="1"/>
  <c r="BG57" i="19"/>
  <c r="AC57" i="19" s="1"/>
  <c r="BG56" i="19"/>
  <c r="AC56" i="19" s="1"/>
  <c r="AW53" i="19"/>
  <c r="AV53" i="19"/>
  <c r="BH53" i="19"/>
  <c r="AD53" i="19" s="1"/>
  <c r="BG53" i="19"/>
  <c r="AC53" i="19" s="1"/>
  <c r="H51" i="19"/>
  <c r="BH49" i="19"/>
  <c r="AD49" i="19" s="1"/>
  <c r="AU47" i="19"/>
  <c r="BH47" i="19"/>
  <c r="AD47" i="19" s="1"/>
  <c r="H47" i="19"/>
  <c r="BB47" i="19"/>
  <c r="AW45" i="19"/>
  <c r="BB45" i="19" s="1"/>
  <c r="AW44" i="19"/>
  <c r="BH44" i="19"/>
  <c r="AD44" i="19" s="1"/>
  <c r="BG44" i="19"/>
  <c r="AC44" i="19" s="1"/>
  <c r="AV42" i="19"/>
  <c r="AW41" i="19"/>
  <c r="AV41" i="19"/>
  <c r="BH41" i="19"/>
  <c r="AD41" i="19" s="1"/>
  <c r="BG41" i="19"/>
  <c r="AC41" i="19" s="1"/>
  <c r="H40" i="19"/>
  <c r="BH39" i="19"/>
  <c r="AD39" i="19" s="1"/>
  <c r="BG39" i="19"/>
  <c r="AC39" i="19" s="1"/>
  <c r="AU38" i="19"/>
  <c r="AS36" i="19"/>
  <c r="AR36" i="19"/>
  <c r="BH38" i="19"/>
  <c r="AD38" i="19" s="1"/>
  <c r="J36" i="19"/>
  <c r="AW37" i="19"/>
  <c r="AV37" i="19"/>
  <c r="AU37" i="19" s="1"/>
  <c r="AW35" i="19"/>
  <c r="BH34" i="19"/>
  <c r="AD34" i="19" s="1"/>
  <c r="BB33" i="19"/>
  <c r="BH33" i="19"/>
  <c r="AD33" i="19" s="1"/>
  <c r="BG33" i="19"/>
  <c r="AC33" i="19" s="1"/>
  <c r="BH32" i="19"/>
  <c r="AD32" i="19" s="1"/>
  <c r="I32" i="19"/>
  <c r="AV32" i="19"/>
  <c r="AU31" i="19"/>
  <c r="BH31" i="19"/>
  <c r="AD31" i="19" s="1"/>
  <c r="BG31" i="19"/>
  <c r="AC31" i="19" s="1"/>
  <c r="AW28" i="19"/>
  <c r="AV28" i="19"/>
  <c r="BG28" i="19"/>
  <c r="AC28" i="19" s="1"/>
  <c r="I28" i="19"/>
  <c r="AW25" i="19"/>
  <c r="BB25" i="19" s="1"/>
  <c r="BH25" i="19"/>
  <c r="AD25" i="19" s="1"/>
  <c r="BG25" i="19"/>
  <c r="AC25" i="19" s="1"/>
  <c r="BB24" i="19"/>
  <c r="BH24" i="19"/>
  <c r="AD24" i="19" s="1"/>
  <c r="BG24" i="19"/>
  <c r="AC24" i="19" s="1"/>
  <c r="AW23" i="19"/>
  <c r="BG23" i="19"/>
  <c r="AC23" i="19" s="1"/>
  <c r="BG22" i="19"/>
  <c r="AC22" i="19" s="1"/>
  <c r="I22" i="19"/>
  <c r="I21" i="19"/>
  <c r="BG20" i="19"/>
  <c r="AC20" i="19" s="1"/>
  <c r="I20" i="19"/>
  <c r="AW20" i="19"/>
  <c r="AU20" i="19" s="1"/>
  <c r="AS16" i="19"/>
  <c r="AR16" i="19"/>
  <c r="BH18" i="19"/>
  <c r="AD18" i="19" s="1"/>
  <c r="J16" i="19"/>
  <c r="BH17" i="19"/>
  <c r="AD17" i="19" s="1"/>
  <c r="H15" i="19"/>
  <c r="AV14" i="19"/>
  <c r="AT12" i="19"/>
  <c r="AS12" i="19"/>
  <c r="AR12" i="19"/>
  <c r="BH14" i="19"/>
  <c r="AB14" i="19" s="1"/>
  <c r="BG14" i="19"/>
  <c r="AA14" i="19" s="1"/>
  <c r="BH13" i="19"/>
  <c r="AB13" i="19" s="1"/>
  <c r="BG13" i="19"/>
  <c r="AA13" i="19" s="1"/>
  <c r="J22" i="20"/>
  <c r="BF23" i="20"/>
  <c r="Z23" i="20" s="1"/>
  <c r="AT21" i="20"/>
  <c r="AS21" i="20" s="1"/>
  <c r="AP19" i="20"/>
  <c r="I19" i="20"/>
  <c r="BF21" i="20"/>
  <c r="AB21" i="20" s="1"/>
  <c r="AR19" i="20"/>
  <c r="H20" i="20"/>
  <c r="H19" i="20" s="1"/>
  <c r="AS17" i="20"/>
  <c r="AQ15" i="20"/>
  <c r="AP15" i="20"/>
  <c r="BF17" i="20"/>
  <c r="AB17" i="20" s="1"/>
  <c r="BE17" i="20"/>
  <c r="AA17" i="20" s="1"/>
  <c r="AR15" i="20"/>
  <c r="I16" i="20"/>
  <c r="AS13" i="20"/>
  <c r="BF13" i="20"/>
  <c r="AB13" i="20" s="1"/>
  <c r="BE13" i="20"/>
  <c r="AA13" i="20" s="1"/>
  <c r="AQ12" i="20"/>
  <c r="AP12" i="20"/>
  <c r="H14" i="20"/>
  <c r="H12" i="20" s="1"/>
  <c r="J12" i="20"/>
  <c r="I15" i="20"/>
  <c r="H15" i="20"/>
  <c r="I22" i="20"/>
  <c r="I12" i="20"/>
  <c r="AS16" i="20"/>
  <c r="J19" i="20"/>
  <c r="J15" i="20"/>
  <c r="BF24" i="20"/>
  <c r="Z24" i="20" s="1"/>
  <c r="BF18" i="20"/>
  <c r="AB18" i="20" s="1"/>
  <c r="BE24" i="20"/>
  <c r="Y24" i="20" s="1"/>
  <c r="BF20" i="20"/>
  <c r="AB20" i="20" s="1"/>
  <c r="BE18" i="20"/>
  <c r="AA18" i="20" s="1"/>
  <c r="BF14" i="20"/>
  <c r="AB14" i="20" s="1"/>
  <c r="BE20" i="20"/>
  <c r="AA20" i="20" s="1"/>
  <c r="BF16" i="20"/>
  <c r="AB16" i="20" s="1"/>
  <c r="BE14" i="20"/>
  <c r="AA14" i="20" s="1"/>
  <c r="AI23" i="20"/>
  <c r="AR22" i="20" s="1"/>
  <c r="AI13" i="20"/>
  <c r="AR12" i="20" s="1"/>
  <c r="AU24" i="20"/>
  <c r="AU18" i="20"/>
  <c r="AT24" i="20"/>
  <c r="AU20" i="20"/>
  <c r="AZ20" i="20" s="1"/>
  <c r="AT18" i="20"/>
  <c r="AU14" i="20"/>
  <c r="AZ14" i="20" s="1"/>
  <c r="BB56" i="19"/>
  <c r="H36" i="19"/>
  <c r="AT36" i="19"/>
  <c r="BB22" i="19"/>
  <c r="AU22" i="19"/>
  <c r="I12" i="19"/>
  <c r="H12" i="19"/>
  <c r="AU91" i="19"/>
  <c r="BB91" i="19"/>
  <c r="AU83" i="19"/>
  <c r="BB83" i="19"/>
  <c r="BB74" i="19"/>
  <c r="AU74" i="19"/>
  <c r="I71" i="19"/>
  <c r="BB107" i="19"/>
  <c r="AU107" i="19"/>
  <c r="H16" i="19"/>
  <c r="BB64" i="19"/>
  <c r="AU106" i="19"/>
  <c r="AU99" i="19"/>
  <c r="BB99" i="19"/>
  <c r="BB30" i="19"/>
  <c r="AU30" i="19"/>
  <c r="H91" i="19"/>
  <c r="H74" i="19"/>
  <c r="AU64" i="19"/>
  <c r="I64" i="19"/>
  <c r="AU56" i="19"/>
  <c r="I56" i="19"/>
  <c r="AU43" i="19"/>
  <c r="I43" i="19"/>
  <c r="AV17" i="19"/>
  <c r="AW15" i="19"/>
  <c r="BB15" i="19" s="1"/>
  <c r="AU86" i="19"/>
  <c r="AU77" i="19"/>
  <c r="L36" i="19"/>
  <c r="H77" i="19"/>
  <c r="I67" i="19"/>
  <c r="BG49" i="19"/>
  <c r="AC49" i="19" s="1"/>
  <c r="BH29" i="19"/>
  <c r="AD29" i="19" s="1"/>
  <c r="BH21" i="19"/>
  <c r="AD21" i="19" s="1"/>
  <c r="BH63" i="19"/>
  <c r="AD63" i="19" s="1"/>
  <c r="BH55" i="19"/>
  <c r="AD55" i="19" s="1"/>
  <c r="BH42" i="19"/>
  <c r="AD42" i="19" s="1"/>
  <c r="BG29" i="19"/>
  <c r="AC29" i="19" s="1"/>
  <c r="BG21" i="19"/>
  <c r="AC21" i="19" s="1"/>
  <c r="AU102" i="19"/>
  <c r="AV100" i="19"/>
  <c r="AV92" i="19"/>
  <c r="AV84" i="19"/>
  <c r="AV75" i="19"/>
  <c r="AW65" i="19"/>
  <c r="AW57" i="19"/>
  <c r="AV23" i="19"/>
  <c r="AK17" i="19"/>
  <c r="AT16" i="19" s="1"/>
  <c r="AU94" i="19"/>
  <c r="AW103" i="19"/>
  <c r="BG101" i="19"/>
  <c r="AC101" i="19" s="1"/>
  <c r="AW95" i="19"/>
  <c r="BG93" i="19"/>
  <c r="AC93" i="19" s="1"/>
  <c r="AW87" i="19"/>
  <c r="BG85" i="19"/>
  <c r="AC85" i="19" s="1"/>
  <c r="AW78" i="19"/>
  <c r="AU78" i="19" s="1"/>
  <c r="BG76" i="19"/>
  <c r="AC76" i="19" s="1"/>
  <c r="BH66" i="19"/>
  <c r="AD66" i="19" s="1"/>
  <c r="AV65" i="19"/>
  <c r="BH58" i="19"/>
  <c r="AD58" i="19" s="1"/>
  <c r="AV57" i="19"/>
  <c r="BH45" i="19"/>
  <c r="AD45" i="19" s="1"/>
  <c r="AV44" i="19"/>
  <c r="BH37" i="19"/>
  <c r="AD37" i="19" s="1"/>
  <c r="AW34" i="19"/>
  <c r="BG32" i="19"/>
  <c r="AC32" i="19" s="1"/>
  <c r="AW26" i="19"/>
  <c r="I23" i="19"/>
  <c r="I16" i="19" s="1"/>
  <c r="AW18" i="19"/>
  <c r="AV13" i="19"/>
  <c r="BB106" i="19"/>
  <c r="BH104" i="19"/>
  <c r="AD104" i="19" s="1"/>
  <c r="AV103" i="19"/>
  <c r="BH96" i="19"/>
  <c r="AD96" i="19" s="1"/>
  <c r="AV95" i="19"/>
  <c r="BH88" i="19"/>
  <c r="AD88" i="19" s="1"/>
  <c r="AV87" i="19"/>
  <c r="BH79" i="19"/>
  <c r="AD79" i="19" s="1"/>
  <c r="BB73" i="19"/>
  <c r="AK72" i="19"/>
  <c r="AT71" i="19" s="1"/>
  <c r="AW68" i="19"/>
  <c r="AU68" i="19" s="1"/>
  <c r="BG66" i="19"/>
  <c r="AC66" i="19" s="1"/>
  <c r="AW60" i="19"/>
  <c r="AU60" i="19" s="1"/>
  <c r="BG58" i="19"/>
  <c r="AC58" i="19" s="1"/>
  <c r="AW49" i="19"/>
  <c r="BG45" i="19"/>
  <c r="AC45" i="19" s="1"/>
  <c r="AW39" i="19"/>
  <c r="BG37" i="19"/>
  <c r="AC37" i="19" s="1"/>
  <c r="BH35" i="19"/>
  <c r="AD35" i="19" s="1"/>
  <c r="AV34" i="19"/>
  <c r="BH27" i="19"/>
  <c r="AD27" i="19" s="1"/>
  <c r="AV26" i="19"/>
  <c r="BH19" i="19"/>
  <c r="AD19" i="19" s="1"/>
  <c r="AV18" i="19"/>
  <c r="L16" i="19"/>
  <c r="BH109" i="19"/>
  <c r="AB109" i="19" s="1"/>
  <c r="BG104" i="19"/>
  <c r="AC104" i="19" s="1"/>
  <c r="BG96" i="19"/>
  <c r="AC96" i="19" s="1"/>
  <c r="AW90" i="19"/>
  <c r="AU90" i="19" s="1"/>
  <c r="BG88" i="19"/>
  <c r="AC88" i="19" s="1"/>
  <c r="AW82" i="19"/>
  <c r="AU82" i="19" s="1"/>
  <c r="BG79" i="19"/>
  <c r="AC79" i="19" s="1"/>
  <c r="BH69" i="19"/>
  <c r="AD69" i="19" s="1"/>
  <c r="BH61" i="19"/>
  <c r="AD61" i="19" s="1"/>
  <c r="BH51" i="19"/>
  <c r="AD51" i="19" s="1"/>
  <c r="AV49" i="19"/>
  <c r="BH40" i="19"/>
  <c r="AD40" i="19" s="1"/>
  <c r="AV39" i="19"/>
  <c r="BG35" i="19"/>
  <c r="AC35" i="19" s="1"/>
  <c r="BG27" i="19"/>
  <c r="AC27" i="19" s="1"/>
  <c r="BG19" i="19"/>
  <c r="AC19" i="19" s="1"/>
  <c r="BE14" i="19"/>
  <c r="BH107" i="19"/>
  <c r="AD107" i="19" s="1"/>
  <c r="BH99" i="19"/>
  <c r="AD99" i="19" s="1"/>
  <c r="BB93" i="19"/>
  <c r="BH91" i="19"/>
  <c r="AD91" i="19" s="1"/>
  <c r="BB85" i="19"/>
  <c r="BH83" i="19"/>
  <c r="AD83" i="19" s="1"/>
  <c r="BH74" i="19"/>
  <c r="AD74" i="19" s="1"/>
  <c r="L71" i="19"/>
  <c r="BG69" i="19"/>
  <c r="AC69" i="19" s="1"/>
  <c r="AW63" i="19"/>
  <c r="AU63" i="19" s="1"/>
  <c r="BG61" i="19"/>
  <c r="AC61" i="19" s="1"/>
  <c r="AW55" i="19"/>
  <c r="AU55" i="19" s="1"/>
  <c r="BG51" i="19"/>
  <c r="AC51" i="19" s="1"/>
  <c r="AW42" i="19"/>
  <c r="AU42" i="19" s="1"/>
  <c r="BG40" i="19"/>
  <c r="AC40" i="19" s="1"/>
  <c r="BH30" i="19"/>
  <c r="AD30" i="19" s="1"/>
  <c r="AV29" i="19"/>
  <c r="BH22" i="19"/>
  <c r="AD22" i="19" s="1"/>
  <c r="AV21" i="19"/>
  <c r="BG109" i="19"/>
  <c r="AA109" i="19" s="1"/>
  <c r="BG91" i="19"/>
  <c r="AC91" i="19" s="1"/>
  <c r="BG83" i="19"/>
  <c r="AC83" i="19" s="1"/>
  <c r="BG74" i="19"/>
  <c r="AC74" i="19" s="1"/>
  <c r="BH64" i="19"/>
  <c r="AD64" i="19" s="1"/>
  <c r="BB58" i="19"/>
  <c r="BH56" i="19"/>
  <c r="AD56" i="19" s="1"/>
  <c r="BH43" i="19"/>
  <c r="AD43" i="19" s="1"/>
  <c r="BB37" i="19"/>
  <c r="BG30" i="19"/>
  <c r="AC30" i="19" s="1"/>
  <c r="AW109" i="19"/>
  <c r="AU109" i="19" s="1"/>
  <c r="AV104" i="19"/>
  <c r="AV96" i="19"/>
  <c r="AV88" i="19"/>
  <c r="AV79" i="19"/>
  <c r="AW69" i="19"/>
  <c r="AU69" i="19" s="1"/>
  <c r="AW61" i="19"/>
  <c r="AU61" i="19" s="1"/>
  <c r="AW51" i="19"/>
  <c r="AU51" i="19" s="1"/>
  <c r="AW40" i="19"/>
  <c r="AU40" i="19" s="1"/>
  <c r="AV35" i="19"/>
  <c r="AV27" i="19"/>
  <c r="AV19" i="19"/>
  <c r="BG107" i="19"/>
  <c r="AC107" i="19" s="1"/>
  <c r="BG99" i="19"/>
  <c r="AC99" i="19" s="1"/>
  <c r="J39" i="17"/>
  <c r="J38" i="17"/>
  <c r="AY75" i="1"/>
  <c r="J37" i="17"/>
  <c r="AX75" i="1" s="1"/>
  <c r="BI113" i="17"/>
  <c r="BH113" i="17"/>
  <c r="BG113" i="17"/>
  <c r="BF113" i="17"/>
  <c r="T113" i="17"/>
  <c r="R113" i="17"/>
  <c r="P113" i="17"/>
  <c r="BK113" i="17"/>
  <c r="J113" i="17"/>
  <c r="BE113" i="17" s="1"/>
  <c r="BI112" i="17"/>
  <c r="BH112" i="17"/>
  <c r="BG112" i="17"/>
  <c r="BF112" i="17"/>
  <c r="T112" i="17"/>
  <c r="R112" i="17"/>
  <c r="P112" i="17"/>
  <c r="BK112" i="17"/>
  <c r="J112" i="17"/>
  <c r="BE112" i="17"/>
  <c r="BI110" i="17"/>
  <c r="BH110" i="17"/>
  <c r="BG110" i="17"/>
  <c r="BF110" i="17"/>
  <c r="T110" i="17"/>
  <c r="R110" i="17"/>
  <c r="P110" i="17"/>
  <c r="BK110" i="17"/>
  <c r="J110" i="17"/>
  <c r="BE110" i="17" s="1"/>
  <c r="BI109" i="17"/>
  <c r="BH109" i="17"/>
  <c r="BG109" i="17"/>
  <c r="BF109" i="17"/>
  <c r="T109" i="17"/>
  <c r="R109" i="17"/>
  <c r="P109" i="17"/>
  <c r="BK109" i="17"/>
  <c r="J109" i="17"/>
  <c r="BE109" i="17" s="1"/>
  <c r="BI108" i="17"/>
  <c r="BH108" i="17"/>
  <c r="BG108" i="17"/>
  <c r="BF108" i="17"/>
  <c r="T108" i="17"/>
  <c r="R108" i="17"/>
  <c r="P108" i="17"/>
  <c r="BK108" i="17"/>
  <c r="J108" i="17"/>
  <c r="BE108" i="17" s="1"/>
  <c r="BI106" i="17"/>
  <c r="BH106" i="17"/>
  <c r="BG106" i="17"/>
  <c r="BF106" i="17"/>
  <c r="T106" i="17"/>
  <c r="R106" i="17"/>
  <c r="P106" i="17"/>
  <c r="BK106" i="17"/>
  <c r="J106" i="17"/>
  <c r="BE106" i="17" s="1"/>
  <c r="BI105" i="17"/>
  <c r="BH105" i="17"/>
  <c r="BG105" i="17"/>
  <c r="BF105" i="17"/>
  <c r="T105" i="17"/>
  <c r="R105" i="17"/>
  <c r="P105" i="17"/>
  <c r="BK105" i="17"/>
  <c r="J105" i="17"/>
  <c r="BE105" i="17"/>
  <c r="BI104" i="17"/>
  <c r="BH104" i="17"/>
  <c r="BG104" i="17"/>
  <c r="BF104" i="17"/>
  <c r="T104" i="17"/>
  <c r="R104" i="17"/>
  <c r="P104" i="17"/>
  <c r="BK104" i="17"/>
  <c r="J104" i="17"/>
  <c r="BE104" i="17" s="1"/>
  <c r="BI103" i="17"/>
  <c r="BH103" i="17"/>
  <c r="BG103" i="17"/>
  <c r="BF103" i="17"/>
  <c r="T103" i="17"/>
  <c r="R103" i="17"/>
  <c r="P103" i="17"/>
  <c r="BK103" i="17"/>
  <c r="J103" i="17"/>
  <c r="BE103" i="17" s="1"/>
  <c r="BI101" i="17"/>
  <c r="BH101" i="17"/>
  <c r="BG101" i="17"/>
  <c r="BF101" i="17"/>
  <c r="T101" i="17"/>
  <c r="R101" i="17"/>
  <c r="P101" i="17"/>
  <c r="BK101" i="17"/>
  <c r="J101" i="17"/>
  <c r="BE101" i="17"/>
  <c r="BI100" i="17"/>
  <c r="BH100" i="17"/>
  <c r="BG100" i="17"/>
  <c r="BF100" i="17"/>
  <c r="T100" i="17"/>
  <c r="R100" i="17"/>
  <c r="P100" i="17"/>
  <c r="BK100" i="17"/>
  <c r="J100" i="17"/>
  <c r="BE100" i="17" s="1"/>
  <c r="BI99" i="17"/>
  <c r="BH99" i="17"/>
  <c r="BG99" i="17"/>
  <c r="BF99" i="17"/>
  <c r="T99" i="17"/>
  <c r="R99" i="17"/>
  <c r="P99" i="17"/>
  <c r="BK99" i="17"/>
  <c r="J99" i="17"/>
  <c r="BE99" i="17" s="1"/>
  <c r="BI98" i="17"/>
  <c r="BH98" i="17"/>
  <c r="BG98" i="17"/>
  <c r="BF98" i="17"/>
  <c r="T98" i="17"/>
  <c r="R98" i="17"/>
  <c r="P98" i="17"/>
  <c r="BK98" i="17"/>
  <c r="J98" i="17"/>
  <c r="BE98" i="17" s="1"/>
  <c r="BI97" i="17"/>
  <c r="BH97" i="17"/>
  <c r="BG97" i="17"/>
  <c r="BF97" i="17"/>
  <c r="T97" i="17"/>
  <c r="R97" i="17"/>
  <c r="P97" i="17"/>
  <c r="BK97" i="17"/>
  <c r="J97" i="17"/>
  <c r="BE97" i="17" s="1"/>
  <c r="BI96" i="17"/>
  <c r="BH96" i="17"/>
  <c r="BG96" i="17"/>
  <c r="BF96" i="17"/>
  <c r="T96" i="17"/>
  <c r="R96" i="17"/>
  <c r="P96" i="17"/>
  <c r="BK96" i="17"/>
  <c r="J96" i="17"/>
  <c r="BE96" i="17" s="1"/>
  <c r="BI94" i="17"/>
  <c r="BH94" i="17"/>
  <c r="BG94" i="17"/>
  <c r="BF94" i="17"/>
  <c r="T94" i="17"/>
  <c r="T93" i="17" s="1"/>
  <c r="R94" i="17"/>
  <c r="R93" i="17" s="1"/>
  <c r="P94" i="17"/>
  <c r="P93" i="17" s="1"/>
  <c r="BK94" i="17"/>
  <c r="BK93" i="17" s="1"/>
  <c r="J94" i="17"/>
  <c r="BE94" i="17" s="1"/>
  <c r="J88" i="17"/>
  <c r="J87" i="17"/>
  <c r="F87" i="17"/>
  <c r="F85" i="17"/>
  <c r="E83" i="17"/>
  <c r="J59" i="17"/>
  <c r="J58" i="17"/>
  <c r="F58" i="17"/>
  <c r="F56" i="17"/>
  <c r="E54" i="17"/>
  <c r="J20" i="17"/>
  <c r="E20" i="17"/>
  <c r="F59" i="17" s="1"/>
  <c r="J19" i="17"/>
  <c r="J14" i="17"/>
  <c r="E7" i="17"/>
  <c r="E79" i="17" s="1"/>
  <c r="J39" i="16"/>
  <c r="J38" i="16"/>
  <c r="AY73" i="1" s="1"/>
  <c r="J37" i="16"/>
  <c r="AX73" i="1" s="1"/>
  <c r="BI90" i="16"/>
  <c r="F39" i="16" s="1"/>
  <c r="BD73" i="1" s="1"/>
  <c r="BH90" i="16"/>
  <c r="F38" i="16" s="1"/>
  <c r="BC73" i="1" s="1"/>
  <c r="BG90" i="16"/>
  <c r="F37" i="16" s="1"/>
  <c r="BB73" i="1" s="1"/>
  <c r="BF90" i="16"/>
  <c r="F36" i="16" s="1"/>
  <c r="BA73" i="1" s="1"/>
  <c r="T90" i="16"/>
  <c r="T89" i="16" s="1"/>
  <c r="T88" i="16" s="1"/>
  <c r="T87" i="16" s="1"/>
  <c r="R90" i="16"/>
  <c r="R89" i="16" s="1"/>
  <c r="R88" i="16" s="1"/>
  <c r="R87" i="16" s="1"/>
  <c r="P90" i="16"/>
  <c r="P89" i="16" s="1"/>
  <c r="P88" i="16" s="1"/>
  <c r="P87" i="16" s="1"/>
  <c r="AU73" i="1" s="1"/>
  <c r="BK90" i="16"/>
  <c r="BK89" i="16" s="1"/>
  <c r="J90" i="16"/>
  <c r="BE90" i="16" s="1"/>
  <c r="J84" i="16"/>
  <c r="J83" i="16"/>
  <c r="F83" i="16"/>
  <c r="F81" i="16"/>
  <c r="E79" i="16"/>
  <c r="J59" i="16"/>
  <c r="J58" i="16"/>
  <c r="F58" i="16"/>
  <c r="F56" i="16"/>
  <c r="E54" i="16"/>
  <c r="J20" i="16"/>
  <c r="E20" i="16"/>
  <c r="F59" i="16" s="1"/>
  <c r="J19" i="16"/>
  <c r="J14" i="16"/>
  <c r="E7" i="16"/>
  <c r="E50" i="16" s="1"/>
  <c r="J41" i="15"/>
  <c r="J40" i="15"/>
  <c r="AY72" i="1" s="1"/>
  <c r="J39" i="15"/>
  <c r="AX72" i="1" s="1"/>
  <c r="BI96" i="15"/>
  <c r="F41" i="15" s="1"/>
  <c r="BD72" i="1" s="1"/>
  <c r="BH96" i="15"/>
  <c r="F40" i="15" s="1"/>
  <c r="BC72" i="1" s="1"/>
  <c r="BG96" i="15"/>
  <c r="F39" i="15" s="1"/>
  <c r="BB72" i="1" s="1"/>
  <c r="BF96" i="15"/>
  <c r="J38" i="15" s="1"/>
  <c r="AW72" i="1" s="1"/>
  <c r="T96" i="15"/>
  <c r="T95" i="15" s="1"/>
  <c r="T94" i="15" s="1"/>
  <c r="T93" i="15" s="1"/>
  <c r="R96" i="15"/>
  <c r="R95" i="15" s="1"/>
  <c r="R94" i="15" s="1"/>
  <c r="R93" i="15" s="1"/>
  <c r="P96" i="15"/>
  <c r="P95" i="15" s="1"/>
  <c r="P94" i="15" s="1"/>
  <c r="P93" i="15" s="1"/>
  <c r="AU72" i="1" s="1"/>
  <c r="BK96" i="15"/>
  <c r="BK95" i="15" s="1"/>
  <c r="J96" i="15"/>
  <c r="BE96" i="15" s="1"/>
  <c r="J90" i="15"/>
  <c r="J89" i="15"/>
  <c r="F89" i="15"/>
  <c r="F87" i="15"/>
  <c r="E85" i="15"/>
  <c r="J63" i="15"/>
  <c r="J62" i="15"/>
  <c r="F62" i="15"/>
  <c r="F60" i="15"/>
  <c r="E58" i="15"/>
  <c r="J22" i="15"/>
  <c r="E22" i="15"/>
  <c r="F63" i="15" s="1"/>
  <c r="J21" i="15"/>
  <c r="J16" i="15"/>
  <c r="E7" i="15"/>
  <c r="E52" i="15" s="1"/>
  <c r="J41" i="14"/>
  <c r="J40" i="14"/>
  <c r="AY71" i="1" s="1"/>
  <c r="J39" i="14"/>
  <c r="AX71" i="1" s="1"/>
  <c r="BI96" i="14"/>
  <c r="F41" i="14" s="1"/>
  <c r="BD71" i="1" s="1"/>
  <c r="BH96" i="14"/>
  <c r="F40" i="14" s="1"/>
  <c r="BC71" i="1" s="1"/>
  <c r="BG96" i="14"/>
  <c r="F39" i="14" s="1"/>
  <c r="BB71" i="1" s="1"/>
  <c r="BF96" i="14"/>
  <c r="F38" i="14" s="1"/>
  <c r="BA71" i="1" s="1"/>
  <c r="T96" i="14"/>
  <c r="T95" i="14" s="1"/>
  <c r="T94" i="14" s="1"/>
  <c r="T93" i="14" s="1"/>
  <c r="R96" i="14"/>
  <c r="R95" i="14" s="1"/>
  <c r="R94" i="14" s="1"/>
  <c r="R93" i="14" s="1"/>
  <c r="P96" i="14"/>
  <c r="P95" i="14" s="1"/>
  <c r="P94" i="14" s="1"/>
  <c r="P93" i="14" s="1"/>
  <c r="AU71" i="1" s="1"/>
  <c r="BK96" i="14"/>
  <c r="BK95" i="14" s="1"/>
  <c r="J96" i="14"/>
  <c r="BE96" i="14" s="1"/>
  <c r="J90" i="14"/>
  <c r="J89" i="14"/>
  <c r="F89" i="14"/>
  <c r="F87" i="14"/>
  <c r="E85" i="14"/>
  <c r="J63" i="14"/>
  <c r="J62" i="14"/>
  <c r="F62" i="14"/>
  <c r="F60" i="14"/>
  <c r="E58" i="14"/>
  <c r="J22" i="14"/>
  <c r="E22" i="14"/>
  <c r="F63" i="14" s="1"/>
  <c r="J21" i="14"/>
  <c r="J16" i="14"/>
  <c r="E7" i="14"/>
  <c r="E79" i="14" s="1"/>
  <c r="J41" i="13"/>
  <c r="J40" i="13"/>
  <c r="AY70" i="1" s="1"/>
  <c r="J39" i="13"/>
  <c r="AX70" i="1" s="1"/>
  <c r="BI96" i="13"/>
  <c r="F41" i="13" s="1"/>
  <c r="BD70" i="1" s="1"/>
  <c r="BH96" i="13"/>
  <c r="F40" i="13" s="1"/>
  <c r="BC70" i="1" s="1"/>
  <c r="BG96" i="13"/>
  <c r="F39" i="13" s="1"/>
  <c r="BB70" i="1" s="1"/>
  <c r="BF96" i="13"/>
  <c r="J38" i="13" s="1"/>
  <c r="AW70" i="1" s="1"/>
  <c r="T96" i="13"/>
  <c r="T95" i="13" s="1"/>
  <c r="T94" i="13" s="1"/>
  <c r="T93" i="13" s="1"/>
  <c r="R96" i="13"/>
  <c r="R95" i="13" s="1"/>
  <c r="R94" i="13" s="1"/>
  <c r="R93" i="13" s="1"/>
  <c r="P96" i="13"/>
  <c r="P95" i="13" s="1"/>
  <c r="P94" i="13" s="1"/>
  <c r="P93" i="13" s="1"/>
  <c r="AU70" i="1" s="1"/>
  <c r="BK96" i="13"/>
  <c r="BK95" i="13" s="1"/>
  <c r="J96" i="13"/>
  <c r="BE96" i="13" s="1"/>
  <c r="J90" i="13"/>
  <c r="J89" i="13"/>
  <c r="F89" i="13"/>
  <c r="F87" i="13"/>
  <c r="E85" i="13"/>
  <c r="J63" i="13"/>
  <c r="J62" i="13"/>
  <c r="F62" i="13"/>
  <c r="F60" i="13"/>
  <c r="E58" i="13"/>
  <c r="J22" i="13"/>
  <c r="E22" i="13"/>
  <c r="F63" i="13" s="1"/>
  <c r="J21" i="13"/>
  <c r="J16" i="13"/>
  <c r="E7" i="13"/>
  <c r="E79" i="13" s="1"/>
  <c r="J41" i="12"/>
  <c r="J40" i="12"/>
  <c r="AY69" i="1" s="1"/>
  <c r="J39" i="12"/>
  <c r="AX69" i="1" s="1"/>
  <c r="BI96" i="12"/>
  <c r="F41" i="12" s="1"/>
  <c r="BD69" i="1" s="1"/>
  <c r="BH96" i="12"/>
  <c r="F40" i="12" s="1"/>
  <c r="BC69" i="1" s="1"/>
  <c r="BG96" i="12"/>
  <c r="F39" i="12" s="1"/>
  <c r="BB69" i="1" s="1"/>
  <c r="BF96" i="12"/>
  <c r="J38" i="12" s="1"/>
  <c r="AW69" i="1" s="1"/>
  <c r="T96" i="12"/>
  <c r="T95" i="12" s="1"/>
  <c r="T94" i="12" s="1"/>
  <c r="T93" i="12" s="1"/>
  <c r="R96" i="12"/>
  <c r="R95" i="12" s="1"/>
  <c r="R94" i="12" s="1"/>
  <c r="R93" i="12" s="1"/>
  <c r="P96" i="12"/>
  <c r="P95" i="12" s="1"/>
  <c r="P94" i="12" s="1"/>
  <c r="P93" i="12" s="1"/>
  <c r="AU69" i="1" s="1"/>
  <c r="BK96" i="12"/>
  <c r="BK95" i="12" s="1"/>
  <c r="J96" i="12"/>
  <c r="BE96" i="12" s="1"/>
  <c r="J90" i="12"/>
  <c r="J89" i="12"/>
  <c r="F89" i="12"/>
  <c r="F87" i="12"/>
  <c r="E85" i="12"/>
  <c r="J63" i="12"/>
  <c r="J62" i="12"/>
  <c r="F62" i="12"/>
  <c r="F60" i="12"/>
  <c r="E58" i="12"/>
  <c r="J22" i="12"/>
  <c r="E22" i="12"/>
  <c r="F63" i="12" s="1"/>
  <c r="J21" i="12"/>
  <c r="J16" i="12"/>
  <c r="E7" i="12"/>
  <c r="E79" i="12" s="1"/>
  <c r="J41" i="11"/>
  <c r="J40" i="11"/>
  <c r="AY68" i="1" s="1"/>
  <c r="J39" i="11"/>
  <c r="AX68" i="1" s="1"/>
  <c r="BI97" i="11"/>
  <c r="BH97" i="11"/>
  <c r="BG97" i="11"/>
  <c r="BF97" i="11"/>
  <c r="T97" i="11"/>
  <c r="R97" i="11"/>
  <c r="P97" i="11"/>
  <c r="BK97" i="11"/>
  <c r="J97" i="11"/>
  <c r="BE97" i="11" s="1"/>
  <c r="BI96" i="11"/>
  <c r="BH96" i="11"/>
  <c r="BG96" i="11"/>
  <c r="BF96" i="11"/>
  <c r="T96" i="11"/>
  <c r="T95" i="11" s="1"/>
  <c r="T94" i="11" s="1"/>
  <c r="T93" i="11" s="1"/>
  <c r="R96" i="11"/>
  <c r="P96" i="11"/>
  <c r="BK96" i="11"/>
  <c r="J96" i="11"/>
  <c r="BE96" i="11" s="1"/>
  <c r="J90" i="11"/>
  <c r="J89" i="11"/>
  <c r="F89" i="11"/>
  <c r="F87" i="11"/>
  <c r="E85" i="11"/>
  <c r="J63" i="11"/>
  <c r="J62" i="11"/>
  <c r="F62" i="11"/>
  <c r="F60" i="11"/>
  <c r="E58" i="11"/>
  <c r="J22" i="11"/>
  <c r="E22" i="11"/>
  <c r="F90" i="11" s="1"/>
  <c r="J21" i="11"/>
  <c r="J16" i="11"/>
  <c r="J87" i="11" s="1"/>
  <c r="E7" i="11"/>
  <c r="E52" i="11" s="1"/>
  <c r="J39" i="10"/>
  <c r="J38" i="10"/>
  <c r="AY66" i="1" s="1"/>
  <c r="J37" i="10"/>
  <c r="AX66" i="1" s="1"/>
  <c r="BI90" i="10"/>
  <c r="F39" i="10" s="1"/>
  <c r="BD66" i="1" s="1"/>
  <c r="BH90" i="10"/>
  <c r="F38" i="10" s="1"/>
  <c r="BC66" i="1" s="1"/>
  <c r="BG90" i="10"/>
  <c r="F37" i="10" s="1"/>
  <c r="BB66" i="1" s="1"/>
  <c r="BF90" i="10"/>
  <c r="J36" i="10" s="1"/>
  <c r="AW66" i="1" s="1"/>
  <c r="T90" i="10"/>
  <c r="T89" i="10" s="1"/>
  <c r="T88" i="10" s="1"/>
  <c r="T87" i="10" s="1"/>
  <c r="R90" i="10"/>
  <c r="R89" i="10" s="1"/>
  <c r="R88" i="10" s="1"/>
  <c r="R87" i="10" s="1"/>
  <c r="P90" i="10"/>
  <c r="P89" i="10" s="1"/>
  <c r="P88" i="10" s="1"/>
  <c r="P87" i="10" s="1"/>
  <c r="AU66" i="1" s="1"/>
  <c r="BK90" i="10"/>
  <c r="BK89" i="10" s="1"/>
  <c r="J90" i="10"/>
  <c r="BE90" i="10" s="1"/>
  <c r="J84" i="10"/>
  <c r="J83" i="10"/>
  <c r="F83" i="10"/>
  <c r="F81" i="10"/>
  <c r="E79" i="10"/>
  <c r="J59" i="10"/>
  <c r="J58" i="10"/>
  <c r="F58" i="10"/>
  <c r="F56" i="10"/>
  <c r="E54" i="10"/>
  <c r="J20" i="10"/>
  <c r="E20" i="10"/>
  <c r="F84" i="10" s="1"/>
  <c r="J19" i="10"/>
  <c r="J14" i="10"/>
  <c r="J81" i="10" s="1"/>
  <c r="E7" i="10"/>
  <c r="E50" i="10" s="1"/>
  <c r="J41" i="9"/>
  <c r="J40" i="9"/>
  <c r="AY65" i="1" s="1"/>
  <c r="J39" i="9"/>
  <c r="AX65" i="1" s="1"/>
  <c r="BI96" i="9"/>
  <c r="F41" i="9" s="1"/>
  <c r="BD65" i="1" s="1"/>
  <c r="BH96" i="9"/>
  <c r="F40" i="9" s="1"/>
  <c r="BC65" i="1" s="1"/>
  <c r="BG96" i="9"/>
  <c r="F39" i="9" s="1"/>
  <c r="BB65" i="1" s="1"/>
  <c r="BF96" i="9"/>
  <c r="J38" i="9" s="1"/>
  <c r="AW65" i="1" s="1"/>
  <c r="T96" i="9"/>
  <c r="T95" i="9" s="1"/>
  <c r="T94" i="9" s="1"/>
  <c r="T93" i="9" s="1"/>
  <c r="R96" i="9"/>
  <c r="R95" i="9" s="1"/>
  <c r="R94" i="9" s="1"/>
  <c r="R93" i="9" s="1"/>
  <c r="P96" i="9"/>
  <c r="P95" i="9" s="1"/>
  <c r="P94" i="9" s="1"/>
  <c r="P93" i="9" s="1"/>
  <c r="AU65" i="1" s="1"/>
  <c r="BK96" i="9"/>
  <c r="BK95" i="9" s="1"/>
  <c r="J96" i="9"/>
  <c r="BE96" i="9" s="1"/>
  <c r="J90" i="9"/>
  <c r="J89" i="9"/>
  <c r="F89" i="9"/>
  <c r="F87" i="9"/>
  <c r="E85" i="9"/>
  <c r="J63" i="9"/>
  <c r="J62" i="9"/>
  <c r="F62" i="9"/>
  <c r="F60" i="9"/>
  <c r="E58" i="9"/>
  <c r="J22" i="9"/>
  <c r="E22" i="9"/>
  <c r="F90" i="9" s="1"/>
  <c r="F63" i="9"/>
  <c r="J21" i="9"/>
  <c r="J16" i="9"/>
  <c r="J87" i="9" s="1"/>
  <c r="E7" i="9"/>
  <c r="E79" i="9" s="1"/>
  <c r="J41" i="8"/>
  <c r="J40" i="8"/>
  <c r="AY64" i="1" s="1"/>
  <c r="J39" i="8"/>
  <c r="AX64" i="1" s="1"/>
  <c r="BI96" i="8"/>
  <c r="F41" i="8" s="1"/>
  <c r="BD64" i="1" s="1"/>
  <c r="BH96" i="8"/>
  <c r="F40" i="8" s="1"/>
  <c r="BC64" i="1" s="1"/>
  <c r="BG96" i="8"/>
  <c r="F39" i="8" s="1"/>
  <c r="BB64" i="1" s="1"/>
  <c r="BF96" i="8"/>
  <c r="J38" i="8" s="1"/>
  <c r="AW64" i="1" s="1"/>
  <c r="T96" i="8"/>
  <c r="T95" i="8" s="1"/>
  <c r="T94" i="8" s="1"/>
  <c r="T93" i="8" s="1"/>
  <c r="R96" i="8"/>
  <c r="R95" i="8" s="1"/>
  <c r="R94" i="8" s="1"/>
  <c r="R93" i="8" s="1"/>
  <c r="P96" i="8"/>
  <c r="P95" i="8" s="1"/>
  <c r="P94" i="8" s="1"/>
  <c r="P93" i="8" s="1"/>
  <c r="AU64" i="1" s="1"/>
  <c r="BK96" i="8"/>
  <c r="BK95" i="8" s="1"/>
  <c r="J96" i="8"/>
  <c r="BE96" i="8" s="1"/>
  <c r="J90" i="8"/>
  <c r="J89" i="8"/>
  <c r="F89" i="8"/>
  <c r="F87" i="8"/>
  <c r="E85" i="8"/>
  <c r="J63" i="8"/>
  <c r="J62" i="8"/>
  <c r="F62" i="8"/>
  <c r="F60" i="8"/>
  <c r="E58" i="8"/>
  <c r="J22" i="8"/>
  <c r="E22" i="8"/>
  <c r="F63" i="8" s="1"/>
  <c r="J21" i="8"/>
  <c r="J16" i="8"/>
  <c r="J87" i="8" s="1"/>
  <c r="E7" i="8"/>
  <c r="E79" i="8" s="1"/>
  <c r="J41" i="7"/>
  <c r="J40" i="7"/>
  <c r="AY63" i="1" s="1"/>
  <c r="J39" i="7"/>
  <c r="AX63" i="1" s="1"/>
  <c r="BI96" i="7"/>
  <c r="F41" i="7" s="1"/>
  <c r="BD63" i="1" s="1"/>
  <c r="BH96" i="7"/>
  <c r="F40" i="7" s="1"/>
  <c r="BC63" i="1" s="1"/>
  <c r="BG96" i="7"/>
  <c r="F39" i="7" s="1"/>
  <c r="BB63" i="1" s="1"/>
  <c r="BF96" i="7"/>
  <c r="F38" i="7" s="1"/>
  <c r="BA63" i="1" s="1"/>
  <c r="T96" i="7"/>
  <c r="T95" i="7" s="1"/>
  <c r="T94" i="7" s="1"/>
  <c r="T93" i="7" s="1"/>
  <c r="R96" i="7"/>
  <c r="R95" i="7" s="1"/>
  <c r="R94" i="7" s="1"/>
  <c r="R93" i="7" s="1"/>
  <c r="P96" i="7"/>
  <c r="P95" i="7" s="1"/>
  <c r="P94" i="7" s="1"/>
  <c r="P93" i="7" s="1"/>
  <c r="AU63" i="1" s="1"/>
  <c r="BK96" i="7"/>
  <c r="BK95" i="7" s="1"/>
  <c r="J96" i="7"/>
  <c r="BE96" i="7" s="1"/>
  <c r="F37" i="7" s="1"/>
  <c r="AZ63" i="1" s="1"/>
  <c r="J90" i="7"/>
  <c r="J89" i="7"/>
  <c r="F89" i="7"/>
  <c r="F87" i="7"/>
  <c r="E85" i="7"/>
  <c r="J63" i="7"/>
  <c r="J62" i="7"/>
  <c r="F62" i="7"/>
  <c r="F60" i="7"/>
  <c r="E58" i="7"/>
  <c r="J22" i="7"/>
  <c r="E22" i="7"/>
  <c r="F90" i="7" s="1"/>
  <c r="J21" i="7"/>
  <c r="J16" i="7"/>
  <c r="J87" i="7" s="1"/>
  <c r="E7" i="7"/>
  <c r="E52" i="7" s="1"/>
  <c r="J41" i="6"/>
  <c r="J40" i="6"/>
  <c r="AY62" i="1" s="1"/>
  <c r="J39" i="6"/>
  <c r="AX62" i="1" s="1"/>
  <c r="BI96" i="6"/>
  <c r="F41" i="6" s="1"/>
  <c r="BD62" i="1" s="1"/>
  <c r="BH96" i="6"/>
  <c r="F40" i="6" s="1"/>
  <c r="BC62" i="1" s="1"/>
  <c r="BG96" i="6"/>
  <c r="F39" i="6" s="1"/>
  <c r="BB62" i="1" s="1"/>
  <c r="BF96" i="6"/>
  <c r="J38" i="6" s="1"/>
  <c r="AW62" i="1" s="1"/>
  <c r="T96" i="6"/>
  <c r="T95" i="6" s="1"/>
  <c r="T94" i="6" s="1"/>
  <c r="T93" i="6" s="1"/>
  <c r="R96" i="6"/>
  <c r="R95" i="6" s="1"/>
  <c r="R94" i="6" s="1"/>
  <c r="R93" i="6" s="1"/>
  <c r="P96" i="6"/>
  <c r="P95" i="6" s="1"/>
  <c r="P94" i="6" s="1"/>
  <c r="P93" i="6" s="1"/>
  <c r="AU62" i="1" s="1"/>
  <c r="BK96" i="6"/>
  <c r="BK95" i="6" s="1"/>
  <c r="J96" i="6"/>
  <c r="BE96" i="6" s="1"/>
  <c r="F37" i="6" s="1"/>
  <c r="AZ62" i="1" s="1"/>
  <c r="J90" i="6"/>
  <c r="J89" i="6"/>
  <c r="F89" i="6"/>
  <c r="F87" i="6"/>
  <c r="E85" i="6"/>
  <c r="J63" i="6"/>
  <c r="J62" i="6"/>
  <c r="F62" i="6"/>
  <c r="F60" i="6"/>
  <c r="E58" i="6"/>
  <c r="J22" i="6"/>
  <c r="E22" i="6"/>
  <c r="F63" i="6" s="1"/>
  <c r="J21" i="6"/>
  <c r="J16" i="6"/>
  <c r="J87" i="6" s="1"/>
  <c r="E7" i="6"/>
  <c r="E52" i="6" s="1"/>
  <c r="J39" i="5"/>
  <c r="J38" i="5"/>
  <c r="AY60" i="1" s="1"/>
  <c r="J37" i="5"/>
  <c r="AX60" i="1" s="1"/>
  <c r="BI90" i="5"/>
  <c r="F39" i="5" s="1"/>
  <c r="BD60" i="1" s="1"/>
  <c r="BH90" i="5"/>
  <c r="F38" i="5" s="1"/>
  <c r="BC60" i="1" s="1"/>
  <c r="BG90" i="5"/>
  <c r="F37" i="5" s="1"/>
  <c r="BB60" i="1" s="1"/>
  <c r="BF90" i="5"/>
  <c r="J36" i="5" s="1"/>
  <c r="AW60" i="1" s="1"/>
  <c r="T90" i="5"/>
  <c r="T89" i="5" s="1"/>
  <c r="T88" i="5" s="1"/>
  <c r="T87" i="5" s="1"/>
  <c r="R90" i="5"/>
  <c r="R89" i="5" s="1"/>
  <c r="R88" i="5" s="1"/>
  <c r="R87" i="5" s="1"/>
  <c r="P90" i="5"/>
  <c r="P89" i="5" s="1"/>
  <c r="P88" i="5" s="1"/>
  <c r="P87" i="5" s="1"/>
  <c r="AU60" i="1" s="1"/>
  <c r="BK90" i="5"/>
  <c r="BK89" i="5" s="1"/>
  <c r="J90" i="5"/>
  <c r="BE90" i="5" s="1"/>
  <c r="J84" i="5"/>
  <c r="J83" i="5"/>
  <c r="F83" i="5"/>
  <c r="F81" i="5"/>
  <c r="E79" i="5"/>
  <c r="J59" i="5"/>
  <c r="J58" i="5"/>
  <c r="F58" i="5"/>
  <c r="F56" i="5"/>
  <c r="E54" i="5"/>
  <c r="J20" i="5"/>
  <c r="E20" i="5"/>
  <c r="F84" i="5" s="1"/>
  <c r="J19" i="5"/>
  <c r="J14" i="5"/>
  <c r="J81" i="5" s="1"/>
  <c r="E7" i="5"/>
  <c r="E75" i="5" s="1"/>
  <c r="J39" i="4"/>
  <c r="J38" i="4"/>
  <c r="AY59" i="1" s="1"/>
  <c r="J37" i="4"/>
  <c r="AX59" i="1" s="1"/>
  <c r="BI90" i="4"/>
  <c r="F39" i="4" s="1"/>
  <c r="BD59" i="1" s="1"/>
  <c r="BH90" i="4"/>
  <c r="F38" i="4" s="1"/>
  <c r="BC59" i="1" s="1"/>
  <c r="BG90" i="4"/>
  <c r="F37" i="4" s="1"/>
  <c r="BB59" i="1" s="1"/>
  <c r="BF90" i="4"/>
  <c r="J36" i="4" s="1"/>
  <c r="AW59" i="1" s="1"/>
  <c r="T90" i="4"/>
  <c r="T89" i="4" s="1"/>
  <c r="T88" i="4" s="1"/>
  <c r="T87" i="4" s="1"/>
  <c r="R90" i="4"/>
  <c r="R89" i="4" s="1"/>
  <c r="R88" i="4" s="1"/>
  <c r="R87" i="4" s="1"/>
  <c r="P90" i="4"/>
  <c r="P89" i="4" s="1"/>
  <c r="P88" i="4" s="1"/>
  <c r="P87" i="4" s="1"/>
  <c r="AU59" i="1" s="1"/>
  <c r="J84" i="4"/>
  <c r="J83" i="4"/>
  <c r="F83" i="4"/>
  <c r="F81" i="4"/>
  <c r="E79" i="4"/>
  <c r="J59" i="4"/>
  <c r="J58" i="4"/>
  <c r="F58" i="4"/>
  <c r="F56" i="4"/>
  <c r="E54" i="4"/>
  <c r="J20" i="4"/>
  <c r="E20" i="4"/>
  <c r="F84" i="4" s="1"/>
  <c r="J19" i="4"/>
  <c r="J14" i="4"/>
  <c r="J81" i="4" s="1"/>
  <c r="E7" i="4"/>
  <c r="E75" i="4" s="1"/>
  <c r="J39" i="3"/>
  <c r="J38" i="3"/>
  <c r="AY58" i="1" s="1"/>
  <c r="J37" i="3"/>
  <c r="AX58" i="1" s="1"/>
  <c r="BI90" i="3"/>
  <c r="F39" i="3" s="1"/>
  <c r="BD58" i="1" s="1"/>
  <c r="BH90" i="3"/>
  <c r="F38" i="3" s="1"/>
  <c r="BC58" i="1" s="1"/>
  <c r="BG90" i="3"/>
  <c r="F37" i="3" s="1"/>
  <c r="BB58" i="1" s="1"/>
  <c r="BF90" i="3"/>
  <c r="J36" i="3" s="1"/>
  <c r="AW58" i="1" s="1"/>
  <c r="T90" i="3"/>
  <c r="T89" i="3" s="1"/>
  <c r="T88" i="3" s="1"/>
  <c r="T87" i="3" s="1"/>
  <c r="R90" i="3"/>
  <c r="R89" i="3" s="1"/>
  <c r="R88" i="3" s="1"/>
  <c r="R87" i="3" s="1"/>
  <c r="P90" i="3"/>
  <c r="P89" i="3" s="1"/>
  <c r="P88" i="3" s="1"/>
  <c r="P87" i="3" s="1"/>
  <c r="AU58" i="1" s="1"/>
  <c r="J84" i="3"/>
  <c r="J83" i="3"/>
  <c r="F83" i="3"/>
  <c r="F81" i="3"/>
  <c r="E79" i="3"/>
  <c r="J59" i="3"/>
  <c r="J58" i="3"/>
  <c r="F58" i="3"/>
  <c r="F56" i="3"/>
  <c r="E54" i="3"/>
  <c r="J20" i="3"/>
  <c r="E20" i="3"/>
  <c r="F84" i="3" s="1"/>
  <c r="J19" i="3"/>
  <c r="J14" i="3"/>
  <c r="J81" i="3" s="1"/>
  <c r="E7" i="3"/>
  <c r="E75" i="3" s="1"/>
  <c r="J39" i="2"/>
  <c r="J38" i="2"/>
  <c r="AY56" i="1" s="1"/>
  <c r="J37" i="2"/>
  <c r="AX56" i="1" s="1"/>
  <c r="BI1204" i="2"/>
  <c r="BH1204" i="2"/>
  <c r="BG1204" i="2"/>
  <c r="BF1204" i="2"/>
  <c r="T1204" i="2"/>
  <c r="T1203" i="2" s="1"/>
  <c r="T1202" i="2" s="1"/>
  <c r="R1204" i="2"/>
  <c r="R1203" i="2" s="1"/>
  <c r="R1202" i="2" s="1"/>
  <c r="P1204" i="2"/>
  <c r="P1203" i="2" s="1"/>
  <c r="P1202" i="2" s="1"/>
  <c r="BK1204" i="2"/>
  <c r="BK1203" i="2" s="1"/>
  <c r="BK1202" i="2" s="1"/>
  <c r="J1202" i="2" s="1"/>
  <c r="J92" i="2" s="1"/>
  <c r="J1204" i="2"/>
  <c r="BE1204" i="2" s="1"/>
  <c r="BI1201" i="2"/>
  <c r="BH1201" i="2"/>
  <c r="BG1201" i="2"/>
  <c r="BF1201" i="2"/>
  <c r="T1201" i="2"/>
  <c r="R1201" i="2"/>
  <c r="P1201" i="2"/>
  <c r="BK1201" i="2"/>
  <c r="J1201" i="2"/>
  <c r="BE1201" i="2" s="1"/>
  <c r="BI1200" i="2"/>
  <c r="BH1200" i="2"/>
  <c r="BG1200" i="2"/>
  <c r="BF1200" i="2"/>
  <c r="T1200" i="2"/>
  <c r="R1200" i="2"/>
  <c r="P1200" i="2"/>
  <c r="BK1200" i="2"/>
  <c r="J1200" i="2"/>
  <c r="BE1200" i="2" s="1"/>
  <c r="BI1199" i="2"/>
  <c r="BH1199" i="2"/>
  <c r="BG1199" i="2"/>
  <c r="BF1199" i="2"/>
  <c r="T1199" i="2"/>
  <c r="R1199" i="2"/>
  <c r="P1199" i="2"/>
  <c r="BK1199" i="2"/>
  <c r="J1199" i="2"/>
  <c r="BE1199" i="2"/>
  <c r="BI1198" i="2"/>
  <c r="BH1198" i="2"/>
  <c r="BG1198" i="2"/>
  <c r="BF1198" i="2"/>
  <c r="T1198" i="2"/>
  <c r="R1198" i="2"/>
  <c r="P1198" i="2"/>
  <c r="BK1198" i="2"/>
  <c r="J1198" i="2"/>
  <c r="BE1198" i="2" s="1"/>
  <c r="BI1197" i="2"/>
  <c r="BH1197" i="2"/>
  <c r="BG1197" i="2"/>
  <c r="BF1197" i="2"/>
  <c r="T1197" i="2"/>
  <c r="R1197" i="2"/>
  <c r="P1197" i="2"/>
  <c r="BK1197" i="2"/>
  <c r="J1197" i="2"/>
  <c r="BE1197" i="2" s="1"/>
  <c r="BI1196" i="2"/>
  <c r="BH1196" i="2"/>
  <c r="BG1196" i="2"/>
  <c r="BF1196" i="2"/>
  <c r="T1196" i="2"/>
  <c r="R1196" i="2"/>
  <c r="P1196" i="2"/>
  <c r="BK1196" i="2"/>
  <c r="J1196" i="2"/>
  <c r="BE1196" i="2" s="1"/>
  <c r="BI1195" i="2"/>
  <c r="BH1195" i="2"/>
  <c r="BG1195" i="2"/>
  <c r="BF1195" i="2"/>
  <c r="T1195" i="2"/>
  <c r="R1195" i="2"/>
  <c r="P1195" i="2"/>
  <c r="BK1195" i="2"/>
  <c r="J1195" i="2"/>
  <c r="BE1195" i="2" s="1"/>
  <c r="BI1194" i="2"/>
  <c r="BH1194" i="2"/>
  <c r="BG1194" i="2"/>
  <c r="BF1194" i="2"/>
  <c r="T1194" i="2"/>
  <c r="R1194" i="2"/>
  <c r="P1194" i="2"/>
  <c r="BK1194" i="2"/>
  <c r="J1194" i="2"/>
  <c r="BE1194" i="2" s="1"/>
  <c r="BI1193" i="2"/>
  <c r="BH1193" i="2"/>
  <c r="BG1193" i="2"/>
  <c r="BF1193" i="2"/>
  <c r="T1193" i="2"/>
  <c r="R1193" i="2"/>
  <c r="P1193" i="2"/>
  <c r="BK1193" i="2"/>
  <c r="J1193" i="2"/>
  <c r="BE1193" i="2"/>
  <c r="BI1191" i="2"/>
  <c r="BH1191" i="2"/>
  <c r="BG1191" i="2"/>
  <c r="BF1191" i="2"/>
  <c r="T1191" i="2"/>
  <c r="R1191" i="2"/>
  <c r="P1191" i="2"/>
  <c r="BK1191" i="2"/>
  <c r="J1191" i="2"/>
  <c r="BE1191" i="2" s="1"/>
  <c r="BI1190" i="2"/>
  <c r="BH1190" i="2"/>
  <c r="BG1190" i="2"/>
  <c r="BF1190" i="2"/>
  <c r="T1190" i="2"/>
  <c r="R1190" i="2"/>
  <c r="P1190" i="2"/>
  <c r="BK1190" i="2"/>
  <c r="J1190" i="2"/>
  <c r="BE1190" i="2" s="1"/>
  <c r="BI1189" i="2"/>
  <c r="BH1189" i="2"/>
  <c r="BG1189" i="2"/>
  <c r="BF1189" i="2"/>
  <c r="T1189" i="2"/>
  <c r="R1189" i="2"/>
  <c r="P1189" i="2"/>
  <c r="BK1189" i="2"/>
  <c r="J1189" i="2"/>
  <c r="BE1189" i="2"/>
  <c r="BI1188" i="2"/>
  <c r="BH1188" i="2"/>
  <c r="BG1188" i="2"/>
  <c r="BF1188" i="2"/>
  <c r="T1188" i="2"/>
  <c r="R1188" i="2"/>
  <c r="P1188" i="2"/>
  <c r="BK1188" i="2"/>
  <c r="J1188" i="2"/>
  <c r="BE1188" i="2" s="1"/>
  <c r="BI1187" i="2"/>
  <c r="BH1187" i="2"/>
  <c r="BG1187" i="2"/>
  <c r="BF1187" i="2"/>
  <c r="T1187" i="2"/>
  <c r="R1187" i="2"/>
  <c r="P1187" i="2"/>
  <c r="BK1187" i="2"/>
  <c r="J1187" i="2"/>
  <c r="BE1187" i="2" s="1"/>
  <c r="BI1186" i="2"/>
  <c r="BH1186" i="2"/>
  <c r="BG1186" i="2"/>
  <c r="BF1186" i="2"/>
  <c r="T1186" i="2"/>
  <c r="R1186" i="2"/>
  <c r="P1186" i="2"/>
  <c r="BK1186" i="2"/>
  <c r="J1186" i="2"/>
  <c r="BE1186" i="2" s="1"/>
  <c r="BI1185" i="2"/>
  <c r="BH1185" i="2"/>
  <c r="BG1185" i="2"/>
  <c r="BF1185" i="2"/>
  <c r="T1185" i="2"/>
  <c r="R1185" i="2"/>
  <c r="P1185" i="2"/>
  <c r="BK1185" i="2"/>
  <c r="J1185" i="2"/>
  <c r="BE1185" i="2" s="1"/>
  <c r="BI1184" i="2"/>
  <c r="BH1184" i="2"/>
  <c r="BG1184" i="2"/>
  <c r="BF1184" i="2"/>
  <c r="T1184" i="2"/>
  <c r="R1184" i="2"/>
  <c r="P1184" i="2"/>
  <c r="BK1184" i="2"/>
  <c r="J1184" i="2"/>
  <c r="BE1184" i="2" s="1"/>
  <c r="BI1183" i="2"/>
  <c r="BH1183" i="2"/>
  <c r="BG1183" i="2"/>
  <c r="BF1183" i="2"/>
  <c r="T1183" i="2"/>
  <c r="R1183" i="2"/>
  <c r="P1183" i="2"/>
  <c r="BK1183" i="2"/>
  <c r="J1183" i="2"/>
  <c r="BE1183" i="2" s="1"/>
  <c r="BI1182" i="2"/>
  <c r="BH1182" i="2"/>
  <c r="BG1182" i="2"/>
  <c r="BF1182" i="2"/>
  <c r="T1182" i="2"/>
  <c r="R1182" i="2"/>
  <c r="P1182" i="2"/>
  <c r="BK1182" i="2"/>
  <c r="J1182" i="2"/>
  <c r="BE1182" i="2" s="1"/>
  <c r="BI1181" i="2"/>
  <c r="BH1181" i="2"/>
  <c r="BG1181" i="2"/>
  <c r="BF1181" i="2"/>
  <c r="T1181" i="2"/>
  <c r="R1181" i="2"/>
  <c r="P1181" i="2"/>
  <c r="BK1181" i="2"/>
  <c r="J1181" i="2"/>
  <c r="BE1181" i="2" s="1"/>
  <c r="BI1180" i="2"/>
  <c r="BH1180" i="2"/>
  <c r="BG1180" i="2"/>
  <c r="BF1180" i="2"/>
  <c r="T1180" i="2"/>
  <c r="R1180" i="2"/>
  <c r="P1180" i="2"/>
  <c r="BK1180" i="2"/>
  <c r="J1180" i="2"/>
  <c r="BE1180" i="2" s="1"/>
  <c r="BI1179" i="2"/>
  <c r="BH1179" i="2"/>
  <c r="BG1179" i="2"/>
  <c r="BF1179" i="2"/>
  <c r="T1179" i="2"/>
  <c r="R1179" i="2"/>
  <c r="P1179" i="2"/>
  <c r="BK1179" i="2"/>
  <c r="J1179" i="2"/>
  <c r="BE1179" i="2" s="1"/>
  <c r="BI1177" i="2"/>
  <c r="BH1177" i="2"/>
  <c r="BG1177" i="2"/>
  <c r="BF1177" i="2"/>
  <c r="T1177" i="2"/>
  <c r="T1176" i="2" s="1"/>
  <c r="R1177" i="2"/>
  <c r="R1176" i="2" s="1"/>
  <c r="P1177" i="2"/>
  <c r="P1176" i="2" s="1"/>
  <c r="BK1177" i="2"/>
  <c r="BK1176" i="2" s="1"/>
  <c r="J1176" i="2" s="1"/>
  <c r="J89" i="2" s="1"/>
  <c r="J1177" i="2"/>
  <c r="BE1177" i="2" s="1"/>
  <c r="BI1175" i="2"/>
  <c r="BH1175" i="2"/>
  <c r="BG1175" i="2"/>
  <c r="BF1175" i="2"/>
  <c r="T1175" i="2"/>
  <c r="T1174" i="2" s="1"/>
  <c r="R1175" i="2"/>
  <c r="R1174" i="2" s="1"/>
  <c r="P1175" i="2"/>
  <c r="P1174" i="2" s="1"/>
  <c r="BK1175" i="2"/>
  <c r="BK1174" i="2" s="1"/>
  <c r="J1174" i="2" s="1"/>
  <c r="J88" i="2" s="1"/>
  <c r="J1175" i="2"/>
  <c r="BE1175" i="2" s="1"/>
  <c r="BI1173" i="2"/>
  <c r="BH1173" i="2"/>
  <c r="BG1173" i="2"/>
  <c r="BF1173" i="2"/>
  <c r="T1173" i="2"/>
  <c r="R1173" i="2"/>
  <c r="P1173" i="2"/>
  <c r="BK1173" i="2"/>
  <c r="J1173" i="2"/>
  <c r="BE1173" i="2" s="1"/>
  <c r="BI1172" i="2"/>
  <c r="BH1172" i="2"/>
  <c r="BG1172" i="2"/>
  <c r="BF1172" i="2"/>
  <c r="T1172" i="2"/>
  <c r="R1172" i="2"/>
  <c r="P1172" i="2"/>
  <c r="BK1172" i="2"/>
  <c r="J1172" i="2"/>
  <c r="BE1172" i="2" s="1"/>
  <c r="BI1162" i="2"/>
  <c r="BH1162" i="2"/>
  <c r="BG1162" i="2"/>
  <c r="BF1162" i="2"/>
  <c r="T1162" i="2"/>
  <c r="R1162" i="2"/>
  <c r="P1162" i="2"/>
  <c r="BK1162" i="2"/>
  <c r="J1162" i="2"/>
  <c r="BE1162" i="2" s="1"/>
  <c r="BI1156" i="2"/>
  <c r="BH1156" i="2"/>
  <c r="BG1156" i="2"/>
  <c r="BF1156" i="2"/>
  <c r="T1156" i="2"/>
  <c r="R1156" i="2"/>
  <c r="P1156" i="2"/>
  <c r="BK1156" i="2"/>
  <c r="J1156" i="2"/>
  <c r="BE1156" i="2" s="1"/>
  <c r="BI1155" i="2"/>
  <c r="BH1155" i="2"/>
  <c r="BG1155" i="2"/>
  <c r="BF1155" i="2"/>
  <c r="T1155" i="2"/>
  <c r="R1155" i="2"/>
  <c r="P1155" i="2"/>
  <c r="BK1155" i="2"/>
  <c r="J1155" i="2"/>
  <c r="BE1155" i="2" s="1"/>
  <c r="BI1151" i="2"/>
  <c r="BH1151" i="2"/>
  <c r="BG1151" i="2"/>
  <c r="BF1151" i="2"/>
  <c r="T1151" i="2"/>
  <c r="R1151" i="2"/>
  <c r="P1151" i="2"/>
  <c r="BK1151" i="2"/>
  <c r="J1151" i="2"/>
  <c r="BE1151" i="2" s="1"/>
  <c r="BI1142" i="2"/>
  <c r="BH1142" i="2"/>
  <c r="BG1142" i="2"/>
  <c r="BF1142" i="2"/>
  <c r="T1142" i="2"/>
  <c r="T1141" i="2"/>
  <c r="R1142" i="2"/>
  <c r="P1142" i="2"/>
  <c r="BK1142" i="2"/>
  <c r="J1142" i="2"/>
  <c r="BE1142" i="2" s="1"/>
  <c r="BI1140" i="2"/>
  <c r="BH1140" i="2"/>
  <c r="BG1140" i="2"/>
  <c r="BF1140" i="2"/>
  <c r="T1140" i="2"/>
  <c r="R1140" i="2"/>
  <c r="P1140" i="2"/>
  <c r="BK1140" i="2"/>
  <c r="J1140" i="2"/>
  <c r="BE1140" i="2" s="1"/>
  <c r="BI1138" i="2"/>
  <c r="BH1138" i="2"/>
  <c r="BG1138" i="2"/>
  <c r="BF1138" i="2"/>
  <c r="T1138" i="2"/>
  <c r="R1138" i="2"/>
  <c r="P1138" i="2"/>
  <c r="BK1138" i="2"/>
  <c r="J1138" i="2"/>
  <c r="BE1138" i="2" s="1"/>
  <c r="BI1135" i="2"/>
  <c r="BH1135" i="2"/>
  <c r="BG1135" i="2"/>
  <c r="BF1135" i="2"/>
  <c r="T1135" i="2"/>
  <c r="R1135" i="2"/>
  <c r="P1135" i="2"/>
  <c r="BK1135" i="2"/>
  <c r="J1135" i="2"/>
  <c r="BE1135" i="2" s="1"/>
  <c r="BI1132" i="2"/>
  <c r="BH1132" i="2"/>
  <c r="BG1132" i="2"/>
  <c r="BF1132" i="2"/>
  <c r="T1132" i="2"/>
  <c r="R1132" i="2"/>
  <c r="P1132" i="2"/>
  <c r="P1131" i="2"/>
  <c r="BK1132" i="2"/>
  <c r="J1132" i="2"/>
  <c r="BE1132" i="2" s="1"/>
  <c r="BI1129" i="2"/>
  <c r="BH1129" i="2"/>
  <c r="BG1129" i="2"/>
  <c r="BF1129" i="2"/>
  <c r="T1129" i="2"/>
  <c r="R1129" i="2"/>
  <c r="P1129" i="2"/>
  <c r="BK1129" i="2"/>
  <c r="J1129" i="2"/>
  <c r="BE1129" i="2" s="1"/>
  <c r="BI1127" i="2"/>
  <c r="BH1127" i="2"/>
  <c r="BG1127" i="2"/>
  <c r="BF1127" i="2"/>
  <c r="T1127" i="2"/>
  <c r="R1127" i="2"/>
  <c r="P1127" i="2"/>
  <c r="BK1127" i="2"/>
  <c r="J1127" i="2"/>
  <c r="BE1127" i="2" s="1"/>
  <c r="BI1124" i="2"/>
  <c r="BH1124" i="2"/>
  <c r="BG1124" i="2"/>
  <c r="BF1124" i="2"/>
  <c r="T1124" i="2"/>
  <c r="R1124" i="2"/>
  <c r="P1124" i="2"/>
  <c r="BK1124" i="2"/>
  <c r="J1124" i="2"/>
  <c r="BE1124" i="2" s="1"/>
  <c r="BI1122" i="2"/>
  <c r="BH1122" i="2"/>
  <c r="BG1122" i="2"/>
  <c r="BF1122" i="2"/>
  <c r="T1122" i="2"/>
  <c r="R1122" i="2"/>
  <c r="P1122" i="2"/>
  <c r="BK1122" i="2"/>
  <c r="J1122" i="2"/>
  <c r="BE1122" i="2" s="1"/>
  <c r="BI1120" i="2"/>
  <c r="BH1120" i="2"/>
  <c r="BG1120" i="2"/>
  <c r="BF1120" i="2"/>
  <c r="T1120" i="2"/>
  <c r="R1120" i="2"/>
  <c r="P1120" i="2"/>
  <c r="BK1120" i="2"/>
  <c r="J1120" i="2"/>
  <c r="BE1120" i="2" s="1"/>
  <c r="BI1119" i="2"/>
  <c r="BH1119" i="2"/>
  <c r="BG1119" i="2"/>
  <c r="BF1119" i="2"/>
  <c r="T1119" i="2"/>
  <c r="R1119" i="2"/>
  <c r="P1119" i="2"/>
  <c r="BK1119" i="2"/>
  <c r="J1119" i="2"/>
  <c r="BE1119" i="2" s="1"/>
  <c r="BI1115" i="2"/>
  <c r="BH1115" i="2"/>
  <c r="BG1115" i="2"/>
  <c r="BF1115" i="2"/>
  <c r="T1115" i="2"/>
  <c r="R1115" i="2"/>
  <c r="P1115" i="2"/>
  <c r="BK1115" i="2"/>
  <c r="J1115" i="2"/>
  <c r="BE1115" i="2" s="1"/>
  <c r="BI1112" i="2"/>
  <c r="BH1112" i="2"/>
  <c r="BG1112" i="2"/>
  <c r="BF1112" i="2"/>
  <c r="T1112" i="2"/>
  <c r="R1112" i="2"/>
  <c r="P1112" i="2"/>
  <c r="BK1112" i="2"/>
  <c r="J1112" i="2"/>
  <c r="BE1112" i="2" s="1"/>
  <c r="BI1108" i="2"/>
  <c r="BH1108" i="2"/>
  <c r="BG1108" i="2"/>
  <c r="BF1108" i="2"/>
  <c r="T1108" i="2"/>
  <c r="R1108" i="2"/>
  <c r="P1108" i="2"/>
  <c r="BK1108" i="2"/>
  <c r="J1108" i="2"/>
  <c r="BE1108" i="2"/>
  <c r="BI1105" i="2"/>
  <c r="BH1105" i="2"/>
  <c r="BG1105" i="2"/>
  <c r="BF1105" i="2"/>
  <c r="T1105" i="2"/>
  <c r="R1105" i="2"/>
  <c r="P1105" i="2"/>
  <c r="BK1105" i="2"/>
  <c r="J1105" i="2"/>
  <c r="BE1105" i="2" s="1"/>
  <c r="BI1102" i="2"/>
  <c r="BH1102" i="2"/>
  <c r="BG1102" i="2"/>
  <c r="BF1102" i="2"/>
  <c r="T1102" i="2"/>
  <c r="R1102" i="2"/>
  <c r="P1102" i="2"/>
  <c r="BK1102" i="2"/>
  <c r="J1102" i="2"/>
  <c r="BE1102" i="2" s="1"/>
  <c r="BI1099" i="2"/>
  <c r="BH1099" i="2"/>
  <c r="BG1099" i="2"/>
  <c r="BF1099" i="2"/>
  <c r="T1099" i="2"/>
  <c r="R1099" i="2"/>
  <c r="P1099" i="2"/>
  <c r="BK1099" i="2"/>
  <c r="J1099" i="2"/>
  <c r="BE1099" i="2" s="1"/>
  <c r="BI1095" i="2"/>
  <c r="BH1095" i="2"/>
  <c r="BG1095" i="2"/>
  <c r="BF1095" i="2"/>
  <c r="T1095" i="2"/>
  <c r="R1095" i="2"/>
  <c r="P1095" i="2"/>
  <c r="BK1095" i="2"/>
  <c r="J1095" i="2"/>
  <c r="BE1095" i="2" s="1"/>
  <c r="BI1090" i="2"/>
  <c r="BH1090" i="2"/>
  <c r="BG1090" i="2"/>
  <c r="BF1090" i="2"/>
  <c r="T1090" i="2"/>
  <c r="R1090" i="2"/>
  <c r="P1090" i="2"/>
  <c r="BK1090" i="2"/>
  <c r="J1090" i="2"/>
  <c r="BE1090" i="2" s="1"/>
  <c r="BI1088" i="2"/>
  <c r="BH1088" i="2"/>
  <c r="BG1088" i="2"/>
  <c r="BF1088" i="2"/>
  <c r="T1088" i="2"/>
  <c r="R1088" i="2"/>
  <c r="P1088" i="2"/>
  <c r="BK1088" i="2"/>
  <c r="J1088" i="2"/>
  <c r="BE1088" i="2" s="1"/>
  <c r="BI1083" i="2"/>
  <c r="BH1083" i="2"/>
  <c r="BG1083" i="2"/>
  <c r="BF1083" i="2"/>
  <c r="T1083" i="2"/>
  <c r="R1083" i="2"/>
  <c r="P1083" i="2"/>
  <c r="BK1083" i="2"/>
  <c r="J1083" i="2"/>
  <c r="BE1083" i="2" s="1"/>
  <c r="BI1079" i="2"/>
  <c r="BH1079" i="2"/>
  <c r="BG1079" i="2"/>
  <c r="BF1079" i="2"/>
  <c r="T1079" i="2"/>
  <c r="R1079" i="2"/>
  <c r="P1079" i="2"/>
  <c r="BK1079" i="2"/>
  <c r="J1079" i="2"/>
  <c r="BE1079" i="2" s="1"/>
  <c r="BI1063" i="2"/>
  <c r="BH1063" i="2"/>
  <c r="BG1063" i="2"/>
  <c r="BF1063" i="2"/>
  <c r="T1063" i="2"/>
  <c r="R1063" i="2"/>
  <c r="P1063" i="2"/>
  <c r="BK1063" i="2"/>
  <c r="J1063" i="2"/>
  <c r="BE1063" i="2" s="1"/>
  <c r="BI1060" i="2"/>
  <c r="BH1060" i="2"/>
  <c r="BG1060" i="2"/>
  <c r="BF1060" i="2"/>
  <c r="T1060" i="2"/>
  <c r="R1060" i="2"/>
  <c r="P1060" i="2"/>
  <c r="BK1060" i="2"/>
  <c r="J1060" i="2"/>
  <c r="BE1060" i="2" s="1"/>
  <c r="BI1058" i="2"/>
  <c r="BH1058" i="2"/>
  <c r="BG1058" i="2"/>
  <c r="BF1058" i="2"/>
  <c r="T1058" i="2"/>
  <c r="R1058" i="2"/>
  <c r="P1058" i="2"/>
  <c r="BK1058" i="2"/>
  <c r="J1058" i="2"/>
  <c r="BE1058" i="2" s="1"/>
  <c r="BI1056" i="2"/>
  <c r="BH1056" i="2"/>
  <c r="BG1056" i="2"/>
  <c r="BF1056" i="2"/>
  <c r="T1056" i="2"/>
  <c r="R1056" i="2"/>
  <c r="P1056" i="2"/>
  <c r="BK1056" i="2"/>
  <c r="J1056" i="2"/>
  <c r="BE1056" i="2" s="1"/>
  <c r="BI1053" i="2"/>
  <c r="BH1053" i="2"/>
  <c r="BG1053" i="2"/>
  <c r="BF1053" i="2"/>
  <c r="T1053" i="2"/>
  <c r="R1053" i="2"/>
  <c r="P1053" i="2"/>
  <c r="BK1053" i="2"/>
  <c r="J1053" i="2"/>
  <c r="BE1053" i="2" s="1"/>
  <c r="BI1051" i="2"/>
  <c r="BH1051" i="2"/>
  <c r="BG1051" i="2"/>
  <c r="BF1051" i="2"/>
  <c r="T1051" i="2"/>
  <c r="R1051" i="2"/>
  <c r="P1051" i="2"/>
  <c r="BK1051" i="2"/>
  <c r="J1051" i="2"/>
  <c r="BE1051" i="2" s="1"/>
  <c r="BI1049" i="2"/>
  <c r="BH1049" i="2"/>
  <c r="BG1049" i="2"/>
  <c r="BF1049" i="2"/>
  <c r="T1049" i="2"/>
  <c r="R1049" i="2"/>
  <c r="P1049" i="2"/>
  <c r="BK1049" i="2"/>
  <c r="J1049" i="2"/>
  <c r="BE1049" i="2" s="1"/>
  <c r="BI1043" i="2"/>
  <c r="BH1043" i="2"/>
  <c r="BG1043" i="2"/>
  <c r="BF1043" i="2"/>
  <c r="T1043" i="2"/>
  <c r="R1043" i="2"/>
  <c r="P1043" i="2"/>
  <c r="BK1043" i="2"/>
  <c r="J1043" i="2"/>
  <c r="BE1043" i="2" s="1"/>
  <c r="BI1042" i="2"/>
  <c r="BH1042" i="2"/>
  <c r="BG1042" i="2"/>
  <c r="BF1042" i="2"/>
  <c r="T1042" i="2"/>
  <c r="R1042" i="2"/>
  <c r="P1042" i="2"/>
  <c r="BK1042" i="2"/>
  <c r="J1042" i="2"/>
  <c r="BE1042" i="2" s="1"/>
  <c r="BI1040" i="2"/>
  <c r="BH1040" i="2"/>
  <c r="BG1040" i="2"/>
  <c r="BF1040" i="2"/>
  <c r="T1040" i="2"/>
  <c r="R1040" i="2"/>
  <c r="P1040" i="2"/>
  <c r="BK1040" i="2"/>
  <c r="J1040" i="2"/>
  <c r="BE1040" i="2" s="1"/>
  <c r="BI1037" i="2"/>
  <c r="BH1037" i="2"/>
  <c r="BG1037" i="2"/>
  <c r="BF1037" i="2"/>
  <c r="T1037" i="2"/>
  <c r="R1037" i="2"/>
  <c r="P1037" i="2"/>
  <c r="BK1037" i="2"/>
  <c r="J1037" i="2"/>
  <c r="BE1037" i="2" s="1"/>
  <c r="BI1033" i="2"/>
  <c r="BH1033" i="2"/>
  <c r="BG1033" i="2"/>
  <c r="BF1033" i="2"/>
  <c r="T1033" i="2"/>
  <c r="R1033" i="2"/>
  <c r="P1033" i="2"/>
  <c r="BK1033" i="2"/>
  <c r="J1033" i="2"/>
  <c r="BE1033" i="2" s="1"/>
  <c r="BI1029" i="2"/>
  <c r="BH1029" i="2"/>
  <c r="BG1029" i="2"/>
  <c r="BF1029" i="2"/>
  <c r="T1029" i="2"/>
  <c r="R1029" i="2"/>
  <c r="P1029" i="2"/>
  <c r="BK1029" i="2"/>
  <c r="J1029" i="2"/>
  <c r="BE1029" i="2" s="1"/>
  <c r="BI1023" i="2"/>
  <c r="BH1023" i="2"/>
  <c r="BG1023" i="2"/>
  <c r="BF1023" i="2"/>
  <c r="T1023" i="2"/>
  <c r="R1023" i="2"/>
  <c r="P1023" i="2"/>
  <c r="BK1023" i="2"/>
  <c r="J1023" i="2"/>
  <c r="BE1023" i="2" s="1"/>
  <c r="BI1020" i="2"/>
  <c r="BH1020" i="2"/>
  <c r="BG1020" i="2"/>
  <c r="BF1020" i="2"/>
  <c r="T1020" i="2"/>
  <c r="R1020" i="2"/>
  <c r="P1020" i="2"/>
  <c r="BK1020" i="2"/>
  <c r="J1020" i="2"/>
  <c r="BE1020" i="2" s="1"/>
  <c r="BI1018" i="2"/>
  <c r="BH1018" i="2"/>
  <c r="BG1018" i="2"/>
  <c r="BF1018" i="2"/>
  <c r="T1018" i="2"/>
  <c r="R1018" i="2"/>
  <c r="P1018" i="2"/>
  <c r="BK1018" i="2"/>
  <c r="J1018" i="2"/>
  <c r="BE1018" i="2" s="1"/>
  <c r="BI1016" i="2"/>
  <c r="BH1016" i="2"/>
  <c r="BG1016" i="2"/>
  <c r="BF1016" i="2"/>
  <c r="T1016" i="2"/>
  <c r="R1016" i="2"/>
  <c r="P1016" i="2"/>
  <c r="BK1016" i="2"/>
  <c r="J1016" i="2"/>
  <c r="BE1016" i="2" s="1"/>
  <c r="BI1012" i="2"/>
  <c r="BH1012" i="2"/>
  <c r="BG1012" i="2"/>
  <c r="BF1012" i="2"/>
  <c r="T1012" i="2"/>
  <c r="R1012" i="2"/>
  <c r="P1012" i="2"/>
  <c r="BK1012" i="2"/>
  <c r="J1012" i="2"/>
  <c r="BE1012" i="2" s="1"/>
  <c r="BI1009" i="2"/>
  <c r="BH1009" i="2"/>
  <c r="BG1009" i="2"/>
  <c r="BF1009" i="2"/>
  <c r="T1009" i="2"/>
  <c r="R1009" i="2"/>
  <c r="P1009" i="2"/>
  <c r="BK1009" i="2"/>
  <c r="J1009" i="2"/>
  <c r="BE1009" i="2" s="1"/>
  <c r="BI1007" i="2"/>
  <c r="BH1007" i="2"/>
  <c r="BG1007" i="2"/>
  <c r="BF1007" i="2"/>
  <c r="T1007" i="2"/>
  <c r="R1007" i="2"/>
  <c r="P1007" i="2"/>
  <c r="BK1007" i="2"/>
  <c r="J1007" i="2"/>
  <c r="BE1007" i="2" s="1"/>
  <c r="BI1001" i="2"/>
  <c r="BH1001" i="2"/>
  <c r="BG1001" i="2"/>
  <c r="BF1001" i="2"/>
  <c r="T1001" i="2"/>
  <c r="R1001" i="2"/>
  <c r="P1001" i="2"/>
  <c r="BK1001" i="2"/>
  <c r="J1001" i="2"/>
  <c r="BE1001" i="2" s="1"/>
  <c r="BI997" i="2"/>
  <c r="BH997" i="2"/>
  <c r="BG997" i="2"/>
  <c r="BF997" i="2"/>
  <c r="T997" i="2"/>
  <c r="R997" i="2"/>
  <c r="P997" i="2"/>
  <c r="BK997" i="2"/>
  <c r="J997" i="2"/>
  <c r="BE997" i="2" s="1"/>
  <c r="BI993" i="2"/>
  <c r="BH993" i="2"/>
  <c r="BG993" i="2"/>
  <c r="BF993" i="2"/>
  <c r="T993" i="2"/>
  <c r="R993" i="2"/>
  <c r="P993" i="2"/>
  <c r="BK993" i="2"/>
  <c r="J993" i="2"/>
  <c r="BE993" i="2"/>
  <c r="BI990" i="2"/>
  <c r="BH990" i="2"/>
  <c r="BG990" i="2"/>
  <c r="BF990" i="2"/>
  <c r="T990" i="2"/>
  <c r="R990" i="2"/>
  <c r="P990" i="2"/>
  <c r="BK990" i="2"/>
  <c r="J990" i="2"/>
  <c r="BE990" i="2" s="1"/>
  <c r="BI987" i="2"/>
  <c r="BH987" i="2"/>
  <c r="BG987" i="2"/>
  <c r="BF987" i="2"/>
  <c r="T987" i="2"/>
  <c r="R987" i="2"/>
  <c r="P987" i="2"/>
  <c r="BK987" i="2"/>
  <c r="J987" i="2"/>
  <c r="BE987" i="2" s="1"/>
  <c r="BI984" i="2"/>
  <c r="BH984" i="2"/>
  <c r="BG984" i="2"/>
  <c r="BF984" i="2"/>
  <c r="T984" i="2"/>
  <c r="R984" i="2"/>
  <c r="P984" i="2"/>
  <c r="BK984" i="2"/>
  <c r="J984" i="2"/>
  <c r="BE984" i="2" s="1"/>
  <c r="BI980" i="2"/>
  <c r="BH980" i="2"/>
  <c r="BG980" i="2"/>
  <c r="BF980" i="2"/>
  <c r="T980" i="2"/>
  <c r="R980" i="2"/>
  <c r="P980" i="2"/>
  <c r="BK980" i="2"/>
  <c r="J980" i="2"/>
  <c r="BE980" i="2" s="1"/>
  <c r="BI977" i="2"/>
  <c r="BH977" i="2"/>
  <c r="BG977" i="2"/>
  <c r="BF977" i="2"/>
  <c r="T977" i="2"/>
  <c r="R977" i="2"/>
  <c r="P977" i="2"/>
  <c r="BK977" i="2"/>
  <c r="J977" i="2"/>
  <c r="BE977" i="2" s="1"/>
  <c r="BI973" i="2"/>
  <c r="BH973" i="2"/>
  <c r="BG973" i="2"/>
  <c r="BF973" i="2"/>
  <c r="T973" i="2"/>
  <c r="R973" i="2"/>
  <c r="P973" i="2"/>
  <c r="BK973" i="2"/>
  <c r="J973" i="2"/>
  <c r="BE973" i="2"/>
  <c r="BI971" i="2"/>
  <c r="BH971" i="2"/>
  <c r="BG971" i="2"/>
  <c r="BF971" i="2"/>
  <c r="T971" i="2"/>
  <c r="R971" i="2"/>
  <c r="P971" i="2"/>
  <c r="BK971" i="2"/>
  <c r="J971" i="2"/>
  <c r="BE971" i="2" s="1"/>
  <c r="BI968" i="2"/>
  <c r="BH968" i="2"/>
  <c r="BG968" i="2"/>
  <c r="BF968" i="2"/>
  <c r="T968" i="2"/>
  <c r="R968" i="2"/>
  <c r="P968" i="2"/>
  <c r="BK968" i="2"/>
  <c r="J968" i="2"/>
  <c r="BE968" i="2" s="1"/>
  <c r="BI964" i="2"/>
  <c r="BH964" i="2"/>
  <c r="BG964" i="2"/>
  <c r="BF964" i="2"/>
  <c r="T964" i="2"/>
  <c r="R964" i="2"/>
  <c r="P964" i="2"/>
  <c r="BK964" i="2"/>
  <c r="J964" i="2"/>
  <c r="BE964" i="2" s="1"/>
  <c r="BI958" i="2"/>
  <c r="BH958" i="2"/>
  <c r="BG958" i="2"/>
  <c r="BF958" i="2"/>
  <c r="T958" i="2"/>
  <c r="R958" i="2"/>
  <c r="P958" i="2"/>
  <c r="BK958" i="2"/>
  <c r="J958" i="2"/>
  <c r="BE958" i="2" s="1"/>
  <c r="BI956" i="2"/>
  <c r="BH956" i="2"/>
  <c r="BG956" i="2"/>
  <c r="BF956" i="2"/>
  <c r="T956" i="2"/>
  <c r="R956" i="2"/>
  <c r="P956" i="2"/>
  <c r="BK956" i="2"/>
  <c r="J956" i="2"/>
  <c r="BE956" i="2" s="1"/>
  <c r="BI954" i="2"/>
  <c r="BH954" i="2"/>
  <c r="BG954" i="2"/>
  <c r="BF954" i="2"/>
  <c r="T954" i="2"/>
  <c r="R954" i="2"/>
  <c r="P954" i="2"/>
  <c r="BK954" i="2"/>
  <c r="J954" i="2"/>
  <c r="BE954" i="2" s="1"/>
  <c r="BI952" i="2"/>
  <c r="BH952" i="2"/>
  <c r="BG952" i="2"/>
  <c r="BF952" i="2"/>
  <c r="T952" i="2"/>
  <c r="R952" i="2"/>
  <c r="P952" i="2"/>
  <c r="BK952" i="2"/>
  <c r="J952" i="2"/>
  <c r="BE952" i="2" s="1"/>
  <c r="BI950" i="2"/>
  <c r="BH950" i="2"/>
  <c r="BG950" i="2"/>
  <c r="BF950" i="2"/>
  <c r="T950" i="2"/>
  <c r="R950" i="2"/>
  <c r="P950" i="2"/>
  <c r="BK950" i="2"/>
  <c r="J950" i="2"/>
  <c r="BE950" i="2" s="1"/>
  <c r="BI948" i="2"/>
  <c r="BH948" i="2"/>
  <c r="BG948" i="2"/>
  <c r="BF948" i="2"/>
  <c r="T948" i="2"/>
  <c r="R948" i="2"/>
  <c r="P948" i="2"/>
  <c r="BK948" i="2"/>
  <c r="J948" i="2"/>
  <c r="BE948" i="2" s="1"/>
  <c r="BI946" i="2"/>
  <c r="BH946" i="2"/>
  <c r="BG946" i="2"/>
  <c r="BF946" i="2"/>
  <c r="T946" i="2"/>
  <c r="R946" i="2"/>
  <c r="P946" i="2"/>
  <c r="BK946" i="2"/>
  <c r="J946" i="2"/>
  <c r="BE946" i="2" s="1"/>
  <c r="BI931" i="2"/>
  <c r="BH931" i="2"/>
  <c r="BG931" i="2"/>
  <c r="BF931" i="2"/>
  <c r="T931" i="2"/>
  <c r="R931" i="2"/>
  <c r="P931" i="2"/>
  <c r="BK931" i="2"/>
  <c r="J931" i="2"/>
  <c r="BE931" i="2" s="1"/>
  <c r="BI929" i="2"/>
  <c r="BH929" i="2"/>
  <c r="BG929" i="2"/>
  <c r="BF929" i="2"/>
  <c r="T929" i="2"/>
  <c r="R929" i="2"/>
  <c r="P929" i="2"/>
  <c r="BK929" i="2"/>
  <c r="J929" i="2"/>
  <c r="BE929" i="2" s="1"/>
  <c r="BI924" i="2"/>
  <c r="BH924" i="2"/>
  <c r="BG924" i="2"/>
  <c r="BF924" i="2"/>
  <c r="T924" i="2"/>
  <c r="R924" i="2"/>
  <c r="P924" i="2"/>
  <c r="BK924" i="2"/>
  <c r="J924" i="2"/>
  <c r="BE924" i="2" s="1"/>
  <c r="BI922" i="2"/>
  <c r="BH922" i="2"/>
  <c r="BG922" i="2"/>
  <c r="BF922" i="2"/>
  <c r="T922" i="2"/>
  <c r="R922" i="2"/>
  <c r="P922" i="2"/>
  <c r="BK922" i="2"/>
  <c r="J922" i="2"/>
  <c r="BE922" i="2" s="1"/>
  <c r="BI920" i="2"/>
  <c r="BH920" i="2"/>
  <c r="BG920" i="2"/>
  <c r="BF920" i="2"/>
  <c r="T920" i="2"/>
  <c r="R920" i="2"/>
  <c r="P920" i="2"/>
  <c r="BK920" i="2"/>
  <c r="J920" i="2"/>
  <c r="BE920" i="2" s="1"/>
  <c r="BI918" i="2"/>
  <c r="BH918" i="2"/>
  <c r="BG918" i="2"/>
  <c r="BF918" i="2"/>
  <c r="T918" i="2"/>
  <c r="R918" i="2"/>
  <c r="P918" i="2"/>
  <c r="BK918" i="2"/>
  <c r="J918" i="2"/>
  <c r="BE918" i="2" s="1"/>
  <c r="BI908" i="2"/>
  <c r="BH908" i="2"/>
  <c r="BG908" i="2"/>
  <c r="BF908" i="2"/>
  <c r="T908" i="2"/>
  <c r="R908" i="2"/>
  <c r="P908" i="2"/>
  <c r="BK908" i="2"/>
  <c r="J908" i="2"/>
  <c r="BE908" i="2" s="1"/>
  <c r="BI904" i="2"/>
  <c r="BH904" i="2"/>
  <c r="BG904" i="2"/>
  <c r="BF904" i="2"/>
  <c r="T904" i="2"/>
  <c r="R904" i="2"/>
  <c r="P904" i="2"/>
  <c r="BK904" i="2"/>
  <c r="J904" i="2"/>
  <c r="BE904" i="2" s="1"/>
  <c r="BI882" i="2"/>
  <c r="BH882" i="2"/>
  <c r="BG882" i="2"/>
  <c r="BF882" i="2"/>
  <c r="T882" i="2"/>
  <c r="R882" i="2"/>
  <c r="P882" i="2"/>
  <c r="BK882" i="2"/>
  <c r="J882" i="2"/>
  <c r="BE882" i="2" s="1"/>
  <c r="BI879" i="2"/>
  <c r="BH879" i="2"/>
  <c r="BG879" i="2"/>
  <c r="BF879" i="2"/>
  <c r="T879" i="2"/>
  <c r="R879" i="2"/>
  <c r="P879" i="2"/>
  <c r="BK879" i="2"/>
  <c r="J879" i="2"/>
  <c r="BE879" i="2" s="1"/>
  <c r="BI877" i="2"/>
  <c r="BH877" i="2"/>
  <c r="BG877" i="2"/>
  <c r="BF877" i="2"/>
  <c r="T877" i="2"/>
  <c r="R877" i="2"/>
  <c r="P877" i="2"/>
  <c r="BK877" i="2"/>
  <c r="J877" i="2"/>
  <c r="BE877" i="2" s="1"/>
  <c r="BI876" i="2"/>
  <c r="BH876" i="2"/>
  <c r="BG876" i="2"/>
  <c r="BF876" i="2"/>
  <c r="T876" i="2"/>
  <c r="R876" i="2"/>
  <c r="P876" i="2"/>
  <c r="BK876" i="2"/>
  <c r="J876" i="2"/>
  <c r="BE876" i="2" s="1"/>
  <c r="BI875" i="2"/>
  <c r="BH875" i="2"/>
  <c r="BG875" i="2"/>
  <c r="BF875" i="2"/>
  <c r="T875" i="2"/>
  <c r="R875" i="2"/>
  <c r="P875" i="2"/>
  <c r="BK875" i="2"/>
  <c r="J875" i="2"/>
  <c r="BE875" i="2"/>
  <c r="BI873" i="2"/>
  <c r="BH873" i="2"/>
  <c r="BG873" i="2"/>
  <c r="BF873" i="2"/>
  <c r="T873" i="2"/>
  <c r="R873" i="2"/>
  <c r="P873" i="2"/>
  <c r="BK873" i="2"/>
  <c r="J873" i="2"/>
  <c r="BE873" i="2" s="1"/>
  <c r="BI872" i="2"/>
  <c r="BH872" i="2"/>
  <c r="BG872" i="2"/>
  <c r="BF872" i="2"/>
  <c r="T872" i="2"/>
  <c r="R872" i="2"/>
  <c r="P872" i="2"/>
  <c r="BK872" i="2"/>
  <c r="J872" i="2"/>
  <c r="BE872" i="2" s="1"/>
  <c r="BI871" i="2"/>
  <c r="BH871" i="2"/>
  <c r="BG871" i="2"/>
  <c r="BF871" i="2"/>
  <c r="T871" i="2"/>
  <c r="R871" i="2"/>
  <c r="P871" i="2"/>
  <c r="BK871" i="2"/>
  <c r="J871" i="2"/>
  <c r="BE871" i="2" s="1"/>
  <c r="BI870" i="2"/>
  <c r="BH870" i="2"/>
  <c r="BG870" i="2"/>
  <c r="BF870" i="2"/>
  <c r="T870" i="2"/>
  <c r="R870" i="2"/>
  <c r="P870" i="2"/>
  <c r="BK870" i="2"/>
  <c r="J870" i="2"/>
  <c r="BE870" i="2" s="1"/>
  <c r="BI865" i="2"/>
  <c r="BH865" i="2"/>
  <c r="BG865" i="2"/>
  <c r="BF865" i="2"/>
  <c r="T865" i="2"/>
  <c r="R865" i="2"/>
  <c r="P865" i="2"/>
  <c r="BK865" i="2"/>
  <c r="J865" i="2"/>
  <c r="BE865" i="2" s="1"/>
  <c r="BI864" i="2"/>
  <c r="BH864" i="2"/>
  <c r="BG864" i="2"/>
  <c r="BF864" i="2"/>
  <c r="T864" i="2"/>
  <c r="R864" i="2"/>
  <c r="P864" i="2"/>
  <c r="BK864" i="2"/>
  <c r="J864" i="2"/>
  <c r="BE864" i="2" s="1"/>
  <c r="BI859" i="2"/>
  <c r="BH859" i="2"/>
  <c r="BG859" i="2"/>
  <c r="BF859" i="2"/>
  <c r="T859" i="2"/>
  <c r="R859" i="2"/>
  <c r="P859" i="2"/>
  <c r="BK859" i="2"/>
  <c r="J859" i="2"/>
  <c r="BE859" i="2" s="1"/>
  <c r="BI855" i="2"/>
  <c r="BH855" i="2"/>
  <c r="BG855" i="2"/>
  <c r="BF855" i="2"/>
  <c r="T855" i="2"/>
  <c r="R855" i="2"/>
  <c r="P855" i="2"/>
  <c r="BK855" i="2"/>
  <c r="J855" i="2"/>
  <c r="BE855" i="2" s="1"/>
  <c r="BI852" i="2"/>
  <c r="BH852" i="2"/>
  <c r="BG852" i="2"/>
  <c r="BF852" i="2"/>
  <c r="T852" i="2"/>
  <c r="R852" i="2"/>
  <c r="P852" i="2"/>
  <c r="BK852" i="2"/>
  <c r="J852" i="2"/>
  <c r="BE852" i="2"/>
  <c r="BI850" i="2"/>
  <c r="BH850" i="2"/>
  <c r="BG850" i="2"/>
  <c r="BF850" i="2"/>
  <c r="T850" i="2"/>
  <c r="R850" i="2"/>
  <c r="P850" i="2"/>
  <c r="BK850" i="2"/>
  <c r="J850" i="2"/>
  <c r="BE850" i="2" s="1"/>
  <c r="BI849" i="2"/>
  <c r="BH849" i="2"/>
  <c r="BG849" i="2"/>
  <c r="BF849" i="2"/>
  <c r="T849" i="2"/>
  <c r="R849" i="2"/>
  <c r="P849" i="2"/>
  <c r="BK849" i="2"/>
  <c r="J849" i="2"/>
  <c r="BE849" i="2" s="1"/>
  <c r="BI848" i="2"/>
  <c r="BH848" i="2"/>
  <c r="BG848" i="2"/>
  <c r="BF848" i="2"/>
  <c r="T848" i="2"/>
  <c r="R848" i="2"/>
  <c r="P848" i="2"/>
  <c r="BK848" i="2"/>
  <c r="J848" i="2"/>
  <c r="BE848" i="2" s="1"/>
  <c r="BI847" i="2"/>
  <c r="BH847" i="2"/>
  <c r="BG847" i="2"/>
  <c r="BF847" i="2"/>
  <c r="T847" i="2"/>
  <c r="R847" i="2"/>
  <c r="P847" i="2"/>
  <c r="BK847" i="2"/>
  <c r="J847" i="2"/>
  <c r="BE847" i="2" s="1"/>
  <c r="BI846" i="2"/>
  <c r="BH846" i="2"/>
  <c r="BG846" i="2"/>
  <c r="BF846" i="2"/>
  <c r="T846" i="2"/>
  <c r="R846" i="2"/>
  <c r="P846" i="2"/>
  <c r="BK846" i="2"/>
  <c r="J846" i="2"/>
  <c r="BE846" i="2" s="1"/>
  <c r="BI845" i="2"/>
  <c r="BH845" i="2"/>
  <c r="BG845" i="2"/>
  <c r="BF845" i="2"/>
  <c r="T845" i="2"/>
  <c r="R845" i="2"/>
  <c r="P845" i="2"/>
  <c r="BK845" i="2"/>
  <c r="J845" i="2"/>
  <c r="BE845" i="2" s="1"/>
  <c r="BI844" i="2"/>
  <c r="BH844" i="2"/>
  <c r="BG844" i="2"/>
  <c r="BF844" i="2"/>
  <c r="T844" i="2"/>
  <c r="R844" i="2"/>
  <c r="P844" i="2"/>
  <c r="BK844" i="2"/>
  <c r="J844" i="2"/>
  <c r="BE844" i="2" s="1"/>
  <c r="BI843" i="2"/>
  <c r="BH843" i="2"/>
  <c r="BG843" i="2"/>
  <c r="BF843" i="2"/>
  <c r="T843" i="2"/>
  <c r="R843" i="2"/>
  <c r="P843" i="2"/>
  <c r="BK843" i="2"/>
  <c r="J843" i="2"/>
  <c r="BE843" i="2" s="1"/>
  <c r="BI842" i="2"/>
  <c r="BH842" i="2"/>
  <c r="BG842" i="2"/>
  <c r="BF842" i="2"/>
  <c r="T842" i="2"/>
  <c r="R842" i="2"/>
  <c r="P842" i="2"/>
  <c r="BK842" i="2"/>
  <c r="J842" i="2"/>
  <c r="BE842" i="2" s="1"/>
  <c r="BI841" i="2"/>
  <c r="BH841" i="2"/>
  <c r="BG841" i="2"/>
  <c r="BF841" i="2"/>
  <c r="T841" i="2"/>
  <c r="R841" i="2"/>
  <c r="P841" i="2"/>
  <c r="BK841" i="2"/>
  <c r="J841" i="2"/>
  <c r="BE841" i="2" s="1"/>
  <c r="BI840" i="2"/>
  <c r="BH840" i="2"/>
  <c r="BG840" i="2"/>
  <c r="BF840" i="2"/>
  <c r="T840" i="2"/>
  <c r="R840" i="2"/>
  <c r="P840" i="2"/>
  <c r="BK840" i="2"/>
  <c r="J840" i="2"/>
  <c r="BE840" i="2" s="1"/>
  <c r="BI839" i="2"/>
  <c r="BH839" i="2"/>
  <c r="BG839" i="2"/>
  <c r="BF839" i="2"/>
  <c r="T839" i="2"/>
  <c r="R839" i="2"/>
  <c r="P839" i="2"/>
  <c r="BK839" i="2"/>
  <c r="J839" i="2"/>
  <c r="BE839" i="2" s="1"/>
  <c r="BI834" i="2"/>
  <c r="BH834" i="2"/>
  <c r="BG834" i="2"/>
  <c r="BF834" i="2"/>
  <c r="T834" i="2"/>
  <c r="R834" i="2"/>
  <c r="P834" i="2"/>
  <c r="BK834" i="2"/>
  <c r="J834" i="2"/>
  <c r="BE834" i="2"/>
  <c r="BI831" i="2"/>
  <c r="BH831" i="2"/>
  <c r="BG831" i="2"/>
  <c r="BF831" i="2"/>
  <c r="T831" i="2"/>
  <c r="R831" i="2"/>
  <c r="P831" i="2"/>
  <c r="BK831" i="2"/>
  <c r="J831" i="2"/>
  <c r="BE831" i="2" s="1"/>
  <c r="BI829" i="2"/>
  <c r="BH829" i="2"/>
  <c r="BG829" i="2"/>
  <c r="BF829" i="2"/>
  <c r="T829" i="2"/>
  <c r="R829" i="2"/>
  <c r="P829" i="2"/>
  <c r="BK829" i="2"/>
  <c r="J829" i="2"/>
  <c r="BE829" i="2" s="1"/>
  <c r="BI825" i="2"/>
  <c r="BH825" i="2"/>
  <c r="BG825" i="2"/>
  <c r="BF825" i="2"/>
  <c r="T825" i="2"/>
  <c r="R825" i="2"/>
  <c r="P825" i="2"/>
  <c r="BK825" i="2"/>
  <c r="J825" i="2"/>
  <c r="BE825" i="2"/>
  <c r="BI823" i="2"/>
  <c r="BH823" i="2"/>
  <c r="BG823" i="2"/>
  <c r="BF823" i="2"/>
  <c r="T823" i="2"/>
  <c r="R823" i="2"/>
  <c r="P823" i="2"/>
  <c r="BK823" i="2"/>
  <c r="J823" i="2"/>
  <c r="BE823" i="2" s="1"/>
  <c r="BI818" i="2"/>
  <c r="BH818" i="2"/>
  <c r="BG818" i="2"/>
  <c r="BF818" i="2"/>
  <c r="T818" i="2"/>
  <c r="R818" i="2"/>
  <c r="P818" i="2"/>
  <c r="BK818" i="2"/>
  <c r="J818" i="2"/>
  <c r="BE818" i="2" s="1"/>
  <c r="BI817" i="2"/>
  <c r="BH817" i="2"/>
  <c r="BG817" i="2"/>
  <c r="BF817" i="2"/>
  <c r="T817" i="2"/>
  <c r="R817" i="2"/>
  <c r="P817" i="2"/>
  <c r="BK817" i="2"/>
  <c r="J817" i="2"/>
  <c r="BE817" i="2" s="1"/>
  <c r="BI815" i="2"/>
  <c r="BH815" i="2"/>
  <c r="BG815" i="2"/>
  <c r="BF815" i="2"/>
  <c r="T815" i="2"/>
  <c r="R815" i="2"/>
  <c r="P815" i="2"/>
  <c r="BK815" i="2"/>
  <c r="J815" i="2"/>
  <c r="BE815" i="2" s="1"/>
  <c r="BI814" i="2"/>
  <c r="BH814" i="2"/>
  <c r="BG814" i="2"/>
  <c r="BF814" i="2"/>
  <c r="T814" i="2"/>
  <c r="R814" i="2"/>
  <c r="P814" i="2"/>
  <c r="BK814" i="2"/>
  <c r="J814" i="2"/>
  <c r="BE814" i="2"/>
  <c r="BI812" i="2"/>
  <c r="BH812" i="2"/>
  <c r="BG812" i="2"/>
  <c r="BF812" i="2"/>
  <c r="T812" i="2"/>
  <c r="R812" i="2"/>
  <c r="P812" i="2"/>
  <c r="BK812" i="2"/>
  <c r="J812" i="2"/>
  <c r="BE812" i="2" s="1"/>
  <c r="BI811" i="2"/>
  <c r="BH811" i="2"/>
  <c r="BG811" i="2"/>
  <c r="BF811" i="2"/>
  <c r="T811" i="2"/>
  <c r="R811" i="2"/>
  <c r="P811" i="2"/>
  <c r="BK811" i="2"/>
  <c r="J811" i="2"/>
  <c r="BE811" i="2" s="1"/>
  <c r="BI809" i="2"/>
  <c r="BH809" i="2"/>
  <c r="BG809" i="2"/>
  <c r="BF809" i="2"/>
  <c r="T809" i="2"/>
  <c r="R809" i="2"/>
  <c r="P809" i="2"/>
  <c r="BK809" i="2"/>
  <c r="J809" i="2"/>
  <c r="BE809" i="2" s="1"/>
  <c r="BI804" i="2"/>
  <c r="BH804" i="2"/>
  <c r="BG804" i="2"/>
  <c r="BF804" i="2"/>
  <c r="T804" i="2"/>
  <c r="R804" i="2"/>
  <c r="P804" i="2"/>
  <c r="BK804" i="2"/>
  <c r="J804" i="2"/>
  <c r="BE804" i="2" s="1"/>
  <c r="BI802" i="2"/>
  <c r="BH802" i="2"/>
  <c r="BG802" i="2"/>
  <c r="BF802" i="2"/>
  <c r="T802" i="2"/>
  <c r="R802" i="2"/>
  <c r="P802" i="2"/>
  <c r="BK802" i="2"/>
  <c r="J802" i="2"/>
  <c r="BE802" i="2" s="1"/>
  <c r="BI796" i="2"/>
  <c r="BH796" i="2"/>
  <c r="BG796" i="2"/>
  <c r="BF796" i="2"/>
  <c r="T796" i="2"/>
  <c r="R796" i="2"/>
  <c r="P796" i="2"/>
  <c r="BK796" i="2"/>
  <c r="J796" i="2"/>
  <c r="BE796" i="2" s="1"/>
  <c r="BI788" i="2"/>
  <c r="BH788" i="2"/>
  <c r="BG788" i="2"/>
  <c r="BF788" i="2"/>
  <c r="T788" i="2"/>
  <c r="R788" i="2"/>
  <c r="P788" i="2"/>
  <c r="BK788" i="2"/>
  <c r="J788" i="2"/>
  <c r="BE788" i="2"/>
  <c r="BI782" i="2"/>
  <c r="BH782" i="2"/>
  <c r="BG782" i="2"/>
  <c r="BF782" i="2"/>
  <c r="T782" i="2"/>
  <c r="R782" i="2"/>
  <c r="P782" i="2"/>
  <c r="BK782" i="2"/>
  <c r="J782" i="2"/>
  <c r="BE782" i="2" s="1"/>
  <c r="BI776" i="2"/>
  <c r="BH776" i="2"/>
  <c r="BG776" i="2"/>
  <c r="BF776" i="2"/>
  <c r="T776" i="2"/>
  <c r="R776" i="2"/>
  <c r="P776" i="2"/>
  <c r="BK776" i="2"/>
  <c r="J776" i="2"/>
  <c r="BE776" i="2" s="1"/>
  <c r="BI769" i="2"/>
  <c r="BH769" i="2"/>
  <c r="BG769" i="2"/>
  <c r="BF769" i="2"/>
  <c r="T769" i="2"/>
  <c r="R769" i="2"/>
  <c r="P769" i="2"/>
  <c r="BK769" i="2"/>
  <c r="J769" i="2"/>
  <c r="BE769" i="2" s="1"/>
  <c r="BI765" i="2"/>
  <c r="BH765" i="2"/>
  <c r="BG765" i="2"/>
  <c r="BF765" i="2"/>
  <c r="T765" i="2"/>
  <c r="R765" i="2"/>
  <c r="P765" i="2"/>
  <c r="BK765" i="2"/>
  <c r="J765" i="2"/>
  <c r="BE765" i="2" s="1"/>
  <c r="BI761" i="2"/>
  <c r="BH761" i="2"/>
  <c r="BG761" i="2"/>
  <c r="BF761" i="2"/>
  <c r="T761" i="2"/>
  <c r="R761" i="2"/>
  <c r="P761" i="2"/>
  <c r="BK761" i="2"/>
  <c r="J761" i="2"/>
  <c r="BE761" i="2"/>
  <c r="BI751" i="2"/>
  <c r="BH751" i="2"/>
  <c r="BG751" i="2"/>
  <c r="BF751" i="2"/>
  <c r="T751" i="2"/>
  <c r="R751" i="2"/>
  <c r="P751" i="2"/>
  <c r="BK751" i="2"/>
  <c r="J751" i="2"/>
  <c r="BE751" i="2" s="1"/>
  <c r="BI746" i="2"/>
  <c r="BH746" i="2"/>
  <c r="BG746" i="2"/>
  <c r="BF746" i="2"/>
  <c r="T746" i="2"/>
  <c r="R746" i="2"/>
  <c r="P746" i="2"/>
  <c r="BK746" i="2"/>
  <c r="J746" i="2"/>
  <c r="BE746" i="2" s="1"/>
  <c r="BI738" i="2"/>
  <c r="BH738" i="2"/>
  <c r="BG738" i="2"/>
  <c r="BF738" i="2"/>
  <c r="T738" i="2"/>
  <c r="R738" i="2"/>
  <c r="P738" i="2"/>
  <c r="BK738" i="2"/>
  <c r="J738" i="2"/>
  <c r="BE738" i="2" s="1"/>
  <c r="BI730" i="2"/>
  <c r="BH730" i="2"/>
  <c r="BG730" i="2"/>
  <c r="BF730" i="2"/>
  <c r="T730" i="2"/>
  <c r="R730" i="2"/>
  <c r="P730" i="2"/>
  <c r="BK730" i="2"/>
  <c r="J730" i="2"/>
  <c r="BE730" i="2"/>
  <c r="BI725" i="2"/>
  <c r="BH725" i="2"/>
  <c r="BG725" i="2"/>
  <c r="BF725" i="2"/>
  <c r="T725" i="2"/>
  <c r="R725" i="2"/>
  <c r="P725" i="2"/>
  <c r="BK725" i="2"/>
  <c r="J725" i="2"/>
  <c r="BE725" i="2" s="1"/>
  <c r="BI721" i="2"/>
  <c r="BH721" i="2"/>
  <c r="BG721" i="2"/>
  <c r="BF721" i="2"/>
  <c r="T721" i="2"/>
  <c r="R721" i="2"/>
  <c r="P721" i="2"/>
  <c r="BK721" i="2"/>
  <c r="J721" i="2"/>
  <c r="BE721" i="2" s="1"/>
  <c r="BI719" i="2"/>
  <c r="BH719" i="2"/>
  <c r="BG719" i="2"/>
  <c r="BF719" i="2"/>
  <c r="T719" i="2"/>
  <c r="R719" i="2"/>
  <c r="P719" i="2"/>
  <c r="BK719" i="2"/>
  <c r="J719" i="2"/>
  <c r="BE719" i="2"/>
  <c r="BI718" i="2"/>
  <c r="BH718" i="2"/>
  <c r="BG718" i="2"/>
  <c r="BF718" i="2"/>
  <c r="T718" i="2"/>
  <c r="R718" i="2"/>
  <c r="R717" i="2" s="1"/>
  <c r="P718" i="2"/>
  <c r="BK718" i="2"/>
  <c r="J718" i="2"/>
  <c r="BE718" i="2" s="1"/>
  <c r="BI716" i="2"/>
  <c r="BH716" i="2"/>
  <c r="BG716" i="2"/>
  <c r="BF716" i="2"/>
  <c r="T716" i="2"/>
  <c r="R716" i="2"/>
  <c r="P716" i="2"/>
  <c r="BK716" i="2"/>
  <c r="J716" i="2"/>
  <c r="BE716" i="2" s="1"/>
  <c r="BI715" i="2"/>
  <c r="BH715" i="2"/>
  <c r="BG715" i="2"/>
  <c r="BF715" i="2"/>
  <c r="T715" i="2"/>
  <c r="R715" i="2"/>
  <c r="P715" i="2"/>
  <c r="BK715" i="2"/>
  <c r="J715" i="2"/>
  <c r="BE715" i="2" s="1"/>
  <c r="BI714" i="2"/>
  <c r="BH714" i="2"/>
  <c r="BG714" i="2"/>
  <c r="BF714" i="2"/>
  <c r="T714" i="2"/>
  <c r="R714" i="2"/>
  <c r="P714" i="2"/>
  <c r="BK714" i="2"/>
  <c r="J714" i="2"/>
  <c r="BE714" i="2" s="1"/>
  <c r="BI713" i="2"/>
  <c r="BH713" i="2"/>
  <c r="BG713" i="2"/>
  <c r="BF713" i="2"/>
  <c r="T713" i="2"/>
  <c r="R713" i="2"/>
  <c r="P713" i="2"/>
  <c r="BK713" i="2"/>
  <c r="J713" i="2"/>
  <c r="BE713" i="2" s="1"/>
  <c r="BI712" i="2"/>
  <c r="BH712" i="2"/>
  <c r="BG712" i="2"/>
  <c r="BF712" i="2"/>
  <c r="T712" i="2"/>
  <c r="R712" i="2"/>
  <c r="P712" i="2"/>
  <c r="BK712" i="2"/>
  <c r="J712" i="2"/>
  <c r="BE712" i="2" s="1"/>
  <c r="BI711" i="2"/>
  <c r="BH711" i="2"/>
  <c r="BG711" i="2"/>
  <c r="BF711" i="2"/>
  <c r="T711" i="2"/>
  <c r="R711" i="2"/>
  <c r="P711" i="2"/>
  <c r="BK711" i="2"/>
  <c r="J711" i="2"/>
  <c r="BE711" i="2" s="1"/>
  <c r="BI709" i="2"/>
  <c r="BH709" i="2"/>
  <c r="BG709" i="2"/>
  <c r="BF709" i="2"/>
  <c r="T709" i="2"/>
  <c r="T708" i="2"/>
  <c r="R709" i="2"/>
  <c r="R708" i="2" s="1"/>
  <c r="P709" i="2"/>
  <c r="P708" i="2" s="1"/>
  <c r="BK709" i="2"/>
  <c r="BK708" i="2" s="1"/>
  <c r="J708" i="2" s="1"/>
  <c r="J76" i="2" s="1"/>
  <c r="J709" i="2"/>
  <c r="BE709" i="2" s="1"/>
  <c r="BI706" i="2"/>
  <c r="BH706" i="2"/>
  <c r="BG706" i="2"/>
  <c r="BF706" i="2"/>
  <c r="T706" i="2"/>
  <c r="R706" i="2"/>
  <c r="P706" i="2"/>
  <c r="BK706" i="2"/>
  <c r="J706" i="2"/>
  <c r="BE706" i="2" s="1"/>
  <c r="BI704" i="2"/>
  <c r="BH704" i="2"/>
  <c r="BG704" i="2"/>
  <c r="BF704" i="2"/>
  <c r="T704" i="2"/>
  <c r="R704" i="2"/>
  <c r="P704" i="2"/>
  <c r="BK704" i="2"/>
  <c r="J704" i="2"/>
  <c r="BE704" i="2" s="1"/>
  <c r="BI701" i="2"/>
  <c r="BH701" i="2"/>
  <c r="BG701" i="2"/>
  <c r="BF701" i="2"/>
  <c r="T701" i="2"/>
  <c r="R701" i="2"/>
  <c r="P701" i="2"/>
  <c r="BK701" i="2"/>
  <c r="J701" i="2"/>
  <c r="BE701" i="2"/>
  <c r="BI698" i="2"/>
  <c r="BH698" i="2"/>
  <c r="BG698" i="2"/>
  <c r="BF698" i="2"/>
  <c r="T698" i="2"/>
  <c r="R698" i="2"/>
  <c r="P698" i="2"/>
  <c r="BK698" i="2"/>
  <c r="J698" i="2"/>
  <c r="BE698" i="2" s="1"/>
  <c r="BI693" i="2"/>
  <c r="BH693" i="2"/>
  <c r="BG693" i="2"/>
  <c r="BF693" i="2"/>
  <c r="T693" i="2"/>
  <c r="R693" i="2"/>
  <c r="P693" i="2"/>
  <c r="BK693" i="2"/>
  <c r="J693" i="2"/>
  <c r="BE693" i="2" s="1"/>
  <c r="BI689" i="2"/>
  <c r="BH689" i="2"/>
  <c r="BG689" i="2"/>
  <c r="BF689" i="2"/>
  <c r="T689" i="2"/>
  <c r="R689" i="2"/>
  <c r="P689" i="2"/>
  <c r="BK689" i="2"/>
  <c r="J689" i="2"/>
  <c r="BE689" i="2" s="1"/>
  <c r="BI685" i="2"/>
  <c r="BH685" i="2"/>
  <c r="BG685" i="2"/>
  <c r="BF685" i="2"/>
  <c r="T685" i="2"/>
  <c r="T684" i="2" s="1"/>
  <c r="R685" i="2"/>
  <c r="R684" i="2" s="1"/>
  <c r="P685" i="2"/>
  <c r="P684" i="2" s="1"/>
  <c r="BK685" i="2"/>
  <c r="BK684" i="2" s="1"/>
  <c r="J684" i="2" s="1"/>
  <c r="J73" i="2" s="1"/>
  <c r="J685" i="2"/>
  <c r="BE685" i="2"/>
  <c r="BI681" i="2"/>
  <c r="BH681" i="2"/>
  <c r="BG681" i="2"/>
  <c r="BF681" i="2"/>
  <c r="T681" i="2"/>
  <c r="R681" i="2"/>
  <c r="P681" i="2"/>
  <c r="BK681" i="2"/>
  <c r="J681" i="2"/>
  <c r="BE681" i="2"/>
  <c r="BI678" i="2"/>
  <c r="BH678" i="2"/>
  <c r="BG678" i="2"/>
  <c r="BF678" i="2"/>
  <c r="T678" i="2"/>
  <c r="R678" i="2"/>
  <c r="P678" i="2"/>
  <c r="BK678" i="2"/>
  <c r="J678" i="2"/>
  <c r="BE678" i="2" s="1"/>
  <c r="BI675" i="2"/>
  <c r="BH675" i="2"/>
  <c r="BG675" i="2"/>
  <c r="BF675" i="2"/>
  <c r="T675" i="2"/>
  <c r="R675" i="2"/>
  <c r="P675" i="2"/>
  <c r="BK675" i="2"/>
  <c r="J675" i="2"/>
  <c r="BE675" i="2" s="1"/>
  <c r="BI672" i="2"/>
  <c r="BH672" i="2"/>
  <c r="BG672" i="2"/>
  <c r="BF672" i="2"/>
  <c r="T672" i="2"/>
  <c r="R672" i="2"/>
  <c r="P672" i="2"/>
  <c r="BK672" i="2"/>
  <c r="J672" i="2"/>
  <c r="BE672" i="2" s="1"/>
  <c r="BI670" i="2"/>
  <c r="BH670" i="2"/>
  <c r="BG670" i="2"/>
  <c r="BF670" i="2"/>
  <c r="T670" i="2"/>
  <c r="R670" i="2"/>
  <c r="P670" i="2"/>
  <c r="BK670" i="2"/>
  <c r="J670" i="2"/>
  <c r="BE670" i="2"/>
  <c r="BI668" i="2"/>
  <c r="BH668" i="2"/>
  <c r="BG668" i="2"/>
  <c r="BF668" i="2"/>
  <c r="T668" i="2"/>
  <c r="R668" i="2"/>
  <c r="P668" i="2"/>
  <c r="BK668" i="2"/>
  <c r="J668" i="2"/>
  <c r="BE668" i="2" s="1"/>
  <c r="BI657" i="2"/>
  <c r="BH657" i="2"/>
  <c r="BG657" i="2"/>
  <c r="BF657" i="2"/>
  <c r="T657" i="2"/>
  <c r="R657" i="2"/>
  <c r="P657" i="2"/>
  <c r="BK657" i="2"/>
  <c r="J657" i="2"/>
  <c r="BE657" i="2" s="1"/>
  <c r="BI650" i="2"/>
  <c r="BH650" i="2"/>
  <c r="BG650" i="2"/>
  <c r="BF650" i="2"/>
  <c r="T650" i="2"/>
  <c r="R650" i="2"/>
  <c r="P650" i="2"/>
  <c r="BK650" i="2"/>
  <c r="J650" i="2"/>
  <c r="BE650" i="2"/>
  <c r="BI646" i="2"/>
  <c r="BH646" i="2"/>
  <c r="BG646" i="2"/>
  <c r="BF646" i="2"/>
  <c r="T646" i="2"/>
  <c r="R646" i="2"/>
  <c r="P646" i="2"/>
  <c r="BK646" i="2"/>
  <c r="J646" i="2"/>
  <c r="BE646" i="2" s="1"/>
  <c r="BI642" i="2"/>
  <c r="BH642" i="2"/>
  <c r="BG642" i="2"/>
  <c r="BF642" i="2"/>
  <c r="T642" i="2"/>
  <c r="R642" i="2"/>
  <c r="P642" i="2"/>
  <c r="BK642" i="2"/>
  <c r="J642" i="2"/>
  <c r="BE642" i="2" s="1"/>
  <c r="BI633" i="2"/>
  <c r="BH633" i="2"/>
  <c r="BG633" i="2"/>
  <c r="BF633" i="2"/>
  <c r="T633" i="2"/>
  <c r="R633" i="2"/>
  <c r="P633" i="2"/>
  <c r="BK633" i="2"/>
  <c r="J633" i="2"/>
  <c r="BE633" i="2" s="1"/>
  <c r="BI629" i="2"/>
  <c r="BH629" i="2"/>
  <c r="BG629" i="2"/>
  <c r="BF629" i="2"/>
  <c r="T629" i="2"/>
  <c r="R629" i="2"/>
  <c r="P629" i="2"/>
  <c r="BK629" i="2"/>
  <c r="J629" i="2"/>
  <c r="BE629" i="2"/>
  <c r="BI621" i="2"/>
  <c r="BH621" i="2"/>
  <c r="BG621" i="2"/>
  <c r="BF621" i="2"/>
  <c r="T621" i="2"/>
  <c r="R621" i="2"/>
  <c r="P621" i="2"/>
  <c r="BK621" i="2"/>
  <c r="J621" i="2"/>
  <c r="BE621" i="2" s="1"/>
  <c r="BI616" i="2"/>
  <c r="BH616" i="2"/>
  <c r="BG616" i="2"/>
  <c r="BF616" i="2"/>
  <c r="T616" i="2"/>
  <c r="R616" i="2"/>
  <c r="P616" i="2"/>
  <c r="BK616" i="2"/>
  <c r="J616" i="2"/>
  <c r="BE616" i="2" s="1"/>
  <c r="BI608" i="2"/>
  <c r="BH608" i="2"/>
  <c r="BG608" i="2"/>
  <c r="BF608" i="2"/>
  <c r="T608" i="2"/>
  <c r="R608" i="2"/>
  <c r="P608" i="2"/>
  <c r="BK608" i="2"/>
  <c r="J608" i="2"/>
  <c r="BE608" i="2" s="1"/>
  <c r="BI603" i="2"/>
  <c r="BH603" i="2"/>
  <c r="BG603" i="2"/>
  <c r="BF603" i="2"/>
  <c r="T603" i="2"/>
  <c r="R603" i="2"/>
  <c r="P603" i="2"/>
  <c r="BK603" i="2"/>
  <c r="J603" i="2"/>
  <c r="BE603" i="2"/>
  <c r="BI598" i="2"/>
  <c r="BH598" i="2"/>
  <c r="BG598" i="2"/>
  <c r="BF598" i="2"/>
  <c r="T598" i="2"/>
  <c r="R598" i="2"/>
  <c r="P598" i="2"/>
  <c r="BK598" i="2"/>
  <c r="J598" i="2"/>
  <c r="BE598" i="2" s="1"/>
  <c r="BI593" i="2"/>
  <c r="BH593" i="2"/>
  <c r="BG593" i="2"/>
  <c r="BF593" i="2"/>
  <c r="T593" i="2"/>
  <c r="R593" i="2"/>
  <c r="P593" i="2"/>
  <c r="BK593" i="2"/>
  <c r="J593" i="2"/>
  <c r="BE593" i="2" s="1"/>
  <c r="BI589" i="2"/>
  <c r="BH589" i="2"/>
  <c r="BG589" i="2"/>
  <c r="BF589" i="2"/>
  <c r="T589" i="2"/>
  <c r="R589" i="2"/>
  <c r="P589" i="2"/>
  <c r="BK589" i="2"/>
  <c r="J589" i="2"/>
  <c r="BE589" i="2" s="1"/>
  <c r="BI585" i="2"/>
  <c r="BH585" i="2"/>
  <c r="BG585" i="2"/>
  <c r="BF585" i="2"/>
  <c r="T585" i="2"/>
  <c r="R585" i="2"/>
  <c r="P585" i="2"/>
  <c r="BK585" i="2"/>
  <c r="J585" i="2"/>
  <c r="BE585" i="2"/>
  <c r="BI581" i="2"/>
  <c r="BH581" i="2"/>
  <c r="BG581" i="2"/>
  <c r="BF581" i="2"/>
  <c r="T581" i="2"/>
  <c r="R581" i="2"/>
  <c r="P581" i="2"/>
  <c r="BK581" i="2"/>
  <c r="J581" i="2"/>
  <c r="BE581" i="2" s="1"/>
  <c r="BI577" i="2"/>
  <c r="BH577" i="2"/>
  <c r="BG577" i="2"/>
  <c r="BF577" i="2"/>
  <c r="T577" i="2"/>
  <c r="R577" i="2"/>
  <c r="P577" i="2"/>
  <c r="BK577" i="2"/>
  <c r="J577" i="2"/>
  <c r="BE577" i="2" s="1"/>
  <c r="BI573" i="2"/>
  <c r="BH573" i="2"/>
  <c r="BG573" i="2"/>
  <c r="BF573" i="2"/>
  <c r="T573" i="2"/>
  <c r="R573" i="2"/>
  <c r="P573" i="2"/>
  <c r="BK573" i="2"/>
  <c r="J573" i="2"/>
  <c r="BE573" i="2" s="1"/>
  <c r="BI569" i="2"/>
  <c r="BH569" i="2"/>
  <c r="BG569" i="2"/>
  <c r="BF569" i="2"/>
  <c r="T569" i="2"/>
  <c r="R569" i="2"/>
  <c r="P569" i="2"/>
  <c r="BK569" i="2"/>
  <c r="J569" i="2"/>
  <c r="BE569" i="2"/>
  <c r="BI565" i="2"/>
  <c r="BH565" i="2"/>
  <c r="BG565" i="2"/>
  <c r="BF565" i="2"/>
  <c r="T565" i="2"/>
  <c r="R565" i="2"/>
  <c r="P565" i="2"/>
  <c r="BK565" i="2"/>
  <c r="J565" i="2"/>
  <c r="BE565" i="2" s="1"/>
  <c r="BI561" i="2"/>
  <c r="BH561" i="2"/>
  <c r="BG561" i="2"/>
  <c r="BF561" i="2"/>
  <c r="T561" i="2"/>
  <c r="R561" i="2"/>
  <c r="P561" i="2"/>
  <c r="BK561" i="2"/>
  <c r="J561" i="2"/>
  <c r="BE561" i="2" s="1"/>
  <c r="BI557" i="2"/>
  <c r="BH557" i="2"/>
  <c r="BG557" i="2"/>
  <c r="BF557" i="2"/>
  <c r="T557" i="2"/>
  <c r="R557" i="2"/>
  <c r="P557" i="2"/>
  <c r="BK557" i="2"/>
  <c r="J557" i="2"/>
  <c r="BE557" i="2" s="1"/>
  <c r="BI553" i="2"/>
  <c r="BH553" i="2"/>
  <c r="BG553" i="2"/>
  <c r="BF553" i="2"/>
  <c r="T553" i="2"/>
  <c r="R553" i="2"/>
  <c r="P553" i="2"/>
  <c r="BK553" i="2"/>
  <c r="J553" i="2"/>
  <c r="BE553" i="2" s="1"/>
  <c r="BI550" i="2"/>
  <c r="BH550" i="2"/>
  <c r="BG550" i="2"/>
  <c r="BF550" i="2"/>
  <c r="T550" i="2"/>
  <c r="R550" i="2"/>
  <c r="P550" i="2"/>
  <c r="BK550" i="2"/>
  <c r="J550" i="2"/>
  <c r="BE550" i="2" s="1"/>
  <c r="BI540" i="2"/>
  <c r="BH540" i="2"/>
  <c r="BG540" i="2"/>
  <c r="BF540" i="2"/>
  <c r="T540" i="2"/>
  <c r="R540" i="2"/>
  <c r="P540" i="2"/>
  <c r="BK540" i="2"/>
  <c r="J540" i="2"/>
  <c r="BE540" i="2" s="1"/>
  <c r="BI536" i="2"/>
  <c r="BH536" i="2"/>
  <c r="BG536" i="2"/>
  <c r="BF536" i="2"/>
  <c r="T536" i="2"/>
  <c r="R536" i="2"/>
  <c r="P536" i="2"/>
  <c r="BK536" i="2"/>
  <c r="J536" i="2"/>
  <c r="BE536" i="2" s="1"/>
  <c r="BI532" i="2"/>
  <c r="BH532" i="2"/>
  <c r="BG532" i="2"/>
  <c r="BF532" i="2"/>
  <c r="T532" i="2"/>
  <c r="R532" i="2"/>
  <c r="P532" i="2"/>
  <c r="BK532" i="2"/>
  <c r="J532" i="2"/>
  <c r="BE532" i="2" s="1"/>
  <c r="BI523" i="2"/>
  <c r="BH523" i="2"/>
  <c r="BG523" i="2"/>
  <c r="BF523" i="2"/>
  <c r="T523" i="2"/>
  <c r="R523" i="2"/>
  <c r="P523" i="2"/>
  <c r="BK523" i="2"/>
  <c r="J523" i="2"/>
  <c r="BE523" i="2" s="1"/>
  <c r="BI517" i="2"/>
  <c r="BH517" i="2"/>
  <c r="BG517" i="2"/>
  <c r="BF517" i="2"/>
  <c r="T517" i="2"/>
  <c r="R517" i="2"/>
  <c r="P517" i="2"/>
  <c r="BK517" i="2"/>
  <c r="J517" i="2"/>
  <c r="BE517" i="2" s="1"/>
  <c r="BI510" i="2"/>
  <c r="BH510" i="2"/>
  <c r="BG510" i="2"/>
  <c r="BF510" i="2"/>
  <c r="T510" i="2"/>
  <c r="R510" i="2"/>
  <c r="P510" i="2"/>
  <c r="BK510" i="2"/>
  <c r="J510" i="2"/>
  <c r="BE510" i="2" s="1"/>
  <c r="BI506" i="2"/>
  <c r="BH506" i="2"/>
  <c r="BG506" i="2"/>
  <c r="BF506" i="2"/>
  <c r="T506" i="2"/>
  <c r="R506" i="2"/>
  <c r="P506" i="2"/>
  <c r="BK506" i="2"/>
  <c r="J506" i="2"/>
  <c r="BE506" i="2" s="1"/>
  <c r="BI502" i="2"/>
  <c r="BH502" i="2"/>
  <c r="BG502" i="2"/>
  <c r="BF502" i="2"/>
  <c r="T502" i="2"/>
  <c r="R502" i="2"/>
  <c r="P502" i="2"/>
  <c r="BK502" i="2"/>
  <c r="J502" i="2"/>
  <c r="BE502" i="2" s="1"/>
  <c r="BI498" i="2"/>
  <c r="BH498" i="2"/>
  <c r="BG498" i="2"/>
  <c r="BF498" i="2"/>
  <c r="T498" i="2"/>
  <c r="R498" i="2"/>
  <c r="P498" i="2"/>
  <c r="BK498" i="2"/>
  <c r="J498" i="2"/>
  <c r="BE498" i="2" s="1"/>
  <c r="BI493" i="2"/>
  <c r="BH493" i="2"/>
  <c r="BG493" i="2"/>
  <c r="BF493" i="2"/>
  <c r="T493" i="2"/>
  <c r="R493" i="2"/>
  <c r="P493" i="2"/>
  <c r="BK493" i="2"/>
  <c r="J493" i="2"/>
  <c r="BE493" i="2" s="1"/>
  <c r="BI486" i="2"/>
  <c r="BH486" i="2"/>
  <c r="BG486" i="2"/>
  <c r="BF486" i="2"/>
  <c r="T486" i="2"/>
  <c r="R486" i="2"/>
  <c r="P486" i="2"/>
  <c r="BK486" i="2"/>
  <c r="J486" i="2"/>
  <c r="BE486" i="2" s="1"/>
  <c r="BI485" i="2"/>
  <c r="BH485" i="2"/>
  <c r="BG485" i="2"/>
  <c r="BF485" i="2"/>
  <c r="T485" i="2"/>
  <c r="R485" i="2"/>
  <c r="P485" i="2"/>
  <c r="BK485" i="2"/>
  <c r="J485" i="2"/>
  <c r="BE485" i="2" s="1"/>
  <c r="BI481" i="2"/>
  <c r="BH481" i="2"/>
  <c r="BG481" i="2"/>
  <c r="BF481" i="2"/>
  <c r="T481" i="2"/>
  <c r="R481" i="2"/>
  <c r="P481" i="2"/>
  <c r="BK481" i="2"/>
  <c r="J481" i="2"/>
  <c r="BE481" i="2" s="1"/>
  <c r="BI476" i="2"/>
  <c r="BH476" i="2"/>
  <c r="BG476" i="2"/>
  <c r="BF476" i="2"/>
  <c r="T476" i="2"/>
  <c r="R476" i="2"/>
  <c r="P476" i="2"/>
  <c r="BK476" i="2"/>
  <c r="J476" i="2"/>
  <c r="BE476" i="2" s="1"/>
  <c r="BI470" i="2"/>
  <c r="BH470" i="2"/>
  <c r="BG470" i="2"/>
  <c r="BF470" i="2"/>
  <c r="T470" i="2"/>
  <c r="R470" i="2"/>
  <c r="P470" i="2"/>
  <c r="BK470" i="2"/>
  <c r="J470" i="2"/>
  <c r="BE470" i="2" s="1"/>
  <c r="BI464" i="2"/>
  <c r="BH464" i="2"/>
  <c r="BG464" i="2"/>
  <c r="BF464" i="2"/>
  <c r="T464" i="2"/>
  <c r="R464" i="2"/>
  <c r="P464" i="2"/>
  <c r="BK464" i="2"/>
  <c r="J464" i="2"/>
  <c r="BE464" i="2" s="1"/>
  <c r="BI456" i="2"/>
  <c r="BH456" i="2"/>
  <c r="BG456" i="2"/>
  <c r="BF456" i="2"/>
  <c r="T456" i="2"/>
  <c r="R456" i="2"/>
  <c r="P456" i="2"/>
  <c r="BK456" i="2"/>
  <c r="J456" i="2"/>
  <c r="BE456" i="2" s="1"/>
  <c r="BI455" i="2"/>
  <c r="BH455" i="2"/>
  <c r="BG455" i="2"/>
  <c r="BF455" i="2"/>
  <c r="T455" i="2"/>
  <c r="R455" i="2"/>
  <c r="P455" i="2"/>
  <c r="BK455" i="2"/>
  <c r="J455" i="2"/>
  <c r="BE455" i="2" s="1"/>
  <c r="BI454" i="2"/>
  <c r="BH454" i="2"/>
  <c r="BG454" i="2"/>
  <c r="BF454" i="2"/>
  <c r="T454" i="2"/>
  <c r="R454" i="2"/>
  <c r="P454" i="2"/>
  <c r="BK454" i="2"/>
  <c r="J454" i="2"/>
  <c r="BE454" i="2"/>
  <c r="BI449" i="2"/>
  <c r="BH449" i="2"/>
  <c r="BG449" i="2"/>
  <c r="BF449" i="2"/>
  <c r="T449" i="2"/>
  <c r="R449" i="2"/>
  <c r="P449" i="2"/>
  <c r="BK449" i="2"/>
  <c r="J449" i="2"/>
  <c r="BE449" i="2" s="1"/>
  <c r="BI442" i="2"/>
  <c r="BH442" i="2"/>
  <c r="BG442" i="2"/>
  <c r="BF442" i="2"/>
  <c r="T442" i="2"/>
  <c r="R442" i="2"/>
  <c r="P442" i="2"/>
  <c r="BK442" i="2"/>
  <c r="J442" i="2"/>
  <c r="BE442" i="2" s="1"/>
  <c r="BI438" i="2"/>
  <c r="BH438" i="2"/>
  <c r="BG438" i="2"/>
  <c r="BF438" i="2"/>
  <c r="T438" i="2"/>
  <c r="R438" i="2"/>
  <c r="P438" i="2"/>
  <c r="BK438" i="2"/>
  <c r="J438" i="2"/>
  <c r="BE438" i="2" s="1"/>
  <c r="BI433" i="2"/>
  <c r="BH433" i="2"/>
  <c r="BG433" i="2"/>
  <c r="BF433" i="2"/>
  <c r="T433" i="2"/>
  <c r="T432" i="2" s="1"/>
  <c r="R433" i="2"/>
  <c r="R432" i="2" s="1"/>
  <c r="P433" i="2"/>
  <c r="P432" i="2" s="1"/>
  <c r="BK433" i="2"/>
  <c r="BK432" i="2" s="1"/>
  <c r="J432" i="2" s="1"/>
  <c r="J70" i="2" s="1"/>
  <c r="J433" i="2"/>
  <c r="BE433" i="2" s="1"/>
  <c r="BI428" i="2"/>
  <c r="BH428" i="2"/>
  <c r="BG428" i="2"/>
  <c r="BF428" i="2"/>
  <c r="T428" i="2"/>
  <c r="R428" i="2"/>
  <c r="P428" i="2"/>
  <c r="BK428" i="2"/>
  <c r="J428" i="2"/>
  <c r="BE428" i="2" s="1"/>
  <c r="BI425" i="2"/>
  <c r="BH425" i="2"/>
  <c r="BG425" i="2"/>
  <c r="BF425" i="2"/>
  <c r="T425" i="2"/>
  <c r="R425" i="2"/>
  <c r="P425" i="2"/>
  <c r="BK425" i="2"/>
  <c r="J425" i="2"/>
  <c r="BE425" i="2" s="1"/>
  <c r="BI420" i="2"/>
  <c r="BH420" i="2"/>
  <c r="BG420" i="2"/>
  <c r="BF420" i="2"/>
  <c r="T420" i="2"/>
  <c r="R420" i="2"/>
  <c r="P420" i="2"/>
  <c r="BK420" i="2"/>
  <c r="J420" i="2"/>
  <c r="BE420" i="2" s="1"/>
  <c r="BI415" i="2"/>
  <c r="BH415" i="2"/>
  <c r="BG415" i="2"/>
  <c r="BF415" i="2"/>
  <c r="T415" i="2"/>
  <c r="R415" i="2"/>
  <c r="P415" i="2"/>
  <c r="BK415" i="2"/>
  <c r="J415" i="2"/>
  <c r="BE415" i="2" s="1"/>
  <c r="BI410" i="2"/>
  <c r="BH410" i="2"/>
  <c r="BG410" i="2"/>
  <c r="BF410" i="2"/>
  <c r="T410" i="2"/>
  <c r="R410" i="2"/>
  <c r="P410" i="2"/>
  <c r="BK410" i="2"/>
  <c r="J410" i="2"/>
  <c r="BE410" i="2" s="1"/>
  <c r="BI404" i="2"/>
  <c r="BH404" i="2"/>
  <c r="BG404" i="2"/>
  <c r="BF404" i="2"/>
  <c r="T404" i="2"/>
  <c r="R404" i="2"/>
  <c r="P404" i="2"/>
  <c r="BK404" i="2"/>
  <c r="J404" i="2"/>
  <c r="BE404" i="2" s="1"/>
  <c r="BI402" i="2"/>
  <c r="BH402" i="2"/>
  <c r="BG402" i="2"/>
  <c r="BF402" i="2"/>
  <c r="T402" i="2"/>
  <c r="R402" i="2"/>
  <c r="P402" i="2"/>
  <c r="BK402" i="2"/>
  <c r="J402" i="2"/>
  <c r="BE402" i="2" s="1"/>
  <c r="BI400" i="2"/>
  <c r="BH400" i="2"/>
  <c r="BG400" i="2"/>
  <c r="BF400" i="2"/>
  <c r="T400" i="2"/>
  <c r="R400" i="2"/>
  <c r="P400" i="2"/>
  <c r="BK400" i="2"/>
  <c r="J400" i="2"/>
  <c r="BE400" i="2"/>
  <c r="BI395" i="2"/>
  <c r="BH395" i="2"/>
  <c r="BG395" i="2"/>
  <c r="BF395" i="2"/>
  <c r="T395" i="2"/>
  <c r="R395" i="2"/>
  <c r="P395" i="2"/>
  <c r="BK395" i="2"/>
  <c r="J395" i="2"/>
  <c r="BE395" i="2" s="1"/>
  <c r="BI390" i="2"/>
  <c r="BH390" i="2"/>
  <c r="BG390" i="2"/>
  <c r="BF390" i="2"/>
  <c r="T390" i="2"/>
  <c r="R390" i="2"/>
  <c r="P390" i="2"/>
  <c r="BK390" i="2"/>
  <c r="J390" i="2"/>
  <c r="BE390" i="2" s="1"/>
  <c r="BI387" i="2"/>
  <c r="BH387" i="2"/>
  <c r="BG387" i="2"/>
  <c r="BF387" i="2"/>
  <c r="T387" i="2"/>
  <c r="R387" i="2"/>
  <c r="P387" i="2"/>
  <c r="BK387" i="2"/>
  <c r="J387" i="2"/>
  <c r="BE387" i="2"/>
  <c r="BI385" i="2"/>
  <c r="BH385" i="2"/>
  <c r="BG385" i="2"/>
  <c r="BF385" i="2"/>
  <c r="T385" i="2"/>
  <c r="R385" i="2"/>
  <c r="P385" i="2"/>
  <c r="BK385" i="2"/>
  <c r="J385" i="2"/>
  <c r="BE385" i="2" s="1"/>
  <c r="BI367" i="2"/>
  <c r="BH367" i="2"/>
  <c r="BG367" i="2"/>
  <c r="BF367" i="2"/>
  <c r="T367" i="2"/>
  <c r="R367" i="2"/>
  <c r="P367" i="2"/>
  <c r="BK367" i="2"/>
  <c r="J367" i="2"/>
  <c r="BE367" i="2" s="1"/>
  <c r="BI354" i="2"/>
  <c r="BH354" i="2"/>
  <c r="BG354" i="2"/>
  <c r="BF354" i="2"/>
  <c r="T354" i="2"/>
  <c r="R354" i="2"/>
  <c r="P354" i="2"/>
  <c r="BK354" i="2"/>
  <c r="J354" i="2"/>
  <c r="BE354" i="2"/>
  <c r="BI350" i="2"/>
  <c r="BH350" i="2"/>
  <c r="BG350" i="2"/>
  <c r="BF350" i="2"/>
  <c r="T350" i="2"/>
  <c r="R350" i="2"/>
  <c r="P350" i="2"/>
  <c r="BK350" i="2"/>
  <c r="J350" i="2"/>
  <c r="BE350" i="2" s="1"/>
  <c r="BI341" i="2"/>
  <c r="BH341" i="2"/>
  <c r="BG341" i="2"/>
  <c r="BF341" i="2"/>
  <c r="T341" i="2"/>
  <c r="R341" i="2"/>
  <c r="P341" i="2"/>
  <c r="BK341" i="2"/>
  <c r="J341" i="2"/>
  <c r="BE341" i="2"/>
  <c r="BI335" i="2"/>
  <c r="BH335" i="2"/>
  <c r="BG335" i="2"/>
  <c r="BF335" i="2"/>
  <c r="T335" i="2"/>
  <c r="R335" i="2"/>
  <c r="P335" i="2"/>
  <c r="BK335" i="2"/>
  <c r="J335" i="2"/>
  <c r="BE335" i="2" s="1"/>
  <c r="BI325" i="2"/>
  <c r="BH325" i="2"/>
  <c r="BG325" i="2"/>
  <c r="BF325" i="2"/>
  <c r="T325" i="2"/>
  <c r="R325" i="2"/>
  <c r="P325" i="2"/>
  <c r="BK325" i="2"/>
  <c r="J325" i="2"/>
  <c r="BE325" i="2"/>
  <c r="BI312" i="2"/>
  <c r="BH312" i="2"/>
  <c r="BG312" i="2"/>
  <c r="BF312" i="2"/>
  <c r="T312" i="2"/>
  <c r="R312" i="2"/>
  <c r="P312" i="2"/>
  <c r="BK312" i="2"/>
  <c r="J312" i="2"/>
  <c r="BE312" i="2" s="1"/>
  <c r="BI301" i="2"/>
  <c r="BH301" i="2"/>
  <c r="BG301" i="2"/>
  <c r="BF301" i="2"/>
  <c r="T301" i="2"/>
  <c r="R301" i="2"/>
  <c r="P301" i="2"/>
  <c r="BK301" i="2"/>
  <c r="J301" i="2"/>
  <c r="BE301" i="2" s="1"/>
  <c r="BI297" i="2"/>
  <c r="BH297" i="2"/>
  <c r="BG297" i="2"/>
  <c r="BF297" i="2"/>
  <c r="T297" i="2"/>
  <c r="R297" i="2"/>
  <c r="P297" i="2"/>
  <c r="BK297" i="2"/>
  <c r="J297" i="2"/>
  <c r="BE297" i="2" s="1"/>
  <c r="BI287" i="2"/>
  <c r="BH287" i="2"/>
  <c r="BG287" i="2"/>
  <c r="BF287" i="2"/>
  <c r="T287" i="2"/>
  <c r="R287" i="2"/>
  <c r="P287" i="2"/>
  <c r="BK287" i="2"/>
  <c r="J287" i="2"/>
  <c r="BE287" i="2" s="1"/>
  <c r="BI283" i="2"/>
  <c r="BH283" i="2"/>
  <c r="BG283" i="2"/>
  <c r="BF283" i="2"/>
  <c r="T283" i="2"/>
  <c r="R283" i="2"/>
  <c r="P283" i="2"/>
  <c r="BK283" i="2"/>
  <c r="J283" i="2"/>
  <c r="BE283" i="2"/>
  <c r="BI278" i="2"/>
  <c r="BH278" i="2"/>
  <c r="BG278" i="2"/>
  <c r="BF278" i="2"/>
  <c r="T278" i="2"/>
  <c r="R278" i="2"/>
  <c r="P278" i="2"/>
  <c r="BK278" i="2"/>
  <c r="J278" i="2"/>
  <c r="BE278" i="2" s="1"/>
  <c r="BI272" i="2"/>
  <c r="BH272" i="2"/>
  <c r="BG272" i="2"/>
  <c r="BF272" i="2"/>
  <c r="T272" i="2"/>
  <c r="R272" i="2"/>
  <c r="P272" i="2"/>
  <c r="BK272" i="2"/>
  <c r="J272" i="2"/>
  <c r="BE272" i="2" s="1"/>
  <c r="BI268" i="2"/>
  <c r="BH268" i="2"/>
  <c r="BG268" i="2"/>
  <c r="BF268" i="2"/>
  <c r="T268" i="2"/>
  <c r="R268" i="2"/>
  <c r="P268" i="2"/>
  <c r="BK268" i="2"/>
  <c r="J268" i="2"/>
  <c r="BE268" i="2" s="1"/>
  <c r="BI264" i="2"/>
  <c r="BH264" i="2"/>
  <c r="BG264" i="2"/>
  <c r="BF264" i="2"/>
  <c r="T264" i="2"/>
  <c r="R264" i="2"/>
  <c r="P264" i="2"/>
  <c r="BK264" i="2"/>
  <c r="J264" i="2"/>
  <c r="BE264" i="2" s="1"/>
  <c r="BI260" i="2"/>
  <c r="BH260" i="2"/>
  <c r="BG260" i="2"/>
  <c r="BF260" i="2"/>
  <c r="T260" i="2"/>
  <c r="R260" i="2"/>
  <c r="P260" i="2"/>
  <c r="BK260" i="2"/>
  <c r="J260" i="2"/>
  <c r="BE260" i="2"/>
  <c r="BI256" i="2"/>
  <c r="BH256" i="2"/>
  <c r="BG256" i="2"/>
  <c r="BF256" i="2"/>
  <c r="T256" i="2"/>
  <c r="R256" i="2"/>
  <c r="P256" i="2"/>
  <c r="BK256" i="2"/>
  <c r="J256" i="2"/>
  <c r="BE256" i="2" s="1"/>
  <c r="BI252" i="2"/>
  <c r="BH252" i="2"/>
  <c r="BG252" i="2"/>
  <c r="BF252" i="2"/>
  <c r="T252" i="2"/>
  <c r="R252" i="2"/>
  <c r="P252" i="2"/>
  <c r="BK252" i="2"/>
  <c r="J252" i="2"/>
  <c r="BE252" i="2" s="1"/>
  <c r="BI242" i="2"/>
  <c r="BH242" i="2"/>
  <c r="BG242" i="2"/>
  <c r="BF242" i="2"/>
  <c r="T242" i="2"/>
  <c r="T241" i="2" s="1"/>
  <c r="R242" i="2"/>
  <c r="R241" i="2" s="1"/>
  <c r="P242" i="2"/>
  <c r="P241" i="2"/>
  <c r="BK242" i="2"/>
  <c r="BK241" i="2" s="1"/>
  <c r="J241" i="2" s="1"/>
  <c r="J68" i="2" s="1"/>
  <c r="J242" i="2"/>
  <c r="BE242" i="2" s="1"/>
  <c r="BI238" i="2"/>
  <c r="BH238" i="2"/>
  <c r="BG238" i="2"/>
  <c r="BF238" i="2"/>
  <c r="T238" i="2"/>
  <c r="R238" i="2"/>
  <c r="P238" i="2"/>
  <c r="BK238" i="2"/>
  <c r="J238" i="2"/>
  <c r="BE238" i="2" s="1"/>
  <c r="BI234" i="2"/>
  <c r="BH234" i="2"/>
  <c r="BG234" i="2"/>
  <c r="BF234" i="2"/>
  <c r="T234" i="2"/>
  <c r="R234" i="2"/>
  <c r="P234" i="2"/>
  <c r="BK234" i="2"/>
  <c r="J234" i="2"/>
  <c r="BE234" i="2" s="1"/>
  <c r="BI224" i="2"/>
  <c r="BH224" i="2"/>
  <c r="BG224" i="2"/>
  <c r="BF224" i="2"/>
  <c r="T224" i="2"/>
  <c r="R224" i="2"/>
  <c r="P224" i="2"/>
  <c r="BK224" i="2"/>
  <c r="J224" i="2"/>
  <c r="BE224" i="2" s="1"/>
  <c r="BI220" i="2"/>
  <c r="BH220" i="2"/>
  <c r="BG220" i="2"/>
  <c r="BF220" i="2"/>
  <c r="T220" i="2"/>
  <c r="R220" i="2"/>
  <c r="P220" i="2"/>
  <c r="BK220" i="2"/>
  <c r="J220" i="2"/>
  <c r="BE220" i="2" s="1"/>
  <c r="BI215" i="2"/>
  <c r="BH215" i="2"/>
  <c r="BG215" i="2"/>
  <c r="BF215" i="2"/>
  <c r="T215" i="2"/>
  <c r="R215" i="2"/>
  <c r="P215" i="2"/>
  <c r="BK215" i="2"/>
  <c r="J215" i="2"/>
  <c r="BE215" i="2" s="1"/>
  <c r="BI200" i="2"/>
  <c r="BH200" i="2"/>
  <c r="BG200" i="2"/>
  <c r="BF200" i="2"/>
  <c r="T200" i="2"/>
  <c r="R200" i="2"/>
  <c r="P200" i="2"/>
  <c r="BK200" i="2"/>
  <c r="J200" i="2"/>
  <c r="BE200" i="2" s="1"/>
  <c r="BI195" i="2"/>
  <c r="BH195" i="2"/>
  <c r="BG195" i="2"/>
  <c r="BF195" i="2"/>
  <c r="T195" i="2"/>
  <c r="R195" i="2"/>
  <c r="P195" i="2"/>
  <c r="BK195" i="2"/>
  <c r="J195" i="2"/>
  <c r="BE195" i="2" s="1"/>
  <c r="BI192" i="2"/>
  <c r="BH192" i="2"/>
  <c r="BG192" i="2"/>
  <c r="BF192" i="2"/>
  <c r="T192" i="2"/>
  <c r="R192" i="2"/>
  <c r="P192" i="2"/>
  <c r="BK192" i="2"/>
  <c r="J192" i="2"/>
  <c r="BE192" i="2" s="1"/>
  <c r="BI187" i="2"/>
  <c r="BH187" i="2"/>
  <c r="BG187" i="2"/>
  <c r="BF187" i="2"/>
  <c r="T187" i="2"/>
  <c r="R187" i="2"/>
  <c r="P187" i="2"/>
  <c r="BK187" i="2"/>
  <c r="J187" i="2"/>
  <c r="BE187" i="2" s="1"/>
  <c r="BI182" i="2"/>
  <c r="BH182" i="2"/>
  <c r="BG182" i="2"/>
  <c r="BF182" i="2"/>
  <c r="T182" i="2"/>
  <c r="R182" i="2"/>
  <c r="P182" i="2"/>
  <c r="BK182" i="2"/>
  <c r="J182" i="2"/>
  <c r="BE182" i="2" s="1"/>
  <c r="BI177" i="2"/>
  <c r="BH177" i="2"/>
  <c r="BG177" i="2"/>
  <c r="BF177" i="2"/>
  <c r="T177" i="2"/>
  <c r="R177" i="2"/>
  <c r="P177" i="2"/>
  <c r="BK177" i="2"/>
  <c r="J177" i="2"/>
  <c r="BE177" i="2" s="1"/>
  <c r="BI172" i="2"/>
  <c r="BH172" i="2"/>
  <c r="BG172" i="2"/>
  <c r="BF172" i="2"/>
  <c r="T172" i="2"/>
  <c r="R172" i="2"/>
  <c r="P172" i="2"/>
  <c r="BK172" i="2"/>
  <c r="J172" i="2"/>
  <c r="BE172" i="2" s="1"/>
  <c r="BI169" i="2"/>
  <c r="BH169" i="2"/>
  <c r="BG169" i="2"/>
  <c r="BF169" i="2"/>
  <c r="T169" i="2"/>
  <c r="R169" i="2"/>
  <c r="P169" i="2"/>
  <c r="BK169" i="2"/>
  <c r="J169" i="2"/>
  <c r="BE169" i="2" s="1"/>
  <c r="BI166" i="2"/>
  <c r="BH166" i="2"/>
  <c r="BG166" i="2"/>
  <c r="BF166" i="2"/>
  <c r="T166" i="2"/>
  <c r="R166" i="2"/>
  <c r="P166" i="2"/>
  <c r="BK166" i="2"/>
  <c r="J166" i="2"/>
  <c r="BE166" i="2"/>
  <c r="BI161" i="2"/>
  <c r="BH161" i="2"/>
  <c r="BG161" i="2"/>
  <c r="BF161" i="2"/>
  <c r="T161" i="2"/>
  <c r="T160" i="2" s="1"/>
  <c r="R161" i="2"/>
  <c r="R160" i="2" s="1"/>
  <c r="P161" i="2"/>
  <c r="P160" i="2" s="1"/>
  <c r="BK161" i="2"/>
  <c r="BK160" i="2" s="1"/>
  <c r="J160" i="2" s="1"/>
  <c r="J66" i="2" s="1"/>
  <c r="J161" i="2"/>
  <c r="BE161" i="2" s="1"/>
  <c r="BI159" i="2"/>
  <c r="BH159" i="2"/>
  <c r="BG159" i="2"/>
  <c r="BF159" i="2"/>
  <c r="T159" i="2"/>
  <c r="R159" i="2"/>
  <c r="P159" i="2"/>
  <c r="BK159" i="2"/>
  <c r="J159" i="2"/>
  <c r="BE159" i="2" s="1"/>
  <c r="BI158" i="2"/>
  <c r="BH158" i="2"/>
  <c r="BG158" i="2"/>
  <c r="BF158" i="2"/>
  <c r="T158" i="2"/>
  <c r="R158" i="2"/>
  <c r="P158" i="2"/>
  <c r="BK158" i="2"/>
  <c r="J158" i="2"/>
  <c r="BE158" i="2" s="1"/>
  <c r="BI152" i="2"/>
  <c r="BH152" i="2"/>
  <c r="BG152" i="2"/>
  <c r="BF152" i="2"/>
  <c r="T152" i="2"/>
  <c r="R152" i="2"/>
  <c r="P152" i="2"/>
  <c r="BK152" i="2"/>
  <c r="J152" i="2"/>
  <c r="BE152" i="2" s="1"/>
  <c r="BI149" i="2"/>
  <c r="BH149" i="2"/>
  <c r="BG149" i="2"/>
  <c r="BF149" i="2"/>
  <c r="T149" i="2"/>
  <c r="R149" i="2"/>
  <c r="P149" i="2"/>
  <c r="BK149" i="2"/>
  <c r="J149" i="2"/>
  <c r="BE149" i="2" s="1"/>
  <c r="BI147" i="2"/>
  <c r="BH147" i="2"/>
  <c r="BG147" i="2"/>
  <c r="BF147" i="2"/>
  <c r="T147" i="2"/>
  <c r="R147" i="2"/>
  <c r="P147" i="2"/>
  <c r="BK147" i="2"/>
  <c r="J147" i="2"/>
  <c r="BE147" i="2" s="1"/>
  <c r="BI144" i="2"/>
  <c r="BH144" i="2"/>
  <c r="BG144" i="2"/>
  <c r="BF144" i="2"/>
  <c r="T144" i="2"/>
  <c r="R144" i="2"/>
  <c r="P144" i="2"/>
  <c r="BK144" i="2"/>
  <c r="J144" i="2"/>
  <c r="BE144" i="2" s="1"/>
  <c r="BI142" i="2"/>
  <c r="BH142" i="2"/>
  <c r="BG142" i="2"/>
  <c r="BF142" i="2"/>
  <c r="T142" i="2"/>
  <c r="R142" i="2"/>
  <c r="P142" i="2"/>
  <c r="BK142" i="2"/>
  <c r="J142" i="2"/>
  <c r="BE142" i="2" s="1"/>
  <c r="BI133" i="2"/>
  <c r="BH133" i="2"/>
  <c r="BG133" i="2"/>
  <c r="BF133" i="2"/>
  <c r="T133" i="2"/>
  <c r="R133" i="2"/>
  <c r="P133" i="2"/>
  <c r="BK133" i="2"/>
  <c r="J133" i="2"/>
  <c r="BE133" i="2" s="1"/>
  <c r="BI132" i="2"/>
  <c r="BH132" i="2"/>
  <c r="BG132" i="2"/>
  <c r="BF132" i="2"/>
  <c r="T132" i="2"/>
  <c r="R132" i="2"/>
  <c r="P132" i="2"/>
  <c r="BK132" i="2"/>
  <c r="J132" i="2"/>
  <c r="BE132" i="2" s="1"/>
  <c r="BI127" i="2"/>
  <c r="BH127" i="2"/>
  <c r="BG127" i="2"/>
  <c r="BF127" i="2"/>
  <c r="T127" i="2"/>
  <c r="R127" i="2"/>
  <c r="P127" i="2"/>
  <c r="BK127" i="2"/>
  <c r="J127" i="2"/>
  <c r="BE127" i="2"/>
  <c r="BI125" i="2"/>
  <c r="BH125" i="2"/>
  <c r="BG125" i="2"/>
  <c r="BF125" i="2"/>
  <c r="T125" i="2"/>
  <c r="R125" i="2"/>
  <c r="P125" i="2"/>
  <c r="BK125" i="2"/>
  <c r="J125" i="2"/>
  <c r="BE125" i="2" s="1"/>
  <c r="BI121" i="2"/>
  <c r="BH121" i="2"/>
  <c r="BG121" i="2"/>
  <c r="BF121" i="2"/>
  <c r="T121" i="2"/>
  <c r="R121" i="2"/>
  <c r="P121" i="2"/>
  <c r="BK121" i="2"/>
  <c r="J121" i="2"/>
  <c r="BE121" i="2" s="1"/>
  <c r="BI118" i="2"/>
  <c r="BH118" i="2"/>
  <c r="BG118" i="2"/>
  <c r="BF118" i="2"/>
  <c r="T118" i="2"/>
  <c r="R118" i="2"/>
  <c r="P118" i="2"/>
  <c r="BK118" i="2"/>
  <c r="BE118" i="2"/>
  <c r="J112" i="2"/>
  <c r="J111" i="2"/>
  <c r="F111" i="2"/>
  <c r="F109" i="2"/>
  <c r="E107" i="2"/>
  <c r="J59" i="2"/>
  <c r="J58" i="2"/>
  <c r="F58" i="2"/>
  <c r="F56" i="2"/>
  <c r="E54" i="2"/>
  <c r="J20" i="2"/>
  <c r="E20" i="2"/>
  <c r="F112" i="2" s="1"/>
  <c r="J19" i="2"/>
  <c r="J14" i="2"/>
  <c r="J109" i="2" s="1"/>
  <c r="E7" i="2"/>
  <c r="E103" i="2" s="1"/>
  <c r="AS74" i="1"/>
  <c r="AS67" i="1"/>
  <c r="AS57" i="1" s="1"/>
  <c r="AS61" i="1"/>
  <c r="AS55" i="1"/>
  <c r="L50" i="1"/>
  <c r="AM50" i="1"/>
  <c r="AM49" i="1"/>
  <c r="L49" i="1"/>
  <c r="AM47" i="1"/>
  <c r="L47" i="1"/>
  <c r="L45" i="1"/>
  <c r="L44" i="1"/>
  <c r="BK717" i="2" l="1"/>
  <c r="J717" i="2" s="1"/>
  <c r="J78" i="2" s="1"/>
  <c r="BK111" i="17"/>
  <c r="J111" i="17" s="1"/>
  <c r="J69" i="17" s="1"/>
  <c r="BB81" i="19"/>
  <c r="F90" i="8"/>
  <c r="F59" i="4"/>
  <c r="F90" i="6"/>
  <c r="E50" i="5"/>
  <c r="F59" i="5"/>
  <c r="R165" i="2"/>
  <c r="T833" i="2"/>
  <c r="T1178" i="2"/>
  <c r="F59" i="3"/>
  <c r="J60" i="6"/>
  <c r="F59" i="10"/>
  <c r="P95" i="11"/>
  <c r="P94" i="11" s="1"/>
  <c r="P93" i="11" s="1"/>
  <c r="AU68" i="1" s="1"/>
  <c r="F90" i="14"/>
  <c r="T95" i="17"/>
  <c r="R102" i="17"/>
  <c r="T111" i="17"/>
  <c r="R111" i="17"/>
  <c r="AU25" i="19"/>
  <c r="AZ21" i="20"/>
  <c r="AU72" i="19"/>
  <c r="AS23" i="20"/>
  <c r="R1141" i="2"/>
  <c r="R95" i="11"/>
  <c r="R94" i="11" s="1"/>
  <c r="R93" i="11" s="1"/>
  <c r="R95" i="17"/>
  <c r="T667" i="2"/>
  <c r="P1192" i="2"/>
  <c r="BK102" i="17"/>
  <c r="J102" i="17" s="1"/>
  <c r="J67" i="17" s="1"/>
  <c r="I36" i="19"/>
  <c r="BB28" i="19"/>
  <c r="P165" i="2"/>
  <c r="J56" i="3"/>
  <c r="F84" i="16"/>
  <c r="BK107" i="17"/>
  <c r="J107" i="17" s="1"/>
  <c r="J68" i="17" s="1"/>
  <c r="AU45" i="19"/>
  <c r="BB101" i="19"/>
  <c r="E50" i="4"/>
  <c r="E50" i="17"/>
  <c r="E79" i="6"/>
  <c r="E79" i="7"/>
  <c r="E75" i="10"/>
  <c r="E52" i="12"/>
  <c r="E79" i="15"/>
  <c r="J56" i="4"/>
  <c r="F39" i="17"/>
  <c r="BD75" i="1" s="1"/>
  <c r="BD74" i="1" s="1"/>
  <c r="BK1131" i="2"/>
  <c r="J1131" i="2" s="1"/>
  <c r="J86" i="2" s="1"/>
  <c r="BK688" i="2"/>
  <c r="BK667" i="2"/>
  <c r="J667" i="2" s="1"/>
  <c r="J72" i="2" s="1"/>
  <c r="BK437" i="2"/>
  <c r="J437" i="2" s="1"/>
  <c r="J71" i="2" s="1"/>
  <c r="BK255" i="2"/>
  <c r="J255" i="2" s="1"/>
  <c r="J69" i="2" s="1"/>
  <c r="F37" i="2"/>
  <c r="BB56" i="1" s="1"/>
  <c r="BB55" i="1" s="1"/>
  <c r="AX55" i="1" s="1"/>
  <c r="F36" i="2"/>
  <c r="BA56" i="1" s="1"/>
  <c r="BA55" i="1" s="1"/>
  <c r="AW55" i="1" s="1"/>
  <c r="AU98" i="19"/>
  <c r="BB82" i="19"/>
  <c r="AU81" i="19"/>
  <c r="AU76" i="19"/>
  <c r="BB76" i="19"/>
  <c r="H71" i="19"/>
  <c r="BB72" i="19"/>
  <c r="AU67" i="19"/>
  <c r="AU66" i="19"/>
  <c r="BB66" i="19"/>
  <c r="AU62" i="19"/>
  <c r="BB62" i="19"/>
  <c r="AU59" i="19"/>
  <c r="BB59" i="19"/>
  <c r="AU53" i="19"/>
  <c r="BB53" i="19"/>
  <c r="J110" i="19"/>
  <c r="AU41" i="19"/>
  <c r="BB41" i="19"/>
  <c r="BB32" i="19"/>
  <c r="AU32" i="19"/>
  <c r="AU28" i="19"/>
  <c r="BB20" i="19"/>
  <c r="AU14" i="19"/>
  <c r="BB14" i="19"/>
  <c r="F36" i="5"/>
  <c r="BA60" i="1" s="1"/>
  <c r="J38" i="7"/>
  <c r="AW63" i="1" s="1"/>
  <c r="F38" i="11"/>
  <c r="BA68" i="1" s="1"/>
  <c r="J38" i="11"/>
  <c r="AW68" i="1" s="1"/>
  <c r="F38" i="13"/>
  <c r="BA70" i="1" s="1"/>
  <c r="J36" i="16"/>
  <c r="AW73" i="1" s="1"/>
  <c r="F38" i="15"/>
  <c r="BA72" i="1" s="1"/>
  <c r="J38" i="14"/>
  <c r="AW71" i="1" s="1"/>
  <c r="F39" i="11"/>
  <c r="BB68" i="1" s="1"/>
  <c r="BK95" i="11"/>
  <c r="J95" i="11" s="1"/>
  <c r="J69" i="11" s="1"/>
  <c r="J37" i="11"/>
  <c r="AV68" i="1" s="1"/>
  <c r="F38" i="8"/>
  <c r="BA64" i="1" s="1"/>
  <c r="J37" i="6"/>
  <c r="AV62" i="1" s="1"/>
  <c r="AT62" i="1" s="1"/>
  <c r="F36" i="4"/>
  <c r="BA59" i="1" s="1"/>
  <c r="AS18" i="20"/>
  <c r="AZ18" i="20"/>
  <c r="AS24" i="20"/>
  <c r="AZ24" i="20"/>
  <c r="J25" i="20"/>
  <c r="AS20" i="20"/>
  <c r="AS14" i="20"/>
  <c r="F36" i="3"/>
  <c r="BA58" i="1" s="1"/>
  <c r="AU18" i="19"/>
  <c r="BB18" i="19"/>
  <c r="AU39" i="19"/>
  <c r="BB39" i="19"/>
  <c r="AU87" i="19"/>
  <c r="BB87" i="19"/>
  <c r="AU57" i="19"/>
  <c r="BB57" i="19"/>
  <c r="AU26" i="19"/>
  <c r="BB26" i="19"/>
  <c r="AU75" i="19"/>
  <c r="BB75" i="19"/>
  <c r="BB61" i="19"/>
  <c r="AU49" i="19"/>
  <c r="BB49" i="19"/>
  <c r="AU95" i="19"/>
  <c r="BB95" i="19"/>
  <c r="AU65" i="19"/>
  <c r="BB65" i="19"/>
  <c r="AU84" i="19"/>
  <c r="BB84" i="19"/>
  <c r="BB51" i="19"/>
  <c r="AU19" i="19"/>
  <c r="BB19" i="19"/>
  <c r="AU34" i="19"/>
  <c r="BB34" i="19"/>
  <c r="AU92" i="19"/>
  <c r="BB92" i="19"/>
  <c r="AU27" i="19"/>
  <c r="BB27" i="19"/>
  <c r="AU103" i="19"/>
  <c r="BB103" i="19"/>
  <c r="BB100" i="19"/>
  <c r="AU100" i="19"/>
  <c r="BB109" i="19"/>
  <c r="BB69" i="19"/>
  <c r="AU35" i="19"/>
  <c r="BB35" i="19"/>
  <c r="BB63" i="19"/>
  <c r="BB17" i="19"/>
  <c r="AU17" i="19"/>
  <c r="BB60" i="19"/>
  <c r="BB42" i="19"/>
  <c r="AU13" i="19"/>
  <c r="BB13" i="19"/>
  <c r="BB78" i="19"/>
  <c r="AU21" i="19"/>
  <c r="BB21" i="19"/>
  <c r="AU79" i="19"/>
  <c r="BB79" i="19"/>
  <c r="AU88" i="19"/>
  <c r="BB88" i="19"/>
  <c r="AU29" i="19"/>
  <c r="BB29" i="19"/>
  <c r="AU15" i="19"/>
  <c r="BB68" i="19"/>
  <c r="AU96" i="19"/>
  <c r="BB96" i="19"/>
  <c r="BB55" i="19"/>
  <c r="AU104" i="19"/>
  <c r="BB104" i="19"/>
  <c r="BB40" i="19"/>
  <c r="BB90" i="19"/>
  <c r="AU44" i="19"/>
  <c r="BB44" i="19"/>
  <c r="AU23" i="19"/>
  <c r="BB23" i="19"/>
  <c r="F35" i="5"/>
  <c r="AZ60" i="1" s="1"/>
  <c r="J35" i="5"/>
  <c r="AV60" i="1" s="1"/>
  <c r="AT60" i="1" s="1"/>
  <c r="F35" i="10"/>
  <c r="AZ66" i="1" s="1"/>
  <c r="J35" i="10"/>
  <c r="AV66" i="1" s="1"/>
  <c r="AT66" i="1" s="1"/>
  <c r="F37" i="8"/>
  <c r="AZ64" i="1" s="1"/>
  <c r="J37" i="8"/>
  <c r="AV64" i="1" s="1"/>
  <c r="AT64" i="1" s="1"/>
  <c r="F39" i="2"/>
  <c r="BD56" i="1" s="1"/>
  <c r="BD55" i="1" s="1"/>
  <c r="P717" i="2"/>
  <c r="T854" i="2"/>
  <c r="J37" i="7"/>
  <c r="AV63" i="1" s="1"/>
  <c r="F90" i="15"/>
  <c r="E75" i="16"/>
  <c r="T165" i="2"/>
  <c r="BK710" i="2"/>
  <c r="J710" i="2" s="1"/>
  <c r="J77" i="2" s="1"/>
  <c r="BK833" i="2"/>
  <c r="J833" i="2" s="1"/>
  <c r="J80" i="2" s="1"/>
  <c r="BK1141" i="2"/>
  <c r="J1141" i="2" s="1"/>
  <c r="J87" i="2" s="1"/>
  <c r="F41" i="11"/>
  <c r="BD68" i="1" s="1"/>
  <c r="BD67" i="1" s="1"/>
  <c r="P102" i="17"/>
  <c r="T688" i="2"/>
  <c r="P710" i="2"/>
  <c r="P833" i="2"/>
  <c r="BK881" i="2"/>
  <c r="J881" i="2" s="1"/>
  <c r="J82" i="2" s="1"/>
  <c r="P1141" i="2"/>
  <c r="F63" i="7"/>
  <c r="E52" i="8"/>
  <c r="F36" i="10"/>
  <c r="BA66" i="1" s="1"/>
  <c r="F63" i="11"/>
  <c r="F37" i="11"/>
  <c r="AZ68" i="1" s="1"/>
  <c r="E52" i="13"/>
  <c r="J36" i="17"/>
  <c r="AW75" i="1" s="1"/>
  <c r="R688" i="2"/>
  <c r="BK117" i="2"/>
  <c r="J36" i="2"/>
  <c r="AW56" i="1" s="1"/>
  <c r="T717" i="2"/>
  <c r="BK720" i="2"/>
  <c r="J720" i="2" s="1"/>
  <c r="J79" i="2" s="1"/>
  <c r="BK854" i="2"/>
  <c r="J854" i="2" s="1"/>
  <c r="J81" i="2" s="1"/>
  <c r="R1011" i="2"/>
  <c r="F90" i="12"/>
  <c r="T102" i="17"/>
  <c r="AU67" i="1"/>
  <c r="R720" i="2"/>
  <c r="R881" i="2"/>
  <c r="BK1011" i="2"/>
  <c r="J1011" i="2" s="1"/>
  <c r="J83" i="2" s="1"/>
  <c r="P1062" i="2"/>
  <c r="T255" i="2"/>
  <c r="P688" i="2"/>
  <c r="R710" i="2"/>
  <c r="T881" i="2"/>
  <c r="R1062" i="2"/>
  <c r="E52" i="9"/>
  <c r="E52" i="14"/>
  <c r="F38" i="2"/>
  <c r="BC56" i="1" s="1"/>
  <c r="BC55" i="1" s="1"/>
  <c r="AY55" i="1" s="1"/>
  <c r="P255" i="2"/>
  <c r="P720" i="2"/>
  <c r="P854" i="2"/>
  <c r="R1131" i="2"/>
  <c r="J56" i="5"/>
  <c r="F90" i="13"/>
  <c r="R117" i="2"/>
  <c r="R667" i="2"/>
  <c r="R854" i="2"/>
  <c r="T1011" i="2"/>
  <c r="T1192" i="2"/>
  <c r="E50" i="3"/>
  <c r="BB61" i="1"/>
  <c r="AX61" i="1" s="1"/>
  <c r="F38" i="12"/>
  <c r="BA69" i="1" s="1"/>
  <c r="P117" i="2"/>
  <c r="F59" i="2"/>
  <c r="R255" i="2"/>
  <c r="R437" i="2"/>
  <c r="T720" i="2"/>
  <c r="J1203" i="2"/>
  <c r="J93" i="2" s="1"/>
  <c r="BC61" i="1"/>
  <c r="AY61" i="1" s="1"/>
  <c r="AU61" i="1"/>
  <c r="F88" i="17"/>
  <c r="P95" i="17"/>
  <c r="P111" i="17"/>
  <c r="P667" i="2"/>
  <c r="P881" i="2"/>
  <c r="P1178" i="2"/>
  <c r="P107" i="17"/>
  <c r="BB67" i="1"/>
  <c r="AX67" i="1" s="1"/>
  <c r="R107" i="17"/>
  <c r="P1022" i="2"/>
  <c r="T107" i="17"/>
  <c r="AS54" i="1"/>
  <c r="T437" i="2"/>
  <c r="R833" i="2"/>
  <c r="E79" i="11"/>
  <c r="F37" i="17"/>
  <c r="BB75" i="1" s="1"/>
  <c r="BB74" i="1" s="1"/>
  <c r="AX74" i="1" s="1"/>
  <c r="BK165" i="2"/>
  <c r="J165" i="2" s="1"/>
  <c r="J67" i="2" s="1"/>
  <c r="T710" i="2"/>
  <c r="T1022" i="2"/>
  <c r="BK1022" i="2"/>
  <c r="J1022" i="2" s="1"/>
  <c r="J84" i="2" s="1"/>
  <c r="P437" i="2"/>
  <c r="T117" i="2"/>
  <c r="T1131" i="2"/>
  <c r="J60" i="11"/>
  <c r="F37" i="9"/>
  <c r="AZ65" i="1" s="1"/>
  <c r="J37" i="9"/>
  <c r="AV65" i="1" s="1"/>
  <c r="AT65" i="1" s="1"/>
  <c r="F38" i="9"/>
  <c r="BA65" i="1" s="1"/>
  <c r="F38" i="6"/>
  <c r="BA62" i="1" s="1"/>
  <c r="BD61" i="1"/>
  <c r="J56" i="2"/>
  <c r="J60" i="7"/>
  <c r="J60" i="8"/>
  <c r="J60" i="9"/>
  <c r="J56" i="10"/>
  <c r="J688" i="2"/>
  <c r="J75" i="2" s="1"/>
  <c r="AU57" i="1"/>
  <c r="F35" i="2"/>
  <c r="AZ56" i="1" s="1"/>
  <c r="AZ55" i="1" s="1"/>
  <c r="J117" i="2"/>
  <c r="J65" i="2" s="1"/>
  <c r="T116" i="2"/>
  <c r="J35" i="2"/>
  <c r="AV56" i="1" s="1"/>
  <c r="J87" i="14"/>
  <c r="J60" i="14"/>
  <c r="J95" i="15"/>
  <c r="J69" i="15" s="1"/>
  <c r="BK94" i="15"/>
  <c r="R1022" i="2"/>
  <c r="J95" i="8"/>
  <c r="J69" i="8" s="1"/>
  <c r="BK94" i="8"/>
  <c r="J87" i="12"/>
  <c r="J60" i="12"/>
  <c r="J85" i="17"/>
  <c r="J56" i="17"/>
  <c r="J35" i="16"/>
  <c r="AV73" i="1" s="1"/>
  <c r="F35" i="16"/>
  <c r="AZ73" i="1" s="1"/>
  <c r="R1178" i="2"/>
  <c r="J37" i="14"/>
  <c r="AV71" i="1" s="1"/>
  <c r="AT71" i="1" s="1"/>
  <c r="F37" i="14"/>
  <c r="AZ71" i="1" s="1"/>
  <c r="F36" i="17"/>
  <c r="BA75" i="1" s="1"/>
  <c r="BA74" i="1" s="1"/>
  <c r="AW74" i="1" s="1"/>
  <c r="J95" i="13"/>
  <c r="J69" i="13" s="1"/>
  <c r="BK94" i="13"/>
  <c r="P1011" i="2"/>
  <c r="BK1178" i="2"/>
  <c r="J1178" i="2" s="1"/>
  <c r="J90" i="2" s="1"/>
  <c r="J95" i="6"/>
  <c r="J69" i="6" s="1"/>
  <c r="BK94" i="6"/>
  <c r="J87" i="15"/>
  <c r="J60" i="15"/>
  <c r="J89" i="16"/>
  <c r="J65" i="16" s="1"/>
  <c r="BK88" i="16"/>
  <c r="E50" i="2"/>
  <c r="BK1062" i="2"/>
  <c r="J1062" i="2" s="1"/>
  <c r="J85" i="2" s="1"/>
  <c r="J37" i="12"/>
  <c r="AV69" i="1" s="1"/>
  <c r="AT69" i="1" s="1"/>
  <c r="F37" i="12"/>
  <c r="AZ69" i="1" s="1"/>
  <c r="J35" i="17"/>
  <c r="AV75" i="1" s="1"/>
  <c r="F35" i="17"/>
  <c r="AZ75" i="1" s="1"/>
  <c r="AZ74" i="1" s="1"/>
  <c r="AV74" i="1" s="1"/>
  <c r="F38" i="17"/>
  <c r="BC75" i="1" s="1"/>
  <c r="BC74" i="1" s="1"/>
  <c r="AY74" i="1" s="1"/>
  <c r="BK1192" i="2"/>
  <c r="J1192" i="2" s="1"/>
  <c r="J91" i="2" s="1"/>
  <c r="J95" i="9"/>
  <c r="J69" i="9" s="1"/>
  <c r="BK94" i="9"/>
  <c r="BK94" i="11"/>
  <c r="J87" i="13"/>
  <c r="J60" i="13"/>
  <c r="J95" i="14"/>
  <c r="J69" i="14" s="1"/>
  <c r="BK94" i="14"/>
  <c r="J93" i="17"/>
  <c r="J65" i="17" s="1"/>
  <c r="J89" i="5"/>
  <c r="J65" i="5" s="1"/>
  <c r="BK88" i="5"/>
  <c r="J95" i="7"/>
  <c r="J69" i="7" s="1"/>
  <c r="BK94" i="7"/>
  <c r="F40" i="11"/>
  <c r="BC68" i="1" s="1"/>
  <c r="BC67" i="1" s="1"/>
  <c r="J95" i="12"/>
  <c r="J69" i="12" s="1"/>
  <c r="BK94" i="12"/>
  <c r="J37" i="15"/>
  <c r="AV72" i="1" s="1"/>
  <c r="AT72" i="1" s="1"/>
  <c r="F37" i="15"/>
  <c r="AZ72" i="1" s="1"/>
  <c r="T1062" i="2"/>
  <c r="J81" i="16"/>
  <c r="J56" i="16"/>
  <c r="R1192" i="2"/>
  <c r="J89" i="10"/>
  <c r="J65" i="10" s="1"/>
  <c r="BK88" i="10"/>
  <c r="J37" i="13"/>
  <c r="AV70" i="1" s="1"/>
  <c r="AT70" i="1" s="1"/>
  <c r="F37" i="13"/>
  <c r="AZ70" i="1" s="1"/>
  <c r="R92" i="17"/>
  <c r="R91" i="17" s="1"/>
  <c r="BK95" i="17"/>
  <c r="J95" i="17" s="1"/>
  <c r="J66" i="17" s="1"/>
  <c r="AT63" i="1" l="1"/>
  <c r="AT73" i="1"/>
  <c r="R116" i="2"/>
  <c r="R687" i="2"/>
  <c r="P116" i="2"/>
  <c r="T92" i="17"/>
  <c r="T91" i="17" s="1"/>
  <c r="P92" i="17"/>
  <c r="P91" i="17" s="1"/>
  <c r="AU75" i="1" s="1"/>
  <c r="AU74" i="1" s="1"/>
  <c r="AT75" i="1"/>
  <c r="BA67" i="1"/>
  <c r="AW67" i="1" s="1"/>
  <c r="AT68" i="1"/>
  <c r="I90" i="3"/>
  <c r="J90" i="3" s="1"/>
  <c r="BE90" i="3" s="1"/>
  <c r="AT74" i="1"/>
  <c r="AT56" i="1"/>
  <c r="BK116" i="2"/>
  <c r="J116" i="2" s="1"/>
  <c r="J64" i="2" s="1"/>
  <c r="I90" i="20"/>
  <c r="I90" i="4"/>
  <c r="BD57" i="1"/>
  <c r="BD54" i="1" s="1"/>
  <c r="W33" i="1" s="1"/>
  <c r="AZ61" i="1"/>
  <c r="AV61" i="1" s="1"/>
  <c r="T687" i="2"/>
  <c r="T115" i="2" s="1"/>
  <c r="BB57" i="1"/>
  <c r="AX57" i="1" s="1"/>
  <c r="P687" i="2"/>
  <c r="P115" i="2" s="1"/>
  <c r="AU56" i="1" s="1"/>
  <c r="AU55" i="1" s="1"/>
  <c r="AU54" i="1" s="1"/>
  <c r="BA61" i="1"/>
  <c r="J94" i="13"/>
  <c r="J68" i="13" s="1"/>
  <c r="BK93" i="13"/>
  <c r="J93" i="13" s="1"/>
  <c r="AZ67" i="1"/>
  <c r="J94" i="8"/>
  <c r="J68" i="8" s="1"/>
  <c r="BK93" i="8"/>
  <c r="J93" i="8" s="1"/>
  <c r="R115" i="2"/>
  <c r="J94" i="12"/>
  <c r="J68" i="12" s="1"/>
  <c r="BK93" i="12"/>
  <c r="J93" i="12" s="1"/>
  <c r="AY67" i="1"/>
  <c r="BC57" i="1"/>
  <c r="J94" i="7"/>
  <c r="J68" i="7" s="1"/>
  <c r="BK93" i="7"/>
  <c r="J93" i="7" s="1"/>
  <c r="J94" i="11"/>
  <c r="J68" i="11" s="1"/>
  <c r="BK93" i="11"/>
  <c r="J93" i="11" s="1"/>
  <c r="J88" i="16"/>
  <c r="J64" i="16" s="1"/>
  <c r="BK87" i="16"/>
  <c r="J87" i="16" s="1"/>
  <c r="AV55" i="1"/>
  <c r="AT55" i="1" s="1"/>
  <c r="J94" i="15"/>
  <c r="J68" i="15" s="1"/>
  <c r="BK93" i="15"/>
  <c r="J93" i="15" s="1"/>
  <c r="J88" i="5"/>
  <c r="J64" i="5" s="1"/>
  <c r="BK87" i="5"/>
  <c r="J87" i="5" s="1"/>
  <c r="J94" i="9"/>
  <c r="J68" i="9" s="1"/>
  <c r="BK93" i="9"/>
  <c r="J93" i="9" s="1"/>
  <c r="J94" i="14"/>
  <c r="J68" i="14" s="1"/>
  <c r="BK93" i="14"/>
  <c r="J93" i="14" s="1"/>
  <c r="J88" i="10"/>
  <c r="J64" i="10" s="1"/>
  <c r="BK87" i="10"/>
  <c r="J87" i="10" s="1"/>
  <c r="BK687" i="2"/>
  <c r="J687" i="2" s="1"/>
  <c r="J74" i="2" s="1"/>
  <c r="BK92" i="17"/>
  <c r="J94" i="6"/>
  <c r="J68" i="6" s="1"/>
  <c r="BK93" i="6"/>
  <c r="J93" i="6" s="1"/>
  <c r="BK90" i="3" l="1"/>
  <c r="BK89" i="3" s="1"/>
  <c r="J89" i="3" s="1"/>
  <c r="J65" i="3" s="1"/>
  <c r="F35" i="3"/>
  <c r="AZ58" i="1" s="1"/>
  <c r="J35" i="3"/>
  <c r="AV58" i="1" s="1"/>
  <c r="AT58" i="1" s="1"/>
  <c r="BK115" i="2"/>
  <c r="J115" i="2" s="1"/>
  <c r="J63" i="2" s="1"/>
  <c r="BK88" i="3"/>
  <c r="J88" i="3" s="1"/>
  <c r="J64" i="3" s="1"/>
  <c r="BK90" i="4"/>
  <c r="BK89" i="4" s="1"/>
  <c r="J90" i="4"/>
  <c r="BE90" i="4" s="1"/>
  <c r="BB54" i="1"/>
  <c r="W31" i="1" s="1"/>
  <c r="AW61" i="1"/>
  <c r="AT61" i="1" s="1"/>
  <c r="BA57" i="1"/>
  <c r="J32" i="16"/>
  <c r="J63" i="16"/>
  <c r="J34" i="11"/>
  <c r="J67" i="11"/>
  <c r="J34" i="14"/>
  <c r="J67" i="14"/>
  <c r="J34" i="9"/>
  <c r="J67" i="9"/>
  <c r="J34" i="7"/>
  <c r="J67" i="7"/>
  <c r="AY57" i="1"/>
  <c r="BC54" i="1"/>
  <c r="J34" i="8"/>
  <c r="J67" i="8"/>
  <c r="J32" i="5"/>
  <c r="J63" i="5"/>
  <c r="J34" i="12"/>
  <c r="J67" i="12"/>
  <c r="J92" i="17"/>
  <c r="J64" i="17" s="1"/>
  <c r="BK91" i="17"/>
  <c r="J91" i="17" s="1"/>
  <c r="J34" i="15"/>
  <c r="J67" i="15"/>
  <c r="J34" i="13"/>
  <c r="J67" i="13"/>
  <c r="J34" i="6"/>
  <c r="J67" i="6"/>
  <c r="AV67" i="1"/>
  <c r="AT67" i="1" s="1"/>
  <c r="J32" i="10"/>
  <c r="J63" i="10"/>
  <c r="J32" i="2" l="1"/>
  <c r="J41" i="2" s="1"/>
  <c r="BK87" i="3"/>
  <c r="J87" i="3" s="1"/>
  <c r="AX54" i="1"/>
  <c r="J35" i="4"/>
  <c r="AV59" i="1" s="1"/>
  <c r="AT59" i="1" s="1"/>
  <c r="F35" i="4"/>
  <c r="AZ59" i="1" s="1"/>
  <c r="AZ57" i="1" s="1"/>
  <c r="AV57" i="1" s="1"/>
  <c r="BK88" i="4"/>
  <c r="J89" i="4"/>
  <c r="J65" i="4" s="1"/>
  <c r="AW57" i="1"/>
  <c r="BA54" i="1"/>
  <c r="J41" i="10"/>
  <c r="AG66" i="1"/>
  <c r="AN66" i="1" s="1"/>
  <c r="J32" i="17"/>
  <c r="J63" i="17"/>
  <c r="J41" i="5"/>
  <c r="AG60" i="1"/>
  <c r="AN60" i="1" s="1"/>
  <c r="W32" i="1"/>
  <c r="AY54" i="1"/>
  <c r="J43" i="12"/>
  <c r="AG69" i="1"/>
  <c r="AN69" i="1" s="1"/>
  <c r="J43" i="6"/>
  <c r="AG62" i="1"/>
  <c r="J43" i="11"/>
  <c r="AG68" i="1"/>
  <c r="J43" i="7"/>
  <c r="AG63" i="1"/>
  <c r="AN63" i="1" s="1"/>
  <c r="J43" i="9"/>
  <c r="AG65" i="1"/>
  <c r="AN65" i="1" s="1"/>
  <c r="J43" i="14"/>
  <c r="AG71" i="1"/>
  <c r="AN71" i="1" s="1"/>
  <c r="J43" i="13"/>
  <c r="AG70" i="1"/>
  <c r="AN70" i="1" s="1"/>
  <c r="J43" i="15"/>
  <c r="AG72" i="1"/>
  <c r="AN72" i="1" s="1"/>
  <c r="J43" i="8"/>
  <c r="AG64" i="1"/>
  <c r="AN64" i="1" s="1"/>
  <c r="J41" i="16"/>
  <c r="AG73" i="1"/>
  <c r="AN73" i="1" s="1"/>
  <c r="AG61" i="1" l="1"/>
  <c r="AG56" i="1"/>
  <c r="AN56" i="1" s="1"/>
  <c r="J32" i="3"/>
  <c r="J63" i="3"/>
  <c r="AZ54" i="1"/>
  <c r="W29" i="1" s="1"/>
  <c r="BK87" i="4"/>
  <c r="J87" i="4" s="1"/>
  <c r="J88" i="4"/>
  <c r="J64" i="4" s="1"/>
  <c r="AT57" i="1"/>
  <c r="W30" i="1"/>
  <c r="AW54" i="1"/>
  <c r="AK30" i="1" s="1"/>
  <c r="AG67" i="1"/>
  <c r="AN67" i="1" s="1"/>
  <c r="AN68" i="1"/>
  <c r="AN61" i="1"/>
  <c r="AN62" i="1"/>
  <c r="J41" i="17"/>
  <c r="AG75" i="1"/>
  <c r="AG55" i="1" l="1"/>
  <c r="AN55" i="1" s="1"/>
  <c r="AV54" i="1"/>
  <c r="AK29" i="1" s="1"/>
  <c r="J41" i="3"/>
  <c r="AG58" i="1"/>
  <c r="AN58" i="1" s="1"/>
  <c r="J32" i="4"/>
  <c r="J63" i="4"/>
  <c r="AG74" i="1"/>
  <c r="AN74" i="1" s="1"/>
  <c r="AN75" i="1"/>
  <c r="AT54" i="1" l="1"/>
  <c r="J41" i="4"/>
  <c r="AG59" i="1"/>
  <c r="AN59" i="1" l="1"/>
  <c r="AG57" i="1"/>
  <c r="AN57" i="1" l="1"/>
  <c r="AG54" i="1"/>
  <c r="AN54" i="1" l="1"/>
  <c r="AK26" i="1"/>
  <c r="AK35" i="1" s="1"/>
</calcChain>
</file>

<file path=xl/sharedStrings.xml><?xml version="1.0" encoding="utf-8"?>
<sst xmlns="http://schemas.openxmlformats.org/spreadsheetml/2006/main" count="18218" uniqueCount="3504">
  <si>
    <t>Export Komplet</t>
  </si>
  <si>
    <t>VZ</t>
  </si>
  <si>
    <t>2.0</t>
  </si>
  <si>
    <t/>
  </si>
  <si>
    <t>False</t>
  </si>
  <si>
    <t>{6bbb93b0-52fb-48ca-9a75-2547a66605ef}</t>
  </si>
  <si>
    <t>&gt;&gt;  skryté sloupce  &lt;&lt;</t>
  </si>
  <si>
    <t>0,01</t>
  </si>
  <si>
    <t>21</t>
  </si>
  <si>
    <t>15</t>
  </si>
  <si>
    <t>REKAPITULACE STAVBY</t>
  </si>
  <si>
    <t>v ---  níže se nacházejí doplnkové a pomocné údaje k sestavám  --- v</t>
  </si>
  <si>
    <t>0,001</t>
  </si>
  <si>
    <t>Kód:</t>
  </si>
  <si>
    <t>S-19040</t>
  </si>
  <si>
    <t>Stavba:</t>
  </si>
  <si>
    <t>Úpravy gastroprovozu Úřadu vlády ČR v 1.pp Strakovy akademie</t>
  </si>
  <si>
    <t>KSO:</t>
  </si>
  <si>
    <t>CC-CZ:</t>
  </si>
  <si>
    <t>Místo:</t>
  </si>
  <si>
    <t xml:space="preserve">Praha </t>
  </si>
  <si>
    <t>Datum:</t>
  </si>
  <si>
    <t>Zadavatel:</t>
  </si>
  <si>
    <t>IČ:</t>
  </si>
  <si>
    <t xml:space="preserve">Úřad vlády České republiky </t>
  </si>
  <si>
    <t>DIČ:</t>
  </si>
  <si>
    <t>Zhotovitel:</t>
  </si>
  <si>
    <t xml:space="preserve"> </t>
  </si>
  <si>
    <t>Projektant:</t>
  </si>
  <si>
    <t>Ateliér Simona Group</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</si>
  <si>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</si>
  <si>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</si>
  <si>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</si>
  <si>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</si>
  <si>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</si>
  <si>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</si>
  <si>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</si>
  <si>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</si>
  <si>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</si>
  <si>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</si>
  <si>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</si>
  <si>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</si>
  <si>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</si>
  <si>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</si>
  <si>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</si>
  <si>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</si>
  <si>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</si>
  <si>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</si>
  <si>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</si>
  <si>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</si>
  <si>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</si>
  <si>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</si>
  <si>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</si>
  <si>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</si>
  <si>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</si>
  <si>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</si>
  <si>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</si>
  <si>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</si>
  <si>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</si>
  <si>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</si>
  <si>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</si>
  <si>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</si>
  <si>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</si>
  <si>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</si>
  <si>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</si>
  <si>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</si>
  <si>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</si>
  <si>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</si>
  <si>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</si>
  <si>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</si>
  <si>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</si>
  <si>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</si>
  <si>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D.1.1</t>
  </si>
  <si>
    <t xml:space="preserve">Architektonicko  stavební a konstrukční řešení </t>
  </si>
  <si>
    <t>STA</t>
  </si>
  <si>
    <t>1</t>
  </si>
  <si>
    <t>{d2f176f9-37c8-439b-84dc-66455894a55c}</t>
  </si>
  <si>
    <t>2</t>
  </si>
  <si>
    <t>/</t>
  </si>
  <si>
    <t>D.1.1.1</t>
  </si>
  <si>
    <t xml:space="preserve">Soupis prací - Architektonicko stavební a konstrukční řešení gastroprovozu </t>
  </si>
  <si>
    <t>Soupis</t>
  </si>
  <si>
    <t>{d9d5eac2-5153-4b9a-b208-933627c0fcf2}</t>
  </si>
  <si>
    <t>D.1.4</t>
  </si>
  <si>
    <t xml:space="preserve">Technika prostředí staveb </t>
  </si>
  <si>
    <t>{5522cb12-cbf6-4984-a8d1-a8f63b9474a4}</t>
  </si>
  <si>
    <t>D.1.4.01</t>
  </si>
  <si>
    <t xml:space="preserve">Soupis prací - Zdravotechnika </t>
  </si>
  <si>
    <t>{f075d208-64f2-4756-9256-2fcfbaa31c3b}</t>
  </si>
  <si>
    <t>D.1.4.02</t>
  </si>
  <si>
    <t>Soupis prací - Vytápění</t>
  </si>
  <si>
    <t>{f670fe5e-a75b-4393-9473-9464fd1d896e}</t>
  </si>
  <si>
    <t>D.1.4.03</t>
  </si>
  <si>
    <t>Soupis prací - Elektroinstalace silnoproud</t>
  </si>
  <si>
    <t>{caf111af-e32e-4853-88b2-bfe1329c3360}</t>
  </si>
  <si>
    <t>D.1.4.04</t>
  </si>
  <si>
    <t xml:space="preserve">Soupis prací - Elektroinstalace slaboproud </t>
  </si>
  <si>
    <t>{766fd3cf-410c-4a4a-8295-aedd6827d926}</t>
  </si>
  <si>
    <t>D.1.4.04.1</t>
  </si>
  <si>
    <t>Soupis prací - EPS</t>
  </si>
  <si>
    <t>3</t>
  </si>
  <si>
    <t>{f4942dde-af01-4f07-9bfd-e383e4f0cc30}</t>
  </si>
  <si>
    <t>D.1.4.04.2</t>
  </si>
  <si>
    <t>Soupis prací - NZS</t>
  </si>
  <si>
    <t>{5095958d-54ac-4dee-91da-708be8fb61b6}</t>
  </si>
  <si>
    <t>D.1.4.04.3</t>
  </si>
  <si>
    <t>Soupis prací - PZTS</t>
  </si>
  <si>
    <t>{4c37398a-ce9c-499c-939b-ebf35dc9a413}</t>
  </si>
  <si>
    <t>D.1.4.04.4</t>
  </si>
  <si>
    <t>Soupis prací - SLB-IT</t>
  </si>
  <si>
    <t>{47196493-cf6b-4526-96c8-c37b6e94dd71}</t>
  </si>
  <si>
    <t>D.1.4.05</t>
  </si>
  <si>
    <t xml:space="preserve">Soupis prací - Vzduchotechnika </t>
  </si>
  <si>
    <t>{9d647c59-721d-4974-84f9-fbee1b1bc3e5}</t>
  </si>
  <si>
    <t>D.1.4.06</t>
  </si>
  <si>
    <t xml:space="preserve">Soupis prací - Gastro </t>
  </si>
  <si>
    <t>{ec07bb92-f077-4810-96ce-329dde45ec31}</t>
  </si>
  <si>
    <t>D.1.4.06.1</t>
  </si>
  <si>
    <t>{53fccba0-2e13-46eb-afea-8e15fbb10ef7}</t>
  </si>
  <si>
    <t>D.1.4.06.2</t>
  </si>
  <si>
    <t>Soupis prací - Gastro obj. systém</t>
  </si>
  <si>
    <t>{a14902ef-2c5a-4499-9a15-7e7b4c05c8fe}</t>
  </si>
  <si>
    <t>D.1.4.06.3</t>
  </si>
  <si>
    <t>Soupis prací - Gastro HACCP</t>
  </si>
  <si>
    <t>{922c0b62-0b3d-4894-ad27-e9252bb1d003}</t>
  </si>
  <si>
    <t>D.1.4.06.4</t>
  </si>
  <si>
    <t>Soupis prací - Gastro demontáž</t>
  </si>
  <si>
    <t>{37e411a7-1f10-4c49-9c6e-83898d6b87c2}</t>
  </si>
  <si>
    <t>D.1.4.06.5</t>
  </si>
  <si>
    <t>Soupis prací - Gastro demontáž TG</t>
  </si>
  <si>
    <t>{40002147-d18c-45ac-9493-e3af5bcf8bb4}</t>
  </si>
  <si>
    <t>D.1.4.07</t>
  </si>
  <si>
    <t>{7b18872b-3f5c-4c35-ac82-d435400848a0}</t>
  </si>
  <si>
    <t>VON</t>
  </si>
  <si>
    <t xml:space="preserve">Vedlejší a ostatní náklady </t>
  </si>
  <si>
    <t>{c7ee58a6-c53f-4686-9fb3-00ea2b878e20}</t>
  </si>
  <si>
    <t xml:space="preserve">Soupis prací - Vedlejší a ostatní náklady </t>
  </si>
  <si>
    <t>{2de16065-ec3b-452a-bde7-63d18c3be792}</t>
  </si>
  <si>
    <t>d1</t>
  </si>
  <si>
    <t>12,1</t>
  </si>
  <si>
    <t>d2</t>
  </si>
  <si>
    <t>80,9</t>
  </si>
  <si>
    <t>KRYCÍ LIST SOUPISU PRACÍ</t>
  </si>
  <si>
    <t>d3</t>
  </si>
  <si>
    <t>15,4</t>
  </si>
  <si>
    <t>d4</t>
  </si>
  <si>
    <t>106</t>
  </si>
  <si>
    <t>d5</t>
  </si>
  <si>
    <t>34</t>
  </si>
  <si>
    <t>d6</t>
  </si>
  <si>
    <t>3,9</t>
  </si>
  <si>
    <t>Objekt:</t>
  </si>
  <si>
    <t>v1</t>
  </si>
  <si>
    <t>28,5</t>
  </si>
  <si>
    <t xml:space="preserve">D.1.1 - Architektonicko  stavební a konstrukční řešení </t>
  </si>
  <si>
    <t>te1</t>
  </si>
  <si>
    <t>17,7</t>
  </si>
  <si>
    <t>Soupis:</t>
  </si>
  <si>
    <t>o4</t>
  </si>
  <si>
    <t>20,8</t>
  </si>
  <si>
    <t xml:space="preserve">D.1.1.1 - Soupis prací - Architektonicko stavební a konstrukční řešení gastroprovozu </t>
  </si>
  <si>
    <t>o1</t>
  </si>
  <si>
    <t>41,5</t>
  </si>
  <si>
    <t>o2</t>
  </si>
  <si>
    <t>116</t>
  </si>
  <si>
    <t>o3</t>
  </si>
  <si>
    <t>51,2</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</si>
  <si>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</si>
  <si>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</si>
  <si>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</si>
  <si>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</si>
  <si>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</si>
  <si>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</si>
  <si>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</si>
  <si>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</si>
  <si>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</si>
  <si>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</si>
  <si>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</si>
  <si>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</si>
  <si>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</si>
  <si>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</si>
  <si>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</si>
  <si>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</si>
  <si>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</si>
  <si>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741 - Elektroinstalace - silnoproud</t>
  </si>
  <si>
    <t xml:space="preserve">    742 - Elektroinstalace - slaboproud</t>
  </si>
  <si>
    <t xml:space="preserve">    763 - Konstrukce suché výstavby</t>
  </si>
  <si>
    <t xml:space="preserve">    766 - Konstrukce truhlářské</t>
  </si>
  <si>
    <t xml:space="preserve">    767 - Konstrukce zámečnické</t>
  </si>
  <si>
    <t xml:space="preserve">    771 - Podlahy z dlaždic</t>
  </si>
  <si>
    <t xml:space="preserve">    773 - Podlahy z litého teraca</t>
  </si>
  <si>
    <t xml:space="preserve">    776 - Podlahy povlakové</t>
  </si>
  <si>
    <t xml:space="preserve">    781 - Dokončovací práce - obklady</t>
  </si>
  <si>
    <t xml:space="preserve">    783 - Dokončovací práce - nátěry</t>
  </si>
  <si>
    <t xml:space="preserve">    784 - Dokončovací práce - malby a tapety</t>
  </si>
  <si>
    <t xml:space="preserve">    787 - Dokončovací práce - zasklívání</t>
  </si>
  <si>
    <t xml:space="preserve">    791 - Zařízení velkokuchyní</t>
  </si>
  <si>
    <t xml:space="preserve">    R - Repase</t>
  </si>
  <si>
    <t xml:space="preserve">    SD - Sanitární doplňky a vnitřní vybavení</t>
  </si>
  <si>
    <t>HZS - Hodinové zúčtovací sazby</t>
  </si>
  <si>
    <t xml:space="preserve">    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</si>
  <si>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</si>
  <si>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</si>
  <si>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</si>
  <si>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</si>
  <si>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</si>
  <si>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</si>
  <si>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</si>
  <si>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</si>
  <si>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</si>
  <si>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</si>
  <si>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</si>
  <si>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</si>
  <si>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</si>
  <si>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</si>
  <si>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</si>
  <si>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</si>
  <si>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</si>
  <si>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</si>
  <si>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121112011</t>
  </si>
  <si>
    <t>Sejmutí ornice ručně bez vodorovného přemístění s naložením na dopravní prostředek nebo s odhozením do 3 m tloušťky vrstvy do 150 mm</t>
  </si>
  <si>
    <t>m3</t>
  </si>
  <si>
    <t>CS ÚRS 2019 02</t>
  </si>
  <si>
    <t>4</t>
  </si>
  <si>
    <t>1588212446</t>
  </si>
  <si>
    <t>VV</t>
  </si>
  <si>
    <t>"vč. C3+popis TZ"</t>
  </si>
  <si>
    <t>25,0*1,5*0,15</t>
  </si>
  <si>
    <t>132312201</t>
  </si>
  <si>
    <t>Hloubení zapažených i nezapažených rýh šířky přes 600 do 2 000 mm ručním nebo pneumatickým nářadím s urovnáním dna do předepsaného profilu a spádu v horninách tř. 4 soudržných</t>
  </si>
  <si>
    <t>-652400015</t>
  </si>
  <si>
    <t>PSC</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</si>
  <si>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</si>
  <si>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25,0*1,5*0,9</t>
  </si>
  <si>
    <t>132312209</t>
  </si>
  <si>
    <t>Hloubení zapažených i nezapažených rýh šířky přes 600 do 2 000 mm ručním nebo pneumatickým nářadím s urovnáním dna do předepsaného profilu a spádu v horninách tř. 4 Příplatek k cenám za lepivost horniny tř. 4</t>
  </si>
  <si>
    <t>580361114</t>
  </si>
  <si>
    <t>139711101</t>
  </si>
  <si>
    <t>Vykopávka v uzavřených prostorách s naložením výkopku na dopravní prostředek v hornině tř. 1 až 4</t>
  </si>
  <si>
    <t>-1951421441</t>
  </si>
  <si>
    <t xml:space="preserve">Poznámka k souboru cen:_x000D_
1. V cenách nejsou započteny náklady na podchycení stavebních konstrukcí a případné odvětrávání pracovního prostoru._x000D_
</t>
  </si>
  <si>
    <t>"vč. 03+popis TZ"</t>
  </si>
  <si>
    <t>"viz celý popis B/23"</t>
  </si>
  <si>
    <t>1,3*0,9*26,2</t>
  </si>
  <si>
    <t>5</t>
  </si>
  <si>
    <t>161101501</t>
  </si>
  <si>
    <t>Svislé přemístění výkopku nošením bez naložení, avšak s vyprázdněním nádoby na hromady nebo do dopravního prostředku, na každých, třeba i započatých 3 m výšky z horniny tř. 1 až 4</t>
  </si>
  <si>
    <t>-67879340</t>
  </si>
  <si>
    <t>6</t>
  </si>
  <si>
    <t>162201201</t>
  </si>
  <si>
    <t>Vodorovné přemístění výkopku nebo sypaniny nošením s vyprázdněním nádoby na hromady nebo do dopravního prostředku na vzdálenost do 10 m z horniny tř. 1 až 4</t>
  </si>
  <si>
    <t>1899517469</t>
  </si>
  <si>
    <t>Mezisoučet</t>
  </si>
  <si>
    <t>25,0*1,2*0,9</t>
  </si>
  <si>
    <t>Součet</t>
  </si>
  <si>
    <t>7</t>
  </si>
  <si>
    <t>162701105</t>
  </si>
  <si>
    <t>Vodorovné přemístění výkopku nebo sypaniny po suchu na obvyklém dopravním prostředku, bez naložení výkopku, avšak se složením bez rozhrnutí z horniny tř. 1 až 4 na vzdálenost přes 9 000 do 10 000 m</t>
  </si>
  <si>
    <t>1854145189</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</si>
  <si>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</si>
  <si>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8</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</si>
  <si>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</si>
  <si>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</si>
  <si>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1693536420</t>
  </si>
  <si>
    <t>57,654*10 'Přepočtené koeficientem množství</t>
  </si>
  <si>
    <t>9</t>
  </si>
  <si>
    <t>171101121</t>
  </si>
  <si>
    <t>Uložení sypaniny do násypů s rozprostřením sypaniny ve vrstvách a s hrubým urovnáním zhutněných s uzavřením povrchu násypu z hornin nesoudržných kamenitých</t>
  </si>
  <si>
    <t>-1803614416</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</si>
  <si>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</si>
  <si>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10</t>
  </si>
  <si>
    <t>171201211</t>
  </si>
  <si>
    <t>Poplatek za uložení stavebního odpadu na skládce (skládkovné) zeminy a kameniva zatříděného do Katalogu odpadů pod kódem 170 504</t>
  </si>
  <si>
    <t>t</t>
  </si>
  <si>
    <t>-474029250</t>
  </si>
  <si>
    <t xml:space="preserve">Poznámka k souboru cen:_x000D_
1. Ceny uvedené v souboru cen lze po dohodě upravit podle místních podmínek._x000D_
</t>
  </si>
  <si>
    <t>57,654*1,9 'Přepočtené koeficientem množství</t>
  </si>
  <si>
    <t>11</t>
  </si>
  <si>
    <t>174101101</t>
  </si>
  <si>
    <t>Zásyp sypaninou z jakékoliv horniny s uložením výkopku ve vrstvách se zhutněním jam, šachet, rýh nebo kolem objektů v těchto vykopávkách</t>
  </si>
  <si>
    <t>351482380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</si>
  <si>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</si>
  <si>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-25,0*1,2*0,9</t>
  </si>
  <si>
    <t>12</t>
  </si>
  <si>
    <t>175</t>
  </si>
  <si>
    <t>Uvedení terénu do původního stavu po realizaci energokanálu. vč. rozprostření ornice, ohumusování a osetí</t>
  </si>
  <si>
    <t>m2</t>
  </si>
  <si>
    <t>-1074688989</t>
  </si>
  <si>
    <t>13</t>
  </si>
  <si>
    <t>190</t>
  </si>
  <si>
    <t>Zelená stěna - dle požadavku viz celý popis Os/8</t>
  </si>
  <si>
    <t>kus</t>
  </si>
  <si>
    <t>1530929459</t>
  </si>
  <si>
    <t>Zakládání</t>
  </si>
  <si>
    <t>14</t>
  </si>
  <si>
    <t>271572211</t>
  </si>
  <si>
    <t>Podsyp pod základové konstrukce se zhutněním a urovnáním povrchu ze štěrkopísku netříděného</t>
  </si>
  <si>
    <t>1069456365</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</si>
  <si>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</si>
  <si>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25,0*1,2</t>
  </si>
  <si>
    <t>Svislé a kompletní konstrukce</t>
  </si>
  <si>
    <t>310237281</t>
  </si>
  <si>
    <t>Zazdívka otvorů ve zdivu nadzákladovém cihlami pálenými plochy přes 0,09 m2 do 0,25 m2, ve zdi tl. přes 750 do 900 mm</t>
  </si>
  <si>
    <t>-664471510</t>
  </si>
  <si>
    <t>"vč. 04+popis TZ"</t>
  </si>
  <si>
    <t>16</t>
  </si>
  <si>
    <t>310237291</t>
  </si>
  <si>
    <t>Zazdívka otvorů ve zdivu nadzákladovém cihlami pálenými plochy přes 0,09 m2 do 0,25 m2, ve zdi tl. přes 900 do 1050 mm</t>
  </si>
  <si>
    <t>104159651</t>
  </si>
  <si>
    <t>17</t>
  </si>
  <si>
    <t>317142422</t>
  </si>
  <si>
    <t>Překlady nenosné z pórobetonu osazené do tenkého maltového lože, výšky do 250 mm, šířky překladu 100 mm, délky překladu přes 1000 do 1250 mm</t>
  </si>
  <si>
    <t>-108081278</t>
  </si>
  <si>
    <t xml:space="preserve">Poznámka k souboru cen:_x000D_
1. V cenách jsou započteny náklady na dodání a uložení překladu, včetně podmazání ložné plochy tenkovrstvou maltou._x000D_
</t>
  </si>
  <si>
    <t>"viz celý popis Os/6"</t>
  </si>
  <si>
    <t>18</t>
  </si>
  <si>
    <t>317142428</t>
  </si>
  <si>
    <t>Překlady nenosné z pórobetonu osazené do tenkého maltového lože, výšky do 250 mm, šířky překladu 100 mm, délky překladu přes 2000 do 2500 mm</t>
  </si>
  <si>
    <t>-1027857845</t>
  </si>
  <si>
    <t>"viz celý popis Os/5"</t>
  </si>
  <si>
    <t>19</t>
  </si>
  <si>
    <t>317944321</t>
  </si>
  <si>
    <t>Válcované nosníky dodatečně osazované do připravených otvorů bez zazdění hlav do č. 12</t>
  </si>
  <si>
    <t>-134386617</t>
  </si>
  <si>
    <t xml:space="preserve">Poznámka k souboru cen:_x000D_
1. V cenách jsou zahrnuty náklady na dodávku a montáž válcovaných nosníků._x000D_
2. Ceny jsou určeny pouze pro ocenění konstrukce překladů nad otvory._x000D_
</t>
  </si>
  <si>
    <t>"vč. 03+popis TZ + popis Z/4 a výpis statika"</t>
  </si>
  <si>
    <t>"vč. povrchové úpravy"</t>
  </si>
  <si>
    <t>(18,0+35,64+106,92+19,2+20,4+72,8+112,32)*1,03*0,001</t>
  </si>
  <si>
    <t>20</t>
  </si>
  <si>
    <t>317944325</t>
  </si>
  <si>
    <t>Válcované nosníky dodatečně osazované do připravených otvorů bez zazdění hlav č. 24 a vyšší</t>
  </si>
  <si>
    <t>13306756</t>
  </si>
  <si>
    <t>25,27*1,03*0,001</t>
  </si>
  <si>
    <t>340271025</t>
  </si>
  <si>
    <t>Zazdívka otvorů v příčkách nebo stěnách pórobetonovými tvárnicemi plochy přes 1 m2 do 4 m2, objemová hmotnost 500 kg/m3, tloušťka příčky 100 mm</t>
  </si>
  <si>
    <t>-2073243561</t>
  </si>
  <si>
    <t>0,9*2,5</t>
  </si>
  <si>
    <t>22</t>
  </si>
  <si>
    <t>340271045</t>
  </si>
  <si>
    <t>Zazdívka otvorů v příčkách nebo stěnách pórobetonovými tvárnicemi plochy přes 1 m2 do 4 m2, objemová hmotnost 500 kg/m3, tloušťka příčky 150 mm</t>
  </si>
  <si>
    <t>-1809585050</t>
  </si>
  <si>
    <t>1,25*3,085</t>
  </si>
  <si>
    <t>1,39*2,502</t>
  </si>
  <si>
    <t>23</t>
  </si>
  <si>
    <t>342272225</t>
  </si>
  <si>
    <t>Příčky z pórobetonových tvárnic hladkých na tenké maltové lože objemová hmotnost do 500 kg/m3, tloušťka příčky 100 mm</t>
  </si>
  <si>
    <t>1598525435</t>
  </si>
  <si>
    <t>(1,3+2,4)*3,085</t>
  </si>
  <si>
    <t>-0,8*1,97</t>
  </si>
  <si>
    <t>(3,785+2,55+0,1+2,01)*3,085</t>
  </si>
  <si>
    <t>-0,9*1,97</t>
  </si>
  <si>
    <t>(4,25+0,1+2,465)*3,085</t>
  </si>
  <si>
    <t>3,22*3,085*2</t>
  </si>
  <si>
    <t>-0,9*1,97*2</t>
  </si>
  <si>
    <t>2,27*3,085</t>
  </si>
  <si>
    <t>2,95*3,085</t>
  </si>
  <si>
    <t>24</t>
  </si>
  <si>
    <t>342272245</t>
  </si>
  <si>
    <t>Příčky z pórobetonových tvárnic hladkých na tenké maltové lože objemová hmotnost do 500 kg/m3, tloušťka příčky 150 mm</t>
  </si>
  <si>
    <t>-90341056</t>
  </si>
  <si>
    <t>6,06*3,085</t>
  </si>
  <si>
    <t>25</t>
  </si>
  <si>
    <t>342291121</t>
  </si>
  <si>
    <t>Ukotvení příček plochými kotvami, do konstrukce cihelné</t>
  </si>
  <si>
    <t>m</t>
  </si>
  <si>
    <t>1717099647</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</si>
  <si>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</si>
  <si>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3,085*22</t>
  </si>
  <si>
    <t>26</t>
  </si>
  <si>
    <t>346244381</t>
  </si>
  <si>
    <t>Plentování ocelových válcovaných nosníků jednostranné cihlami na maltu, výška stojiny do 200 mm</t>
  </si>
  <si>
    <t>-1550719358</t>
  </si>
  <si>
    <t>"vč. 03+popis TZ + popis a výpis statika"</t>
  </si>
  <si>
    <t>2*0,75*0,08</t>
  </si>
  <si>
    <t>2*1,1*0,1</t>
  </si>
  <si>
    <t>2*2,2*0,1</t>
  </si>
  <si>
    <t>2*0,8*0,08</t>
  </si>
  <si>
    <t>2*0,85*0,08</t>
  </si>
  <si>
    <t>2*1,4*0,12</t>
  </si>
  <si>
    <t>2*1,8*0,12</t>
  </si>
  <si>
    <t>27</t>
  </si>
  <si>
    <t>349231821</t>
  </si>
  <si>
    <t>Přizdívka z cihel ostění s ozubem ve vybouraných otvorech, s vysekáním kapes pro zavázaní přes 150 do 300 mm</t>
  </si>
  <si>
    <t>-1762434074</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</si>
  <si>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</si>
  <si>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0,94*3,085</t>
  </si>
  <si>
    <t>28</t>
  </si>
  <si>
    <t>38838113-P</t>
  </si>
  <si>
    <t>M+D Kanály - energokanál prefabrikovaný dl. 25m vč. komínu, zakrytí, žaluzií atd. - viz celý popis C3</t>
  </si>
  <si>
    <t>-81666190</t>
  </si>
  <si>
    <t>25,0+1,5</t>
  </si>
  <si>
    <t>Vodorovné konstrukce</t>
  </si>
  <si>
    <t>29</t>
  </si>
  <si>
    <t>413232211</t>
  </si>
  <si>
    <t>Zazdívka zhlaví stropních trámů nebo válcovaných nosníků pálenými cihlami válcovaných nosníků, výšky do 150 mm</t>
  </si>
  <si>
    <t>-378404090</t>
  </si>
  <si>
    <t>4*2</t>
  </si>
  <si>
    <t>6*2</t>
  </si>
  <si>
    <t>5*2</t>
  </si>
  <si>
    <t>30</t>
  </si>
  <si>
    <t>413232221</t>
  </si>
  <si>
    <t>Zazdívka zhlaví stropních trámů nebo válcovaných nosníků pálenými cihlami válcovaných nosníků, výšky přes 150 do 300 mm</t>
  </si>
  <si>
    <t>168824707</t>
  </si>
  <si>
    <t>Úpravy povrchů, podlahy a osazování výplní</t>
  </si>
  <si>
    <t>31</t>
  </si>
  <si>
    <t>611131101</t>
  </si>
  <si>
    <t>Podkladní a spojovací vrstva vnitřních omítaných ploch cementový postřik nanášený ručně celoplošně stropů</t>
  </si>
  <si>
    <t>-1703456234</t>
  </si>
  <si>
    <t>"dle omítek"</t>
  </si>
  <si>
    <t>266,56</t>
  </si>
  <si>
    <t>32</t>
  </si>
  <si>
    <t>611131111</t>
  </si>
  <si>
    <t>Podkladní a spojovací vrstva vnitřních omítaných ploch polymercementový spojovací můstek nanášený ručně stropů</t>
  </si>
  <si>
    <t>1855577932</t>
  </si>
  <si>
    <t>"dle štuku"</t>
  </si>
  <si>
    <t>53,75</t>
  </si>
  <si>
    <t>33</t>
  </si>
  <si>
    <t>611311131</t>
  </si>
  <si>
    <t>Potažení vnitřních ploch štukem tloušťky do 3 mm vodorovných konstrukcí stropů rovných</t>
  </si>
  <si>
    <t>1778582184</t>
  </si>
  <si>
    <t>"dle oprav omítek"</t>
  </si>
  <si>
    <t>611321141</t>
  </si>
  <si>
    <t>Omítka vápenocementová vnitřních ploch nanášená ručně dvouvrstvá, tloušťky jádrové omítky do 10 mm a tloušťky štuku do 3 mm štuková vodorovných konstrukcí stropů rovných</t>
  </si>
  <si>
    <t>2021873914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</si>
  <si>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</si>
  <si>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20,24+19,29+12,93+11,28+6,87+9,54+9,74+5,85+11,39+29,38+29,37+82,52+18,16</t>
  </si>
  <si>
    <t>35</t>
  </si>
  <si>
    <t>611321191</t>
  </si>
  <si>
    <t>Omítka vápenocementová vnitřních ploch nanášená ručně Příplatek k cenám za každých dalších i započatých 5 mm tloušťky omítky přes 10 mm stropů</t>
  </si>
  <si>
    <t>40597279</t>
  </si>
  <si>
    <t>266,56/2</t>
  </si>
  <si>
    <t>36</t>
  </si>
  <si>
    <t>611325413</t>
  </si>
  <si>
    <t>Oprava vápenocementové omítky vnitřních ploch hladké, tloušťky do 20 mm stropů, v rozsahu opravované plochy přes 30 do 50%</t>
  </si>
  <si>
    <t>1201210880</t>
  </si>
  <si>
    <t xml:space="preserve">Poznámka k souboru cen:_x000D_
1. Pro ocenění opravy omítek plochy do 1 m2 se použijí ceny souboru cen 61. 32-52.. Vápenocementová omítka jednotlivých malých ploch._x000D_
</t>
  </si>
  <si>
    <t>"1.19+21+23+24"</t>
  </si>
  <si>
    <t>8,16+12,3+23,31+9,98</t>
  </si>
  <si>
    <t>37</t>
  </si>
  <si>
    <t>612131101</t>
  </si>
  <si>
    <t>Podkladní a spojovací vrstva vnitřních omítaných ploch cementový postřik nanášený ručně celoplošně stěn</t>
  </si>
  <si>
    <t>-443324971</t>
  </si>
  <si>
    <t>"dle  omítek"</t>
  </si>
  <si>
    <t>581,667</t>
  </si>
  <si>
    <t>38</t>
  </si>
  <si>
    <t>612131111</t>
  </si>
  <si>
    <t>Podkladní a spojovací vrstva vnitřních omítaných ploch polymercementový spojovací můstek nanášený ručně stěn</t>
  </si>
  <si>
    <t>-8599883</t>
  </si>
  <si>
    <t>"dle pórobetonových příček"</t>
  </si>
  <si>
    <t>2*82,446</t>
  </si>
  <si>
    <t>2*15,0149</t>
  </si>
  <si>
    <t>"dle hladkých nových omítek"</t>
  </si>
  <si>
    <t>235,862</t>
  </si>
  <si>
    <t>39</t>
  </si>
  <si>
    <t>612135101</t>
  </si>
  <si>
    <t>Hrubá výplň rýh maltou jakékoli šířky rýhy ve stěnách</t>
  </si>
  <si>
    <t>49931156</t>
  </si>
  <si>
    <t xml:space="preserve">Poznámka k souboru cen:_x000D_
1. V cenách nejsou započteny náklady na omítku rýh, tyto se ocení příšlušnými cenami tohoto katalogu._x000D_
</t>
  </si>
  <si>
    <t>70,0*0,2</t>
  </si>
  <si>
    <t>40</t>
  </si>
  <si>
    <t>612142001</t>
  </si>
  <si>
    <t>Potažení vnitřních ploch pletivem v ploše nebo pruzích, na plném podkladu sklovláknitým vtlačením do tmelu stěn</t>
  </si>
  <si>
    <t>1126713196</t>
  </si>
  <si>
    <t xml:space="preserve">Poznámka k souboru cen:_x000D_
1. V cenách -2001 jsou započteny i náklady na tmel._x000D_
</t>
  </si>
  <si>
    <t xml:space="preserve">"zazdívky - přetažení" </t>
  </si>
  <si>
    <t>4*4,0</t>
  </si>
  <si>
    <t>5,0</t>
  </si>
  <si>
    <t>41</t>
  </si>
  <si>
    <t>612311131</t>
  </si>
  <si>
    <t>Potažení vnitřních ploch štukem tloušťky do 3 mm svislých konstrukcí stěn</t>
  </si>
  <si>
    <t>-397351241</t>
  </si>
  <si>
    <t>"odpočet obkladů"</t>
  </si>
  <si>
    <t>-(41,5+116,0+51,2+20,8)</t>
  </si>
  <si>
    <t>42</t>
  </si>
  <si>
    <t>612321121</t>
  </si>
  <si>
    <t>Omítka vápenocementová vnitřních ploch nanášená ručně jednovrstvá, tloušťky do 10 mm hladká svislých konstrukcí stěn</t>
  </si>
  <si>
    <t>-228437136</t>
  </si>
  <si>
    <t>2*(7,265+13,67)*3,094</t>
  </si>
  <si>
    <t>2*(6,06+7,1)*3,086</t>
  </si>
  <si>
    <t>(7,365+7,0+3,25+7,0+4,0+0,73+3,0+6,195+6,14+6,195+4,3)*3,085</t>
  </si>
  <si>
    <t>2*(1,285+5,3+1,735+2,99+7,0)*3,085</t>
  </si>
  <si>
    <t>2*(3,51+3,235)*3,291</t>
  </si>
  <si>
    <t>2*(1,45+0,89)*3,085*3</t>
  </si>
  <si>
    <t>43</t>
  </si>
  <si>
    <t>612321191</t>
  </si>
  <si>
    <t>Omítka vápenocementová vnitřních ploch nanášená ručně Příplatek k cenám za každých dalších i započatých 5 mm tloušťky omítky přes 10 mm stěn</t>
  </si>
  <si>
    <t>683903696</t>
  </si>
  <si>
    <t>581,667/2</t>
  </si>
  <si>
    <t>44</t>
  </si>
  <si>
    <t>612325413</t>
  </si>
  <si>
    <t>Oprava vápenocementové omítky vnitřních ploch hladké, tloušťky do 20 mm stěn, v rozsahu opravované plochy přes 30 do 50%</t>
  </si>
  <si>
    <t>-44406334</t>
  </si>
  <si>
    <t>2*(2,945+0,785+2,385)*3,291</t>
  </si>
  <si>
    <t>2*(1,47+1,225+0,655+4,17)*3,085</t>
  </si>
  <si>
    <t>(14,79+7,365+4,75+4,0+4,5)*3,085</t>
  </si>
  <si>
    <t>2*(2,71+5,25)*2,512</t>
  </si>
  <si>
    <t>45</t>
  </si>
  <si>
    <t>619991001</t>
  </si>
  <si>
    <t>Zakrytí vnitřních ploch před znečištěním včetně pozdějšího odkrytí podlah fólií přilepenou lepící páskou</t>
  </si>
  <si>
    <t>-2040036555</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</si>
  <si>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</si>
  <si>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100,0</t>
  </si>
  <si>
    <t>46</t>
  </si>
  <si>
    <t>619991011</t>
  </si>
  <si>
    <t>Zakrytí vnitřních ploch před znečištěním včetně pozdějšího odkrytí konstrukcí a prvků obalením fólií a přelepením páskou</t>
  </si>
  <si>
    <t>873480886</t>
  </si>
  <si>
    <t>"okna"</t>
  </si>
  <si>
    <t>2,25*2,05*5</t>
  </si>
  <si>
    <t>1,4*2,3</t>
  </si>
  <si>
    <t>1,55*1,668*3</t>
  </si>
  <si>
    <t>1,43*2,45*4</t>
  </si>
  <si>
    <t>1,1*2,45</t>
  </si>
  <si>
    <t>1,43*2,618</t>
  </si>
  <si>
    <t>"dveře"</t>
  </si>
  <si>
    <t>2,5*5</t>
  </si>
  <si>
    <t>47</t>
  </si>
  <si>
    <t>622143003</t>
  </si>
  <si>
    <t>Montáž omítkových profilů plastových nebo pozinkovaných, upevněných vtlačením do podkladní vrstvy nebo přibitím rohových s tkaninou</t>
  </si>
  <si>
    <t>249671729</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</si>
  <si>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</si>
  <si>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3,085*16</t>
  </si>
  <si>
    <t>(2,5+1,36+2,5)</t>
  </si>
  <si>
    <t>(2,319+2,32+2,319)</t>
  </si>
  <si>
    <t>(2,322+1,1+2,322)</t>
  </si>
  <si>
    <t>(2,45+1,43+2,45)*4</t>
  </si>
  <si>
    <t>(2,5+1,445+2,5)</t>
  </si>
  <si>
    <t>(3,0+1,2+3,0)*2</t>
  </si>
  <si>
    <t>(3,0+1,45+3,0)</t>
  </si>
  <si>
    <t>(2,5+1,1+2,5)*3</t>
  </si>
  <si>
    <t>(3,085+1,75+3,085)*2</t>
  </si>
  <si>
    <t>(3,085+1,25+3,085)*3</t>
  </si>
  <si>
    <t>(2,033+2,2+2,033)*5</t>
  </si>
  <si>
    <t>(1,668+1,535+1,668)*3</t>
  </si>
  <si>
    <t>(2,228+1,4+2,228)</t>
  </si>
  <si>
    <t>48</t>
  </si>
  <si>
    <t>M</t>
  </si>
  <si>
    <t>5534302-vni</t>
  </si>
  <si>
    <t xml:space="preserve">profil omítkový rohový pro omítky vnitřní </t>
  </si>
  <si>
    <t>-1806076865</t>
  </si>
  <si>
    <t>230,236*1,05 'Přepočtené koeficientem množství</t>
  </si>
  <si>
    <t>49</t>
  </si>
  <si>
    <t>622525102</t>
  </si>
  <si>
    <t>Omítka tenkovrstvá jednotlivých malých ploch silikátová, akrylátová, silikonová nebo silikonsilikátová stěn, plochy jednotlivě přes 0,1 do 0,25 m2</t>
  </si>
  <si>
    <t>1428035903</t>
  </si>
  <si>
    <t>"Fasáda - vedení potrubí"</t>
  </si>
  <si>
    <t>50</t>
  </si>
  <si>
    <t>631311126</t>
  </si>
  <si>
    <t>Mazanina z betonu prostého bez zvýšených nároků na prostředí tl. přes 80 do 120 mm tř. C 25/30</t>
  </si>
  <si>
    <t>-2125560591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</si>
  <si>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</si>
  <si>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"montážní otvory"</t>
  </si>
  <si>
    <t>0,8*0,8*0,1*9</t>
  </si>
  <si>
    <t>51</t>
  </si>
  <si>
    <t>631311136</t>
  </si>
  <si>
    <t>Mazanina z betonu prostého bez zvýšených nároků na prostředí tl. přes 120 do 240 mm tř. C 25/30</t>
  </si>
  <si>
    <t>2069190984</t>
  </si>
  <si>
    <t>0,8*0,8*0,2*9</t>
  </si>
  <si>
    <t>52</t>
  </si>
  <si>
    <t>631319173</t>
  </si>
  <si>
    <t>Příplatek k cenám mazanin za stržení povrchu spodní vrstvy mazaniny latí před vložením výztuže nebo pletiva pro tl. obou vrstev mazaniny přes 80 do 120 mm</t>
  </si>
  <si>
    <t>791942056</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</si>
  <si>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</si>
  <si>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53</t>
  </si>
  <si>
    <t>631319175</t>
  </si>
  <si>
    <t>Příplatek k cenám mazanin za stržení povrchu spodní vrstvy mazaniny latí před vložením výztuže nebo pletiva pro tl. obou vrstev mazaniny přes 120 do 240 mm</t>
  </si>
  <si>
    <t>1244392430</t>
  </si>
  <si>
    <t>54</t>
  </si>
  <si>
    <t>631362021</t>
  </si>
  <si>
    <t>Výztuž mazanin ze svařovaných sítí z drátů typu KARI</t>
  </si>
  <si>
    <t>-1170040492</t>
  </si>
  <si>
    <t xml:space="preserve">Poznámka k souboru cen:_x000D_
1. Betonová podezdívek příček se oceňuje položkou 278 36-1111 souboru cen 278 36-11.1 - Výztuž základu (podezdívky) betonového_x000D_
</t>
  </si>
  <si>
    <t>"vč. napojení na obv,. kce"</t>
  </si>
  <si>
    <t>0,8*0,8*0,0031*9*2</t>
  </si>
  <si>
    <t>55</t>
  </si>
  <si>
    <t>63244111</t>
  </si>
  <si>
    <t>Potěr anhydritový samonivelační ze suchých směsí tlouštky 10 mm</t>
  </si>
  <si>
    <t>2117271111</t>
  </si>
  <si>
    <t xml:space="preserve">Poznámka k souboru cen:_x000D_
1. Ceny jsou určeny pro samonivelační anhydritový potěr na stropech jako podklad pod izolaci, pod podlahové konstrukce apod., na mazaninách jen jako podklad pod izolaci proti vodě._x000D_
</t>
  </si>
  <si>
    <t>"vč. 04+05+skladby+popis TZ"</t>
  </si>
  <si>
    <t>"včetně -  obvodový dilatační pásek"</t>
  </si>
  <si>
    <t>56</t>
  </si>
  <si>
    <t>632441222</t>
  </si>
  <si>
    <t>Potěr anhydritový samonivelační litý tř. C 30, tl. přes 30 do 35 mm</t>
  </si>
  <si>
    <t>173603991</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</si>
  <si>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</si>
  <si>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d1+d2+d3+d4+d5+d6</t>
  </si>
  <si>
    <t>57</t>
  </si>
  <si>
    <t>632441223</t>
  </si>
  <si>
    <t>Potěr anhydritový samonivelační litý tř. C 30, tl. přes 35 do 40 mm</t>
  </si>
  <si>
    <t>1782148041</t>
  </si>
  <si>
    <t>58</t>
  </si>
  <si>
    <t>632451111-sm</t>
  </si>
  <si>
    <t>Potěr cementový samonivelační ze suchých směsí tloušťky přes 25 do 30 mm + sklovláknitá mřížkac + penetrační nátěr</t>
  </si>
  <si>
    <t>-249884228</t>
  </si>
  <si>
    <t>59</t>
  </si>
  <si>
    <t>6325</t>
  </si>
  <si>
    <t xml:space="preserve">Doplnění podlahy dle stávající - montážní otvory </t>
  </si>
  <si>
    <t>-1991829153</t>
  </si>
  <si>
    <t>0,8*0,8*9</t>
  </si>
  <si>
    <t>Trubní vedení</t>
  </si>
  <si>
    <t>60</t>
  </si>
  <si>
    <t>899102211</t>
  </si>
  <si>
    <t>Demontáž poklopů litinových a ocelových včetně rámů, hmotnosti jednotlivě přes 50 do 100 Kg</t>
  </si>
  <si>
    <t>1672292677</t>
  </si>
  <si>
    <t>"viz celý popis B/12"</t>
  </si>
  <si>
    <t>Ostatní konstrukce a práce, bourání</t>
  </si>
  <si>
    <t>61</t>
  </si>
  <si>
    <t>949101111</t>
  </si>
  <si>
    <t>Lešení pomocné pracovní pro objekty pozemních staveb pro zatížení do 150 kg/m2, o výšce lešeňové podlahy do 1,9 m</t>
  </si>
  <si>
    <t>1513914525</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</si>
  <si>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</si>
  <si>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332,4</t>
  </si>
  <si>
    <t>62</t>
  </si>
  <si>
    <t>952901111</t>
  </si>
  <si>
    <t>Vyčištění budov nebo objektů před předáním do užívání budov bytové nebo občanské výstavby, světlé výšky podlaží do 4 m</t>
  </si>
  <si>
    <t>-659985444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</si>
  <si>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</si>
  <si>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9,5*15,5</t>
  </si>
  <si>
    <t>17,0*12,5</t>
  </si>
  <si>
    <t>12,0*14,0</t>
  </si>
  <si>
    <t>63</t>
  </si>
  <si>
    <t>953943211</t>
  </si>
  <si>
    <t>Osazování drobných kovových předmětů kotvených do stěny hasicího přístroje</t>
  </si>
  <si>
    <t>1216843267</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</si>
  <si>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</si>
  <si>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"viz celý popis Os/2"</t>
  </si>
  <si>
    <t>64</t>
  </si>
  <si>
    <t>4493211-H</t>
  </si>
  <si>
    <t>přístroj hasicí ruční s hasící schopností min. 21A - viz celý popis Os/2</t>
  </si>
  <si>
    <t>-81318987</t>
  </si>
  <si>
    <t>65</t>
  </si>
  <si>
    <t>953945-PU</t>
  </si>
  <si>
    <t>Protipožární ucpávky a manžety - viz celý popis Os/9</t>
  </si>
  <si>
    <t>-2047990646</t>
  </si>
  <si>
    <t>66</t>
  </si>
  <si>
    <t>962031132</t>
  </si>
  <si>
    <t>Bourání příček z cihel, tvárnic nebo příčkovek z cihel pálených, plných nebo dutých na maltu vápennou nebo vápenocementovou, tl. do 100 mm</t>
  </si>
  <si>
    <t>1423303805</t>
  </si>
  <si>
    <t>(3,83+2,65+0,15+1,95)*3,085</t>
  </si>
  <si>
    <t>(2,0+0,1+1,53+0,1+3,24+2,0)*3,085</t>
  </si>
  <si>
    <t>(1,505+0,1+1,505+0,86+0,1+0,845)*3,085</t>
  </si>
  <si>
    <t>(1,25+1,1+2,75+1,5+1,0)*3,094</t>
  </si>
  <si>
    <t>67</t>
  </si>
  <si>
    <t>962031133</t>
  </si>
  <si>
    <t>Bourání příček z cihel, tvárnic nebo příčkovek z cihel pálených, plných nebo dutých na maltu vápennou nebo vápenocementovou, tl. do 150 mm</t>
  </si>
  <si>
    <t>20389177</t>
  </si>
  <si>
    <t>(2,29+0,775+1,59+6,87)*3,085</t>
  </si>
  <si>
    <t>1,25*2,136</t>
  </si>
  <si>
    <t>68</t>
  </si>
  <si>
    <t>962032230</t>
  </si>
  <si>
    <t>Bourání zdiva nadzákladového z cihel nebo tvárnic z cihel pálených nebo vápenopískových, na maltu vápennou nebo vápenocementovou, objemu do 1 m3</t>
  </si>
  <si>
    <t>2085735613</t>
  </si>
  <si>
    <t xml:space="preserve">Poznámka k souboru cen:_x000D_
1. Bourání pilířů o průřezu přes 0,36 m2 se oceňuje příslušnými cenami -2230, -2231, -2240, -2241,-2253 a -2254 jako bourání zdiva nadzákladového cihelného._x000D_
</t>
  </si>
  <si>
    <t>"viz celý popis B/4"</t>
  </si>
  <si>
    <t>5,5*0,18*0,952</t>
  </si>
  <si>
    <t>69</t>
  </si>
  <si>
    <t>965043341</t>
  </si>
  <si>
    <t>Bourání mazanin betonových s potěrem nebo teracem tl. do 100 mm, plochy přes 4 m2</t>
  </si>
  <si>
    <t>748662848</t>
  </si>
  <si>
    <t>"viz celý popis B/13"</t>
  </si>
  <si>
    <t>300,6*0,035</t>
  </si>
  <si>
    <t>70</t>
  </si>
  <si>
    <t>965043421</t>
  </si>
  <si>
    <t>Bourání mazanin betonových s potěrem nebo teracem tl. do 150 mm, plochy do 1 m2</t>
  </si>
  <si>
    <t>2014392035</t>
  </si>
  <si>
    <t>0,8*0,8*0,25*9</t>
  </si>
  <si>
    <t>71</t>
  </si>
  <si>
    <t>965049112</t>
  </si>
  <si>
    <t>Bourání mazanin Příplatek k cenám za bourání mazanin betonových se svařovanou sítí, tl. přes 100 mm</t>
  </si>
  <si>
    <t>1946850854</t>
  </si>
  <si>
    <t>72</t>
  </si>
  <si>
    <t>968072455</t>
  </si>
  <si>
    <t>Vybourání kovových rámů oken s křídly, dveřních zárubní, vrat, stěn, ostění nebo obkladů dveřních zárubní, plochy do 2 m2</t>
  </si>
  <si>
    <t>1819603715</t>
  </si>
  <si>
    <t xml:space="preserve">Poznámka k souboru cen:_x000D_
1. V cenách -2244 až -2559 jsou započteny i náklady na vyvěšení křídel._x000D_
2. Cenou -2641 se oceňuje i vybourání nosné ocelové konstrukce pro sádrokartonové příčky._x000D_
</t>
  </si>
  <si>
    <t>"viz celý popis B/6"</t>
  </si>
  <si>
    <t>11*0,8*1,97</t>
  </si>
  <si>
    <t>3*0,6*1,97</t>
  </si>
  <si>
    <t>73</t>
  </si>
  <si>
    <t>968072455-p</t>
  </si>
  <si>
    <t xml:space="preserve">Vybourání dveřních zárubní vč pojezdové lišty posuvných dveří </t>
  </si>
  <si>
    <t>-1117602339</t>
  </si>
  <si>
    <t>"viz celý popis B/8"</t>
  </si>
  <si>
    <t>74</t>
  </si>
  <si>
    <t>971033371</t>
  </si>
  <si>
    <t>Vybourání otvorů ve zdivu základovém nebo nadzákladovém z cihel, tvárnic, příčkovek z cihel pálených na maltu vápennou nebo vápenocementovou plochy do 0,09 m2, tl. do 750 mm</t>
  </si>
  <si>
    <t>-1126144113</t>
  </si>
  <si>
    <t>"viz celý popis B/9"</t>
  </si>
  <si>
    <t>75</t>
  </si>
  <si>
    <t>971033381</t>
  </si>
  <si>
    <t>Vybourání otvorů ve zdivu základovém nebo nadzákladovém z cihel, tvárnic, příčkovek z cihel pálených na maltu vápennou nebo vápenocementovou plochy do 0,09 m2, tl. do 900 mm</t>
  </si>
  <si>
    <t>-2098697375</t>
  </si>
  <si>
    <t>1+1</t>
  </si>
  <si>
    <t>76</t>
  </si>
  <si>
    <t>971033471</t>
  </si>
  <si>
    <t>Vybourání otvorů ve zdivu základovém nebo nadzákladovém z cihel, tvárnic, příčkovek z cihel pálených na maltu vápennou nebo vápenocementovou plochy do 0,25 m2, tl. do 750 mm</t>
  </si>
  <si>
    <t>-660977698</t>
  </si>
  <si>
    <t>77</t>
  </si>
  <si>
    <t>971033481</t>
  </si>
  <si>
    <t>Vybourání otvorů ve zdivu základovém nebo nadzákladovém z cihel, tvárnic, příčkovek z cihel pálených na maltu vápennou nebo vápenocementovou plochy do 0,25 m2, tl. do 900 mm</t>
  </si>
  <si>
    <t>-801907376</t>
  </si>
  <si>
    <t>78</t>
  </si>
  <si>
    <t>971033581</t>
  </si>
  <si>
    <t>Vybourání otvorů ve zdivu základovém nebo nadzákladovém z cihel, tvárnic, příčkovek z cihel pálených na maltu vápennou nebo vápenocementovou plochy do 1 m2, tl. do 900 mm</t>
  </si>
  <si>
    <t>281365364</t>
  </si>
  <si>
    <t>1,35*0,35*0,85*2</t>
  </si>
  <si>
    <t>0,5*0,6*0,85</t>
  </si>
  <si>
    <t>79</t>
  </si>
  <si>
    <t>971033591</t>
  </si>
  <si>
    <t>Vybourání otvorů ve zdivu základovém nebo nadzákladovém z cihel, tvárnic, příčkovek z cihel pálených na maltu vápennou nebo vápenocementovou plochy do 1 m2, tl. přes 900 mm</t>
  </si>
  <si>
    <t>-316021789</t>
  </si>
  <si>
    <t>0,5*0,52*0,97</t>
  </si>
  <si>
    <t>0,42*0,5*0,97</t>
  </si>
  <si>
    <t>"viz celý popis B/11"</t>
  </si>
  <si>
    <t>0,3*2,505*0,97</t>
  </si>
  <si>
    <t>1,071</t>
  </si>
  <si>
    <t>80</t>
  </si>
  <si>
    <t>974031154</t>
  </si>
  <si>
    <t>Vysekání rýh ve zdivu cihelném na maltu vápennou nebo vápenocementovou do hl. 100 mm a šířky do 150 mm</t>
  </si>
  <si>
    <t>-803370036</t>
  </si>
  <si>
    <t>"viz celý popis B/25"</t>
  </si>
  <si>
    <t>55,0</t>
  </si>
  <si>
    <t>81</t>
  </si>
  <si>
    <t>974031165</t>
  </si>
  <si>
    <t>Vysekání rýh ve zdivu cihelném na maltu vápennou nebo vápenocementovou do hl. 150 mm a šířky do 200 mm</t>
  </si>
  <si>
    <t>1901208877</t>
  </si>
  <si>
    <t>70,0</t>
  </si>
  <si>
    <t>82</t>
  </si>
  <si>
    <t>974031664</t>
  </si>
  <si>
    <t>Vysekání rýh ve zdivu cihelném na maltu vápennou nebo vápenocementovou pro vtahování nosníků do zdí, před vybouráním otvoru do hl. 150 mm, při v. nosníku do 150 mm</t>
  </si>
  <si>
    <t>717950741</t>
  </si>
  <si>
    <t>4*0,75</t>
  </si>
  <si>
    <t>4*1,1</t>
  </si>
  <si>
    <t>6*2,2</t>
  </si>
  <si>
    <t>4*0,8</t>
  </si>
  <si>
    <t>4*0,85</t>
  </si>
  <si>
    <t>5*1,4</t>
  </si>
  <si>
    <t>6*1,8</t>
  </si>
  <si>
    <t>83</t>
  </si>
  <si>
    <t>974031666</t>
  </si>
  <si>
    <t>Vysekání rýh ve zdivu cihelném na maltu vápennou nebo vápenocementovou pro vtahování nosníků do zdí, před vybouráním otvoru do hl. 150 mm, při v. nosníku do 250 mm</t>
  </si>
  <si>
    <t>-452159292</t>
  </si>
  <si>
    <t>0,7</t>
  </si>
  <si>
    <t>84</t>
  </si>
  <si>
    <t>974042553</t>
  </si>
  <si>
    <t>Vysekání rýh v betonové nebo jiné monolitické dlažbě s betonovým podkladem do hl. 100 mm a šířky do 100 mm</t>
  </si>
  <si>
    <t>-1664639596</t>
  </si>
  <si>
    <t>"viz celý popis B/26"</t>
  </si>
  <si>
    <t>45,5</t>
  </si>
  <si>
    <t>85</t>
  </si>
  <si>
    <t>974042557</t>
  </si>
  <si>
    <t>Vysekání rýh v betonové nebo jiné monolitické dlažbě s betonovým podkladem do hl. 100 mm a šířky do 300 mm</t>
  </si>
  <si>
    <t>1670207596</t>
  </si>
  <si>
    <t>10*0,4</t>
  </si>
  <si>
    <t>86</t>
  </si>
  <si>
    <t>974042559</t>
  </si>
  <si>
    <t>Vysekání rýh v betonové nebo jiné monolitické dlažbě s betonovým podkladem do hl. 100 mm a šířky Příplatek k ceně -2557 za každých dalších 100 mm šířky, rýhy hl. do 100 mm</t>
  </si>
  <si>
    <t>196807718</t>
  </si>
  <si>
    <t>87</t>
  </si>
  <si>
    <t>974042577</t>
  </si>
  <si>
    <t>Vysekání rýh v betonové nebo jiné monolitické dlažbě s betonovým podkladem do hl. 200 mm a šířky do 300 mm</t>
  </si>
  <si>
    <t>2145520707</t>
  </si>
  <si>
    <t>26,2</t>
  </si>
  <si>
    <t>88</t>
  </si>
  <si>
    <t>974042579</t>
  </si>
  <si>
    <t>Vysekání rýh v betonové nebo jiné monolitické dlažbě s betonovým podkladem do hl. 200 mm a šířky Příplatek k ceně -2577 za každých dalších 100 mm šířky, rýhy hl. do 200 mm</t>
  </si>
  <si>
    <t>-920074229</t>
  </si>
  <si>
    <t>26,2*10</t>
  </si>
  <si>
    <t>89</t>
  </si>
  <si>
    <t>974082114</t>
  </si>
  <si>
    <t>Vysekání rýh pro vodiče v omítce vápenné nebo vápenocementové stěn, šířky do 70 mm</t>
  </si>
  <si>
    <t>2107731963</t>
  </si>
  <si>
    <t>1200,0</t>
  </si>
  <si>
    <t>90</t>
  </si>
  <si>
    <t>974082115</t>
  </si>
  <si>
    <t>Vysekání rýh pro vodiče v omítce vápenné nebo vápenocementové stěn, šířky do 100 mm</t>
  </si>
  <si>
    <t>312015727</t>
  </si>
  <si>
    <t>200,0</t>
  </si>
  <si>
    <t>91</t>
  </si>
  <si>
    <t>974082174</t>
  </si>
  <si>
    <t>Vysekání rýh pro vodiče v omítce vápenné nebo vápenocementové stropů nebo kleneb, šířky do 70 mm</t>
  </si>
  <si>
    <t>597471690</t>
  </si>
  <si>
    <t>92</t>
  </si>
  <si>
    <t>975021411</t>
  </si>
  <si>
    <t>Podchycení nadzákladového zdiva pod stropem dřevěnou výztuhou nad vybouraným otvorem, pro jakoukoliv délku podchycení, při tl. zdiva přes 600 do 900 mm</t>
  </si>
  <si>
    <t>375983604</t>
  </si>
  <si>
    <t xml:space="preserve">Poznámka k souboru cen:_x000D_
1. Ceny lze použít tehdy, provádí-li se přechodné vynesení hmotnosti zdiva nad otvorem v témž podlaží, v němž se zřizuje otvor a při výšce podchycení do 4 m. U otvorů s podchycením vyšším než 4 m a u otvorů, v nichž se nosníky tvořící překlad ukládají těsně pod strop a přechodné vynesení hmotnosti zdiva nad otvorem se proto provádí v besprostředně vyšším podlaží, jsou určeny ceny souboru cen 975 02-2 . Podchycení nadzákladového zdiva dřevěnou výztuhou_x000D_
2. V cenách jsou započteny i náklady na:_x000D_
a) vybourání otvorů pro provléknutí vynášecích trámů pro podchycení zdí,_x000D_
b) vynesení podchycené konstrukce._x000D_
3. Množství jednotek podchycování při vybourávání otvorů se určuje v m světlosti otvoru._x000D_
</t>
  </si>
  <si>
    <t>15,0</t>
  </si>
  <si>
    <t>93</t>
  </si>
  <si>
    <t>975021711</t>
  </si>
  <si>
    <t>Podchycení nadzákladového zdiva pod stropem dřevěnou výztuhou nad vybouraným otvorem, pro jakoukoliv délku podchycení, při tl. zdiva přes 900 do 1500 mm</t>
  </si>
  <si>
    <t>-1987361174</t>
  </si>
  <si>
    <t>94</t>
  </si>
  <si>
    <t>977151113</t>
  </si>
  <si>
    <t>Jádrové vrty diamantovými korunkami do stavebních materiálů (železobetonu, betonu, cihel, obkladů, dlažeb, kamene) průměru přes 40 do 50 mm</t>
  </si>
  <si>
    <t>-729464883</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</si>
  <si>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</si>
  <si>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"viz celý popis B/27"</t>
  </si>
  <si>
    <t>6,2</t>
  </si>
  <si>
    <t>95</t>
  </si>
  <si>
    <t>977151116</t>
  </si>
  <si>
    <t>Jádrové vrty diamantovými korunkami do stavebních materiálů (železobetonu, betonu, cihel, obkladů, dlažeb, kamene) průměru přes 70 do 80 mm</t>
  </si>
  <si>
    <t>-1831639570</t>
  </si>
  <si>
    <t>5,8</t>
  </si>
  <si>
    <t>96</t>
  </si>
  <si>
    <t>977151118</t>
  </si>
  <si>
    <t>Jádrové vrty diamantovými korunkami do stavebních materiálů (železobetonu, betonu, cihel, obkladů, dlažeb, kamene) průměru přes 90 do 100 mm</t>
  </si>
  <si>
    <t>-971350292</t>
  </si>
  <si>
    <t>5,6</t>
  </si>
  <si>
    <t>97</t>
  </si>
  <si>
    <t>977151124</t>
  </si>
  <si>
    <t>Jádrové vrty diamantovými korunkami do stavebních materiálů (železobetonu, betonu, cihel, obkladů, dlažeb, kamene) průměru přes 150 do 180 mm</t>
  </si>
  <si>
    <t>-884622200</t>
  </si>
  <si>
    <t>"viz celý popis B/10"</t>
  </si>
  <si>
    <t>0,925</t>
  </si>
  <si>
    <t>0,9</t>
  </si>
  <si>
    <t>98</t>
  </si>
  <si>
    <t>977151125</t>
  </si>
  <si>
    <t>Jádrové vrty diamantovými korunkami do stavebních materiálů (železobetonu, betonu, cihel, obkladů, dlažeb, kamene) průměru přes 180 do 200 mm</t>
  </si>
  <si>
    <t>-156404038</t>
  </si>
  <si>
    <t>0,7*2</t>
  </si>
  <si>
    <t>99</t>
  </si>
  <si>
    <t>977151129</t>
  </si>
  <si>
    <t>Jádrové vrty diamantovými korunkami do stavebních materiálů (železobetonu, betonu, cihel, obkladů, dlažeb, kamene) průměru přes 300 do 350 mm</t>
  </si>
  <si>
    <t>754851419</t>
  </si>
  <si>
    <t>1,8</t>
  </si>
  <si>
    <t>100</t>
  </si>
  <si>
    <t>977311112</t>
  </si>
  <si>
    <t>Řezání stávajících betonových mazanin bez vyztužení hloubky přes 50 do 100 mm</t>
  </si>
  <si>
    <t>-46713679</t>
  </si>
  <si>
    <t>45,5*2</t>
  </si>
  <si>
    <t>101</t>
  </si>
  <si>
    <t>977312114</t>
  </si>
  <si>
    <t>Řezání stávajících betonových mazanin s vyztužením hloubky přes 150 do 200 mm</t>
  </si>
  <si>
    <t>664083487</t>
  </si>
  <si>
    <t>2*26,2</t>
  </si>
  <si>
    <t>4*0,8*9</t>
  </si>
  <si>
    <t>102</t>
  </si>
  <si>
    <t>978011161</t>
  </si>
  <si>
    <t>Otlučení vápenných nebo vápenocementových omítek vnitřních ploch stropů, v rozsahu přes 30 do 50 %</t>
  </si>
  <si>
    <t>-1366314300</t>
  </si>
  <si>
    <t xml:space="preserve">Poznámka k souboru cen:_x000D_
1. Položky lze použít i pro ocenění otlučení sádrových, hliněných apod. vnitřních omítek._x000D_
</t>
  </si>
  <si>
    <t>8,2+12,3+31,8</t>
  </si>
  <si>
    <t>103</t>
  </si>
  <si>
    <t>978011191</t>
  </si>
  <si>
    <t>Otlučení vápenných nebo vápenocementových omítek vnitřních ploch stropů, v rozsahu přes 50 do 100 %</t>
  </si>
  <si>
    <t>1795267921</t>
  </si>
  <si>
    <t>105,8+15,4+9,4+3,0+6,1+2,3+34,7+1,3+1,3+3,2+41,1+6,8+5,8+32,4+10,4</t>
  </si>
  <si>
    <t>104</t>
  </si>
  <si>
    <t>978013161</t>
  </si>
  <si>
    <t>Otlučení vápenných nebo vápenocementových omítek vnitřních ploch stěn s vyškrabáním spar, s očištěním zdiva, v rozsahu přes 30 do 50 %</t>
  </si>
  <si>
    <t>-764248134</t>
  </si>
  <si>
    <t>105</t>
  </si>
  <si>
    <t>978013191</t>
  </si>
  <si>
    <t>Otlučení vápenných nebo vápenocementových omítek vnitřních ploch stěn s vyškrabáním spar, s očištěním zdiva, v rozsahu přes 50 do 100 %</t>
  </si>
  <si>
    <t>630095895</t>
  </si>
  <si>
    <t>997</t>
  </si>
  <si>
    <t>Přesun sutě</t>
  </si>
  <si>
    <t>997013211</t>
  </si>
  <si>
    <t>Vnitrostaveništní doprava suti a vybouraných hmot vodorovně do 50 m svisle ručně pro budovy a haly výšky do 6 m</t>
  </si>
  <si>
    <t>-1532796731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</si>
  <si>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</si>
  <si>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107</t>
  </si>
  <si>
    <t>997013501</t>
  </si>
  <si>
    <t>Odvoz suti a vybouraných hmot na skládku nebo meziskládku se složením, na vzdálenost do 1 km</t>
  </si>
  <si>
    <t>-523742109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</si>
  <si>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</si>
  <si>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108</t>
  </si>
  <si>
    <t>997013509</t>
  </si>
  <si>
    <t>Odvoz suti a vybouraných hmot na skládku nebo meziskládku se složením, na vzdálenost Příplatek k ceně za každý další i započatý 1 km přes 1 km</t>
  </si>
  <si>
    <t>-1531708541</t>
  </si>
  <si>
    <t>188,147*20 'Přepočtené koeficientem množství</t>
  </si>
  <si>
    <t>109</t>
  </si>
  <si>
    <t>997013809</t>
  </si>
  <si>
    <t>Poplatek za uložení stavebního odpadu na skládce (skládkovné) ze směsí nebo oddělených frakcí betonu, cihel a keramických výrobků zatříděného do Katalogu odpadů pod kódem 170 107</t>
  </si>
  <si>
    <t>-1814432112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</si>
  <si>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</si>
  <si>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188,147/100*85</t>
  </si>
  <si>
    <t>110</t>
  </si>
  <si>
    <t>997013812</t>
  </si>
  <si>
    <t>Poplatek za uložení stavebního odpadu na skládce (skládkovné) z materiálů na bázi sádry zatříděného do Katalogu odpadů pod kódem 170 802</t>
  </si>
  <si>
    <t>-1793323899</t>
  </si>
  <si>
    <t>188,14/100*10</t>
  </si>
  <si>
    <t>111</t>
  </si>
  <si>
    <t>997013814</t>
  </si>
  <si>
    <t>Poplatek za uložení stavebního odpadu na skládce (skládkovné) z izolačních materiálů zatříděného do Katalogu odpadů pod kódem 170 604</t>
  </si>
  <si>
    <t>-757631473</t>
  </si>
  <si>
    <t>188,14/100*5</t>
  </si>
  <si>
    <t>998</t>
  </si>
  <si>
    <t>Přesun hmot</t>
  </si>
  <si>
    <t>112</t>
  </si>
  <si>
    <t>998018001</t>
  </si>
  <si>
    <t>Přesun hmot pro budovy občanské výstavby, bydlení, výrobu a služby ruční - bez užití mechanizace vodorovná dopravní vzdálenost do 100 m pro budovy s jakoukoliv nosnou konstrukcí výšky do 6 m</t>
  </si>
  <si>
    <t>-2028925178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</si>
  <si>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</si>
  <si>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</si>
  <si>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</si>
  <si>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</si>
  <si>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</si>
  <si>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113</t>
  </si>
  <si>
    <t>711113115</t>
  </si>
  <si>
    <t>Izolace proti zemní vlhkosti natěradly a tmely za studena na ploše vodorovné V těsnicí hmotou dvousložkovou na bázi polymery modifikované živice</t>
  </si>
  <si>
    <t>-1934237323</t>
  </si>
  <si>
    <t>0,8*0,8*9*1,2</t>
  </si>
  <si>
    <t>114</t>
  </si>
  <si>
    <t>711131811</t>
  </si>
  <si>
    <t>Odstranění izolace proti zemní vlhkosti na ploše vodorovné V</t>
  </si>
  <si>
    <t>515105937</t>
  </si>
  <si>
    <t xml:space="preserve">Poznámka k souboru cen:_x000D_
1. Ceny se používají pro odstranění hydroizolačních pásů a folií bez rozlišení tloušťky a počtu vrstev._x000D_
</t>
  </si>
  <si>
    <t>26,2*1,3</t>
  </si>
  <si>
    <t>115</t>
  </si>
  <si>
    <t>7114931-S</t>
  </si>
  <si>
    <t xml:space="preserve">Izolace proti vodě - ostatní na ploše wsvislé S jednosložkovou hydroizolační stěrkou_x000D_
Hydroizolační stěrka - jednosložková elastická těsnicí hmota pod keramické obklady a dlažbu v interiéru, hydroizolační stěrka bude vytažena na okolní stěny do výšky 150mm za použití systémového izolačního pásu pro vodotěsné a elastické překlenutí dilatačních a spojovacích spár
- modifikovaná disperze umělé pryskyřice
- barva šedá
- hustota 1,55 kg/dm3
- schopnost přemostění trhliny (dle normy ČSN-EN 14891:2009): ≥ 0,75mm
- Tahová přídržnost (dle normy ČSN-EN 14891:2009) ≥ 0,5 MPa ve všech situacích
_x000D_
</t>
  </si>
  <si>
    <t>-437792234</t>
  </si>
  <si>
    <t>o1+o2+o3+o4</t>
  </si>
  <si>
    <t>7114931-V</t>
  </si>
  <si>
    <t xml:space="preserve">Izolace proti vodě - ostatní na ploše vodorovné V jednosložkovou hydroizolační stěrkou s vytažení na stěny _x000D_
Hydroizolační stěrka - jednosložková elastická těsnicí hmota pod keramické obklady a dlažbu v interiéru, hydroizolační stěrka bude vytažena na okolní stěny do výšky obkladu za použití systémového izolačního pásu pro vodotěsné a elastické překlenutí dilatačních a spojovacích spár
- modifikovaná disperze umělé pryskyřice
- barva šedá
- hustota 1,55 kg/dm3
- schopnost přemostění trhliny (dle normy ČSN-EN 14891:2009): ≥ 0,75mm
- Tahová přídržnost (dle normy ČSN-EN 14891:2009) ≥ 0,5 MPa ve všech situacích"_x000D_
</t>
  </si>
  <si>
    <t>1098981034</t>
  </si>
  <si>
    <t>(d1+d2+d3+d4+d5+d6)*1,2</t>
  </si>
  <si>
    <t>117</t>
  </si>
  <si>
    <t>998711101</t>
  </si>
  <si>
    <t>Přesun hmot pro izolace proti vodě, vlhkosti a plynům stanovený z hmotnosti přesunovaného materiálu vodorovná dopravní vzdálenost do 50 m v objektech výšky do 6 m</t>
  </si>
  <si>
    <t>667354652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</si>
  <si>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</si>
  <si>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118</t>
  </si>
  <si>
    <t>998711181</t>
  </si>
  <si>
    <t>Přesun hmot pro izolace proti vodě, vlhkosti a plynům stanovený z hmotnosti přesunovaného materiálu Příplatek k cenám za přesun prováděný bez použití mechanizace pro jakoukoliv výšku objektu</t>
  </si>
  <si>
    <t>933276017</t>
  </si>
  <si>
    <t>725</t>
  </si>
  <si>
    <t>Zdravotechnika - zařizovací předměty</t>
  </si>
  <si>
    <t>119</t>
  </si>
  <si>
    <t>725-B/18</t>
  </si>
  <si>
    <t>Demontáž zařizovacích předmětů včetně baterií a jejich napojení na vodu a kanalizaci</t>
  </si>
  <si>
    <t>hod</t>
  </si>
  <si>
    <t>340387156</t>
  </si>
  <si>
    <t>741</t>
  </si>
  <si>
    <t>Elektroinstalace - silnoproud</t>
  </si>
  <si>
    <t>120</t>
  </si>
  <si>
    <t>741-B/18</t>
  </si>
  <si>
    <t xml:space="preserve">Demontáž osvětlovacích těles a silnoproudých rozvodů. </t>
  </si>
  <si>
    <t>28528229</t>
  </si>
  <si>
    <t>121</t>
  </si>
  <si>
    <t>741-Os/3-20</t>
  </si>
  <si>
    <t>Trubka elektroinstalační PVC ( husí krk) ohebná DN 18,3</t>
  </si>
  <si>
    <t>632956768</t>
  </si>
  <si>
    <t>122</t>
  </si>
  <si>
    <t>741-Os/4-25</t>
  </si>
  <si>
    <t>Trubka elektroinstalační PVC ( husí krk) ohebná DN 24,3</t>
  </si>
  <si>
    <t>-902124136</t>
  </si>
  <si>
    <t>123</t>
  </si>
  <si>
    <t>741-Os/4-25m</t>
  </si>
  <si>
    <t xml:space="preserve">Trubka elektroinstalační PVC ( husí krk) ohebná DN 24,3 - mech. odolná </t>
  </si>
  <si>
    <t>-982647781</t>
  </si>
  <si>
    <t>124</t>
  </si>
  <si>
    <t>741-Os/4-30</t>
  </si>
  <si>
    <t xml:space="preserve">Trubka elektroinstalační PVC ( husí krk) ohebná DN 31,2 </t>
  </si>
  <si>
    <t>408699622</t>
  </si>
  <si>
    <t>125</t>
  </si>
  <si>
    <t>741-Os/4-30m</t>
  </si>
  <si>
    <t xml:space="preserve">Trubka elektroinstalační PVC ( husí krk) ohebná DN 31,2 - mech. odolná </t>
  </si>
  <si>
    <t>-127687409</t>
  </si>
  <si>
    <t>742</t>
  </si>
  <si>
    <t>Elektroinstalace - slaboproud</t>
  </si>
  <si>
    <t>126</t>
  </si>
  <si>
    <t>742-B/19</t>
  </si>
  <si>
    <t xml:space="preserve">Demontáž koncových prvků EPS, ER a prvků technické ochrany
 </t>
  </si>
  <si>
    <t>-608528477</t>
  </si>
  <si>
    <t>127</t>
  </si>
  <si>
    <t>742-B/20</t>
  </si>
  <si>
    <t xml:space="preserve">Demontáž koncových prvků a rozvodů strukturované kabeláže
 </t>
  </si>
  <si>
    <t>17806406</t>
  </si>
  <si>
    <t>763</t>
  </si>
  <si>
    <t>Konstrukce suché výstavby</t>
  </si>
  <si>
    <t>128</t>
  </si>
  <si>
    <t>763111811</t>
  </si>
  <si>
    <t>Demontáž příček ze sádrokartonových desek s nosnou konstrukcí z ocelových profilů jednoduchých, opláštění jednoduché</t>
  </si>
  <si>
    <t>197623523</t>
  </si>
  <si>
    <t xml:space="preserve">Poznámka k souboru cen:_x000D_
1. Ceny -1811 až -1821 jsou určeny pro kompletní demontáž příčky, tj. nosné konstrukce, desek i tepelné izolace._x000D_
2. Ceny demontáže desek -2811 až -2813 jsou určeny pro odstranění pouze desek z obou stran příčky._x000D_
</t>
  </si>
  <si>
    <t>2,06*1,1*2</t>
  </si>
  <si>
    <t>129</t>
  </si>
  <si>
    <t>763121821</t>
  </si>
  <si>
    <t>Demontáž předsazených nebo šachtových stěn ze sádrokartonových desek s nosnou konstrukcí z ocelových profilů se zdvojeným CW profilem, opláštění jednoduché</t>
  </si>
  <si>
    <t>-1381256457</t>
  </si>
  <si>
    <t xml:space="preserve">Poznámka k souboru cen:_x000D_
1. Ceny -1811 a -1823 jsou určeny pro kompletní demontáž předsazené nebo šachtové stěny, tj. nosné konstrukce, desek i tepelné izolace._x000D_
</t>
  </si>
  <si>
    <t>"viz celý popis B/22"</t>
  </si>
  <si>
    <t>14,5</t>
  </si>
  <si>
    <t>130</t>
  </si>
  <si>
    <t>763131411</t>
  </si>
  <si>
    <t>Podhled ze sádrokartonových desek dvouvrstvá zavěšená spodní konstrukce z ocelových profilů CD, UD jednoduše opláštěná deskou standardní A, tl. 12,5 mm, bez TI</t>
  </si>
  <si>
    <t>2093628581</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</si>
  <si>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</si>
  <si>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"vč. 04+06+popis TZ"</t>
  </si>
  <si>
    <t>"P2"</t>
  </si>
  <si>
    <t>22,6</t>
  </si>
  <si>
    <t>"svisle"</t>
  </si>
  <si>
    <t>4,8</t>
  </si>
  <si>
    <t>131</t>
  </si>
  <si>
    <t>763131451</t>
  </si>
  <si>
    <t>Podhled ze sádrokartonových desek dvouvrstvá zavěšená spodní konstrukce z ocelových profilů CD, UD jednoduše opláštěná deskou impregnovanou H2, tl. 12,5 mm, bez TI</t>
  </si>
  <si>
    <t>-1927609793</t>
  </si>
  <si>
    <t>"P3"</t>
  </si>
  <si>
    <t>11,2</t>
  </si>
  <si>
    <t>37,1</t>
  </si>
  <si>
    <t>132</t>
  </si>
  <si>
    <t>763131471</t>
  </si>
  <si>
    <t>Podhled ze sádrokartonových desek dvouvrstvá zavěšená spodní konstrukce z ocelových profilů CD, UD jednoduše opláštěná deskou impregnovanou protipožární DFH2, tl. 12,5 mm, bez TI</t>
  </si>
  <si>
    <t>-1809318715</t>
  </si>
  <si>
    <t>"P5"</t>
  </si>
  <si>
    <t>6,5</t>
  </si>
  <si>
    <t>133</t>
  </si>
  <si>
    <t>763131712</t>
  </si>
  <si>
    <t>Podhled ze sádrokartonových desek ostatní práce a konstrukce na podhledech ze sádrokartonových desek napojení na jiný druh podhledu</t>
  </si>
  <si>
    <t>1418396178</t>
  </si>
  <si>
    <t>2*(2,33+3,25)</t>
  </si>
  <si>
    <t>2,5</t>
  </si>
  <si>
    <t>2*(4,2+0,6)</t>
  </si>
  <si>
    <t>2*(2,5+1,5)</t>
  </si>
  <si>
    <t>2*(2,75+1,75)</t>
  </si>
  <si>
    <t>1,6+4,2+3,1+0,2+1,0+2,635+4,095+2,238</t>
  </si>
  <si>
    <t>134</t>
  </si>
  <si>
    <t>763131713</t>
  </si>
  <si>
    <t>Podhled ze sádrokartonových desek ostatní práce a konstrukce na podhledech ze sádrokartonových desek napojení na obvodové konstrukce profilem</t>
  </si>
  <si>
    <t>1277602817</t>
  </si>
  <si>
    <t>25,0</t>
  </si>
  <si>
    <t>135</t>
  </si>
  <si>
    <t>763131714</t>
  </si>
  <si>
    <t>Podhled ze sádrokartonových desek ostatní práce a konstrukce na podhledech ze sádrokartonových desek základní penetrační nátěr</t>
  </si>
  <si>
    <t>-938633805</t>
  </si>
  <si>
    <t>27,4+6,5+47,3+6,5+14,2</t>
  </si>
  <si>
    <t>136</t>
  </si>
  <si>
    <t>763131721</t>
  </si>
  <si>
    <t>Podhled ze sádrokartonových desek ostatní práce a konstrukce na podhledech ze sádrokartonových desek skokové změny výšky podhledu do 0,5 m</t>
  </si>
  <si>
    <t>1231469160</t>
  </si>
  <si>
    <t>3,3+4,2+0,325+2,46</t>
  </si>
  <si>
    <t>2,7+1,4+2,7</t>
  </si>
  <si>
    <t>0,545+1,435+0,545</t>
  </si>
  <si>
    <t>137</t>
  </si>
  <si>
    <t>763131722</t>
  </si>
  <si>
    <t>Podhled ze sádrokartonových desek ostatní práce a konstrukce na podhledech ze sádrokartonových desek skokové změny výšky podhledu přes 0,5 m</t>
  </si>
  <si>
    <t>1972300395</t>
  </si>
  <si>
    <t>2*(1,0+2,635+4,095+2,238)</t>
  </si>
  <si>
    <t>2*(2,9+1,4+2,9)</t>
  </si>
  <si>
    <t>138</t>
  </si>
  <si>
    <t>763131765</t>
  </si>
  <si>
    <t>Podhled ze sádrokartonových desek Příplatek k cenám za výšku zavěšení přes 0,5 do 1,0 m</t>
  </si>
  <si>
    <t>1979508560</t>
  </si>
  <si>
    <t>139</t>
  </si>
  <si>
    <t>763131821</t>
  </si>
  <si>
    <t>Demontáž podhledu nebo samostatného požárního předělu ze sádrokartonových desek s nosnou konstrukcí dvouvrstvou z ocelových profilů, opláštění jednoduché</t>
  </si>
  <si>
    <t>-238279882</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</si>
  <si>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</si>
  <si>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7,3</t>
  </si>
  <si>
    <t>"viz celý popis B/16"</t>
  </si>
  <si>
    <t>44,5</t>
  </si>
  <si>
    <t>140</t>
  </si>
  <si>
    <t>763135011</t>
  </si>
  <si>
    <t>Montáž sádrokartonového podhledu z desek děrovaných včetně zavěšené dvouvrstvé konstrukce z ocelových profilů CD, UD se spárami tmelenými</t>
  </si>
  <si>
    <t>716832900</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</si>
  <si>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</si>
  <si>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"P4"</t>
  </si>
  <si>
    <t>14,2</t>
  </si>
  <si>
    <t>141</t>
  </si>
  <si>
    <t>590305-P4</t>
  </si>
  <si>
    <t>deska SDK akustická děrovaná tl 12,5mm - dle požadavku viz popis P4</t>
  </si>
  <si>
    <t>-1571587794</t>
  </si>
  <si>
    <t>14,2*1,05 'Přepočtené koeficientem množství</t>
  </si>
  <si>
    <t>142</t>
  </si>
  <si>
    <t>763135811</t>
  </si>
  <si>
    <t>Demontáž podhledu sádrokartonového kazetového na zavěšeném na roštu viditelném</t>
  </si>
  <si>
    <t>-1624214609</t>
  </si>
  <si>
    <t xml:space="preserve">Poznámka k souboru cen:_x000D_
1. V cenách demontáže podhledu -5801 až -5821 jsou započteny náklady na kompletní demontáž podhledu, tj. nosné konstrukce i panelů._x000D_
</t>
  </si>
  <si>
    <t>"viz celý popis B/17"</t>
  </si>
  <si>
    <t>14,0</t>
  </si>
  <si>
    <t>143</t>
  </si>
  <si>
    <t>763172311</t>
  </si>
  <si>
    <t>Instalační technika pro konstrukce ze sádrokartonových desek montáž revizních dvířek velikost 200 x 200 mm</t>
  </si>
  <si>
    <t>-892065237</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</si>
  <si>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</si>
  <si>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144</t>
  </si>
  <si>
    <t>59030710</t>
  </si>
  <si>
    <t>dvířka revizní s automatickým zámkem 200x200mm</t>
  </si>
  <si>
    <t>-1740839186</t>
  </si>
  <si>
    <t>145</t>
  </si>
  <si>
    <t>763172313</t>
  </si>
  <si>
    <t>Instalační technika pro konstrukce ze sádrokartonových desek montáž revizních dvířek velikost 400 x 400 mm</t>
  </si>
  <si>
    <t>376510174</t>
  </si>
  <si>
    <t>146</t>
  </si>
  <si>
    <t>59030712</t>
  </si>
  <si>
    <t>dvířka revizní s automatickým zámkem 400x400mm</t>
  </si>
  <si>
    <t>-965922097</t>
  </si>
  <si>
    <t>147</t>
  </si>
  <si>
    <t>763172315</t>
  </si>
  <si>
    <t>Instalační technika pro konstrukce ze sádrokartonových desek montáž revizních dvířek velikost 600 x 600 mm</t>
  </si>
  <si>
    <t>1910955219</t>
  </si>
  <si>
    <t>148</t>
  </si>
  <si>
    <t>59030714</t>
  </si>
  <si>
    <t>dvířka revizní s automatickým zámkem 600x600mm</t>
  </si>
  <si>
    <t>856531847</t>
  </si>
  <si>
    <t>149</t>
  </si>
  <si>
    <t>763431001</t>
  </si>
  <si>
    <t>Montáž podhledu minerálního včetně zavěšeného roštu viditelného s panely vyjímatelnými, velikosti panelů do 0,36 m2</t>
  </si>
  <si>
    <t>-2131891634</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</si>
  <si>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</si>
  <si>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"P1"</t>
  </si>
  <si>
    <t>4,0</t>
  </si>
  <si>
    <t>150</t>
  </si>
  <si>
    <t>590360-P1</t>
  </si>
  <si>
    <t>kazety 600x600mm -  rastrový podhled - dle požadavku viz popis P1</t>
  </si>
  <si>
    <t>819023299</t>
  </si>
  <si>
    <t>4*1,05 'Přepočtené koeficientem množství</t>
  </si>
  <si>
    <t>151</t>
  </si>
  <si>
    <t>7635</t>
  </si>
  <si>
    <t xml:space="preserve">Repase SDK podhledu - viz popis </t>
  </si>
  <si>
    <t>-603337567</t>
  </si>
  <si>
    <t>"mč. 1.16,17,18"</t>
  </si>
  <si>
    <t>1,29+1,27+1,19</t>
  </si>
  <si>
    <t>152</t>
  </si>
  <si>
    <t>998763301</t>
  </si>
  <si>
    <t>Přesun hmot pro konstrukce montované z desek sádrokartonových, sádrovláknitých, cementovláknitých nebo cementových stanovený z hmotnosti přesunovaného materiálu vodorovná dopravní vzdálenost do 50 m v objektech výšky do 6 m</t>
  </si>
  <si>
    <t>-2125025813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</si>
  <si>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</si>
  <si>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153</t>
  </si>
  <si>
    <t>998763381</t>
  </si>
  <si>
    <t>Přesun hmot pro konstrukce montované z desek sádrokartonových, sádrovláknitých, cementovláknitých nebo cementových Příplatek k cenám za přesun prováděný bez použití mechanizace pro jakoukoliv výšku objektu</t>
  </si>
  <si>
    <t>-284334267</t>
  </si>
  <si>
    <t>766</t>
  </si>
  <si>
    <t>Konstrukce truhlářské</t>
  </si>
  <si>
    <t>154</t>
  </si>
  <si>
    <t>766691914-B</t>
  </si>
  <si>
    <t>Ostatní práce vyvěšení křídel dřevěných dveřních, plochy do 2 m2 vč. likvidace</t>
  </si>
  <si>
    <t>94060272</t>
  </si>
  <si>
    <t xml:space="preserve">Poznámka k souboru cen:_x000D_
1. Ceny -1931 a -1932 lze užít jen pro křídlo mající současně obě jmenované funkce._x000D_
</t>
  </si>
  <si>
    <t>"viz celý popis B/7"</t>
  </si>
  <si>
    <t>155</t>
  </si>
  <si>
    <t>766-B/2</t>
  </si>
  <si>
    <t>Demontáž veškerého stávajícího volného i vestavného nábytku a nepotřebného inventáře vč. odvozu a likvidace - viz popis B/1</t>
  </si>
  <si>
    <t>-817521748</t>
  </si>
  <si>
    <t>156</t>
  </si>
  <si>
    <t>766-T/01</t>
  </si>
  <si>
    <t>M+D Posuvné dveře 900/1970mm do pouzdra vč. atyp. obložkové zárubně, pouzdra, kování a všech doplňků - dle požadavku viz celý popis T/1</t>
  </si>
  <si>
    <t>532184726</t>
  </si>
  <si>
    <t>157</t>
  </si>
  <si>
    <t>766-T/02</t>
  </si>
  <si>
    <t>M+D Posuvné dveře 900/1970mm do pouzdra vč. obložkové zárubně, pouzdra, kování a všech doplňků - dle požadavku viz celý popis T/2</t>
  </si>
  <si>
    <t>-506781058</t>
  </si>
  <si>
    <t>158</t>
  </si>
  <si>
    <t>766-T/03</t>
  </si>
  <si>
    <t>M+D Dveře 900/1970mm vč. ocelové zárubně, kování a všech doplňků - dle požadavku viz celý popis T/3</t>
  </si>
  <si>
    <t>805736355</t>
  </si>
  <si>
    <t>159</t>
  </si>
  <si>
    <t>766-T/04</t>
  </si>
  <si>
    <t>M+D Dveře 800/1970mm vč. ocelové zárubně, kování a všech doplňků - dle požadavku viz celý popis T/4</t>
  </si>
  <si>
    <t>1103719847</t>
  </si>
  <si>
    <t>160</t>
  </si>
  <si>
    <t>766-T/05</t>
  </si>
  <si>
    <t>M+D Dveře 800/1970mm vč. ocelové zárubně, kování a všech doplňků - dle požadavku viz celý popis T/5</t>
  </si>
  <si>
    <t>-1205209203</t>
  </si>
  <si>
    <t>161</t>
  </si>
  <si>
    <t>766-T/06</t>
  </si>
  <si>
    <t>M+D Dveře 800/1970mm do stávajíí repasované zárubně vč. repase zárubně, kování a všech doplňků - dle požadavku viz celý popis T/6</t>
  </si>
  <si>
    <t>1274406891</t>
  </si>
  <si>
    <t>162</t>
  </si>
  <si>
    <t>766-T/07</t>
  </si>
  <si>
    <t>M+D Dveře 600/1970mm do stávajíí repasované zárubně vč. repase zárubně, kování a všech doplňků - dle požadavku viz celý popis T/7</t>
  </si>
  <si>
    <t>-272202206</t>
  </si>
  <si>
    <t>163</t>
  </si>
  <si>
    <t>766-T/08</t>
  </si>
  <si>
    <t>M+D Dveře 600/1970mm do stávajíí repasované zárubně vč. repase zárubně, kování a všech doplňků - dle požadavku viz celý popis T/8</t>
  </si>
  <si>
    <t>2107163144</t>
  </si>
  <si>
    <t>164</t>
  </si>
  <si>
    <t>766-T/09</t>
  </si>
  <si>
    <t>M+D Dveře 900/1970mm (provizorní dveře) vč. ocelové zárubně, kování a všech doplňků - dle požadavku viz celý popis T/9</t>
  </si>
  <si>
    <t>1493334449</t>
  </si>
  <si>
    <t>165</t>
  </si>
  <si>
    <t>766-Zs/2</t>
  </si>
  <si>
    <t xml:space="preserve">M+D ATYPICKÝ TRUHLÁŘSKÝ VÝROBEK
REPLIKA STÁVAJÍCÍCÍCH DVEŘÍ S POŽÁRNÍ ODOLNOSTÍ
Prosklené dveře dvoukřídlé se světlým průchodem 1698/2054 mm (dle stávajících), zasklené 
bezpečnostním PROTIPOŽÁRNÍM SKLEM.
Dřevo DB masiv povrchová úprava dle stávajících vstupních dveří do jídelny (VNĚJŠÍ CHODBA-01.23). Profilace křídla, zárubně, nadpraží dle stávajících.
Dodávka uvažována vč. SDK nadpraží. 
PODROBNÉ ŘEŠENÍ A VÝROBNÍ DOKUMENTACE BUDE KONZULTOVÁNA S AD A TDI, RESPEKTIVE NPÚ A OPP MHMP!!!
PŘESNÉ ROZMĚRY, MATERIÁLOVÉ A BAREVNÉ ŘEŠENÍ POVRCHOVÉ ÚPRAVY NUTNO OVĚŘIT NA STAVBĚ!!!
EI 30 DP3-C-K
Po dohodě s investorem, TDI a AD lze při prokázání požární odolnosti využít stávající dveře mezi 01.01-01.23. vč. zasklení, kování, polepů, atd. - dle požadavku viz celý popis Zs/2_x000D_
</t>
  </si>
  <si>
    <t>361105405</t>
  </si>
  <si>
    <t>166</t>
  </si>
  <si>
    <t>998766101</t>
  </si>
  <si>
    <t>Přesun hmot pro konstrukce truhlářské stanovený z hmotnosti přesunovaného materiálu vodorovná dopravní vzdálenost do 50 m v objektech výšky do 6 m</t>
  </si>
  <si>
    <t>-814119278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</si>
  <si>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</si>
  <si>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167</t>
  </si>
  <si>
    <t>998766181</t>
  </si>
  <si>
    <t>Přesun hmot pro konstrukce truhlářské stanovený z hmotnosti přesunovaného materiálu Příplatek k ceně za přesun prováděný bez použití mechanizace pro jakoukoliv výšku objektu</t>
  </si>
  <si>
    <t>355717995</t>
  </si>
  <si>
    <t>767</t>
  </si>
  <si>
    <t>Konstrukce zámečnické</t>
  </si>
  <si>
    <t>168</t>
  </si>
  <si>
    <t>767112812</t>
  </si>
  <si>
    <t>Demontáž stěn a příček pro zasklení svařovaných</t>
  </si>
  <si>
    <t>966160246</t>
  </si>
  <si>
    <t>"viz celý popis B/3"</t>
  </si>
  <si>
    <t>23,9</t>
  </si>
  <si>
    <t>169</t>
  </si>
  <si>
    <t>767531111</t>
  </si>
  <si>
    <t>Montáž vstupních čistících zón z rohoží kovových nebo plastových</t>
  </si>
  <si>
    <t>2066013759</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</si>
  <si>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</si>
  <si>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"viz celý popis Os/1"</t>
  </si>
  <si>
    <t>170</t>
  </si>
  <si>
    <t>69752003</t>
  </si>
  <si>
    <t>rohož vstupní provedení hliník super 27 mm</t>
  </si>
  <si>
    <t>491294409</t>
  </si>
  <si>
    <t>171</t>
  </si>
  <si>
    <t>767531121</t>
  </si>
  <si>
    <t>Montáž vstupních čistících zón z rohoží osazení rámu mosazného nebo hliníkového zapuštěného z L profilů</t>
  </si>
  <si>
    <t>1745148510</t>
  </si>
  <si>
    <t>2*(1,3+0,5)</t>
  </si>
  <si>
    <t>172</t>
  </si>
  <si>
    <t>69752160</t>
  </si>
  <si>
    <t>rám pro zapuštění profil L-30/30 25/25 20/30 15/30-Al</t>
  </si>
  <si>
    <t>1719561424</t>
  </si>
  <si>
    <t>173</t>
  </si>
  <si>
    <t>767-Z/01</t>
  </si>
  <si>
    <t>M+D POKLOP REVIZNÍ ŠACHTY 600x600mm 
VČ. RÁMU _x000D_
Poklop určen pro zadláždění (s armovací sítí). Nosnost 1,5t. Výplň betonem B30 o síle 5 cm
Požární odolnost EI30, doložená štítkem - dle požadavku viz celý popis Z/1</t>
  </si>
  <si>
    <t>915921256</t>
  </si>
  <si>
    <t>174</t>
  </si>
  <si>
    <t>767-Z/02</t>
  </si>
  <si>
    <t xml:space="preserve">M+D Úhelník 60x60x6mm rastr pro kotvení podhledu vč. kotvení,povrchové úpravy (finální) a doplňků - dle požadavku viz celý popis Z/2 a výkaz statika </t>
  </si>
  <si>
    <t>kg</t>
  </si>
  <si>
    <t>1398945424</t>
  </si>
  <si>
    <t>767-Z/03</t>
  </si>
  <si>
    <t xml:space="preserve">M+D Jekl 50x50x4mm rámová kce vč. kotvení, povrchové úpravy a doplňků - dle požadavku viz celý popis Z/3 </t>
  </si>
  <si>
    <t>586083216</t>
  </si>
  <si>
    <t>45,0*5,454*1,1</t>
  </si>
  <si>
    <t>176</t>
  </si>
  <si>
    <t>767-Z/06</t>
  </si>
  <si>
    <t>M+D POKLOP REVIZNÍ ŠACHTY 800x800mm 
VČ. RÁMU _x000D_
Poklop určen pro zadláždění (s armovací sítí). Nosnost 1,5t. Výplň betonem B30 o síle 5 cm
Požární odolnost EI30, doložená štítkem - dle požadavku viz celý popis Z/6</t>
  </si>
  <si>
    <t>233335530</t>
  </si>
  <si>
    <t>177</t>
  </si>
  <si>
    <t>767-Zs/1</t>
  </si>
  <si>
    <t>M+D ATYPICKÉ PROSKLENÉ DVEŘE_x000D_
Prosklená hliníková skládací stěna._x000D_
Dvoukřídlé skládací dveře se světlým průchodem 1910/2037 mm (dle stávajících), zasklené bezpečnostním kaleným čirým sklem tl. 15 mm.
Tl. rámu 50 mm.
Povrchová úprava nerez brus - rám+zárubeň.
_x000D_
Dodávka uvažována vč. SDK nadpraží s nosným profilem pro kotvení vodící lišty skládacích dveří._x000D_
BEZ POŽADAVKU NA POŽÁRNÍ A BEZPEČNOSTNÍ ODOLNOST.
PODROBNÉ ŘEŠENÍ A VÝROBNÍ DOKUMENTACE BUDE KONZULTOVÁNA S AD A TDI, RESPEKTIVE NPÚ A OPP MHMP!!!
_x000D_
PŘESNÉ ROZMĚRY NUTNO OVĚŘIT NA STAVBĚ!!!
_x000D_
GARANCE: 60 měsíců, dílce podléhající opotřebení 24 měsíců.
KOTVENÍ: dle technologického postupu vybraného výrobce. vč. zasklení, kování, polepů, atd. - dle požadavku viz celý popis Zs/1</t>
  </si>
  <si>
    <t>-1061488141</t>
  </si>
  <si>
    <t>178</t>
  </si>
  <si>
    <t>998767101</t>
  </si>
  <si>
    <t>Přesun hmot pro zámečnické konstrukce stanovený z hmotnosti přesunovaného materiálu vodorovná dopravní vzdálenost do 50 m v objektech výšky do 6 m</t>
  </si>
  <si>
    <t>226830039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</si>
  <si>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</si>
  <si>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179</t>
  </si>
  <si>
    <t>998767181</t>
  </si>
  <si>
    <t>Přesun hmot pro zámečnické konstrukce stanovený z hmotnosti přesunovaného materiálu Příplatek k cenám za přesun prováděný bez použití mechanizace pro jakoukoliv výšku objektu</t>
  </si>
  <si>
    <t>1408357171</t>
  </si>
  <si>
    <t>771</t>
  </si>
  <si>
    <t>Podlahy z dlaždic</t>
  </si>
  <si>
    <t>180</t>
  </si>
  <si>
    <t>771111011</t>
  </si>
  <si>
    <t>Příprava podkladu před provedením dlažby vysátí podlah</t>
  </si>
  <si>
    <t>-149442301</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</si>
  <si>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</si>
  <si>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"D1"</t>
  </si>
  <si>
    <t>"D2"</t>
  </si>
  <si>
    <t>"D3"</t>
  </si>
  <si>
    <t>"D4"</t>
  </si>
  <si>
    <t>106,0</t>
  </si>
  <si>
    <t>"D5"</t>
  </si>
  <si>
    <t>34,0</t>
  </si>
  <si>
    <t>"D6"</t>
  </si>
  <si>
    <t>181</t>
  </si>
  <si>
    <t>771121011</t>
  </si>
  <si>
    <t>Příprava podkladu před provedením dlažby nátěr penetrační na podlahu</t>
  </si>
  <si>
    <t>-1160674013</t>
  </si>
  <si>
    <t>182</t>
  </si>
  <si>
    <t>771161021</t>
  </si>
  <si>
    <t>Příprava podkladu před provedením dlažby montáž profilu ukončujícího profilu pro plynulý přechod (dlažba-koberec apod.)</t>
  </si>
  <si>
    <t>1150934967</t>
  </si>
  <si>
    <t>"vč. 04+05+06+popis TZ"</t>
  </si>
  <si>
    <t>"PL/2"</t>
  </si>
  <si>
    <t>"PL/3"</t>
  </si>
  <si>
    <t>1,0</t>
  </si>
  <si>
    <t>"PL/4"</t>
  </si>
  <si>
    <t>2,8</t>
  </si>
  <si>
    <t>183</t>
  </si>
  <si>
    <t>DOD-PL/2</t>
  </si>
  <si>
    <t>Přechodová a dilatační lišta dlažba+dlažba hliník přírodní matný eloxovaný - dle požadavků viz popis PL/2</t>
  </si>
  <si>
    <t>-1103501430</t>
  </si>
  <si>
    <t>23,9*1,05 'Přepočtené koeficientem množství</t>
  </si>
  <si>
    <t>184</t>
  </si>
  <si>
    <t>DOD-PL/3</t>
  </si>
  <si>
    <t>Přechodová lišta T pvc-pvc hliník přírodní matný eloxovaný - dle požadavků viz popis PL/3</t>
  </si>
  <si>
    <t>178876919</t>
  </si>
  <si>
    <t>1*1,05 'Přepočtené koeficientem množství</t>
  </si>
  <si>
    <t>185</t>
  </si>
  <si>
    <t>DOD-PL/4</t>
  </si>
  <si>
    <t>Přechodová lišta Z pvc-dlažba hliník přírodní matný eloxovaný - dle požadavků viz popis PL/4</t>
  </si>
  <si>
    <t>557600034</t>
  </si>
  <si>
    <t>2,8*1,05 'Přepočtené koeficientem množství</t>
  </si>
  <si>
    <t>186</t>
  </si>
  <si>
    <t>771161022-</t>
  </si>
  <si>
    <t>Příprava podkladu před provedením dlažby montáž profilu ukončujícího profilu ukončení dlažby</t>
  </si>
  <si>
    <t>-1829541282</t>
  </si>
  <si>
    <t>"PL/1"</t>
  </si>
  <si>
    <t>9,3</t>
  </si>
  <si>
    <t>187</t>
  </si>
  <si>
    <t>DOD-PL/1</t>
  </si>
  <si>
    <t>Přechodová lišta L teraco-dlažba hliník přírodní matný eloxovaný - dle požadavků viz popis PL/1</t>
  </si>
  <si>
    <t>374536488</t>
  </si>
  <si>
    <t>9,3*1,05 'Přepočtené koeficientem množství</t>
  </si>
  <si>
    <t>188</t>
  </si>
  <si>
    <t>77147411-S</t>
  </si>
  <si>
    <t xml:space="preserve">Montáž soklů z dlaždic keramických lepených flexibilním lepidlem rovných - dle požadavku a druhu dlažby </t>
  </si>
  <si>
    <t>915389578</t>
  </si>
  <si>
    <t>"Sk/1"</t>
  </si>
  <si>
    <t>77,4</t>
  </si>
  <si>
    <t>"Sk/2"</t>
  </si>
  <si>
    <t>8,1</t>
  </si>
  <si>
    <t>"Sk/3"</t>
  </si>
  <si>
    <t>15,3</t>
  </si>
  <si>
    <t>"Sk/4"</t>
  </si>
  <si>
    <t>38,7</t>
  </si>
  <si>
    <t>"Sk/5"</t>
  </si>
  <si>
    <t>29,8</t>
  </si>
  <si>
    <t>"Sk/6"</t>
  </si>
  <si>
    <t>20,5</t>
  </si>
  <si>
    <t>189</t>
  </si>
  <si>
    <t>597-Sk/1</t>
  </si>
  <si>
    <t>sokl-dlažba keramická - dle popisu Sk/1</t>
  </si>
  <si>
    <t>-125798929</t>
  </si>
  <si>
    <t>77,4*1,92 'Přepočtené koeficientem množství</t>
  </si>
  <si>
    <t>597-Sk/2</t>
  </si>
  <si>
    <t>sokl-dlažba keramická - dle popisu Sk/2</t>
  </si>
  <si>
    <t>1194264539</t>
  </si>
  <si>
    <t>8,1*1,92 'Přepočtené koeficientem množství</t>
  </si>
  <si>
    <t>191</t>
  </si>
  <si>
    <t>597-Sk/3</t>
  </si>
  <si>
    <t>sokl-dlažba keramická - dle popisu Sk/3</t>
  </si>
  <si>
    <t>1223060483</t>
  </si>
  <si>
    <t>15,3*3,7 'Přepočtené koeficientem množství</t>
  </si>
  <si>
    <t>192</t>
  </si>
  <si>
    <t>597-Sk/4</t>
  </si>
  <si>
    <t>sokl-dlažba keramická - dle popisu Sk/4</t>
  </si>
  <si>
    <t>-1833904526</t>
  </si>
  <si>
    <t>38,7*5,5 'Přepočtené koeficientem množství</t>
  </si>
  <si>
    <t>193</t>
  </si>
  <si>
    <t>597-Sk/5</t>
  </si>
  <si>
    <t>sokl-dlažba keramická - dle popisu Sk/5</t>
  </si>
  <si>
    <t>-1856643927</t>
  </si>
  <si>
    <t>29,8*5,5 'Přepočtené koeficientem množství</t>
  </si>
  <si>
    <t>194</t>
  </si>
  <si>
    <t>597-Sk/6</t>
  </si>
  <si>
    <t>sokl-dlažba keramická - dle popisu Sk/6</t>
  </si>
  <si>
    <t>1745440230</t>
  </si>
  <si>
    <t>20,5*1,92 'Přepočtené koeficientem množství</t>
  </si>
  <si>
    <t>195</t>
  </si>
  <si>
    <t>771571810</t>
  </si>
  <si>
    <t>Demontáž podlah z dlaždic keramických kladených do malty</t>
  </si>
  <si>
    <t>-1280416974</t>
  </si>
  <si>
    <t>300,6</t>
  </si>
  <si>
    <t>200,0*0,15</t>
  </si>
  <si>
    <t>196</t>
  </si>
  <si>
    <t>771574261</t>
  </si>
  <si>
    <t>Montáž podlah z dlaždic keramických lepených flexibilním lepidlem velkoformátových pro vysoké mechanické zatížení protiskluzných nebo reliéfních (bezbariérových) přes 2 do 4 ks/m2</t>
  </si>
  <si>
    <t>-231563865</t>
  </si>
  <si>
    <t xml:space="preserve">Poznámka k souboru cen:_x000D_
1. Položky jsou učeny pro všechy druhy povrchových úprav._x000D_
</t>
  </si>
  <si>
    <t>d2+d3</t>
  </si>
  <si>
    <t>197</t>
  </si>
  <si>
    <t>597-D2</t>
  </si>
  <si>
    <t xml:space="preserve">Keramická slinutá matná protiskluzová rektifikovaná dlažba
Jmenovitý rozměr: 60x60 cm
Deklarovaný rozměr: 598x598x10 mm
Nasákavost: E&lt;0,3%; jedn.max 0,4%
Pevnost v ohybu: Min. 40 N/mm2, Jedn.min. 32 N/mm2
Lomové zatížení: ≥ 7,5 mm min. 1500 N; ≥ 20 mm min. 11000 N
Obrusnost: Max. 135 mm3
Protiskluznost: R10/B
barva: imitace tmavého teraca (různobarevná zrna na tmavě šedém podkladu) dle stávajícího v chodbě jídelny
Spárování:
- Flexibilní spárovací hmota - voděodolná, flexibilní spárovací hmota na spárování keramických obkladů a dlažeb, včetně gresové, na spáry se šířkou do 8 mm
- tloušťka spáry: 2mm
- barva spáry: světle šedá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Vysoce flexibilní lepidlo pro lepení velkoformátových obkladů a dlažeb
- směs cementů s minerálními plnivy a modifikátory
- sypká hmotnost 1,07 kg/dm3
- tepelná odolnost: od –30 °C do +70 °C
- přídržnost ≥ 1,0 Mpa ve všech situacích
_x000D_
_x000D_
</t>
  </si>
  <si>
    <t>2118406246</t>
  </si>
  <si>
    <t>80,9*1,15 'Přepočtené koeficientem množství</t>
  </si>
  <si>
    <t>198</t>
  </si>
  <si>
    <t>597-D3</t>
  </si>
  <si>
    <t xml:space="preserve">Keramická slinutá matná protiskluzová rektifikovaná dlažba
Jmenovitý rozměr: 60x60 cm
Deklarovaný rozměr: 598x598x10 mm
Nasákavost: E&lt;0,3%; jedn.max 0,4%
Pevnost v ohybu: Min. 40 N/mm2, Jedn.min. 32 N/mm2
Lomové zatížení: ≥ 7,5 mm min. 1500 N; ≥ 20 mm min. 11000 N
Obrusnost: Max. 135 mm3
Protiskluznost: R10/B
barva: imitace tmavého teraca (různobarevná zrna na tmavě šedém podkladu) dle stávajícího v chodbě jídelny
Spárování:
- Flexibilní spárovací hmota - voděodolná, flexibilní spárovací hmota na spárování keramických obkladů a dlažeb, včetně gresové, na spáry se šířkou do 8 mm
- tloušťka spáry: 2mm
- barva spáry: světle šedá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Vysoce flexibilní lepidlo pro lepení velkoformátových obkladů a dlažeb
- směs cementů s minerálními plnivy a modifikátory
- sypká hmotnost 1,07 kg/dm3
- tepelná odolnost: od –30 °C do +70 °C
- přídržnost ≥ 1,0 Mpa ve všech situacích_x000D_
</t>
  </si>
  <si>
    <t>-1103163484</t>
  </si>
  <si>
    <t>199</t>
  </si>
  <si>
    <t>771574263</t>
  </si>
  <si>
    <t>Montáž podlah z dlaždic keramických lepených flexibilním lepidlem maloformátových pro vysoké mechanické zatížení protiskluzných nebo reliéfních (bezbariérových) přes 9 do 12 ks/m2</t>
  </si>
  <si>
    <t>-30976143</t>
  </si>
  <si>
    <t>200</t>
  </si>
  <si>
    <t>597-D1</t>
  </si>
  <si>
    <t xml:space="preserve">Keramická slinutá matná protiskluzová dlažba
Jmenovitý rozměr: 30x30 cm
Deklarovaný rozměr: 298x298x8 mm
Nasákavost: E&lt;0,3%; jedn.max 0,4%
Pevnost v ohybu: Min. 40 N/mm2, Jedn.min. 32 N/mm2
Lomové zatížení: ≥ 7,5 mm min. 1500 N; ≥ 20 mm min. 11000 N
Obrusnost: Max. 135 mm3
Protiskluznost: R10/B
Barva: imitace granitu, světle šedá
Spárování:
- Flexibilní spárovací hmota - voděodolná, flexibilní spárovací hmota na spárování keramických obkladů a dlažeb, včetně gresové, na spáry se šířkou do 8 mm
- tloušťka spáry 3 mm
- barva spáry světle šedá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
_x000D_
Flexibilní lepidlo pro celoplošné lepení
- směs cementů s minerálními plnivy a modifikátory
- sypká hmotnost 1,2 kg/dm3
- tepelná odolnost: od –30 °C do +70 °C
- přídržnost ≥ 1,0 Mpa ve všech situacích_x000D_
_x000D_
</t>
  </si>
  <si>
    <t>-1555394464</t>
  </si>
  <si>
    <t>12,1*1,1 'Přepočtené koeficientem množství</t>
  </si>
  <si>
    <t>201</t>
  </si>
  <si>
    <t>771574266</t>
  </si>
  <si>
    <t>Montáž podlah z dlaždic keramických lepených flexibilním lepidlem maloformátových pro vysoké mechanické zatížení protiskluzných nebo reliéfních (bezbariérových) přes 22 do 25 ks/m2</t>
  </si>
  <si>
    <t>2081660810</t>
  </si>
  <si>
    <t>d4+d5+d6</t>
  </si>
  <si>
    <t>202</t>
  </si>
  <si>
    <t>597-D4</t>
  </si>
  <si>
    <t xml:space="preserve">Keramická slinutá matná reliéfní (trojúhelníky proti sobě) dlažba
Jmenovitý rozměr: 20x20 cm
Deklarovaný rozměr: 198x198x9 mm
Nasákavost: E&lt;0,3%; jedn.max 0,4%
Pevnost v ohybu: Min. 40 N/mm2, Jedn.min. 32 N/mm2
Lomové zatížení: ≥ 7,5 mm min. 1500 N; ≥ 20 mm min. 11000 N
Obrusnost: Max. 135 mm3
Protiskluznost: R12 /B /V4
barva: béžová/písková
Spárování:
- Flexibilní spárovací hmota - voděodolná, flexibilní spárovací hmota na spárování keramických obkladů a dlažeb, včetně gresové, na spáry se šířkou do 8 mm
- tloušťka spáry: 2mm
- barva spáry: světle béžová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
_x000D_
Flexibilní lepidlo pro celoplošné lepení
- směs cementů s minerálními plnivy a modifikátory
- sypká hmotnost 1,2 kg/dm3
- tepelná odolnost: od –30 °C do +70 °C
- přídržnost ≥ 1,0 Mpa ve všech situacích
_x000D_
_x000D_
</t>
  </si>
  <si>
    <t>841016738</t>
  </si>
  <si>
    <t>106*1,1 'Přepočtené koeficientem množství</t>
  </si>
  <si>
    <t>203</t>
  </si>
  <si>
    <t>597-D5</t>
  </si>
  <si>
    <t xml:space="preserve">Keramická slinutá matná reliéfní (trojúhelníky proti sobě) dlažba
Jmenovitý rozměr: 20x20 cm
Deklarovaný rozměr: 198x198x9 mm
Nasákavost: E&lt;0,3%; jedn.max 0,4%
Pevnost v ohybu: Min. 40 N/mm2, Jedn.min. 32 N/mm2
Lomové zatížení: ≥ 7,5 mm min. 1500 N; ≥ 20 mm min. 11000 N
Obrusnost: Max. 135 mm3
Protiskluznost: R12 /B /V4
barva: šedá, dle dlažby v jídelně (D2), ale bez typických zrn teraca
Spárování:
- Flexibilní spárovací hmota - voděodolná, flexibilní spárovací hmota na spárování keramických obkladů a dlažeb, včetně gresové, na spáry se šířkou do 8 mm
- tloušťka spáry: 2mm
- barva spáry: světle béžová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Flexibilní lepidlo pro celoplošné lepení
- směs cementů s minerálními plnivy a modifikátory
- sypká hmotnost 1,2 kg/dm3
- tepelná odolnost: od –30 °C do +70 °C
- přídržnost ≥ 1,0 Mpa ve všech situacích
_x000D_
_x000D_
</t>
  </si>
  <si>
    <t>1291346447</t>
  </si>
  <si>
    <t>34*1,1 'Přepočtené koeficientem množství</t>
  </si>
  <si>
    <t>204</t>
  </si>
  <si>
    <t>597-D6</t>
  </si>
  <si>
    <t xml:space="preserve">Keramická hutná matná reliéfní dlažba
Jmenovitý rozměr: 20x20 cm
Deklarovaný rozměr: 198x198x7 mm
Nasákavost: E&lt;2,5%;jedn.max 3,0%
Pevnost v ohybu: Min. 30 N/mm2, Jedn.min. 27 N/mm2
Lomové zatížení: ≥ 7,5 mm min. 1100 N; &lt;7,5 mm min. 700 N
Otěruvzdornost: PEI 4
Protiskluznost: R10 /B
barva: antracitově šedá, RAL 0004000
Spárování:
- Flexibilní spárovací hmota - voděodolná, flexibilní spárovací hmota na spárování keramických obkladů a dlažeb, včetně gresové, na spáry se šířkou do 8 mm
- tloušťka spáry: 2 mm
- barva spáry: světle béžová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Flexibilní lepidlo pro celoplošné lepení
- směs cementů s minerálními plnivy a modifikátory
- sypká hmotnost 1,2 kg/dm3
- tepelná odolnost: od –30 °C do +70 °C
- přídržnost ≥ 1,0 Mpa ve všech situacích
_x000D_
_x000D_
</t>
  </si>
  <si>
    <t>-2044853359</t>
  </si>
  <si>
    <t>3,9*1,1 'Přepočtené koeficientem množství</t>
  </si>
  <si>
    <t>205</t>
  </si>
  <si>
    <t>771591115</t>
  </si>
  <si>
    <t>Podlahy - dokončovací práce spárování silikonem</t>
  </si>
  <si>
    <t>-127987288</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</si>
  <si>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</si>
  <si>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189,8*2</t>
  </si>
  <si>
    <t>206</t>
  </si>
  <si>
    <t>771591185</t>
  </si>
  <si>
    <t>Podlahy - dokončovací práce pracnější řezání dlaždic keramických rovné</t>
  </si>
  <si>
    <t>1059953682</t>
  </si>
  <si>
    <t>395+150</t>
  </si>
  <si>
    <t>207</t>
  </si>
  <si>
    <t>771592011</t>
  </si>
  <si>
    <t>Čištění vnitřních ploch po položení dlažby podlah nebo schodišť chemickými prostředky</t>
  </si>
  <si>
    <t>-1559219135</t>
  </si>
  <si>
    <t>(77,4+9,1+15,3+38,7)*0,1</t>
  </si>
  <si>
    <t>(29,8+20,5)*0,15</t>
  </si>
  <si>
    <t>208</t>
  </si>
  <si>
    <t>998771101</t>
  </si>
  <si>
    <t>Přesun hmot pro podlahy z dlaždic stanovený z hmotnosti přesunovaného materiálu vodorovná dopravní vzdálenost do 50 m v objektech výšky do 6 m</t>
  </si>
  <si>
    <t>-1667020050</t>
  </si>
  <si>
    <t>209</t>
  </si>
  <si>
    <t>998771181</t>
  </si>
  <si>
    <t>Přesun hmot pro podlahy z dlaždic stanovený z hmotnosti přesunovaného materiálu Příplatek k ceně za přesun prováděný bez použití mechanizace pro jakoukoliv výšku objektu</t>
  </si>
  <si>
    <t>160098919</t>
  </si>
  <si>
    <t>773</t>
  </si>
  <si>
    <t>Podlahy z litého teraca</t>
  </si>
  <si>
    <t>210</t>
  </si>
  <si>
    <t>77351126-Te/1</t>
  </si>
  <si>
    <t xml:space="preserve">Podlahy z přírodního litého teraca vč. soklu - viz celý popis Te1_x000D_
Plnoplošná teracová litá podlaha vč. soklu (R/11). Sokl dle teraca.
Barva ve tmavém odstínu dle stávajícího teraca, oddělenou páskem bílých mramorových kostiček. Teracový sokl výšky 150 mm s požlábkem o poloměru 20 mm bude zapuštěn do líce omítky a bude proveden v místech, kde na podlahu nenavazuje keramický obklad stěn. Napojení na původní teraco - původní teraco bude zaříznuto diamantovým kotoučem a dolito do roviny. Prahy se nebudou realizovat, nutno dohodnout na stavbě dle skutečných výškových poměrů dle odbourání podlahy.
Teracový sokl v místě budoucích obložek bude vynechán, nebo dodatečně šetrně vyříznut před montáží dveří. Veškeré teraco povrchy budou před předáním k užívání nataženy voskovou penetrací. Dodavatel předá pokyny k údržbě teraca. </t>
  </si>
  <si>
    <t>478541190</t>
  </si>
  <si>
    <t>211</t>
  </si>
  <si>
    <t>583-Te1</t>
  </si>
  <si>
    <t>teracová drť - dle požadavku - viz popis Te1</t>
  </si>
  <si>
    <t>1395948139</t>
  </si>
  <si>
    <t>17,7*1,05 'Přepočtené koeficientem množství</t>
  </si>
  <si>
    <t>212</t>
  </si>
  <si>
    <t>998773101</t>
  </si>
  <si>
    <t>Přesun hmot pro podlahy teracové lité stanovený z hmotnosti přesunovaného materiálu vodorovná dopravní vzdálenost do 50 m v objektech výšky do 6 m</t>
  </si>
  <si>
    <t>-1534633183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</si>
  <si>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</si>
  <si>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213</t>
  </si>
  <si>
    <t>998773181</t>
  </si>
  <si>
    <t>Přesun hmot pro podlahy teracové lité stanovený z hmotnosti přesunovaného materiálu Příplatek k cenám za přesun prováděný bez použití mechanizace pro jakoukoliv výšku objektu</t>
  </si>
  <si>
    <t>1266798150</t>
  </si>
  <si>
    <t>776</t>
  </si>
  <si>
    <t>Podlahy povlakové</t>
  </si>
  <si>
    <t>214</t>
  </si>
  <si>
    <t>776111111</t>
  </si>
  <si>
    <t>Příprava podkladu broušení podlah nového podkladu anhydritového</t>
  </si>
  <si>
    <t>1324333080</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</si>
  <si>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</si>
  <si>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"v1"</t>
  </si>
  <si>
    <t>8,16+10,36+9,98</t>
  </si>
  <si>
    <t>215</t>
  </si>
  <si>
    <t>776111311</t>
  </si>
  <si>
    <t>Příprava podkladu vysátí podlah</t>
  </si>
  <si>
    <t>-1895173742</t>
  </si>
  <si>
    <t>216</t>
  </si>
  <si>
    <t>776121311</t>
  </si>
  <si>
    <t>Příprava podkladu penetrace vodou ředitelná na savý podklad (válečkováním) ředěná v poměru 1:1 podlah</t>
  </si>
  <si>
    <t>640314935</t>
  </si>
  <si>
    <t>217</t>
  </si>
  <si>
    <t>776251111</t>
  </si>
  <si>
    <t>Montáž podlahovin z přírodního linolea (marmolea) lepením standardním lepidlem z pásů standardních</t>
  </si>
  <si>
    <t>-431117717</t>
  </si>
  <si>
    <t>218</t>
  </si>
  <si>
    <t>607-V1</t>
  </si>
  <si>
    <t xml:space="preserve">Přírodní linoleum - role - BARVA: šedá (imitace betonu)
Výrobek typu - Jednovrstvé dekorativní linoleum na pěnové podložce (EN 686)
Komerční použití ISO 10874 vysoká
Průmyslové použití ISO 10874 mírná
typ formátu - Role
Povrchová úprava - XF2, tvrzený polyuretan
Celková tloušťka ISO 24346 2,8 mm
Celková hmotnost ISO 23997 3450 g/m²
Flexibilita ISO 24344 Method A ≤ 30 mm ⌀
Metoda pokládky - lepené
Reakce na oheň EN 13501-1 Cfl-s1
Protiskluznost EN 13893 Třída DS (µ ≥ 0,30)
Protiskluznost DIN 51130 R9
Elektrický náboj EN 1815 Antistatic (≤ 2 kV)
Zvuková izolace - ∆Lw EN ISO 717-2 18 dB
Třída kročejového hluku EN 16205 Třída A (≤ 65 dB)
Židle s pojezdovými kolečky ISO 4918 Bez poškození
Celkový recyklovaný obsah - 40 %
Obsah ftalátů CEN ISO/TS 16181 100% bez ftalátů
Spojování šňůrou stejné barvy_x000D_
Flexibilní lepidlo pro celoplošné lepení
- směs cementů s minerálními plnivy a modifikátory
- sypká hmotnost 1,2 kg/dm3
- tepelná odolnost: od –30 °C do +70 °C
- přídržnost ≥ 1,0 Mpa ve všech situacích_x000D_
_x000D_
</t>
  </si>
  <si>
    <t>1476289885</t>
  </si>
  <si>
    <t>28,5*1,1 'Přepočtené koeficientem množství</t>
  </si>
  <si>
    <t>219</t>
  </si>
  <si>
    <t>776251411</t>
  </si>
  <si>
    <t>Montáž podlahovin z přírodního linolea (marmolea) spoj podlah svařováním za tepla</t>
  </si>
  <si>
    <t>-968531997</t>
  </si>
  <si>
    <t>220</t>
  </si>
  <si>
    <t>776421111</t>
  </si>
  <si>
    <t>Montáž lišt obvodových lepených</t>
  </si>
  <si>
    <t>-1757213772</t>
  </si>
  <si>
    <t>"vč. 04+05+popis TZ"</t>
  </si>
  <si>
    <t>2*(3,51+3,25)</t>
  </si>
  <si>
    <t>221</t>
  </si>
  <si>
    <t>DOD-PL</t>
  </si>
  <si>
    <t>Lišta pro přírodní linoleum</t>
  </si>
  <si>
    <t>-1237013437</t>
  </si>
  <si>
    <t>93,76*1,1 'Přepočtené koeficientem množství</t>
  </si>
  <si>
    <t>222</t>
  </si>
  <si>
    <t>776991111</t>
  </si>
  <si>
    <t>Ostatní práce spárování silikonem</t>
  </si>
  <si>
    <t>337162751</t>
  </si>
  <si>
    <t xml:space="preserve">Poznámka k souboru cen:_x000D_
1. V ceně 776 99-1121 jsou započteny náklady na vysátí podlahy a setření vlhkým mopem._x000D_
2. V ceně 776 99-1141 jsou započteny i náklady na dodání pasty._x000D_
</t>
  </si>
  <si>
    <t>223</t>
  </si>
  <si>
    <t>776991121</t>
  </si>
  <si>
    <t>Ostatní práce údržba nových podlahovin po pokládce čištění základní</t>
  </si>
  <si>
    <t>-1974974677</t>
  </si>
  <si>
    <t>224</t>
  </si>
  <si>
    <t>776991141</t>
  </si>
  <si>
    <t>Ostatní práce údržba nových podlahovin po pokládce pastování a leštění ručně</t>
  </si>
  <si>
    <t>-1018908520</t>
  </si>
  <si>
    <t>225</t>
  </si>
  <si>
    <t>998776101</t>
  </si>
  <si>
    <t>Přesun hmot pro podlahy povlakové stanovený z hmotnosti přesunovaného materiálu vodorovná dopravní vzdálenost do 50 m v objektech výšky do 6 m</t>
  </si>
  <si>
    <t>228816643</t>
  </si>
  <si>
    <t>226</t>
  </si>
  <si>
    <t>998776181</t>
  </si>
  <si>
    <t>Přesun hmot pro podlahy povlakové stanovený z hmotnosti přesunovaného materiálu Příplatek k cenám za přesun prováděný bez použití mechanizace pro jakoukoliv výšku objektu</t>
  </si>
  <si>
    <t>1241544943</t>
  </si>
  <si>
    <t>781</t>
  </si>
  <si>
    <t>Dokončovací práce - obklady</t>
  </si>
  <si>
    <t>227</t>
  </si>
  <si>
    <t>781111011</t>
  </si>
  <si>
    <t>Příprava podkladu před provedením obkladu oprášení (ometení) stěny</t>
  </si>
  <si>
    <t>-1918937910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</si>
  <si>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</si>
  <si>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"O1"</t>
  </si>
  <si>
    <t>"O2"</t>
  </si>
  <si>
    <t>116,0</t>
  </si>
  <si>
    <t>"O3"</t>
  </si>
  <si>
    <t>"O4"</t>
  </si>
  <si>
    <t>228</t>
  </si>
  <si>
    <t>781121011</t>
  </si>
  <si>
    <t>Příprava podkladu před provedením obkladu nátěr penetrační na stěnu</t>
  </si>
  <si>
    <t>-525061548</t>
  </si>
  <si>
    <t>229</t>
  </si>
  <si>
    <t>781161021</t>
  </si>
  <si>
    <t xml:space="preserve">Příprava podkladu před provedením obkladu montáž profilu ukončujícího profilu rohového, </t>
  </si>
  <si>
    <t>-301766840</t>
  </si>
  <si>
    <t>"L/1"</t>
  </si>
  <si>
    <t>282,0</t>
  </si>
  <si>
    <t>230</t>
  </si>
  <si>
    <t>DOD-L/1</t>
  </si>
  <si>
    <t>Lišta ukončovací "L" hliník přírodní matný eloxovaný - dle požadavku viz popis L/1</t>
  </si>
  <si>
    <t>-1461341629</t>
  </si>
  <si>
    <t>282*1,02 'Přepočtené koeficientem množství</t>
  </si>
  <si>
    <t>231</t>
  </si>
  <si>
    <t>781471810</t>
  </si>
  <si>
    <t>Demontáž obkladů z dlaždic keramických kladených do malty</t>
  </si>
  <si>
    <t>-1316581866</t>
  </si>
  <si>
    <t>"viz celý popis B/14"</t>
  </si>
  <si>
    <t>266,7</t>
  </si>
  <si>
    <t>232</t>
  </si>
  <si>
    <t>781474115</t>
  </si>
  <si>
    <t>Montáž obkladů vnitřních stěn z dlaždic keramických lepených flexibilním lepidlem maloformátových hladkých přes 22 do 25 ks/m2</t>
  </si>
  <si>
    <t>1721804335</t>
  </si>
  <si>
    <t xml:space="preserve">Poznámka k souboru cen:_x000D_
1. Položky jsou určeny pro všechny druhy povrchových úprav._x000D_
</t>
  </si>
  <si>
    <t>o2+o3+o4</t>
  </si>
  <si>
    <t>233</t>
  </si>
  <si>
    <t>597-O2</t>
  </si>
  <si>
    <t xml:space="preserve">Keramická glazovaná hladká matná obkládačka
Jmenovitý rozměr: 20x20 cm
Deklarovaný rozměr: 198x198x6 mm
Nasákavost: E=10-20%
Pevnost v ohybu:  ≥ 7,5 mm min.15 N/mm2; &lt; 7,5 mm min.12N/mm2
Lomové zatížení: ≥ 7,5 mm min. 600 N; &lt; 7,5 mm min. 200 N
Barva: bílá
Spárování:
- Flexibilní spárovací hmota - voděodolná, flexibilní spárovací hmota na spárování keramických obkladů a dlažeb, včetně gresové, na spáry se šířkou do 8 mm 
- tloušťka spáry 2mm
- barva spáry bílá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
_x000D_
Flexibilní lepidlo pro celoplošné lepení
- směs cementů s minerálními plnivy a modifikátory
- sypká hmotnost 1,2 kg/dm3
- tepelná odolnost: od –30 °C do +70 °C
- přídržnost ≥ 1,0 Mpa ve všech situacích_x000D_
</t>
  </si>
  <si>
    <t>396928649</t>
  </si>
  <si>
    <t>116*1,1 'Přepočtené koeficientem množství</t>
  </si>
  <si>
    <t>234</t>
  </si>
  <si>
    <t>597-O3</t>
  </si>
  <si>
    <t xml:space="preserve">Keramická glazovaná hladká matná obkládačka
Jmenovitý rozměr: 20x20 cm
Deklarovaný rozměr: 198x198x6 mm
Nasákavost: E=10-20%
Pevnost v ohybu:  ≥ 7,5 mm min.15 N/mm2; &lt; 7,5 mm min.12N/mm2
Lomové zatížení: ≥ 7,5 mm min. 600 N; &lt; 7,5 mm min. 200 N
Barva: bílá
Spárování:
- Flexibilní spárovací hmota - voděodolná, flexibilní spárovací hmota na spárování keramických obkladů a dlažeb, včetně gresové, na spáry se šířkou do 8 mm 
- tloušťka spáry 2mm
- barva spáry bílá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Flexibilní lepidlo pro celoplošné lepení
- směs cementů s minerálními plnivy a modifikátory
- sypká hmotnost 1,2 kg/dm3
- tepelná odolnost: od –30 °C do +70 °C
- přídržnost ≥ 1,0 Mpa ve všech situacích
_x000D_
_x000D_
</t>
  </si>
  <si>
    <t>1593857968</t>
  </si>
  <si>
    <t>51,2*1,1 'Přepočtené koeficientem množství</t>
  </si>
  <si>
    <t>235</t>
  </si>
  <si>
    <t>597-O4</t>
  </si>
  <si>
    <t xml:space="preserve">Keramická glazovaná hladká lesklá obkládačka
Jmenovitý rozměr: 20x20 cm
Deklarovaný rozměr: 198x198x6 mm
Nasákavost: E=10-20%
Pevnost v ohybu:  ≥ 7,5 mm min.15 N/mm2; &lt; 7,5 mm min.12N/mm2
Lomové zatížení: ≥ 7,5 mm min. 600 N; &lt; 7,5 mm min. 200 N
Barva: bílá
Spárování:
- Flexibilní spárovací hmota - voděodolná, flexibilní spárovací hmota na spárování keramických obkladů a dlažeb, včetně gresové, na spáry se šířkou do 8 mm 
- tloušťka spáry 2mm
- barva spáry bílá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
_x000D_
Flexibilní lepidlo pro celoplošné lepení
- směs cementů s minerálními plnivy a modifikátory
- sypká hmotnost 1,2 kg/dm3
- tepelná odolnost: od –30 °C do +70 °C
- přídržnost ≥ 1,0 Mpa ve všech situacích_x000D_
_x000D_
</t>
  </si>
  <si>
    <t>-1056160567</t>
  </si>
  <si>
    <t>20,8*1,1 'Přepočtené koeficientem množství</t>
  </si>
  <si>
    <t>236</t>
  </si>
  <si>
    <t>781474154</t>
  </si>
  <si>
    <t>Montáž obkladů vnitřních stěn z dlaždic keramických lepených flexibilním lepidlem velkoformátových hladkých přes 4 do 6 ks/m2</t>
  </si>
  <si>
    <t>2071549152</t>
  </si>
  <si>
    <t>237</t>
  </si>
  <si>
    <t>597-O1</t>
  </si>
  <si>
    <t xml:space="preserve">Keramická slinutá matná rektifikovaná obkládačka
Jmenovitý rozměr: 30x60 cm
Deklarovaný rozměr: 598x298x10 mm, 
skladebnost vůči dlažbě v jídelně!!!
Nasákavost: E&gt;10%
Pevnost v ohybu: Min. 12 N/mm2, Jedn.min. 15 N/mm2
Lomové zatížení: ≥ 7,5 mm min. 600 N; &lt; 7,5 mm min. 200 N
Barva: světle béžová imitace betonu
Spárování:
- Flexibilní spárovací hmota - voděodolná, flexibilní spárovací hmota na spárování keramických obkladů a dlažeb, včetně gresové, na spáry se šířkou do 8 mm 
- tloušťka spáry 2mm
- barva spáry bílá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Flexibilní lepidlo pro celoplošné lepení
- směs cementů s minerálními plnivy a modifikátory
- sypká hmotnost 1,2 kg/dm3
- tepelná odolnost: od –30 °C do +70 °C
- přídržnost ≥ 1,0 Mpa ve všech situacích
_x000D_
_x000D_
</t>
  </si>
  <si>
    <t>-153792534</t>
  </si>
  <si>
    <t>41,5*1,15 'Přepočtené koeficientem množství</t>
  </si>
  <si>
    <t>238</t>
  </si>
  <si>
    <t>781491011</t>
  </si>
  <si>
    <t>Montáž zrcadel lepených silikonovým tmelem na podkladní omítku, plochy do 1 m2</t>
  </si>
  <si>
    <t>1903437473</t>
  </si>
  <si>
    <t>"Z/5"</t>
  </si>
  <si>
    <t>0,6*0,8*2</t>
  </si>
  <si>
    <t>239</t>
  </si>
  <si>
    <t>DOD-Z5</t>
  </si>
  <si>
    <t>Zrcadlo 600x800mm  nerozbitné lepené na stěnu s upravou proti rosení - dle požadavku viz celý popis Z5</t>
  </si>
  <si>
    <t>-1256246849</t>
  </si>
  <si>
    <t>240</t>
  </si>
  <si>
    <t>781495115</t>
  </si>
  <si>
    <t>Obklad - dokončující práce ostatní práce spárování silikonem</t>
  </si>
  <si>
    <t>1402898400</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</si>
  <si>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</si>
  <si>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241</t>
  </si>
  <si>
    <t>781495185</t>
  </si>
  <si>
    <t>Obklad - dokončující práce pracnější řezání obkladaček rovné</t>
  </si>
  <si>
    <t>-836727296</t>
  </si>
  <si>
    <t>242</t>
  </si>
  <si>
    <t>781495211</t>
  </si>
  <si>
    <t>Čištění vnitřních ploch po provedení obkladu stěn chemickými prostředky</t>
  </si>
  <si>
    <t>-1334125781</t>
  </si>
  <si>
    <t>243</t>
  </si>
  <si>
    <t>998781101</t>
  </si>
  <si>
    <t>Přesun hmot pro obklady keramické stanovený z hmotnosti přesunovaného materiálu vodorovná dopravní vzdálenost do 50 m v objektech výšky do 6 m</t>
  </si>
  <si>
    <t>1840783072</t>
  </si>
  <si>
    <t>244</t>
  </si>
  <si>
    <t>998781181</t>
  </si>
  <si>
    <t>Přesun hmot pro obklady keramické stanovený z hmotnosti přesunovaného materiálu Příplatek k cenám za přesun prováděný bez použití mechanizace pro jakoukoliv výšku objektu</t>
  </si>
  <si>
    <t>-356397872</t>
  </si>
  <si>
    <t>783</t>
  </si>
  <si>
    <t>Dokončovací práce - nátěry</t>
  </si>
  <si>
    <t>245</t>
  </si>
  <si>
    <t>783301311</t>
  </si>
  <si>
    <t>Příprava podkladu zámečnických konstrukcí před provedením nátěru odmaštění odmašťovačem vodou ředitelným</t>
  </si>
  <si>
    <t>-1560503864</t>
  </si>
  <si>
    <t>35,0</t>
  </si>
  <si>
    <t>246</t>
  </si>
  <si>
    <t>783343101</t>
  </si>
  <si>
    <t>Základní impregnační nátěr zámečnických konstrukcí aktivátorem rzi na zkorodovaný povrch jednonásobný polyuretanový</t>
  </si>
  <si>
    <t>-1944014709</t>
  </si>
  <si>
    <t>247</t>
  </si>
  <si>
    <t>783347101</t>
  </si>
  <si>
    <t>Krycí nátěr (email) zámečnických konstrukcí jednonásobný polyuretanový</t>
  </si>
  <si>
    <t>-283864997</t>
  </si>
  <si>
    <t>35,000*2</t>
  </si>
  <si>
    <t>248</t>
  </si>
  <si>
    <t>7835-PP</t>
  </si>
  <si>
    <t xml:space="preserve">Protipožární nátěr OK - viz popis </t>
  </si>
  <si>
    <t>1120540209</t>
  </si>
  <si>
    <t>784</t>
  </si>
  <si>
    <t>Dokončovací práce - malby a tapety</t>
  </si>
  <si>
    <t>249</t>
  </si>
  <si>
    <t>784111001</t>
  </si>
  <si>
    <t>Oprášení (ometení) podkladu v místnostech výšky do 3,80 m</t>
  </si>
  <si>
    <t>256907748</t>
  </si>
  <si>
    <t>782,951</t>
  </si>
  <si>
    <t>"sdk"</t>
  </si>
  <si>
    <t>101,9+3,75</t>
  </si>
  <si>
    <t>250</t>
  </si>
  <si>
    <t>784121001</t>
  </si>
  <si>
    <t>Oškrabání malby v místnostech výšky do 3,80 m</t>
  </si>
  <si>
    <t>-1575484615</t>
  </si>
  <si>
    <t xml:space="preserve">Poznámka k souboru cen:_x000D_
1. Cenami souboru cen se oceňuje jakýkoli počet současně škrabaných vrstev barvy._x000D_
</t>
  </si>
  <si>
    <t>(53,75+235,862)/100*50</t>
  </si>
  <si>
    <t>251</t>
  </si>
  <si>
    <t>784121011</t>
  </si>
  <si>
    <t>Rozmývání podkladu po oškrabání malby v místnostech výšky do 3,80 m</t>
  </si>
  <si>
    <t>61183811</t>
  </si>
  <si>
    <t>252</t>
  </si>
  <si>
    <t>784181121</t>
  </si>
  <si>
    <t>Penetrace podkladu jednonásobná hloubková v místnostech výšky do 3,80 m</t>
  </si>
  <si>
    <t>-718056225</t>
  </si>
  <si>
    <t>253</t>
  </si>
  <si>
    <t>784211101</t>
  </si>
  <si>
    <t>Malby z malířských směsí otěruvzdorných za mokra dvojnásobné, bílé za mokra otěruvzdorné výborně v místnostech výšky do 3,80 m</t>
  </si>
  <si>
    <t>-1599792882</t>
  </si>
  <si>
    <t>254</t>
  </si>
  <si>
    <t>784211161</t>
  </si>
  <si>
    <t>Malby z malířských směsí otěruvzdorných za mokra Příplatek k cenám dvojnásobných maleb za provádění barevné malby tónované na tónovacích automatech, v odstínu světlém</t>
  </si>
  <si>
    <t>1820139071</t>
  </si>
  <si>
    <t>255</t>
  </si>
  <si>
    <t>784211167</t>
  </si>
  <si>
    <t>Malby z malířských směsí otěruvzdorných za mokra Příplatek k cenám dvojnásobných maleb za provádění barevné malby tónované na tónovacích automatech, v odstínu náročném</t>
  </si>
  <si>
    <t>473837517</t>
  </si>
  <si>
    <t>787</t>
  </si>
  <si>
    <t>Dokončovací práce - zasklívání</t>
  </si>
  <si>
    <t>256</t>
  </si>
  <si>
    <t>78791-Os/7</t>
  </si>
  <si>
    <t>M+D Polep prosklených ploch - viz celý popis Os/7</t>
  </si>
  <si>
    <t>455437500</t>
  </si>
  <si>
    <t>791</t>
  </si>
  <si>
    <t>Zařízení velkokuchyní</t>
  </si>
  <si>
    <t>257</t>
  </si>
  <si>
    <t>791-B/2</t>
  </si>
  <si>
    <t>Demontáž veškerého gastrozařízení vč. zařízení s tím související, odvozu a likvidace - viz popis B/2</t>
  </si>
  <si>
    <t>1741339741</t>
  </si>
  <si>
    <t>R</t>
  </si>
  <si>
    <t>Repase</t>
  </si>
  <si>
    <t>258</t>
  </si>
  <si>
    <t>R/01</t>
  </si>
  <si>
    <t>Stěhování volného nábytku a zařízení, uskladnění při stavbě a následná likvidace - dle požadavku viz celý popis R1</t>
  </si>
  <si>
    <t>-1511494086</t>
  </si>
  <si>
    <t>259</t>
  </si>
  <si>
    <t>R/02</t>
  </si>
  <si>
    <t>Demontáží a zpětná montáž radiátorů (vypuštění/napuštění ÚT), nový nátěr radiátorů, nový nátěr viditelného potrubí - dle požadavku viz celý popis R2</t>
  </si>
  <si>
    <t>-1662240597</t>
  </si>
  <si>
    <t>260</t>
  </si>
  <si>
    <t>R/03</t>
  </si>
  <si>
    <t>Nové nadsvětlíky oken - z důvodu nové pozice nasávací žaluzie a odtahové průchodky - dle požadavku viz celý popis R3</t>
  </si>
  <si>
    <t>-271635037</t>
  </si>
  <si>
    <t>261</t>
  </si>
  <si>
    <t>R/04</t>
  </si>
  <si>
    <t>Demontáž, zpětná montáž a přesuny techniky
(pokladna, trezor, PC, apod...) - dle požadavku viz celý popis R4</t>
  </si>
  <si>
    <t>1575840022</t>
  </si>
  <si>
    <t>262</t>
  </si>
  <si>
    <t>R/05</t>
  </si>
  <si>
    <t>Repase dveří výtahu - dle požadavku viz celý popis R5</t>
  </si>
  <si>
    <t>1321842964</t>
  </si>
  <si>
    <t>263</t>
  </si>
  <si>
    <t>R/06</t>
  </si>
  <si>
    <t>Prostup polem zábradlím anglického dvorku - dle požadavku viz celý popis R6</t>
  </si>
  <si>
    <t>-929825671</t>
  </si>
  <si>
    <t>264</t>
  </si>
  <si>
    <t>R/07</t>
  </si>
  <si>
    <t>Repase stávajících parapetů - dle požadavku viz celý popis R7</t>
  </si>
  <si>
    <t>1859132008</t>
  </si>
  <si>
    <t>265</t>
  </si>
  <si>
    <t>R/08</t>
  </si>
  <si>
    <t>Repase stávajících parapetů - dle požadavku viz celý popis R8</t>
  </si>
  <si>
    <t>1715197233</t>
  </si>
  <si>
    <t>266</t>
  </si>
  <si>
    <t>R/09</t>
  </si>
  <si>
    <t>Repase stávajících dveří
(křídlo / zárubeň / práh) - dle požadavku viz celý popis R9</t>
  </si>
  <si>
    <t>1420296676</t>
  </si>
  <si>
    <t>267</t>
  </si>
  <si>
    <t>R/10</t>
  </si>
  <si>
    <t>Stavební zapravení stávajících i nových prostupů
prostupy kanalizace, vody a dalších profesí skrz požární úseky vč. stávajících prostupů a nevyužitých prostupů pro VZT a další profese - dle požadavku viz celý popis R10</t>
  </si>
  <si>
    <t>-1231213683</t>
  </si>
  <si>
    <t>268</t>
  </si>
  <si>
    <t>R/11</t>
  </si>
  <si>
    <t>Repase stávajícího teracového soklu 
Oprava respektive doplnění soklu - dle požadavku viz celý popis R11</t>
  </si>
  <si>
    <t>106330626</t>
  </si>
  <si>
    <t>269</t>
  </si>
  <si>
    <t>R/12</t>
  </si>
  <si>
    <t>Repase stávajícího teracové podlahy 
Oprava narušených části teraca ve vstupní chodbě - dle požadavku viz celý popis R12</t>
  </si>
  <si>
    <t>746092005</t>
  </si>
  <si>
    <t>270</t>
  </si>
  <si>
    <t>R/12a</t>
  </si>
  <si>
    <t>324940902</t>
  </si>
  <si>
    <t>SD</t>
  </si>
  <si>
    <t>Sanitární doplňky a vnitřní vybavení</t>
  </si>
  <si>
    <t>271</t>
  </si>
  <si>
    <t>sd01</t>
  </si>
  <si>
    <t>Sanitární doplňky - montáž</t>
  </si>
  <si>
    <t>87727361</t>
  </si>
  <si>
    <t>272</t>
  </si>
  <si>
    <t>Sd/1</t>
  </si>
  <si>
    <t>Zásobník na toaletní papír - viz celý popis Sd/1</t>
  </si>
  <si>
    <t>1978536903</t>
  </si>
  <si>
    <t>273</t>
  </si>
  <si>
    <t>Sd/2</t>
  </si>
  <si>
    <t>Koš hygienický  - viz celý popis Sd/2</t>
  </si>
  <si>
    <t>2001219267</t>
  </si>
  <si>
    <t>274</t>
  </si>
  <si>
    <t>Sd/3</t>
  </si>
  <si>
    <t>Dávkovač tekutého mýdla  - viz celý popis Sd/3</t>
  </si>
  <si>
    <t>-1811119041</t>
  </si>
  <si>
    <t>275</t>
  </si>
  <si>
    <t>Sd/4</t>
  </si>
  <si>
    <t>WC sada  - viz celý popis Sd/4</t>
  </si>
  <si>
    <t>-1037769940</t>
  </si>
  <si>
    <t>276</t>
  </si>
  <si>
    <t>Sd/5</t>
  </si>
  <si>
    <t>Zásobník na papírové ručníky  - viz celý popis Sd/5</t>
  </si>
  <si>
    <t>1366294556</t>
  </si>
  <si>
    <t>277</t>
  </si>
  <si>
    <t>Sd/6</t>
  </si>
  <si>
    <t>Zásobník hygienických sáčků  - viz celý popis Sd/6</t>
  </si>
  <si>
    <t>-1385948313</t>
  </si>
  <si>
    <t>278</t>
  </si>
  <si>
    <t>Sd/7</t>
  </si>
  <si>
    <t>Odpadkový koš na papírové ručníky  - viz celý popis Sd/7</t>
  </si>
  <si>
    <t>34391780</t>
  </si>
  <si>
    <t>279</t>
  </si>
  <si>
    <t>Sd/8</t>
  </si>
  <si>
    <t>Věšák malý  - viz celý popis Sd/8</t>
  </si>
  <si>
    <t>-1524861814</t>
  </si>
  <si>
    <t>HZS</t>
  </si>
  <si>
    <t>Hodinové zúčtovací sazby</t>
  </si>
  <si>
    <t>280</t>
  </si>
  <si>
    <t>HZS2491</t>
  </si>
  <si>
    <t>Hodinové zúčtovací sazby profesí PSV zednické výpomoci a pomocné práce PSV dělník zednických výpomocí</t>
  </si>
  <si>
    <t>512</t>
  </si>
  <si>
    <t>1475814547</t>
  </si>
  <si>
    <t xml:space="preserve">D.1.4 - Technika prostředí staveb </t>
  </si>
  <si>
    <t xml:space="preserve">D.1.4.01 - Soupis prací - Zdravotechnika </t>
  </si>
  <si>
    <t>PSV - PSV</t>
  </si>
  <si>
    <t xml:space="preserve">    721- - Zdravotechnika</t>
  </si>
  <si>
    <t>721-</t>
  </si>
  <si>
    <t>Zdravotechnika</t>
  </si>
  <si>
    <t>721</t>
  </si>
  <si>
    <t>kpl</t>
  </si>
  <si>
    <t>-2039881732</t>
  </si>
  <si>
    <t>D.1.4.02 - Soupis prací - Vytápění</t>
  </si>
  <si>
    <t xml:space="preserve">    731- - Ústřední vytápění </t>
  </si>
  <si>
    <t>731-</t>
  </si>
  <si>
    <t xml:space="preserve">Ústřední vytápění </t>
  </si>
  <si>
    <t>731</t>
  </si>
  <si>
    <t>575000790</t>
  </si>
  <si>
    <t>D.1.4.03 - Soupis prací - Elektroinstalace silnoproud</t>
  </si>
  <si>
    <t>603451980</t>
  </si>
  <si>
    <t xml:space="preserve">D.1.4.04 - Soupis prací - Elektroinstalace slaboproud </t>
  </si>
  <si>
    <t>Úroveň 3:</t>
  </si>
  <si>
    <t>D.1.4.04.1 - Soupis prací - EPS</t>
  </si>
  <si>
    <t>742-1</t>
  </si>
  <si>
    <t>53180711</t>
  </si>
  <si>
    <t>D.1.4.04.2 - Soupis prací - NZS</t>
  </si>
  <si>
    <t>742-2</t>
  </si>
  <si>
    <t>1367798076</t>
  </si>
  <si>
    <t>D.1.4.04.3 - Soupis prací - PZTS</t>
  </si>
  <si>
    <t>742-3</t>
  </si>
  <si>
    <t>1425404317</t>
  </si>
  <si>
    <t>D.1.4.04.4 - Soupis prací - SLB-IT</t>
  </si>
  <si>
    <t>742-4</t>
  </si>
  <si>
    <t>-1639824114</t>
  </si>
  <si>
    <t xml:space="preserve">D.1.4.05 - Soupis prací - Vzduchotechnika </t>
  </si>
  <si>
    <t xml:space="preserve">    751 - Vzduchotechnika</t>
  </si>
  <si>
    <t>751</t>
  </si>
  <si>
    <t>Vzduchotechnika</t>
  </si>
  <si>
    <t>547235615</t>
  </si>
  <si>
    <t xml:space="preserve">D.1.4.06 - Soupis prací - Gastro </t>
  </si>
  <si>
    <t xml:space="preserve">D.1.4.06.1 - Soupis prací - Gastro </t>
  </si>
  <si>
    <t>791-1</t>
  </si>
  <si>
    <t>143120379</t>
  </si>
  <si>
    <t>791-2</t>
  </si>
  <si>
    <t>167423475</t>
  </si>
  <si>
    <t>D.1.4.06.2 - Soupis prací - Gastro obj. systém</t>
  </si>
  <si>
    <t>2103185178</t>
  </si>
  <si>
    <t>D.1.4.06.3 - Soupis prací - Gastro HACCP</t>
  </si>
  <si>
    <t>791-3</t>
  </si>
  <si>
    <t>275848429</t>
  </si>
  <si>
    <t>D.1.4.06.4 - Soupis prací - Gastro demontáž</t>
  </si>
  <si>
    <t>791-4</t>
  </si>
  <si>
    <t>1597015669</t>
  </si>
  <si>
    <t>D.1.4.06.5 - Soupis prací - Gastro demontáž TG</t>
  </si>
  <si>
    <t>791-5</t>
  </si>
  <si>
    <t>-1392359101</t>
  </si>
  <si>
    <t>540965642</t>
  </si>
  <si>
    <t xml:space="preserve">VON - Vedlejší a ostatní náklady </t>
  </si>
  <si>
    <t xml:space="preserve">VON - Soupis prací - Vedlejší a ostatní náklady </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</si>
  <si>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</si>
  <si>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</si>
  <si>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</si>
  <si>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</si>
  <si>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</si>
  <si>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</si>
  <si>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</si>
  <si>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</si>
  <si>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</si>
  <si>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</si>
  <si>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010001000</t>
  </si>
  <si>
    <t>…</t>
  </si>
  <si>
    <t>1024</t>
  </si>
  <si>
    <t>2007156830</t>
  </si>
  <si>
    <t>VRN3</t>
  </si>
  <si>
    <t>Zařízení staveniště</t>
  </si>
  <si>
    <t>031002000</t>
  </si>
  <si>
    <t>Související práce pro zařízení staveniště</t>
  </si>
  <si>
    <t>-1166961949</t>
  </si>
  <si>
    <t>032002000</t>
  </si>
  <si>
    <t>Vybavení staveniště</t>
  </si>
  <si>
    <t>938827841</t>
  </si>
  <si>
    <t>033002000</t>
  </si>
  <si>
    <t>Připojení staveniště na inženýrské sítě</t>
  </si>
  <si>
    <t>-551559037</t>
  </si>
  <si>
    <t>034002000</t>
  </si>
  <si>
    <t>Zabezpečení staveniště</t>
  </si>
  <si>
    <t>1332825665</t>
  </si>
  <si>
    <t>035002000</t>
  </si>
  <si>
    <t>Pronájmy ploch, objektů</t>
  </si>
  <si>
    <t>-1500597143</t>
  </si>
  <si>
    <t>039002000</t>
  </si>
  <si>
    <t>Zrušení zařízení staveniště</t>
  </si>
  <si>
    <t>-533944392</t>
  </si>
  <si>
    <t>VRN4</t>
  </si>
  <si>
    <t>Inženýrská činnost</t>
  </si>
  <si>
    <t>043002000</t>
  </si>
  <si>
    <t>Zkoušky a ostatní měření</t>
  </si>
  <si>
    <t>-117469277</t>
  </si>
  <si>
    <t>044002000</t>
  </si>
  <si>
    <t>Revize</t>
  </si>
  <si>
    <t>-290395850</t>
  </si>
  <si>
    <t>045002000</t>
  </si>
  <si>
    <t>Kompletační a koordinační činnost</t>
  </si>
  <si>
    <t>-1555344803</t>
  </si>
  <si>
    <t>049002000</t>
  </si>
  <si>
    <t>Ostatní inženýrská činnost</t>
  </si>
  <si>
    <t>-1274795088</t>
  </si>
  <si>
    <t>VRN7</t>
  </si>
  <si>
    <t>Provozní vlivy</t>
  </si>
  <si>
    <t>071002000</t>
  </si>
  <si>
    <t>Provoz investora, třetích osob</t>
  </si>
  <si>
    <t>1114279901</t>
  </si>
  <si>
    <t>073002000</t>
  </si>
  <si>
    <t>Ztížený pohyb vozidel v centrech měst</t>
  </si>
  <si>
    <t>-989404838</t>
  </si>
  <si>
    <t>079002000</t>
  </si>
  <si>
    <t>Ostatní provozní vlivy</t>
  </si>
  <si>
    <t>1819289955</t>
  </si>
  <si>
    <t>VRN9</t>
  </si>
  <si>
    <t>Ostatní náklady</t>
  </si>
  <si>
    <t>091002000</t>
  </si>
  <si>
    <t>Ostatní náklady související s objektem</t>
  </si>
  <si>
    <t>-4800563</t>
  </si>
  <si>
    <t>092002000</t>
  </si>
  <si>
    <t>Ostatní náklady související s provozem</t>
  </si>
  <si>
    <t>1470372177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</si>
  <si>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</si>
  <si>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</si>
  <si>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</si>
  <si>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</si>
  <si>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</si>
  <si>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</si>
  <si>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</si>
  <si>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</si>
  <si>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</si>
  <si>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</si>
  <si>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</si>
  <si>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</si>
  <si>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</si>
  <si>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</si>
  <si>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</si>
  <si>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</si>
  <si>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</si>
  <si>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</si>
  <si>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</si>
  <si>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</si>
  <si>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</si>
  <si>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</si>
  <si>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</si>
  <si>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</si>
  <si>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</si>
  <si>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</si>
  <si>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</si>
  <si>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</si>
  <si>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</si>
  <si>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</si>
  <si>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</si>
  <si>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</si>
  <si>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</si>
  <si>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</si>
  <si>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</si>
  <si>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</si>
  <si>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</si>
  <si>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</si>
  <si>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</si>
  <si>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</si>
  <si>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</si>
  <si>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</si>
  <si>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</si>
  <si>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</si>
  <si>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</si>
  <si>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</si>
  <si>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</si>
  <si>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</si>
  <si>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</si>
  <si>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</si>
  <si>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</si>
  <si>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</si>
  <si>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</si>
  <si>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</si>
  <si>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</si>
  <si>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</si>
  <si>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</si>
  <si>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</si>
  <si>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</si>
  <si>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</si>
  <si>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</si>
  <si>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</si>
  <si>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</si>
  <si>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</si>
  <si>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</si>
  <si>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</si>
  <si>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</si>
  <si>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</si>
  <si>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</si>
  <si>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</si>
  <si>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</si>
  <si>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</si>
  <si>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</si>
  <si>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</si>
  <si>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</si>
  <si>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</si>
  <si>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</si>
  <si>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</si>
  <si>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</si>
  <si>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</si>
  <si>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</si>
  <si>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</si>
  <si>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</si>
  <si>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</si>
  <si>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</si>
  <si>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</si>
  <si>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</si>
  <si>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</si>
  <si>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</si>
  <si>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</si>
  <si>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</si>
  <si>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</si>
  <si>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</si>
  <si>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</si>
  <si>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</si>
  <si>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</si>
  <si>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</si>
  <si>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</si>
  <si>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</si>
  <si>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</si>
  <si>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</si>
  <si>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</si>
  <si>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</si>
  <si>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</si>
  <si>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</si>
  <si>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</si>
  <si>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</si>
  <si>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</si>
  <si>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</si>
  <si>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</si>
  <si>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</si>
  <si>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</si>
  <si>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</si>
  <si>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</si>
  <si>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</si>
  <si>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</si>
  <si>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</si>
  <si>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</si>
  <si>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</si>
  <si>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</si>
  <si>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</si>
  <si>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</si>
  <si>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</si>
  <si>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</si>
  <si>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</si>
  <si>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</si>
  <si>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</si>
  <si>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</si>
  <si>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</si>
  <si>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</si>
  <si>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</si>
  <si>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</si>
  <si>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</si>
  <si>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</si>
  <si>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</si>
  <si>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</si>
  <si>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</si>
  <si>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</si>
  <si>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</si>
  <si>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</si>
  <si>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</si>
  <si>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</si>
  <si>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</si>
  <si>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</si>
  <si>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</si>
  <si>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</si>
  <si>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</si>
  <si>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</si>
  <si>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</si>
  <si>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</si>
  <si>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</si>
  <si>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</si>
  <si>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</si>
  <si>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</si>
  <si>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</si>
  <si>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</si>
  <si>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</si>
  <si>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</si>
  <si>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</si>
  <si>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</si>
  <si>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</si>
  <si>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</si>
  <si>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</si>
  <si>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</si>
  <si>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</si>
  <si>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</si>
  <si>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</si>
  <si>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</si>
  <si>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</si>
  <si>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</si>
  <si>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</si>
  <si>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</si>
  <si>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</si>
  <si>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</si>
  <si>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</si>
  <si>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</si>
  <si>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</si>
  <si>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</si>
  <si>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</si>
  <si>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</si>
  <si>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</si>
  <si>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</si>
  <si>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</si>
  <si>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 xml:space="preserve">SLB-IT v2- viz přiložený samostatný rozpočet </t>
  </si>
  <si>
    <t>Celkem:</t>
  </si>
  <si>
    <t>_</t>
  </si>
  <si>
    <t>9_</t>
  </si>
  <si>
    <t>900_</t>
  </si>
  <si>
    <t>Stavební přípomoce 5%</t>
  </si>
  <si>
    <t>001</t>
  </si>
  <si>
    <t>900</t>
  </si>
  <si>
    <t>72_</t>
  </si>
  <si>
    <t>725_</t>
  </si>
  <si>
    <t>Přesun vybour.hmot, zařizovací předměty H 6 m</t>
  </si>
  <si>
    <t>725590811R00</t>
  </si>
  <si>
    <t>Dvířka z plastu, 200 x 300 mm</t>
  </si>
  <si>
    <t>725980122R00</t>
  </si>
  <si>
    <t>Sifon pro odvod kondenzátu pro klimatizace HL138, 5/4 "</t>
  </si>
  <si>
    <t>725860217VL</t>
  </si>
  <si>
    <t>HL136N sifon kondenzační DN 40  PP vodorovný odtok</t>
  </si>
  <si>
    <t>28654741</t>
  </si>
  <si>
    <t>Montáž U-sifonu</t>
  </si>
  <si>
    <t>725869218R00</t>
  </si>
  <si>
    <t>soubor</t>
  </si>
  <si>
    <t>Ventil rohový s filtrem DN 15 x DN 10</t>
  </si>
  <si>
    <t>725814105R00</t>
  </si>
  <si>
    <t>Ventil rohový bez zpět. kl. DN15 x DN20</t>
  </si>
  <si>
    <t>725814123R00</t>
  </si>
  <si>
    <t>Set sprchový hadice, růžice, držák 901.00</t>
  </si>
  <si>
    <t>55145352</t>
  </si>
  <si>
    <t>Baterie termost.sprchová nástěn.,bez příslušenství</t>
  </si>
  <si>
    <t>725845811R00</t>
  </si>
  <si>
    <t>Sifon ke sprchové vaničce PP HL 522, D 40/50 mm</t>
  </si>
  <si>
    <t>725860224R00</t>
  </si>
  <si>
    <t>Vanička sprch. keram. čtverec 800x800 mm</t>
  </si>
  <si>
    <t>642938006</t>
  </si>
  <si>
    <t>Montáž sprchových mís a vaniček</t>
  </si>
  <si>
    <t>725249102R00</t>
  </si>
  <si>
    <t>Baterie dřezová směš. nástěnná s ploch ústím</t>
  </si>
  <si>
    <t>55145014</t>
  </si>
  <si>
    <t>Montáž baterie umyv.a dřezové nástěnné chromové</t>
  </si>
  <si>
    <t>725829201R00</t>
  </si>
  <si>
    <t>Splachovač nádržkový z PH úsporný</t>
  </si>
  <si>
    <t>55147033</t>
  </si>
  <si>
    <t>Montáž splachovacích nádrží vysokopoložených</t>
  </si>
  <si>
    <t>725119105R00</t>
  </si>
  <si>
    <t>Výlevka nerez SLVN 03 stojící s mřížkou</t>
  </si>
  <si>
    <t>Montáž výlevky, bez nádrže a armatur</t>
  </si>
  <si>
    <t>725339101R00</t>
  </si>
  <si>
    <t>Výlevka stojící MIRA 5104.6 s plastovou mřížkou</t>
  </si>
  <si>
    <t>Sifon dřezový HL100G, D 40, 50 mm, 6/4"</t>
  </si>
  <si>
    <t>725860202R00</t>
  </si>
  <si>
    <t>Sifon umyvadlový HL132, D 32, 40 mm</t>
  </si>
  <si>
    <t>725860213R00</t>
  </si>
  <si>
    <t>Baterie umyvadlová nástěnná ruční</t>
  </si>
  <si>
    <t>725825111R00</t>
  </si>
  <si>
    <t>Umyvadlo nerez SLUN 13 s opláštěním</t>
  </si>
  <si>
    <t>Montáž umyvadel na šrouby do zdiva</t>
  </si>
  <si>
    <t>725219401R00</t>
  </si>
  <si>
    <t>Umyvadlo na šrouby OLYMP Deep 60 x 45 cm, bílé</t>
  </si>
  <si>
    <t>Držák toaletního papíru nerez</t>
  </si>
  <si>
    <t>55149005</t>
  </si>
  <si>
    <t>Modul-PRO WC SYSTEM+PANEL SET, pro závěsné WC</t>
  </si>
  <si>
    <t>726212331R00</t>
  </si>
  <si>
    <t>včetně sedátka v bílé barvě</t>
  </si>
  <si>
    <t>Klozet závěsný OLYMP + sedátko, bílý</t>
  </si>
  <si>
    <t>Demontáž výlevky diturvitové</t>
  </si>
  <si>
    <t>725330820R00</t>
  </si>
  <si>
    <t>Demontáž sprchových mís bez výtokových armatur</t>
  </si>
  <si>
    <t>725240812R00</t>
  </si>
  <si>
    <t>Demontáž uzávěrek zápachových jednoduchých</t>
  </si>
  <si>
    <t>725860811R00</t>
  </si>
  <si>
    <t>Demontáž umyvadel bez výtokových armatur</t>
  </si>
  <si>
    <t>725210821R00</t>
  </si>
  <si>
    <t>Demontáž ramene sprchy</t>
  </si>
  <si>
    <t>725840860R00</t>
  </si>
  <si>
    <t>Demontáž klozetů kombinovaných</t>
  </si>
  <si>
    <t>725110814R00</t>
  </si>
  <si>
    <t>Demontáž baterie nástěnné do G 3/4</t>
  </si>
  <si>
    <t>725820801R00</t>
  </si>
  <si>
    <t>Zařizovací předměty</t>
  </si>
  <si>
    <t>722_</t>
  </si>
  <si>
    <t>Přesun vybouraných hmot - vodovody, H do 6 m</t>
  </si>
  <si>
    <t>722290821R00</t>
  </si>
  <si>
    <t>Proplach a dezinfekce vodovod.potrubí DN 80</t>
  </si>
  <si>
    <t>722290234R00</t>
  </si>
  <si>
    <t>Tlaková zkouška vodovodního potrubí DN 50</t>
  </si>
  <si>
    <t>722280108R00</t>
  </si>
  <si>
    <t>Tlaková zkouška vodovodního potrubí DN 40</t>
  </si>
  <si>
    <t>722280107R00</t>
  </si>
  <si>
    <t>Tlaková zkouška vodovodního potrubí DN 32</t>
  </si>
  <si>
    <t>722280106R00</t>
  </si>
  <si>
    <t>Zazátkování vývodu</t>
  </si>
  <si>
    <t>722130901R00</t>
  </si>
  <si>
    <t>Oprava-propojení dosavadního potrubí závit. DN 50</t>
  </si>
  <si>
    <t>722131936R00</t>
  </si>
  <si>
    <t>Oprava-propojení dosavadního potrubí závit. DN 25</t>
  </si>
  <si>
    <t>722131933R00</t>
  </si>
  <si>
    <t>Vodoměr bytový TV DN 15x80 mm, Qn 2,5</t>
  </si>
  <si>
    <t>722264325R00</t>
  </si>
  <si>
    <t>Vodoměr bytový SV DN 20x130 mm, Qn 4</t>
  </si>
  <si>
    <t>722264324R00</t>
  </si>
  <si>
    <t>Hadice flexibilní k baterii,DN 15 x M10,délka 0,4m</t>
  </si>
  <si>
    <t>722191111R00</t>
  </si>
  <si>
    <t>Kohout vod.kul.,2xvnitř.záv. R250D DN 40</t>
  </si>
  <si>
    <t>722237125R00</t>
  </si>
  <si>
    <t>Kohout vod.kul.,2xvnitř.záv. R250D DN 25</t>
  </si>
  <si>
    <t>722237123R00</t>
  </si>
  <si>
    <t>Kohout vod.kul.,2xvnitř.záv. R250D DN 20</t>
  </si>
  <si>
    <t>722237122R00</t>
  </si>
  <si>
    <t>Nástěnka PP-R D 20xR1/2</t>
  </si>
  <si>
    <t>722202213R00</t>
  </si>
  <si>
    <t>Vyvedení a upevnění výpustek DN 15</t>
  </si>
  <si>
    <t>722190401R00</t>
  </si>
  <si>
    <t>vnitřní průměr 50 mm</t>
  </si>
  <si>
    <t>Izolace návleková MIRELON PRO tl. stěny 13 mm, vnitřní průměr 50 mm</t>
  </si>
  <si>
    <t>vnitřní průměr 40 mm</t>
  </si>
  <si>
    <t>Izolace návleková MIRELON PRO tl. stěny 13 mm, vnitřní průměr 40 mm</t>
  </si>
  <si>
    <t>vnitřní průměr 32 mm</t>
  </si>
  <si>
    <t>Izolace návleková MIRELON PRO tl. stěny 13 mm, vnitřní průměr 32 mm</t>
  </si>
  <si>
    <t>vnitřní průměr 25 mm</t>
  </si>
  <si>
    <t>Izolace návleková MIRELON PRO tl. stěny 13 mm, vnitřní průměr 25 mm</t>
  </si>
  <si>
    <t>vnitřní průměr 22 mm</t>
  </si>
  <si>
    <t>Izolace návleková MIRELON PRO tl. stěny 13 mm, vnitřní průměr 22 mm</t>
  </si>
  <si>
    <t>Žlab nosný pozinkovaný d 50 mm</t>
  </si>
  <si>
    <t>28654102.A</t>
  </si>
  <si>
    <t>Potrubí z PPR, D 50 x 6,9 mm, PN 16</t>
  </si>
  <si>
    <t>722172715R00</t>
  </si>
  <si>
    <t>Potrubí z PPR, D 40 x 5,5 mm, PN 16</t>
  </si>
  <si>
    <t>722172714R00</t>
  </si>
  <si>
    <t>Potrubí z PPR, D 32 x 4,4 mm, PN 16</t>
  </si>
  <si>
    <t>722172713R00</t>
  </si>
  <si>
    <t>Potrubí z PPR, D 25 x 3,5 mm, PN 16</t>
  </si>
  <si>
    <t>722172712R00</t>
  </si>
  <si>
    <t>Potrubí z PPR, D 20 x 2,8 mm, PN 16</t>
  </si>
  <si>
    <t>722172711R00</t>
  </si>
  <si>
    <t>Demontáž potrubí ocelových závitových DN 40</t>
  </si>
  <si>
    <t>722130802R00</t>
  </si>
  <si>
    <t>Demontáž potrubí ocelových závitových DN 25</t>
  </si>
  <si>
    <t>722130801R00</t>
  </si>
  <si>
    <t>Vnitřní vodovod</t>
  </si>
  <si>
    <t>722</t>
  </si>
  <si>
    <t>721_</t>
  </si>
  <si>
    <t>Přesun vybouraných hmot - kanalizace, H do 6 m</t>
  </si>
  <si>
    <t>721290821R00</t>
  </si>
  <si>
    <t>Vpusť podlahová nerezová se suchou zápachovou uzávěrkou DN50</t>
  </si>
  <si>
    <t>721223425R00</t>
  </si>
  <si>
    <t>Zkouška těsnosti kanalizace vodou DN 200</t>
  </si>
  <si>
    <t>721290112R00</t>
  </si>
  <si>
    <t>Zkouška těsnosti kanalizace vodou DN 125</t>
  </si>
  <si>
    <t>721290111R00</t>
  </si>
  <si>
    <t>Vyvedení odpadních výpustek D 110 x 2,3</t>
  </si>
  <si>
    <t>721194109R00</t>
  </si>
  <si>
    <t>Vyvedení odpadních výpustek D 50 x 1,8</t>
  </si>
  <si>
    <t>721194105R00</t>
  </si>
  <si>
    <t>Vyvedení odpadních výpustek D 40 x 1,8</t>
  </si>
  <si>
    <t>721194104R00</t>
  </si>
  <si>
    <t>Kus čisticí HTRE D 160 mm PP</t>
  </si>
  <si>
    <t>28615445.A</t>
  </si>
  <si>
    <t>Potrubí HT svodné (ležaté) v zemi D 160 x 3,9 mm</t>
  </si>
  <si>
    <t>721176127R00</t>
  </si>
  <si>
    <t>Potrubí HT svodné (ležaté) DN 125 x 3,1 mm</t>
  </si>
  <si>
    <t>721176126R00</t>
  </si>
  <si>
    <t>Potrubí HT svodné (ležaté) D 110 x 2,7 mm</t>
  </si>
  <si>
    <t>721176125R00</t>
  </si>
  <si>
    <t>Potrubí HT připojovací D 110 x 2,7 mm</t>
  </si>
  <si>
    <t>721176105R00</t>
  </si>
  <si>
    <t>Potrubí HT připojovací D 50 x 1,8 mm</t>
  </si>
  <si>
    <t>721176103R00</t>
  </si>
  <si>
    <t>Potrubí HT připojovací D 40 x 1,8 mm</t>
  </si>
  <si>
    <t>721176102R00</t>
  </si>
  <si>
    <t>Potrubí HT připojovací D 32 x 1,8 mm</t>
  </si>
  <si>
    <t>721176101R00</t>
  </si>
  <si>
    <t>Oprava - přechod z plastových trub na litinu DN100</t>
  </si>
  <si>
    <t>721140935R00</t>
  </si>
  <si>
    <t>Oprava potrubí kamenin., vsazení odbočky DN 150</t>
  </si>
  <si>
    <t>721110907R00</t>
  </si>
  <si>
    <t>Demontáž vpusti podlahové DN 100</t>
  </si>
  <si>
    <t>721210813R00</t>
  </si>
  <si>
    <t>Demontáž potrubí z PVC do D 75 mm</t>
  </si>
  <si>
    <t>721171803R00</t>
  </si>
  <si>
    <t>Vnitřní kanalizace</t>
  </si>
  <si>
    <t>1_</t>
  </si>
  <si>
    <t>13_</t>
  </si>
  <si>
    <t>Bourání konstrukcí z betonu prokl.kam. v odkopávk.</t>
  </si>
  <si>
    <t>120901122R00</t>
  </si>
  <si>
    <t>Lože pod potrubí z kameniva těženého 0 - 4 mm</t>
  </si>
  <si>
    <t>451572111R00</t>
  </si>
  <si>
    <t>Ruční výkop v hornině 4</t>
  </si>
  <si>
    <t>139600013RA0</t>
  </si>
  <si>
    <t>CELK</t>
  </si>
  <si>
    <t>WORK</t>
  </si>
  <si>
    <t>MAT</t>
  </si>
  <si>
    <t>Ostatní mat.</t>
  </si>
  <si>
    <t>Mont prac</t>
  </si>
  <si>
    <t>Mont mat</t>
  </si>
  <si>
    <t>PSV prac</t>
  </si>
  <si>
    <t>PSV mat</t>
  </si>
  <si>
    <t>HSV prac</t>
  </si>
  <si>
    <t>HSV mat</t>
  </si>
  <si>
    <t>Typ skupiny</t>
  </si>
  <si>
    <t>Přesuny</t>
  </si>
  <si>
    <t>Celkem</t>
  </si>
  <si>
    <t>Jednot.</t>
  </si>
  <si>
    <t>Montáž</t>
  </si>
  <si>
    <t>Dodávka</t>
  </si>
  <si>
    <t>cena (Kč)</t>
  </si>
  <si>
    <t>Rozměry</t>
  </si>
  <si>
    <t>Hmotnost (t)</t>
  </si>
  <si>
    <t>Náklady (Kč)</t>
  </si>
  <si>
    <t>M.j.</t>
  </si>
  <si>
    <t>Zkrácený popis / Varianta</t>
  </si>
  <si>
    <t>Č</t>
  </si>
  <si>
    <t>Ing. Michal Albrecht</t>
  </si>
  <si>
    <t>Zpracoval:</t>
  </si>
  <si>
    <t>12.12.2019</t>
  </si>
  <si>
    <t>Zpracováno dne:</t>
  </si>
  <si>
    <t>JKSO:</t>
  </si>
  <si>
    <t> </t>
  </si>
  <si>
    <t>Konec výstavby:</t>
  </si>
  <si>
    <t>Praha 1</t>
  </si>
  <si>
    <t>Lokalita:</t>
  </si>
  <si>
    <t>Ing. Michal Albrecht, ALBI PROJEKT s.r.o</t>
  </si>
  <si>
    <t>Začátek výstavby:</t>
  </si>
  <si>
    <t>D.1.4. Zdravotně technické instalace</t>
  </si>
  <si>
    <t>Druh stavby:</t>
  </si>
  <si>
    <t>Úřad vlády České republiky</t>
  </si>
  <si>
    <t>Objednatel:</t>
  </si>
  <si>
    <t>Doba výstavby:</t>
  </si>
  <si>
    <t>ÚPRAVY GASTROPROVOZU ÚŘADU VLÁDY ČR V 1.PP STRAKOVY AKADEMIE</t>
  </si>
  <si>
    <t>Název stavby:</t>
  </si>
  <si>
    <t>Stavební rozpočet</t>
  </si>
  <si>
    <t>Zdravotechnika - viz "ZTI"</t>
  </si>
  <si>
    <t>Vypouštění topného systému</t>
  </si>
  <si>
    <t>100-003UT</t>
  </si>
  <si>
    <t>Napuštění a odvzdušnění topného systému</t>
  </si>
  <si>
    <t>100-002UT</t>
  </si>
  <si>
    <t>78_</t>
  </si>
  <si>
    <t>783_</t>
  </si>
  <si>
    <t>Nátěr syntetický litin. radiátorů 1x + 1x email</t>
  </si>
  <si>
    <t>783324140R00</t>
  </si>
  <si>
    <t>Nátěr syntet. potrubí do DN 50 mm  1x +1x email</t>
  </si>
  <si>
    <t>783424240R00</t>
  </si>
  <si>
    <t>Nátěry</t>
  </si>
  <si>
    <t>73_</t>
  </si>
  <si>
    <t>735_</t>
  </si>
  <si>
    <t>Odpojení a připojení těles po nátěru</t>
  </si>
  <si>
    <t>735117110R00</t>
  </si>
  <si>
    <t>Montáž těles otopných litinových článkových</t>
  </si>
  <si>
    <t>735119140R00</t>
  </si>
  <si>
    <t>Demontáž těles otopných litinových článkových</t>
  </si>
  <si>
    <t>735111810R00</t>
  </si>
  <si>
    <t>Otopná tělesa</t>
  </si>
  <si>
    <t>735</t>
  </si>
  <si>
    <t>733_</t>
  </si>
  <si>
    <t>Zaslepení potrubí zkováním a zavařením DN 15</t>
  </si>
  <si>
    <t>733191913R00</t>
  </si>
  <si>
    <t>Demontáž potrubí ocelového závitového do DN 15</t>
  </si>
  <si>
    <t>733110803R00</t>
  </si>
  <si>
    <t>Rozvod potrubí</t>
  </si>
  <si>
    <t>733</t>
  </si>
  <si>
    <t>D.1.4. TPS – Vytápění</t>
  </si>
  <si>
    <t>Úřad vlády České republiky, nábřeží Edvarda Beneše</t>
  </si>
  <si>
    <t>Položkový rozpočet</t>
  </si>
  <si>
    <t>#TypZaznamu#</t>
  </si>
  <si>
    <t>S:</t>
  </si>
  <si>
    <t>ÚPRAVA GASTROPROVOZU ÚŘADU VLÁDY ČR V 1PP STRAKOVY AKADEMIE</t>
  </si>
  <si>
    <t>O:</t>
  </si>
  <si>
    <t>D1.4.4</t>
  </si>
  <si>
    <t>SILNOPROUDÁ ELEKTROTECHNIKA</t>
  </si>
  <si>
    <t>OBJ</t>
  </si>
  <si>
    <t>R:</t>
  </si>
  <si>
    <t>02</t>
  </si>
  <si>
    <t>Výkaz výměr- SILNOPROUDÁ ELEKTROTECHNIKA</t>
  </si>
  <si>
    <t>ROZ</t>
  </si>
  <si>
    <t>P.č.</t>
  </si>
  <si>
    <t>Číslo položky</t>
  </si>
  <si>
    <t>Název položky</t>
  </si>
  <si>
    <t>Číslo výkresu</t>
  </si>
  <si>
    <t>množství</t>
  </si>
  <si>
    <t>cena / MJ</t>
  </si>
  <si>
    <t>Celkem bez DPH</t>
  </si>
  <si>
    <t>Díl:</t>
  </si>
  <si>
    <t>Montáže</t>
  </si>
  <si>
    <t>DIL</t>
  </si>
  <si>
    <t>Nová přípojka pro rozvaděč R.GASTRO</t>
  </si>
  <si>
    <t>Výkop kabelové trasy z TS do objektu</t>
  </si>
  <si>
    <t>Odvoz a uskladnění výkopového materiálu z rýhy 0,5x0,6m</t>
  </si>
  <si>
    <t>Nový materiál pro zásyp kabelové rýhy 0,5x0.6m</t>
  </si>
  <si>
    <t>Výstražná folie</t>
  </si>
  <si>
    <t>Utěsnění prostupu do objektu</t>
  </si>
  <si>
    <t>ks</t>
  </si>
  <si>
    <t>Uložení kabelu v kolektoru</t>
  </si>
  <si>
    <t>Kabelové příchytky pro upevnění ke kabelovým lávkám</t>
  </si>
  <si>
    <t>Kabelový žlab v technické místnosti</t>
  </si>
  <si>
    <t>Kabel 1-CYKY 4x185</t>
  </si>
  <si>
    <t>Elektroinstalace</t>
  </si>
  <si>
    <t>Zásuvka 230V/16A, IP20</t>
  </si>
  <si>
    <t>Zásuvka 230V/16A, IP44</t>
  </si>
  <si>
    <t>Zásuvka 400V/16A, IP44</t>
  </si>
  <si>
    <t>Vypínač ř.1 IP20</t>
  </si>
  <si>
    <t>Vypínač ř.5 IP20</t>
  </si>
  <si>
    <t>Vypínač ř.6 IP20</t>
  </si>
  <si>
    <t>Vypínač ř.6+6 IP20</t>
  </si>
  <si>
    <t>Vypínač ř.7 IP20</t>
  </si>
  <si>
    <t>Vypínač ř. 6 IP44</t>
  </si>
  <si>
    <t>Hlavní havarijní vypínač GASTRO - hříbek</t>
  </si>
  <si>
    <t>Montážní krabice hluboká</t>
  </si>
  <si>
    <t>Montážní krbaice odbočná</t>
  </si>
  <si>
    <t>Vypínač 1f pro vybraná gastro zařízení</t>
  </si>
  <si>
    <t>Vypínač 3f pro vybraná gastro zařízení</t>
  </si>
  <si>
    <t>Pohybové/přítomnostní čidlo</t>
  </si>
  <si>
    <t>Kabel CXKH-R 3Jx1,5</t>
  </si>
  <si>
    <t>Kabel CXKH-R 3Jx2,5</t>
  </si>
  <si>
    <t>Kabel CXKH-R 3Jx4</t>
  </si>
  <si>
    <t>Kabel CXKH-R 3Jx6</t>
  </si>
  <si>
    <t>Kabel CXKH-R 5Jx1,5</t>
  </si>
  <si>
    <t>Kabel CXKH-R 5Jx2,5</t>
  </si>
  <si>
    <t>Kabel CXKH-R 5Jx4</t>
  </si>
  <si>
    <t>Kabel CXKH-R 5Jx6</t>
  </si>
  <si>
    <t>Kabel CXKH-R 5Jx10</t>
  </si>
  <si>
    <t>Kabel CXKH-R 5Jx16</t>
  </si>
  <si>
    <t>Kabel CYKY 3Jx1,5</t>
  </si>
  <si>
    <t>Kabel CYKY 3Jx2,5</t>
  </si>
  <si>
    <t>Kabel 1-CYKY 4x50</t>
  </si>
  <si>
    <t>Kabel 1-CYKY 4x120</t>
  </si>
  <si>
    <t>Topný kabel na potrubí</t>
  </si>
  <si>
    <t>Kabelový žlab 250x10 vč. závitových tyčí a vinglů pro uchycení</t>
  </si>
  <si>
    <t>Chránička d=25mm v podlaze</t>
  </si>
  <si>
    <t>Chránička d=40mm v podlaze</t>
  </si>
  <si>
    <t>Kabelová příchytka k uchycení do stropu</t>
  </si>
  <si>
    <t>Napojení spotřebičů</t>
  </si>
  <si>
    <t>Zakončení kabelů do průřezu 2,5mm v rozvaděči</t>
  </si>
  <si>
    <t>Zakončení kabelů do průřezu 16mm v rozvaděči</t>
  </si>
  <si>
    <t>Zakončení kabelů do průřezu 25mm v rozvaděči</t>
  </si>
  <si>
    <t>Požární ucpávka</t>
  </si>
  <si>
    <t>Úprava rozvaděče RH v objektové TS</t>
  </si>
  <si>
    <t>Rozvaděč R.GASTRO vč. Montáže a vyzbrojení dle schéma rozvaděče (3xpole 800x400x2000)</t>
  </si>
  <si>
    <t>Svorky, spojky a další pomocný materiál</t>
  </si>
  <si>
    <t>Řídící jednotka GREENWALL</t>
  </si>
  <si>
    <t>Osvětlení</t>
  </si>
  <si>
    <t>Svítidlo A</t>
  </si>
  <si>
    <t>1xLED, 2800lm, 33W, přisazené/zavěšené</t>
  </si>
  <si>
    <t>Svítidlo B</t>
  </si>
  <si>
    <t>1xLED, 5500lm, 40W, min. IP44, přisazené zavěšené</t>
  </si>
  <si>
    <t>Svítidlo C</t>
  </si>
  <si>
    <t>1xLED, 2900lm, 34W, zapuštěné do podhledu</t>
  </si>
  <si>
    <t>Svítidlo D</t>
  </si>
  <si>
    <t>1xLED, 6550lm, 58W, přisazené nebo zapuštěné</t>
  </si>
  <si>
    <t>Svítidlo E</t>
  </si>
  <si>
    <t>1xLED, 3150lm, 26W, kancelářské svítidlo</t>
  </si>
  <si>
    <t>Svítidlo F</t>
  </si>
  <si>
    <t>LED pásek 24V, 1094lm/m</t>
  </si>
  <si>
    <t>Svítidlo G</t>
  </si>
  <si>
    <t>1xLED, 3300lm, 27W, zapuštěné do rastru 600x600</t>
  </si>
  <si>
    <t>Svítidlo H</t>
  </si>
  <si>
    <t>1xLED, 3600lm, 34W, kulaté přisazené</t>
  </si>
  <si>
    <t>Svítidlo J</t>
  </si>
  <si>
    <t>1xLED, 2750lm, 20W, přisazené/zavěšené</t>
  </si>
  <si>
    <t>Svítidlo K</t>
  </si>
  <si>
    <t>1xLED, dle požadavku greenwall, downlight</t>
  </si>
  <si>
    <t>Nouzové svítidlo</t>
  </si>
  <si>
    <t>Nouzové svítidlo s piktogramem</t>
  </si>
  <si>
    <t>Vedlejší náklady</t>
  </si>
  <si>
    <t>Zajištění průběžné kontroly, fotodokumentace a výchozí revize</t>
  </si>
  <si>
    <t>Náklady zhotovitele, související s prováděním zkoušek a revizí předepsaných technickými normami nebo objednatelem a které jsou pro provedení díla nezbytné.</t>
  </si>
  <si>
    <t>POL99_2</t>
  </si>
  <si>
    <t>Termovize rozvaděčů</t>
  </si>
  <si>
    <t>Zjištění skutečného stavu elektroinstalace před montáží</t>
  </si>
  <si>
    <t>Prověřit že stav odpovídá výchozím podkladům</t>
  </si>
  <si>
    <t>Demontáž stávající elektroinstalace</t>
  </si>
  <si>
    <t>Demontáž stávajících přívodních kabelu pro VZT a GASTRO</t>
  </si>
  <si>
    <t>Ekologická likvidace demontovaných koncových prvků a svítidel</t>
  </si>
  <si>
    <t>Bourací, stavební práce a další pomocné práce</t>
  </si>
  <si>
    <t>Vrtání, drážkování, likvidace odpadu</t>
  </si>
  <si>
    <t>Dokumentace skutečného provedení stavby</t>
  </si>
  <si>
    <t>Koordinace prací s ostatními profesemi</t>
  </si>
  <si>
    <t>CELKEM</t>
  </si>
  <si>
    <t>POP</t>
  </si>
  <si>
    <t>END</t>
  </si>
  <si>
    <t>Celkem s DPH</t>
  </si>
  <si>
    <t>Daň z přidané hodnoty</t>
  </si>
  <si>
    <t>Haléřové vyrovnání</t>
  </si>
  <si>
    <t>Ostatní režijní náklady</t>
  </si>
  <si>
    <t>Náklady na přepravu a ubytování</t>
  </si>
  <si>
    <t>Náklady na dopravu a přepravu materiálu</t>
  </si>
  <si>
    <t>Práce  a služby</t>
  </si>
  <si>
    <t>Dodávky</t>
  </si>
  <si>
    <t>Základní rozpočtové náklady</t>
  </si>
  <si>
    <t>HLAVA III.</t>
  </si>
  <si>
    <t>Rekapitulace rozpočtu</t>
  </si>
  <si>
    <t>DPH:</t>
  </si>
  <si>
    <t>Koordinační činnost</t>
  </si>
  <si>
    <t>Funkční zkouška</t>
  </si>
  <si>
    <t>Projekční práce</t>
  </si>
  <si>
    <t>Programování, nastavení zařízení</t>
  </si>
  <si>
    <t>Oživení a nastavení technologie</t>
  </si>
  <si>
    <t>Montáž instalačního materiálu</t>
  </si>
  <si>
    <t>Montáž, zapojení zařízení</t>
  </si>
  <si>
    <t>kpl.</t>
  </si>
  <si>
    <t>Drobný instalační materiál</t>
  </si>
  <si>
    <t>DIM</t>
  </si>
  <si>
    <t>Kabelový kanál LKM20030 RW bílá</t>
  </si>
  <si>
    <t>LKM20030RW</t>
  </si>
  <si>
    <t>Podpěra rychloupínací 125, SZ</t>
  </si>
  <si>
    <t>NPR 125_S</t>
  </si>
  <si>
    <t>Šroub vratový a samojisticí matice 6x10, GMT</t>
  </si>
  <si>
    <t>NSM 6x10_GMT</t>
  </si>
  <si>
    <t>Kotva 6x50, zinkochromát</t>
  </si>
  <si>
    <t>KPO 6x50_PO</t>
  </si>
  <si>
    <t>Pojistka</t>
  </si>
  <si>
    <t>NPPVZ_S</t>
  </si>
  <si>
    <t>Profil montážní 300, ŽZ</t>
  </si>
  <si>
    <t>NMP 300_F</t>
  </si>
  <si>
    <t>Konzola, ŽZ</t>
  </si>
  <si>
    <t>NKO_F</t>
  </si>
  <si>
    <t>Šroub + matice + plochá podložka 5x10, ZNCR</t>
  </si>
  <si>
    <t>NSMP 10x40_ZNCR</t>
  </si>
  <si>
    <t>Oblouk 90° 90x50x62, ŽZ</t>
  </si>
  <si>
    <t>NO 90x50x62_F</t>
  </si>
  <si>
    <t>Žlab děrovaný 50x62x0.70, integr.spojka, ŽZ (1ks=2m)</t>
  </si>
  <si>
    <t>NKZI 50x62x0.70</t>
  </si>
  <si>
    <t>Protipožární identifikační štítek</t>
  </si>
  <si>
    <t>b</t>
  </si>
  <si>
    <t>Minerální plst TECHROCK 80, tloušťka 40mm</t>
  </si>
  <si>
    <t>ROCKWOOL</t>
  </si>
  <si>
    <t>Zpěňující protipožární tmel (tuba 310ml)</t>
  </si>
  <si>
    <t>CP611A mat.</t>
  </si>
  <si>
    <t>Krabice odbočná s víčkem</t>
  </si>
  <si>
    <t>KO 97/5_KA</t>
  </si>
  <si>
    <t>Ochranná hadice FX 25 šedá, PVC</t>
  </si>
  <si>
    <t>Lišta 25x20mm, bílá</t>
  </si>
  <si>
    <t>EIP25020</t>
  </si>
  <si>
    <t>Plastová nízká propojovací krabice, 24+1 šroubovací svorka</t>
  </si>
  <si>
    <t>J24</t>
  </si>
  <si>
    <t>Krabice 14x0.5-4mm2, P90-R/E90, 176x126x87</t>
  </si>
  <si>
    <t>KSK 175-DPO</t>
  </si>
  <si>
    <t>Šroub HL S, délka 52mm</t>
  </si>
  <si>
    <t>HL S 7,5*52</t>
  </si>
  <si>
    <t>Úchytka pro jednotlivý kabel 10mm</t>
  </si>
  <si>
    <t>HL P1 10</t>
  </si>
  <si>
    <t>Kabel hnědý PraFlaGuard-F 1x2x0.8</t>
  </si>
  <si>
    <t>Kabel hnědý PraFlaGuard-F 2x2x0.8</t>
  </si>
  <si>
    <t>Kabel J-Y(ST)Y 2x2x0.8mm RUDÝ</t>
  </si>
  <si>
    <t>J-Y(ST)Y2x2x0.8</t>
  </si>
  <si>
    <t>Jedn. cena</t>
  </si>
  <si>
    <t>Počet</t>
  </si>
  <si>
    <t>Popis položky</t>
  </si>
  <si>
    <t>Dodávka EPS - Instalační materiál</t>
  </si>
  <si>
    <t>Popisný štítek s adresou prvku malý</t>
  </si>
  <si>
    <t>AKU 12V/38Ah se šroubovými svorkami M6 a životností až 10</t>
  </si>
  <si>
    <t>PS12380 VdS</t>
  </si>
  <si>
    <t>Spínaný zdroj, LCD displej, 27,6V/5A trvale/7A krátkodobě;</t>
  </si>
  <si>
    <t>EN54-7A40LCD</t>
  </si>
  <si>
    <t>Dvoutónová nezál. červená polariz. siréna 102dB</t>
  </si>
  <si>
    <t>ROLP/R/D</t>
  </si>
  <si>
    <t>Pojistný PVC stahovací pásek pro tepelný kabel</t>
  </si>
  <si>
    <t>Držák teplotního kabelu T-clip, plast, montáž kabe</t>
  </si>
  <si>
    <t>ACA-CT-100</t>
  </si>
  <si>
    <t>Lineární teplotní kabel, detekční teplota 87,8°C.</t>
  </si>
  <si>
    <t>PW-PHSC-190-EPC</t>
  </si>
  <si>
    <t>Skříň pro koppler na omítku, šedá</t>
  </si>
  <si>
    <t>Napěťový konvertor 12V-24V/12V DC</t>
  </si>
  <si>
    <t>Deska izolátoru pro esserbus-Koppler</t>
  </si>
  <si>
    <t>Modul RTZ 8000 / 24V pro spec. hlásiče</t>
  </si>
  <si>
    <t>Esserbus® koppler Alarmový (4/2)</t>
  </si>
  <si>
    <t>Kovový klíček pro tl. hlásiče</t>
  </si>
  <si>
    <t>b10</t>
  </si>
  <si>
    <t>Náhradní sklíčko pro IQ8 bal. 10ks</t>
  </si>
  <si>
    <t>Skříň tlačítkového hlásiče IQ8 červená</t>
  </si>
  <si>
    <t>Elektronika tlačítka IQ8 s oddělovačem</t>
  </si>
  <si>
    <t>Držák popisných štítků, bal.10 ks</t>
  </si>
  <si>
    <t>IP ochrana pro patici IQ8Quad, bal.10ks</t>
  </si>
  <si>
    <t>Adaptér pro patice IQ8Quad do vlhka</t>
  </si>
  <si>
    <t>Patice pro hlásiče IQ8Quad</t>
  </si>
  <si>
    <t>Termomaximální hlásič tř.B IQ8Quad</t>
  </si>
  <si>
    <t>Opticko-kouřový hlásič IQ8Quad</t>
  </si>
  <si>
    <t>Mikromodul esserbus/esserbus-Plus GT</t>
  </si>
  <si>
    <t>FX808332</t>
  </si>
  <si>
    <t>Rozšiřovací karta 1 se 4 pozicemi pro MM</t>
  </si>
  <si>
    <t>FX808322</t>
  </si>
  <si>
    <t>Dodávka EPS - Zařízení</t>
  </si>
  <si>
    <t>Demontáže</t>
  </si>
  <si>
    <t>RP/PRS/00472.0</t>
  </si>
  <si>
    <t>Rozpočet</t>
  </si>
  <si>
    <t>EPS  - viz "EPS"</t>
  </si>
  <si>
    <t>Elektroinstalace silnoproud - viz "ELEKTRO"</t>
  </si>
  <si>
    <t>Vytápění - viz "UT"</t>
  </si>
  <si>
    <t>NZS - viz "NZS"</t>
  </si>
  <si>
    <t>Projekční práce - skutečný stav</t>
  </si>
  <si>
    <t>Montáž instalačního materiálu vč. trubkování</t>
  </si>
  <si>
    <t>Kabel hnědý PraFlaDur - O 2x1.5, P30-R, PH120-R</t>
  </si>
  <si>
    <t>PRAFlaD-O2x1.5</t>
  </si>
  <si>
    <t>Připojovací adaptér EVAC, balení 100ks</t>
  </si>
  <si>
    <t>Krabice 5x1.5-6mm2, P90-R/E90, 101x101x62</t>
  </si>
  <si>
    <t>KSK 100-PO</t>
  </si>
  <si>
    <t>Dodávka NSZ - Instalační materiál</t>
  </si>
  <si>
    <t>Praesideo - deska dohledu nad linkami</t>
  </si>
  <si>
    <t>Skříňkový kovový reproduktor 6W, EVAC, bílý</t>
  </si>
  <si>
    <t>Dodávka NSZ - Zařízení</t>
  </si>
  <si>
    <t>RP/COT/04962.0</t>
  </si>
  <si>
    <t>Krabice universální KU68, víčko KO68</t>
  </si>
  <si>
    <t>KU 68-1902_KA</t>
  </si>
  <si>
    <t>Ochranná hadice FX 32 šedá, PVC</t>
  </si>
  <si>
    <t>GRIP M/15</t>
  </si>
  <si>
    <t>Kabel CYKY-J 3x1,5mm2</t>
  </si>
  <si>
    <t>CYKY-J 3x1,5</t>
  </si>
  <si>
    <t>Kabel J-Y(ST)Y 2x2x0.8mm šedý</t>
  </si>
  <si>
    <t>Kabel FTP cat.5e, drát, PVC</t>
  </si>
  <si>
    <t>FTP 5e PVC</t>
  </si>
  <si>
    <t>Kabel SYKFY 3x2x0.5mm</t>
  </si>
  <si>
    <t>SYKFY 3x2x0.5</t>
  </si>
  <si>
    <t>Dodávka PZTS - Instalační materiál</t>
  </si>
  <si>
    <t>Kniha provozu PZTS (AGA)</t>
  </si>
  <si>
    <t>KNIHAPZTS</t>
  </si>
  <si>
    <t>AKU 12V/7Ah konektor Faston 187, životnost až 5 let, VdS</t>
  </si>
  <si>
    <t>PS1270 VdS</t>
  </si>
  <si>
    <t>Lineární zdroj v kovovém krytu 13,8 Vss / 2A se signalizačními výstupy</t>
  </si>
  <si>
    <t>ZBPK13,8/2A-K7</t>
  </si>
  <si>
    <t>Duální detektor digitální s držákem, vějíř 15m,</t>
  </si>
  <si>
    <t>KX15DTAM</t>
  </si>
  <si>
    <t>Box pro IRC3000/4000 nebo IRZ300x</t>
  </si>
  <si>
    <t>IRB3000</t>
  </si>
  <si>
    <t>Sběrnicový 8-zónový expander, 8 vstup.+ 8 výst.zón</t>
  </si>
  <si>
    <t>IRZ3000/8</t>
  </si>
  <si>
    <t>Dodávka PZTS - Zařízení</t>
  </si>
  <si>
    <t>RP/COT/04961.0</t>
  </si>
  <si>
    <t>PZTS - viz "PZTS"</t>
  </si>
  <si>
    <t>Zednické a přípomocné práce</t>
  </si>
  <si>
    <t>Měření</t>
  </si>
  <si>
    <t>Krabice universální KU68, pr.71x43</t>
  </si>
  <si>
    <t>KU 68-1901_KA</t>
  </si>
  <si>
    <t>Ochranná hadice FX 40 šedá, PVC</t>
  </si>
  <si>
    <t>Patch kabel 2m UTP SOLARIX, CAT6</t>
  </si>
  <si>
    <t>Patch kabel 1m UTP SOLARIX, CAT6</t>
  </si>
  <si>
    <t>Kabel UTP drát CAT6 SOLARIX, PVC, cívka 500m</t>
  </si>
  <si>
    <t>Dodávka SLB - Instalační materiál</t>
  </si>
  <si>
    <t>MOSN ZÁSLEPKA ANTIB 2M BÍLÁ</t>
  </si>
  <si>
    <t>MOSN 1XRJ45 UTP C6 2M BÍ</t>
  </si>
  <si>
    <t>IP66 BOX INSTAL. KRABICE</t>
  </si>
  <si>
    <t>IP66 BOX S ŠROU.VIKEM 4M MOSAZ</t>
  </si>
  <si>
    <t>Kryt konektoru RJ45-šedivá</t>
  </si>
  <si>
    <t>srjk-grey</t>
  </si>
  <si>
    <t>Konektor RJ45 8pinů, Cat6</t>
  </si>
  <si>
    <t>srj45-c6</t>
  </si>
  <si>
    <t>popisný štítek</t>
  </si>
  <si>
    <t>Keystone CAT6 UTP RJ45 - do zásuvky</t>
  </si>
  <si>
    <t>SXKJ-6-UTP-BK</t>
  </si>
  <si>
    <t>Maska nosná pro 2x RJ45 (IEC 607-7)</t>
  </si>
  <si>
    <t>5014A-B1018</t>
  </si>
  <si>
    <t>Maska nosná pro 1x RJ45 (IEC 607-7)</t>
  </si>
  <si>
    <t>5014A-B1017</t>
  </si>
  <si>
    <t>Rámeček jednonásobný Tango, bílý</t>
  </si>
  <si>
    <t>3901A-B10 B</t>
  </si>
  <si>
    <t>Kryt zásuvky datové Tango, bílý</t>
  </si>
  <si>
    <t>5014A-A100 B</t>
  </si>
  <si>
    <t>Spojovací materiál sada 4x šroub, podložka,</t>
  </si>
  <si>
    <t>RAX-MS-X19-X1</t>
  </si>
  <si>
    <t>Patch panel osazený 24 portů UTP 1U, CAT6</t>
  </si>
  <si>
    <t>I24000341</t>
  </si>
  <si>
    <t>19"' vyvazovací panel 1U, 5x háček 60x30mm</t>
  </si>
  <si>
    <t>RAB-VP-X11-A1</t>
  </si>
  <si>
    <t>Dodávka SLB - Zařízení</t>
  </si>
  <si>
    <t>RP/PRS/00471.0</t>
  </si>
  <si>
    <t>0_</t>
  </si>
  <si>
    <t>001VD_</t>
  </si>
  <si>
    <t>Meření hluku z provozu vzduchotechinických zařízení</t>
  </si>
  <si>
    <t>003</t>
  </si>
  <si>
    <t>Zaregulování rozvodů VZT a vystavení protokolu o tomto měření</t>
  </si>
  <si>
    <t>002</t>
  </si>
  <si>
    <t>001VD</t>
  </si>
  <si>
    <t>728-6_</t>
  </si>
  <si>
    <t>Demontáž talířového ventilu kruhového do d 200 mm</t>
  </si>
  <si>
    <t>728413852R00</t>
  </si>
  <si>
    <t>Dmtž ventilátoru radiál.nízkotl.potrub. do 0,13 m2</t>
  </si>
  <si>
    <t>728611814R00</t>
  </si>
  <si>
    <t>Dveřní mřížka 400x100 oboustranná</t>
  </si>
  <si>
    <t>3019</t>
  </si>
  <si>
    <t>Montáž mřížky větrací nebo ventilační do 0,10 m2</t>
  </si>
  <si>
    <t>728415112R00</t>
  </si>
  <si>
    <t>Talířový ventil odvodní kovový DN160</t>
  </si>
  <si>
    <t>3018</t>
  </si>
  <si>
    <t>Montáž talířového ventilu kruhové do d 200 mm</t>
  </si>
  <si>
    <t>728413522R00</t>
  </si>
  <si>
    <t>Zpětná klapka DN160</t>
  </si>
  <si>
    <t>3002</t>
  </si>
  <si>
    <t>Montáž klapky plechové kruhové do d 200 mm</t>
  </si>
  <si>
    <t>728212412R00</t>
  </si>
  <si>
    <t>Potrubní radiální ventilátor kovový DN160 300m3/h, 320Pa + 2xspojovací manžeta DN160</t>
  </si>
  <si>
    <t>6001</t>
  </si>
  <si>
    <t>Mtž ventilátoru radiál. nízkotl. potrub. do 0,07m2</t>
  </si>
  <si>
    <t>728611113R00</t>
  </si>
  <si>
    <t>Vzduchotechnika - zařízení č.6 - Odvětrání sociálního zařízení</t>
  </si>
  <si>
    <t>728-6</t>
  </si>
  <si>
    <t>728-5_</t>
  </si>
  <si>
    <t>Demontáž systému Split (venkovní a vnitřní jednotka, potrubí, prokabelování)</t>
  </si>
  <si>
    <t>612-255</t>
  </si>
  <si>
    <t>včetně dodávky kabelu</t>
  </si>
  <si>
    <t>Kabel CYKY  5 x 1,5 mm2 pevně uložený</t>
  </si>
  <si>
    <t>210810055RT1</t>
  </si>
  <si>
    <t>Chladivo R410A včetně plnění</t>
  </si>
  <si>
    <t>Potrubí měděné pro chlazení izolované DN 19,1</t>
  </si>
  <si>
    <t>612-205</t>
  </si>
  <si>
    <t>bm</t>
  </si>
  <si>
    <t>Potrubí měděné pro chlazení izolované DN 15,9</t>
  </si>
  <si>
    <t>612-204</t>
  </si>
  <si>
    <t>Potrubí měděné pro chlazení izolované DN 12,7</t>
  </si>
  <si>
    <t>612-203</t>
  </si>
  <si>
    <t>Potrubí měděné pro chlazení izolované DN 9,5</t>
  </si>
  <si>
    <t>612-202</t>
  </si>
  <si>
    <t>Potrubí měděné pro chlazení izolované DN 6,4</t>
  </si>
  <si>
    <t>612-201</t>
  </si>
  <si>
    <t>Dekorační panel kazetové jednotky</t>
  </si>
  <si>
    <t>612-161</t>
  </si>
  <si>
    <t>Kabelový ovladač chlazení, prokabelování</t>
  </si>
  <si>
    <t>612-157</t>
  </si>
  <si>
    <t>Refnet</t>
  </si>
  <si>
    <t>612-151</t>
  </si>
  <si>
    <t>Čerpadlo kondenzátu pro kazetovou jednotku</t>
  </si>
  <si>
    <t>612-133</t>
  </si>
  <si>
    <t>Vnitřní jednotka kazetová systému VRV o celkovém chladícím výkonu 3,5kW, jednotky pohledové (designové), lamely směrovatelné</t>
  </si>
  <si>
    <t>612-108</t>
  </si>
  <si>
    <t>Vnitřní jednotka nástěnná systému VRV o celkovém chladícím výkonu 3,5kW, jednotky pohledové (designové), lamely směrovatelné, výdech i vzhůru</t>
  </si>
  <si>
    <t>612-107</t>
  </si>
  <si>
    <t>Vnitřní jednotka nástěnná systému VRV o celkovém chladícím výkonu 2,5kW, jednotky pohledové (designové), lamely směrovatelné, výdech i vzhůru</t>
  </si>
  <si>
    <t>612-105</t>
  </si>
  <si>
    <t>Vnitřní jednotka nástěnná systému VRV o celkovém chladícím výkonu 2,0kW, jednotky pohledové (designové), lamely směrovatelné, výdech i vzhůru</t>
  </si>
  <si>
    <t>612-104</t>
  </si>
  <si>
    <t>Konzoly pro instalaci jednotky na zeď</t>
  </si>
  <si>
    <t>612-103</t>
  </si>
  <si>
    <t>s technologií variabilní teploty chladiva</t>
  </si>
  <si>
    <t>Venkovní kondenzační jednotka systém VRV o chladícím výkonu 16,5kW v kompaktním provedení pro instalaci na zeď</t>
  </si>
  <si>
    <t>612-101</t>
  </si>
  <si>
    <t>Vzduchotechnika - zařízení č.5 - Chlazení jídelny a bufetu</t>
  </si>
  <si>
    <t>728-5</t>
  </si>
  <si>
    <t>728-4_</t>
  </si>
  <si>
    <t>Kruhové potrubí SPIRO do DN125 včetně závěsů a tvarovek</t>
  </si>
  <si>
    <t>3030</t>
  </si>
  <si>
    <t>Montáž potrubí plechového kruhového do d 200 mm</t>
  </si>
  <si>
    <t>728112112R00</t>
  </si>
  <si>
    <t>Talířový ventil odvodní kovový DN125 včetně zděře</t>
  </si>
  <si>
    <t>Zpětná klapka DN125</t>
  </si>
  <si>
    <t>4007</t>
  </si>
  <si>
    <t>Montáž klapky plechové kruhové do d 100 mm</t>
  </si>
  <si>
    <t>728212411R00</t>
  </si>
  <si>
    <t>Potrubní radiální ventilátor kovový DN125 150m3/h, 300Pa + 2xspojovací manžeta DN125</t>
  </si>
  <si>
    <t>4001</t>
  </si>
  <si>
    <t>Vzduchotechnika - zařízení č.4 - Odvětrání skladů bufetu</t>
  </si>
  <si>
    <t>728-4</t>
  </si>
  <si>
    <t>728-3_</t>
  </si>
  <si>
    <t>Kruhové potrubí SPIRO do DN200 včetně závěsů a tvarovek</t>
  </si>
  <si>
    <t>2031</t>
  </si>
  <si>
    <t>Kruhové potrubí SPIRO do DN160 včetně závěsů a tvarovek</t>
  </si>
  <si>
    <t>Stěnová mřížka 400x200 s upevňovacím ráměčkem</t>
  </si>
  <si>
    <t>3001</t>
  </si>
  <si>
    <t>Vzduchotechnika - zařízení č.3 - Odvětrání skladu potravin</t>
  </si>
  <si>
    <t>728-3</t>
  </si>
  <si>
    <t>728-2_</t>
  </si>
  <si>
    <t>112-255</t>
  </si>
  <si>
    <t>Izolace  tepelná a hluková- 40 mm minerální plsť, povrch Alfol (omyvatelná), připevněná na samolepící trny, AL páska</t>
  </si>
  <si>
    <t>150-250</t>
  </si>
  <si>
    <t>Ohebná Al hadicec ALUFLEX MI 160</t>
  </si>
  <si>
    <t>Montáž potrubí ohebného izolovan. z AL do d 200 mm</t>
  </si>
  <si>
    <t>728115412R00</t>
  </si>
  <si>
    <t>Čtyřhranné potrubí nerezového plechu uprava broušený nerez, včetně tvarovek a závěsů</t>
  </si>
  <si>
    <t>250-200</t>
  </si>
  <si>
    <t>Čtyřhranné potrubí sk. I z pozink. plechu včetně tvarovek a závěsů</t>
  </si>
  <si>
    <t>250-100</t>
  </si>
  <si>
    <t>Kruhové potrubí nerezové SPIRO DN250 uprava broušený nerez včetně závěsů a tvarovek</t>
  </si>
  <si>
    <t>Montáž potrubí plechového kruhového do d 300 mm</t>
  </si>
  <si>
    <t>728112113R00</t>
  </si>
  <si>
    <t>2030</t>
  </si>
  <si>
    <t>Regulační klapka 250x250, ruční</t>
  </si>
  <si>
    <t>200-007</t>
  </si>
  <si>
    <t>Montáž klapky plechové čtyřhranné do 0,07 m2</t>
  </si>
  <si>
    <t>728211413R00</t>
  </si>
  <si>
    <t>Regulační klapka kruhová DN160, ruční</t>
  </si>
  <si>
    <t>100-005</t>
  </si>
  <si>
    <t>Vyúsť komfortní čtyřhranná 400x100, dvouřadá s regulací R1</t>
  </si>
  <si>
    <t>2024</t>
  </si>
  <si>
    <t>Vyúsť komfortní čtyřhranná 400x100, jednořadá s regulací R1</t>
  </si>
  <si>
    <t>2023</t>
  </si>
  <si>
    <t>Vyúsť s odlučovačem tuků 400x200 horizontální</t>
  </si>
  <si>
    <t>2022</t>
  </si>
  <si>
    <t>Montáž vyústě čtyřhranné do 0,08 m2</t>
  </si>
  <si>
    <t>728411312R00</t>
  </si>
  <si>
    <t>Anemostat přívodní čtyřhranný 600x600, nastavitelné lamelly, 400m3/h, 20Pa, box s bočním napojením, nerez broušený, regulační klapka</t>
  </si>
  <si>
    <t>2029</t>
  </si>
  <si>
    <t>Montáž anemostatu čtyřhranného do 0,5 m2</t>
  </si>
  <si>
    <t>728412114R00</t>
  </si>
  <si>
    <t>Tlumič hluku buňkový G 300/500/1500.1</t>
  </si>
  <si>
    <t>2014</t>
  </si>
  <si>
    <t>Tlumič hluku buňkový G 300/500/1000.1</t>
  </si>
  <si>
    <t>2011</t>
  </si>
  <si>
    <t>Montáž tlumiče hluku čtyřhranného do 0,3 m2</t>
  </si>
  <si>
    <t>728312112R00</t>
  </si>
  <si>
    <t>Ocelová konstrukce pod kondenzační jednotku</t>
  </si>
  <si>
    <t>2005</t>
  </si>
  <si>
    <t>Modul omezení výkonu „MOV“</t>
  </si>
  <si>
    <t>2009</t>
  </si>
  <si>
    <t>Komunikační box AHU-ELDS_02 pro MOV a Modbus</t>
  </si>
  <si>
    <t>2004</t>
  </si>
  <si>
    <t>Venkovní kondenzační jednotka UU 12 W UL0</t>
  </si>
  <si>
    <t>2003</t>
  </si>
  <si>
    <t>Sifon podtlakový s uzávěrem DN50</t>
  </si>
  <si>
    <t>2002</t>
  </si>
  <si>
    <t>v sestavě:_x000D_
 - přívodní část_x000D_
1) 2x pružná manžeta _x000D_
2) regulační klapka + servopohon_x000D_
3) filtr  G4 + F7 včetně filtračních vložek_x000D_
4) deskový rekuperátor tepla s obtokem, účinnost ZZT minimálně 90%_x000D_
5) přímý výparník _x000D_
6) elektrický ohřívač _x000D_
7) radiální ventilátor 1800m3/h, 350Pa_x000D_
 - odvodní část_x000D_
8) 2x pružná manžeta _x000D_
9) regulační klapka + servopohon_x000D_
10) filtr  M5 včetně filtrační vložky_x000D_
11) ventilátor 1800m3/h, 500Pa_x000D_
- regulace Digireg M1-E8, včetně čidel, dálkové ovládání, prokabelování, zprovoznění_x000D_
- rozebíratelné provedení, smontovat na mísě_x000D_
- snímatelné panely</t>
  </si>
  <si>
    <t>Kompaktní vzduchotechnická jednotka podstropní s rekuperací tepla Duovent Compact Duovent Compact DV 1800 DI DX KL G4+F7/M5 DVAV AH</t>
  </si>
  <si>
    <t>2001</t>
  </si>
  <si>
    <t>Vzduchotechnika - zařízení č.2 - Větrání jídelny a bufetu</t>
  </si>
  <si>
    <t>728-2</t>
  </si>
  <si>
    <t>728-1_</t>
  </si>
  <si>
    <t>Demontáž potrubí plechového 4hranného</t>
  </si>
  <si>
    <t>211-412VL</t>
  </si>
  <si>
    <t>Demontáž zákrytu průmyslového odsávacího do 2,5 m2</t>
  </si>
  <si>
    <t>728414872R00</t>
  </si>
  <si>
    <t>Demontáž vyústě čtyřhranné do 0,08 m2</t>
  </si>
  <si>
    <t>728411832R00</t>
  </si>
  <si>
    <t>Demontáž protidešť. žaluzie čtyřhranné do 0,75 m2</t>
  </si>
  <si>
    <t>728314813R00</t>
  </si>
  <si>
    <t>Demontáž anemostatu 4hranného vířivého do 0,35 m2</t>
  </si>
  <si>
    <t>728412822R00</t>
  </si>
  <si>
    <t>Demontáž tlumiče hluku čtyřhranného do 0,15 m2</t>
  </si>
  <si>
    <t>728312811R00</t>
  </si>
  <si>
    <t>Demontáž a likvidace stávající vzduchotechnické jednotky cca 350kg</t>
  </si>
  <si>
    <t>311-413VL</t>
  </si>
  <si>
    <t>Izolace  tepelná kaučuková povrch Alfol (omyvatelná) 32 mm, samolepící</t>
  </si>
  <si>
    <t>150-252</t>
  </si>
  <si>
    <t>Izolace  tepelná a hluková- 60 mm minerální plsť + oplechování</t>
  </si>
  <si>
    <t>150-251</t>
  </si>
  <si>
    <t>150-100</t>
  </si>
  <si>
    <t>Kruhové potrubí SPIRO do DN400 včetně závěsů a tvarovek</t>
  </si>
  <si>
    <t>Montáž potrubí plechového kruhového do d 400 mm</t>
  </si>
  <si>
    <t>728112114R00</t>
  </si>
  <si>
    <t>Regulační klapka 400x200, ruční</t>
  </si>
  <si>
    <t>100-014</t>
  </si>
  <si>
    <t>Montáž klapky plechové čtyřhranné do 0,13 m2</t>
  </si>
  <si>
    <t>728211414R00</t>
  </si>
  <si>
    <t>Regulační klapka 250x200, ruční</t>
  </si>
  <si>
    <t>100-013</t>
  </si>
  <si>
    <t>Regulační klapka 250x125, ruční</t>
  </si>
  <si>
    <t>100-012</t>
  </si>
  <si>
    <t>Regulační klapka 200x200, ruční</t>
  </si>
  <si>
    <t>100-011</t>
  </si>
  <si>
    <t>Regulační klapka kruhová DN125, ruční</t>
  </si>
  <si>
    <t>100-004</t>
  </si>
  <si>
    <t>Krycí mřížka, síto 700x500</t>
  </si>
  <si>
    <t>1022</t>
  </si>
  <si>
    <t>Montáž mřížky větrací nebo ventilační nad 0,20 m2</t>
  </si>
  <si>
    <t>728415115R00</t>
  </si>
  <si>
    <t>Vyúsť s odlučovačem tuků 280x200 horizontální</t>
  </si>
  <si>
    <t>Vyúsť komfortní čtyřhranná pro kruhové potrubí 600x100, dvouřadá s regulací R1</t>
  </si>
  <si>
    <t>1021</t>
  </si>
  <si>
    <t>Vyúsť komfortní čtyřhranná pro kruhové potrubí 500x75, dvouřadá s regulací R1</t>
  </si>
  <si>
    <t>1020</t>
  </si>
  <si>
    <t>Montáž vyústě čtyřhranné do 0,04 m2</t>
  </si>
  <si>
    <t>728411311R00</t>
  </si>
  <si>
    <t>Talířový ventil přívodní kovový DN200</t>
  </si>
  <si>
    <t>1019</t>
  </si>
  <si>
    <t>1018</t>
  </si>
  <si>
    <t>Protidešťová žaluzie 1050x600, pozink, RAL</t>
  </si>
  <si>
    <t>1017</t>
  </si>
  <si>
    <t>Montáž protidešť. žaluzie čtyřhranné nad 0,75 m2</t>
  </si>
  <si>
    <t>728314116R00</t>
  </si>
  <si>
    <t>Protidešťová žaluzie 550x700, pozink, s upevěním na zeď</t>
  </si>
  <si>
    <t>1016</t>
  </si>
  <si>
    <t>Protidešťová žaluzie 500x700, pozink, s upevěním na zeď</t>
  </si>
  <si>
    <t>1015</t>
  </si>
  <si>
    <t>Montáž protidešť. žaluzie čtyřhranné do 0,45 m2</t>
  </si>
  <si>
    <t>728314113R00</t>
  </si>
  <si>
    <t>Tlumič hluku buňkový G 200/500/1500.1</t>
  </si>
  <si>
    <t>1014</t>
  </si>
  <si>
    <t>Tlumič hluku buňkový G 250/500/1250.1 atip.</t>
  </si>
  <si>
    <t>1013</t>
  </si>
  <si>
    <t>Tlumič hluku buňkový G 200/500/1250.1 atip.</t>
  </si>
  <si>
    <t>1012</t>
  </si>
  <si>
    <t>Tlumič hluku buňkový G 200/500/1000.1</t>
  </si>
  <si>
    <t>1011</t>
  </si>
  <si>
    <t>Montáž tlumiče hluku čtyřhranného do 0,45 m2</t>
  </si>
  <si>
    <t>728312113R00</t>
  </si>
  <si>
    <t>Detektor kouře do potrubí s napojením na EPS</t>
  </si>
  <si>
    <t>1006</t>
  </si>
  <si>
    <t>1005</t>
  </si>
  <si>
    <t>1007</t>
  </si>
  <si>
    <t>1004</t>
  </si>
  <si>
    <t>Venkovní kondenzační jednotka UU 18 W UE4</t>
  </si>
  <si>
    <t>1003</t>
  </si>
  <si>
    <t>1002</t>
  </si>
  <si>
    <t>v sestavě:_x000D_
 - přívodní část_x000D_
1) 2x pružná manžeta _x000D_
2) regulační klapka + servopohon_x000D_
3) filtr  G4 + F7 včetně filtračních vložek_x000D_
4) deskový rekuperátor tepla s obtokem, účinnost ZZT minimálně 89%_x000D_
5) přímý výparník _x000D_
6) elektrický ohřívač _x000D_
7) radiální ventilátor 2750m3/h, 350Pa_x000D_
 - odvodní část_x000D_
8) 2x pružná manžeta _x000D_
9) regulační klapka + servopohon_x000D_
10) filtr  M5 včetně filtrační vložky_x000D_
11) ventilátor 2950m3/h, 500Pa_x000D_
- regulace Digireg M3-E15, včetně čidel, dálkové ovládání, prokabelování, zprovoznění_x000D_
- rozebíratelné provedení, smontovat na mísě_x000D_
- snímatelné panely</t>
  </si>
  <si>
    <t>Kompaktní vzduchotechnická jednotka podstropní s rekuperací tepla Duovent Compact DV 3000 DXr DI KL G4+F7/M5 DVAV FH</t>
  </si>
  <si>
    <t>1001</t>
  </si>
  <si>
    <t>Vzduchotechnika - zařízení č.1 - Větrání kuchyně</t>
  </si>
  <si>
    <t>728-1</t>
  </si>
  <si>
    <t>Zařízení vzduchotechniky</t>
  </si>
  <si>
    <t>004</t>
  </si>
  <si>
    <t>Vzduchotechnika - viz "VZT"</t>
  </si>
  <si>
    <t xml:space="preserve">Konvektomat elektrický boilerový k automatickému vaření sestavený do věže s konvektomatem o kapacitě 6 GN1/1.
Toto zařízení je vybaveno provozními režimy: vaření v páře, horký vzduch a kombinace horkého vzduchu a páry s regulací vlhkosti, regenerace, vaření s nízkými teplotami, vaření s teplotním rozdílem, pasterizace, regulace vnitřní teploty pokrmu, zchlazování a rovněž funkce zvlhčování s možností nastavení množství vody v mililitrech a nastavení kynutí pečiva. Vybavení zařízení plně automatickým měřením vlhkosti s přesností na procenta, regulací a zobrazením stupně vlhkosti ve varném prostoru Základní technické parametry:Kapacita  10 GN1/1 Rozteč zásuvů 68 mm Teplotní rozsah  +30 – 300 oC Příkon 18 kW/400V Rozměry 850x1100x850mm  Podélné vkládání gastronádob Automatické rozpoznání velikosti potraviny Zařízení musí být schváleno pro provoz bez dozoru 
 Inteligentní procesy přípravy, které se přizpůsobují druhu a výchozímu stavu potraviny a také zobrazují aktuální parametry vaření a zbývající dobu přípravy. Díky inteligentní přípravě na cílovou dobu je možné souběžné vaření více potravin ve stejnou dobu nebo alternativně na stejný cílový okamžik. Na displeji se zobrazuje, které potraviny lze připravovat současně. 
Zařízení lze libovolně naprogramovat (včetně obrázků, příslušenství a textů) pomocí minimálně 1 000 varných programů. Rozsáhlá funkce vyhledávání v celém obsahu příručky a receptech v zařízení,kontextové zobrazování informací nápovědy. Dynamické proudění vzduchu ve varné komoře je zajištěno 2 ventilátory s 5-ti rychlostmi.Tí je zajištěna velká rovnoměrnost pečení v komoře.
Výroba páry probíhá bez tlaku pomocí generátoru čerstvé páry se samočisticím programem a automatickým odvápněním a péčí, nezávisle na nastavené tvrdosti vody. Provoz bez zařízení na změkčování vody a bez dodatečného odvápňování. Systém  s automatickým zobrazováním servisních hlášení a funkcí vlastního testu k aktivní kontrole funkcí zařízení. Zařízení je vybaveno plně automatickým systémem čištění nezávislým na tlaku vody s více stupni čištění. Použití čisticích prostředků v pevném skupenství bez fosforu a fosfátů ve formě tablet pro bezpečnou práci. Zařízení má různé čisticí programy, i bez dozoru přes noc, a také funkci ultrarychlého čištění za pouhých 12 minut. Integrovaná ruční sprcha s automatickým navíjením a nastavitelnou funkcí rozprašování a vodního paprsku. Zařízení je vybaveno 10 palcovým TFT barevným dotykovým d.isplayem s centrálním kolečkem s funkcí „push“
Plně integrované rozhraní WLAN bez externí antény a ethernetové rozhraní k připojení ke cloudovému síťovému řešení pro vzdálený přístup a údržbu. Možnost ovládání více zařízení, správy varných programů, správy výroby a zařízení prostřednictvím cloudového řešení. 
</t>
  </si>
  <si>
    <t>Povolená tolerance exaktních hodnot, které nejsou dány rozpětím (min./max.) je +/- 10% za podmínky dodržení celkového dispozičního řešení dle nákresů.</t>
  </si>
  <si>
    <t>Položkový rozpočet nezahrnuje drobné vybavení kuchyně (např. gastronádoby, hrnce, nože, krájecí desky apod.).</t>
  </si>
  <si>
    <t>Dodávka vč. montáže, odzkoušení a zaškolení obsluhy, dopravy</t>
  </si>
  <si>
    <t>Stojánková baterie</t>
  </si>
  <si>
    <t>Stůl mycí skříňkový, dřez 400x400mm vpravo, sp. prostor v hyg. provedení H2, přestavitelná police, posuvná dvířka, zadní a pravý lem, čelní a levý sokl</t>
  </si>
  <si>
    <t>01.12.10</t>
  </si>
  <si>
    <t>Zásobník na jednotlivé papírové ručníky, objem do 250 ks ručníků, okénko na kontrolu množství ručníků v zásobníku, uzamykatelný na klíček. Provedení: nerez mat.</t>
  </si>
  <si>
    <t>Dávkovač tekutého mýdla, objem nádržky min. 400ml, okénko na kontrolu hladiny mýdla, uzamykatelný na klíč, hrany jsou svařované a zabroušené, zámek je zapuštěný do stěny výrobku, schované závěsy krytu. Provedení: nerez mat.</t>
  </si>
  <si>
    <t>12V/0,007</t>
  </si>
  <si>
    <t>Stojánková umyvadlová baterie s integrovanou elektronikou ve výtoku, elmag. ventilem, směšovačem, připojovacími hadicemi a filtry nečistot, na teplou a studenou vodu. Vypíná 1–2 sec po vyjmutí rukou z umyvadla. Dosah se nastavuje automaticky po připojení napájení. Hygienické proplachování aktivovatelný od 0–108 hod.
Trvání proplachu je nastavitelné od 5–180 sek. Napájení z exter. zdroje 12 V~.</t>
  </si>
  <si>
    <t>Umyvadlo nástěnné, nerezové, úchyty na zeď k umyvadlu, zakrytí sifonu</t>
  </si>
  <si>
    <t>01.12.4</t>
  </si>
  <si>
    <t>Bufet (m.č.01.12)</t>
  </si>
  <si>
    <t>Zázemí bufetu (m.č.01.09)</t>
  </si>
  <si>
    <t>BIO - Úklid (m.č.01.08)</t>
  </si>
  <si>
    <t>Změkčovač vody s bezúdržbovým systémem pro kávovar, průtok 60l/hod.</t>
  </si>
  <si>
    <t>Překapávač vody a čaje. 1 průtoková jednotka. Pevné připojení na vodu. Udržovací kapacita: 40 l. Výkonová kapacita: 90 l/hod. Doba překapávání: 14 min / 20 l. Překapává se do odnímatelných zásobníků. Digitální řízení. Signalizace zavápnění. Celkové a denní počítadlo vydaného množství. Akustický signál dokončení překapávání. Spínací hodiny. Filtrační jednotka. 2x termos 20 l s vodomírou na horké a studené nápoje, dvouplášťové plně izolované provedení, s víkem, nekapajícím kohoutkem.</t>
  </si>
  <si>
    <t>01.07.3</t>
  </si>
  <si>
    <t>Chodba (m.č.01.07)</t>
  </si>
  <si>
    <t>Nástěnná skříňka uzavřená, celonerezové provedení, nerez plech tl. 1 mm, opláštění z boků a zezadu, z čela posuvná nerez dvířka na valivém vedení, střední přestavitelná police</t>
  </si>
  <si>
    <t>01.06.9</t>
  </si>
  <si>
    <t xml:space="preserve">Stolní kutr. Objem nádoby 5,5l. Umožňuje zpracování masa, zeleniny a ovoce, přípravu těsta, paštik, majonéz, pyré, pomazánek a strouhanky a rovněž sekání bylinek a koření a drcení ořechů a mandlí. Indukční motor asynchronní motor; tichý chod motoru bez jakýchkoliv vibrací; motor nevyžaduje žádnou údržbu; nerezová hřídel; magnetický bezpečnostní systém, zajišťující při nesprávném sesazení zařízení nebo v momentu otevření víka zastavení, popř. nespuštění kutru. 2 regulace rychlosti. Pulsní tlačítko pro lepší kontrolu konzistence a větší přesnost zpracování. Kryt motorového bloku je kovový. Odnímatelná nádoba kutru z nerezu s ergonomickým držadlem. Průhledné polykarbonátové víko s otvorem umožňuje přidávání dalších ingrediencí v průběhu sekání. Počet ot/min.: 1500/3000. Plnění kutru: 3 kg surovin. </t>
  </si>
  <si>
    <t>01.06.8</t>
  </si>
  <si>
    <t>Stojánková páková baterie profi</t>
  </si>
  <si>
    <t xml:space="preserve">Pracovní stůl s dřezem a umývátkem, celonerezové provedení - pracovní deska tl. 40 mm, nerez plech tl. 1,5 mm, zadní a boční lemy, zadní přesah desky pro radiátor s vyjímatelnou mřížkou, s dřezem 400x400x250 mm vpravo a umyvátkem 300x340x200 mm vlevo, pod nimi podnoží z jeklů 40x40x1,5 mm se  spodním skříňkovým prostorem v hygienickém provedení H2 uzavřeným křídlovými dvířky, uprostřed skříňkový prostor v hygienickém provedení H2 čelně otevřený s přestavitelnou policí, řada 5-ti zásuvek pod deskou s plnovýsuvem, provedení na stavebním soklu v. 150 mm    </t>
  </si>
  <si>
    <t>01.06.3</t>
  </si>
  <si>
    <t>Čistá příprava zeleniny + studené kuchyně (m.č.01.06)</t>
  </si>
  <si>
    <t>Chodba (m.č.01.05)</t>
  </si>
  <si>
    <t>Chlazený sklad (m.č.01.04)</t>
  </si>
  <si>
    <t>Sprcha tlaková stojánková s napouštěcím raménkem</t>
  </si>
  <si>
    <t>Mycí stůl otevřený s policí, celonerezové provedení - pracovní deska tl. 40 mm, nerez plech tl. 1,5 mm, podnoží z jeklů 40x40x1,5 mm, výšková stavitelnost ± 20 mm, 2x dřez lisovaný 600x500x250 mm uprostřed, spodní roštová police ve v. 150 mm, zadní lem v. 50 mm vč. sifonu</t>
  </si>
  <si>
    <t>01.03.11</t>
  </si>
  <si>
    <t xml:space="preserve">PÚ mytí provozního nádobí </t>
  </si>
  <si>
    <t>Simplexový změkčovač v kabinetovém provedení  s objemovým řídícím ventilem bez elektrického napájení.
Fáze regenerace max.do 15 minut. Objemové řízení s přesným nastavením vstupní tvrdosti vody. Filtr mechanických nečistot. Průtok min. 30l/min; množství katexu min. 7,4l; doba regenerace max. 15 min; spotřeba vody na regeneraci max. 29l; množství soli na regeneraci max. 0,25kg; elektronické připojení: žádné; teplota vstupní vody: 2 – 48° C.</t>
  </si>
  <si>
    <t>01.03.9</t>
  </si>
  <si>
    <t>Podlahová vpusť s roštem a zápach. Uzávěrou s bočním napojením na odpad, odpad DN75</t>
  </si>
  <si>
    <t>01.03.8</t>
  </si>
  <si>
    <t>01.03.6</t>
  </si>
  <si>
    <t xml:space="preserve">Stůl vstupní k myčce, celonerezové provedení - pracovní deska tl. 40 mm, nerez plech tl. 1,5 mm, podnoží z jeklů 40x40x1,5 mm, výšková stavitelnost ± 20 mm, prolis pro vedení košů 500x500mm, dřez 700x450x250 mm uprostřed
spodní roštová police ve v. 150 mm, zadní lem v. 300 mm vč. sifonu </t>
  </si>
  <si>
    <t>01.03.3</t>
  </si>
  <si>
    <t>Mytí (m.č.01.03)</t>
  </si>
  <si>
    <t>Skříňka nástěnná uzavř.s posuv.dvířky</t>
  </si>
  <si>
    <t>01.02.20</t>
  </si>
  <si>
    <t>01.02.19</t>
  </si>
  <si>
    <t>01.02.18</t>
  </si>
  <si>
    <t>Nástěnný odsavač par, vč. osvětlení, tukových filtrů lamelových a komínku pro napojení na vzt</t>
  </si>
  <si>
    <t>01.02.17</t>
  </si>
  <si>
    <t>Nástěnný odsavač par, vč. osvětlení, tukových lamelových filtrů a komínku pro napojení na vzt</t>
  </si>
  <si>
    <t>01.02.16</t>
  </si>
  <si>
    <t>Nástěnný odsavač par, vč. tukových lamelových filtrů a komínku pro napojení na vzt</t>
  </si>
  <si>
    <t>01.02.15</t>
  </si>
  <si>
    <t>01.02.14</t>
  </si>
  <si>
    <t xml:space="preserve">Pracovní stůl s dřezem a umývátkem, celonerezové provedení - pracovní deska tl. 40 mm, nerez plech tl. 1,5 mm, zadní a boční lemy,  s lisovaným dřezem 400x400 mm a umyvátkem 300x340 mm  vpravo (pod umývátkem odpadkový výklopný koš), pod dřezem podnoží z jeklů 40x40x1,5 mm se  spodním skříňkovým prostorem v hygienickém provedení H2 uzavřeným posuvnými dvířky, uprostřed zásuvkový blok se třemi zásuvkami s plnovýsuvem, vlevo volný spodní prostor , provedení na stavebním soklu v. 150 mm  </t>
  </si>
  <si>
    <t>01.02.8</t>
  </si>
  <si>
    <t>Pracovní stůl s dřezem, celonerezové provedení - pracovní deska tl. 40 mm, nerez plech tl. 1,5 mm, zadní lem,  s lisovaným dřezem 400x400 mm vpravo, pod dřezem podnoží z jeklů 40x40x1,5 mm s otevřeným spodním prostorem v hygienickém provedení H2, vlevo přesah desky nad chladicí stůl,  provedení na stavebním soklu v. 150 mm</t>
  </si>
  <si>
    <t>01.02.7</t>
  </si>
  <si>
    <t>Napouštěcí rameno na studenou vodu 550mm</t>
  </si>
  <si>
    <t>01.02.5a</t>
  </si>
  <si>
    <t>01.02.5</t>
  </si>
  <si>
    <t xml:space="preserve">Multifunkční varné zařízení určené k vaření, restování a fritování a rovněž k vaření při nízké teplotě, k přípravě sous vide, konfitování, vaření s teplotním rozdílem, citlivé vaření k šetrné přípravě citlivých produktů.Základní technické parametry: Užitečný objem: 2x25 litrů,2 nádoby,každá 25l tolerance +-10%. Využitelná plocha obou nádob minimálně: 2x19 dm². Rozměry s tolerancí +- 10%.
šířka:  1 100 mm, hloubka: 938 mm výška:1 078 mm (s podstavcem). Minimální náplň tekutiny 6l,maximální náplň tekutiny 25l. 
Přikon el. 21 kW.+- 10% jmenovité napětí: 3 NAC 400 V Přípojka studené vody: 3/4 AG" Odvod vody: Připojení odpadní trubky DN 40 na pevnou síť. Teplotní rozsah +30oC až 250 oC.Rychlost ohřevu dna na 200 oC,3 minuty.
Další požadovaná výbava Zařízení je vybaveno automatickými procesy přípravy pokrmů.Obsahuje minimálně 1 000 varných programů až o 12 krocích.  Grafické zobrazování procesu vaření se všemi parametry vaření a s vypočítaným koncem vaření.Procesy vaření a energie jsou řízeny mikroprocesory.  Každá nádoba má vpichovou sondu na měření teploty s 6-ti měřícími body. Zařízení je vybaveno motoricky ovládaným a časově nastavitelným systémem automatického zvedání a spouštění košů k vaření a fritování pomocí varných košů. Zařízení má automatický přívod vody k plnění varné nádoby vodou s přesností nastavení na 1 litr. Přívod vody je integrován ve víku.Možnost nakonfigurovat nejrůznější uživatelské profily a uživatelská práva.  Požaduje se alespoň 10 palcový skleněný barevný displej s dotykovou obrazovkou s intuitivními ikonami a centrálním ovládacím kolečkem s funkcí „push“ k potvrzení vybraných možností. Rozsáhlá funkce vyhledávání v celém obsahu příručky a receptech v zařízení.Popisy v českém jazyku. Zobrazení požadovaných a skutečných hodnot. Automatické přizpůsobení místu instalace (nadmořská výška / bod varu).  Čištění zařízení, zejména varné nádoby, musí být možné běžnými čisticími prostředky.Dotykové teploty pláště nádoby činí maximálně +70°C.Sklopení nádoby zajišťuje elektricky poháněný válec. Vypouštění vody po vaření a čištění se provádí přímo odtokem vboční čelní stěně, díky tomuto řešení nevznikají na dně nádoby žádné nevyhřívané plochy. Zařízení je vybaveno servisním diagnostickým programem s automatickým zobrazováním servisních hlášení a funkcí autotestu k aktivní kontrole funkcí zařízení. Vnitřní i vnější povrchy jsou z nerezové ušlechtilé oceli. Zařízení je vybaveno výsuvnou hadicovou sprchou s automatickým navíjením. Vestavěná zásuvka, 1 NAC 230 V Plně integrované rozhraní WLAN bez externí antény k připojení ke cloudovému síťovému řešení pro vzdálený přístup a údržbu. Možnost správy varných programů, správy přípravy a zařízení přes cloudové řešení. Možnost přenosu procesů přípravy také přes integrované rozhraní USB, které lze využívat rovněž k lokální výměně dat. Technika a elektronika zařízení je přístupná zepředu. Ochrana proti stříkající vodě IPX5. Prohlášení o shodě: CE.  Zařízení je schváleno k provozu bez dozoru (noční vaření). Zařízení je připraveno na připojení na systém energetické optimalizace. Technici dodavatele musí být vyškolení výrobcem což doloží certifikáemt vydaným výrobcem. Multifunkční varné zařízení určené k vaření, restování a fritování a rovněž k vaření při nízké teplotě, k přípravě sous vide, konfitování, vaření s teplotním rozdílem, citlivé vaření k šetrné přípravě citlivých produktů. Základní technické parametry: Užitečný objem: 2x25 litrů,2 nádoby,každá 25l tolerance +-10%. Využitelná plocha obou nádob minimálně: 2x19 dm².  Rozměry s tolerancí +- 10%. šířka:  1 100 mm, hloubka: 938 mm výška:1 078 mm (s podstavcem).Minimální náplň tekutiny 6l,maximální náplň tekutiny 25l. Přikon el. 21 kW.+- 10% jmenovité napětí: 3 NAC 400 V Přípojka studené vody: 3/4 AG" Odvod vody: Připojení odpadní trubky DN 40 na pevnou síť. Teplotní rozsah +30oC až 250 oC.Rychlost ohřevu dna na 200 oC,3 minuty. </t>
  </si>
  <si>
    <t>Varna (m.č.01.02)</t>
  </si>
  <si>
    <t>01.01.6</t>
  </si>
  <si>
    <t>Výdejní stůl s ohřevnou vanou, ohřevná vana (vodní lázeň) na 4x GN1/1, hl. 210mm, nedělená, vpravo, celonerezové provedení - pracovní deska tl. 40 mm, nerez plech tl. 1,5 mm, podnoží z jeklů 40x40x1,5 mm,
spodní prostor skříňkový  uzavřený posuvnými dvířky v hygienickém provedení H2, opláštění z plechu tl. 1 mm z boků a zezadu, spodní police ve v. 150 mm, ovládací panel vpravo, na něm ovládání napouštění a vypouštění vany, termostat a vypínače, vsazené čelo vpravo, příprava pro uchycení interiérového obkladu zezadu, 
provedení na stavebním soklu v. 150 mm</t>
  </si>
  <si>
    <t>01.01.2</t>
  </si>
  <si>
    <t>Výdejní stůl s ohřevnou vanou, ohřevná vana (vodní lázeň) na 3x GN1/1, hl. 210mm, nedělená
celonerezové provedení - pracovní deska tl. 40 mm, nerez plech tl. 1,5 mm, podnoží z jeklů 40x40x1,5 mm
spodní prostor skříňkový uzavřený posuvnými dvířky v hygienickém provedení H2, opláštění z plechu tl. 1 mm z boků a zezadu, ovládací panel vpravo, na něm ovládání napouštění a vypouštění vany, termostat a vypínače
+ zásuvka 230V, vsazené čelo vzadu a vlevo, příprava pro uchycení interiérového obkladu z čela a zprava,
provedení na stavebním soklu v. 150 mm</t>
  </si>
  <si>
    <t>01.01.1</t>
  </si>
  <si>
    <t>Výdej (m.č.01.01)</t>
  </si>
  <si>
    <t>1.PP</t>
  </si>
  <si>
    <t>Cena celkem vč.DPH</t>
  </si>
  <si>
    <t>Cena celkem bez DPH</t>
  </si>
  <si>
    <t>Ks.</t>
  </si>
  <si>
    <t>Cena/ks bez DPH</t>
  </si>
  <si>
    <t>Příkon el. 400V/ (kW)</t>
  </si>
  <si>
    <t>Příkon el. 230V/(kW)</t>
  </si>
  <si>
    <t>Výška (mm)</t>
  </si>
  <si>
    <t>Hloubka (mm)</t>
  </si>
  <si>
    <t>Délka (mm)</t>
  </si>
  <si>
    <t>Model</t>
  </si>
  <si>
    <t>Výrobce</t>
  </si>
  <si>
    <t>Název místnosti/Popis</t>
  </si>
  <si>
    <t>Pozice</t>
  </si>
  <si>
    <t xml:space="preserve">Voděodolná kompaktní digitální váha 10kg s integrovaným displejem. provozem na síť i baterie. Velký LCD displej, dvourozsahová, funkce: tárování, nulování, HOLD, automatické vypínání, indikace vybití baterie. Váživost: 2,5/5 kg, dílek: 2/5 g. Rozměr vážní plochy (mm)  230x190. Napájení  AC 230V nebo alternativní napájení  6x monočlánek D-1,5V. </t>
  </si>
  <si>
    <t>01.12.12</t>
  </si>
  <si>
    <t>Prac. stůl skříňkový (pod pokladnu), sp. prostor v hyg. provedení H2, přestavitelná police, posuvná dvířka, 2x zásuvka 230V, 1x datová zásuvka, průchodka v desce pro pokladnu, vs. čelo vlevo, přípr. pro interiér obklad zadní, sokl zadní</t>
  </si>
  <si>
    <t>01.12.11</t>
  </si>
  <si>
    <t>Skladový regál čtyřroštový, celonerezové provedení - nosná kce z jeklů 30x30x1,5 mm, výšková stavitelnost ± 20 mm, 4x pevná roštová police s nosností á 80 kg</t>
  </si>
  <si>
    <t>01.12.9</t>
  </si>
  <si>
    <r>
      <t xml:space="preserve">Samoobslužný kávovar - </t>
    </r>
    <r>
      <rPr>
        <b/>
        <sz val="11"/>
        <color indexed="8"/>
        <rFont val="Calibri"/>
        <family val="2"/>
        <charset val="238"/>
      </rPr>
      <t>stávající</t>
    </r>
  </si>
  <si>
    <t>01.12.8</t>
  </si>
  <si>
    <t>Prac. stůl skříňkový, sp. prostor v hyg. provedení H2, přestavitelná police, křídl. dvířka, zadní lem, čelní a boční sokly</t>
  </si>
  <si>
    <t>01.12.7</t>
  </si>
  <si>
    <t>Chladicí skříň 376l, rošty 530x420mm, s nuceným oběhem vzduchu s automatickým odtáváním a odpařením kondenzátu horkým plynem, nastavitelný s digitálním displejem. LED osvětlení vnitřního prostoru, prosklené dveře. Rozsah teplot +2+12°C. Nerezové provedení vně i uvnitř. Hygienicky vnitřní prostor se zaoblenými hranami. Výparník umístěný vně chladicí komory. Jednotka ve formě monobloku v horní části přístroje. Výškově nastavitelné nohy. Chladivo R290. Energetická třída D. Tropikalizované provedení do +40°C.  Maximální rozměry: 650x590x1900mm.</t>
  </si>
  <si>
    <t>01.12.6</t>
  </si>
  <si>
    <r>
      <t xml:space="preserve">Pokladna - </t>
    </r>
    <r>
      <rPr>
        <b/>
        <sz val="11"/>
        <color indexed="8"/>
        <rFont val="Calibri"/>
        <family val="2"/>
        <charset val="238"/>
      </rPr>
      <t>dodávka provozovatele</t>
    </r>
  </si>
  <si>
    <t>01.12.5</t>
  </si>
  <si>
    <t xml:space="preserve">Odpadkový koš otevíraný nožním pedálem bílý, objem min.20 l, vybavený vyjímatelnou plastovou vložkou, možnost použití jednorázových sáčků na odpadky 35 l, odolný proti praskání. </t>
  </si>
  <si>
    <t>Prac. stůl skříňkový, sp. prostor v hyg. provedení H2, přestavitelná police, posuvná dvířka, zadní lem, čelní a boční sokl</t>
  </si>
  <si>
    <t>01.12.3</t>
  </si>
  <si>
    <t>Chladicí skříň 700l, GN 2/1 s nuceným oběhem vzduchu s automatickým odtáváním a odpaření kondenzátu horkým plynem, nastavitelný s digitálním displejem. LED osvětlení vnitřního prostoru. Rozsah teplot -2+12°C. Nerezové provedení vně i uvnitř. Hygienicky vnitřní prostor se zaoblenými hranami. Výparník umístěný vně chladicí komory. Jednotka ve formě monobloku v horní části přístroje. Výškově nastavitelné nohy. Chladivo R290. Energetická třída C. Tropikalizované provedení do +43°C.  Maximální rozměry: 695x810x2020.</t>
  </si>
  <si>
    <t>01.12.2</t>
  </si>
  <si>
    <t>Prac. stůl skříňkový (podestavba pod vitrínu), agr. šachta, vs. čelo, přípr. pro interiér obklad zadní, sokl zadní</t>
  </si>
  <si>
    <t>01.12.1a</t>
  </si>
  <si>
    <t>Třípatrová chlazená vitrina přefukovaná, obslužná, čelně uzavřená sklem, zezadu posuvná dvířka, LED osvětlení, 2x skleněná police</t>
  </si>
  <si>
    <t>01.12.1</t>
  </si>
  <si>
    <t>01.09.3</t>
  </si>
  <si>
    <t>01.09.2</t>
  </si>
  <si>
    <t>01.09.1</t>
  </si>
  <si>
    <t>01.08.2</t>
  </si>
  <si>
    <t>01.08.1</t>
  </si>
  <si>
    <t>Restaurační vozík servírovací, celonerezové provedení - police z nerez plechu tl. 1,5 mm, madlo z trubk. profilu Ø 25 mm, 2x prolisovaná police s plochou 740 x 440 mm, 4 otočná kolečka Ø 100 mm, z toho 2 s brzdou</t>
  </si>
  <si>
    <t>01.07.4</t>
  </si>
  <si>
    <t>Pracovní stůl skříňkový, celonerezové provedení - pracovní deska tl. 40 mm, nerez plech tl. 1,5 mm, podnoží z jeklů 40x40x1,5 mm, výšková stavitelnost ± 20 mm, opláštění z plechu tl. 1 mm z boků a zezadu, spodní prostor otevřený v hygienickém provedení H2, spodní police, prostřední police přestavitelná, zadní lem v. 50 mm, na stav. soklu v. 150 mm</t>
  </si>
  <si>
    <t>01.07.2</t>
  </si>
  <si>
    <t>01.07.1</t>
  </si>
  <si>
    <t>01.06.7</t>
  </si>
  <si>
    <t>01.06.6</t>
  </si>
  <si>
    <t>Základní sada disků: 1x plátkovač 2 mm; 1x plátkovač 4 mm; 1x strouhač 1,5 mm; 1x nudličkovač 4×4 mm; 1x kostičkovač 14×14×14 mm</t>
  </si>
  <si>
    <t>Krouhač zeleniny.  2 rychlosti: 375/750 ot./min., výkon stroje: 250 kg/hod. Indukční motor. Asynchronní motor pro profesionální použití. Nerezová hřídel, magnetický bezpečnostní systém, automatický restart. Kryt motorového bloku je celonerezový. Krouhací hlava celokovové provedení. Odnímatelné víko se 2 násypnými otvory: 1× velký otvor ve tvaru ledvinky o ploše min.139 cm2, objem násypky 2,2 l; 1× trubicový otvor o průměru min. 58 mm.</t>
  </si>
  <si>
    <t>01.06.4</t>
  </si>
  <si>
    <t>01.06.2</t>
  </si>
  <si>
    <t>01.06.1</t>
  </si>
  <si>
    <t>Můstková váha. Velký podsvícený LCD displej, dvourozsahové vážení (do 30 kg s dílkem 10g a od 30 do 60 kg s dílkem 20 g), provoz z akumulátoru, komunikace RS-232, funkce: limitní vážení, počítání kusů, HOLD - vážení neklidné zátěže, sčítání vážených položek, procentní navažování, tárování a nulování. Rozměr vážní plochy min. 360 x 460 mm. Provedení: vážní plocha – nerez, konstrukce – ocel. Krytí proti vodě a prachu min. IP-54. Certifikace pro obchodní vážení - ES ověření. Displej LCD. Napájení: AC 230V přes adaptér, alternativní napájení přes vestavěný akumulátor.
Komunikace: RS-232.</t>
  </si>
  <si>
    <t>01.05.3</t>
  </si>
  <si>
    <t>Pojízdný stojan na gastronádoby, celonerezové provedení - kce z jeklů 30x30x1,5 mm, lyžiny z nerez plechu tl. 1,5 mm, 4 otočná kolečka Ø 100 mm, z toho 2 s brzdou, 18 pater á 1 ks GN1/1 nebo 2 ks GN1/2</t>
  </si>
  <si>
    <t>01.05.2</t>
  </si>
  <si>
    <t>01.05.1</t>
  </si>
  <si>
    <t>01.04.4</t>
  </si>
  <si>
    <t>01.04.3</t>
  </si>
  <si>
    <t>01.04.2</t>
  </si>
  <si>
    <t>Mrazící skříň 700l, GN 2/1 s nuceným oběhem vzduchu s automatickým odtáváním a odpaření kondenzátu horkým plynem, nastavitelný s digitálním displejem. LED osvětlení vnitřního prostoru. Rozsah teplot -15 -22°C. Nerezové provedení vně i uvnitř. Hygienicky vnitřní prostor se zaoblenými hranami. Výparník umístěný vně chladicí komory. Jednotka ve formě monobloku v horní části přístroje. Výškově nastavitelné nohy. Chladivo R290. Energetická třída D. Tropikalizované provedení do +43°C.  Maximální rozměry: 695x810x2020.</t>
  </si>
  <si>
    <t>01.04.1</t>
  </si>
  <si>
    <t>01.03.10</t>
  </si>
  <si>
    <t>Koš na univerzální</t>
  </si>
  <si>
    <t>Koš na talíře</t>
  </si>
  <si>
    <t>Pojízdný stojan na podnosy, celonerezové provedení - kce z jeklů 30x30x1,5 mm, lyžiny z nerez plechu tl. 1,5 mm
4 otočná kolečka Ø 100 mm, z toho 2 s brzdou, 12 pater á 2 ks podnosu, tj. celkem 24 ks podnosů, opláštění nerez plechem tl. 1 mm ze 3 stran</t>
  </si>
  <si>
    <t>01.03.7</t>
  </si>
  <si>
    <t>01.03.5</t>
  </si>
  <si>
    <t>01.03.4</t>
  </si>
  <si>
    <t>Perforovaná vložka do dřezu</t>
  </si>
  <si>
    <t xml:space="preserve">Stůl výstupní k myčce, celonerezové provedení - pracovní deska tl. 40 mm, nerez plech tl. 1,5 mm, podnoží z jeklů 40x40x1,5 mm, výšková stavitelnost ± 20 mm, prolis pro vedení košů 500x500mm, spodní roštová police ve v. 150 mm, zadní lem v. 50 mm </t>
  </si>
  <si>
    <t>01.03.2</t>
  </si>
  <si>
    <t>Tyčový mixer.Počet ot/min mixéru: 2300 - 9600 (plynulá regulace). Délka ramene mixéru 250 mm. Celková délka mixeru 660 mm</t>
  </si>
  <si>
    <t>01.02.13</t>
  </si>
  <si>
    <t>01.02.12</t>
  </si>
  <si>
    <t>01.02.11</t>
  </si>
  <si>
    <t>Odpadkový koš</t>
  </si>
  <si>
    <t>Chladící stůl dvousekcový, celonerezové provedení, bez desky, prostor pro GN s křídlovými dvířky a 2x zásuvka (dělení 1/2:1/2), chlazený obsah 215 ltr, chladící agregát vpravo, rozsah teplot 0°C až +10°C , statické chlazení, celonerezové provedení chlazeného stolu, hygienické provedení H 2, zásuvky  uloženy na ložiskovém mechanismu, vysouvání 100% délky zásuvky, provedení na stavebním soklu v. 150 mm</t>
  </si>
  <si>
    <t>01.02.7a</t>
  </si>
  <si>
    <t>01.02.6</t>
  </si>
  <si>
    <t>Interiérový obklad pro výdejní prvky</t>
  </si>
  <si>
    <t>-</t>
  </si>
  <si>
    <t xml:space="preserve">Sklopná deska, celonerezové provedení - pracovní deska tl. 40 mm, nerez plech tl. 1,5 mm, vč. sklápěcího mechanismu      </t>
  </si>
  <si>
    <t>01.01.26</t>
  </si>
  <si>
    <t xml:space="preserve">Výdejní maska, celonerezové provedení - pracovní deska tl. 40 mm, nerez plech tl. 1,5 mm, podnoží z jeklů 40x40x1,5 mm, vsazené čelo částečně vzadu, příprava pro uchycení interiérového obkladu zezadu a z boku,
provedení na stavebním soklu v. 150 mm  </t>
  </si>
  <si>
    <t>01.01.25</t>
  </si>
  <si>
    <t>Pojezdová dráha, celonerezové provedení z trubek Ø 28 mm</t>
  </si>
  <si>
    <t>01.01.24</t>
  </si>
  <si>
    <t>01.01.23</t>
  </si>
  <si>
    <t>01.01.22</t>
  </si>
  <si>
    <t>01.01.21</t>
  </si>
  <si>
    <t>01.01.20</t>
  </si>
  <si>
    <t>Výdejní stůl pod pokladnu, celonerezové provedení - pracovní deska tl. 40 mm, nerez plech tl. 1,5 mm,                 podnoží z jeklů 40x40x1,5 mm, police pod deskou , záslepka pro protažení kabelů, 2x zásuvka 230 V, 1x datová zásuvka, vsazené čelo vpravo, příprava pro uchycení interiérového obkladu zezadu a z boku, 
provedení na stavebním soklu v. 150 mm</t>
  </si>
  <si>
    <t>01.01.19</t>
  </si>
  <si>
    <t>Postmix v provedení se 4 výdejními ventily  je určen k výrobě a stáčení chlazených limonád a sodové vody.  Nerezové provedení. Chladící výkon kompresoru: 1/4 Hp. Chladící výkon stálý 45 l. Chladící výkon přímý 0,75 l/min. Součástí dodávky nejsou sirupové koncentráty a tlaková lahev CO2.</t>
  </si>
  <si>
    <t>01.01.18</t>
  </si>
  <si>
    <t>Vířič nápojů 2x12l.  Polykarbonátové nádoby na nápoje, snadno odnímatelné. Snadné dávkování samoobslužným kohoutem. Nerezová konstrukce AISI 304 snadná údržba a čistění.- Chlazení vzduchem (chladivo R134a).- Klimatická třída N (pro okolní teplotu +16 až +32 °C).</t>
  </si>
  <si>
    <t>01.01.17</t>
  </si>
  <si>
    <t>Výdejní stůl neutrální, celonerezové provedení - pracovní deska tl. 40 mm, nerez plech tl. 1,5 mm, podnoží z jeklů 40x40x1,5 mm, sestava: - spodní skříňkový prostor uzavřený křídlovými dvířky v hygienickém provedení H2, opláštění z plechu tl. 1 mm z boků a zezadu, vsazené čelo vzadu a vlevo, - vpravo výdejní maska š. 150 mm,                                2x zásuvka 230 V, 1x datová zásuvka, příprava pro uchycení interiérového obkladu z čela a z boku,
provedení na stavebním soklu v. 150 mm</t>
  </si>
  <si>
    <t>01.01.15</t>
  </si>
  <si>
    <t>Elektrický varný kotlík 10l s nepřímým ohřevem. Zařízení je vybaveno světelnou kontrolkou chodu a termostatem 50 - 90°C k nastavení požadované teploty, nerezová nádoba a víko s otvorem pro naběračku.</t>
  </si>
  <si>
    <t>01.01.14</t>
  </si>
  <si>
    <t>Výdejní stůl na polévky, celonerezové provedení - pracovní deska tl. 40 mm, nerez plech tl. 1,5 mm, podnoží z jeklů 40x40x1,5 mm, 2x prostup pro zabudování kotlíku na polévku, 2x zásuvka 230V, spodní skříňkový prostor uzavřený posuvnými dvířky v hygienickém provedení H2, opláštění z plechu tl. 1 mm z boků a zezadu,
vsazené čelo částečně vzadu a vpravo, příprava pro uchycení interiérového obkladu z čela a z boku,
provedení na stavebním soklu v. 150 mm</t>
  </si>
  <si>
    <t>01.01.13</t>
  </si>
  <si>
    <t>Výdejní stůl  se zabudovanou podávací šachtou na koše na sklenice celonerezové provedení - pracovní deska tl. 40 mm, nerez plech tl. 1,5 mm, podnoží z jeklů 40x40x1,5 mm, spodní skříňkový prostor uzavřený , ze strany obsluhy odnímatelné zaplechování, vsazené čelo vlevo a vpravo, příprava pro uchycení interiérového obkladu zezadu,
provedení na stavebním soklu v. 150 mm</t>
  </si>
  <si>
    <t>01.01.12</t>
  </si>
  <si>
    <t>Výdejní stůl nápojový, celonerezové provedení - pracovní deska tl. 40 mm, nerez plech tl. 1,5 mm, podnoží z jeklů 40x40x1,5 mm, spodní skříňkový prostor uzavřený posuvnými dvířky v hygienickém provedení H2, opláštění z plechu tl. 1 mm z boků a zezadu, vsazené čelo vlevo a vpravo, příprava pro uchycení interiérového obkladu zezadu, provedení na stavebním soklu v. 150 mm</t>
  </si>
  <si>
    <t>01.01.11</t>
  </si>
  <si>
    <t>Pojízdný stojan na příbory a podnosy, celonerezové provedení - kce z jeklů 30x30x1,5 mm, police tl. 30 mm z nerez plechu tl. 1 mm, 4 otočná kolečka Ø 100 mm, z toho 2 s brzdou, nosič pro 4x GN 1/4 vč. gastronádob</t>
  </si>
  <si>
    <t>01.01.10</t>
  </si>
  <si>
    <t>01.01.8</t>
  </si>
  <si>
    <t>01.01.7</t>
  </si>
  <si>
    <t>Výdejní stůl se dvěma policemi, celonerezové provedení - pracovní deska tl. 40 mm, nerez plech tl. 1,5 mm, podnoží z jeklů 40x40x1,5 mm, spodní skříňkový prostor otevřený v hygienickém provedení H2, opláštění z plechu tl. 1 mm z boků a zezadu, se střední přestavitelnou policí, vsazené čelo vlevo, příprava pro uchycení interiérového obkladu zezadu, provedení na stavebním soklu v. 150 mm</t>
  </si>
  <si>
    <t>01.01.5</t>
  </si>
  <si>
    <t>01.01.4</t>
  </si>
  <si>
    <t>01.01.3</t>
  </si>
  <si>
    <t>Nástavba hygienická pultová, celonerezové provedení – trubková konstrukce z ohýbaných tr. prům. 32 mm,
tvarované horní sklo a čelní sklo – kalená čirá tl. 8 mm, LED osvětlení</t>
  </si>
  <si>
    <t>Nástavba hygienická bufetová, celonerezové provedení – trubková konstrukce z ohýbaných tr. prům. 32 mm,
dvě tvarovaná horní skla – kalená čirá tl. 8 mm, LED osvětlení</t>
  </si>
  <si>
    <t>Výdejní stůl s chlazenou vanou  na 3x GN 1/1, hl. 210 mm, celonerezové provedení - pracovní deska tl. 40 mm, nerez plech tl. 1,5 mm, podnoží z jeklů 40x40x1,5 mm, spodní prostor skříňkový uzavřený posuvnými dvířky v hygienickém provedení H2, opláštění z plechu tl. 1 mm z boků a zezadu, agregátová šachta s ovládáním vlevo
+ zásuvka 230V, vsazené čelo vzadu a vpravo, příprava pro uchycení interiérového obkladu z čela a zleva,
provedení na stavebním soklu v. 150 mm</t>
  </si>
  <si>
    <t>01.01.1a</t>
  </si>
  <si>
    <t>Nástavba hygienická bufetová, celonerezové provedení – trubková konstrukce z ohýbaných tr. prům. 32 mm,
dvě tvarovaná horní skla – kalená čirá tl. 8 mm, infraohřev – trubice (kombinace osvětlení a sálání)</t>
  </si>
  <si>
    <t>Gastro - pevně spojená - viz "G-PS"</t>
  </si>
  <si>
    <t>Gastro - bez pevného spojení - viz "G-BPS"</t>
  </si>
  <si>
    <t>Dodávka vč. školení (16 hod.), Instalace SW+HW, zkompletování, zapojení a odzkoušení systému, dopravy</t>
  </si>
  <si>
    <t>HW Pokladna - Monitor dotykový 22"</t>
  </si>
  <si>
    <t>O-22</t>
  </si>
  <si>
    <t>HW Pokladna - BK Snímač pro kancelář/kasa/PM (EM4102)</t>
  </si>
  <si>
    <t>O-21</t>
  </si>
  <si>
    <t>HW Pokladna - Zásuvka pokladní (C-Lux 420)</t>
  </si>
  <si>
    <t>O-20</t>
  </si>
  <si>
    <t>HW Pokladna - Displej zákaznický (VFD 2x20)</t>
  </si>
  <si>
    <t>O-19</t>
  </si>
  <si>
    <t>HW Pokladna - Tiskárna bankovní (SRP 350+III)</t>
  </si>
  <si>
    <t>O-18</t>
  </si>
  <si>
    <t>HW Pokladna - PC Dell stanice - základ (I3, 8+4 GB RAM, 500GB HDD, W7Pro OEM)</t>
  </si>
  <si>
    <t>O-17</t>
  </si>
  <si>
    <t>SW Pokladna (včetně EET)</t>
  </si>
  <si>
    <t>O-16</t>
  </si>
  <si>
    <t>SW E-banking</t>
  </si>
  <si>
    <t>O-15</t>
  </si>
  <si>
    <t>SW - Mobilní objednávání (pro mobily s operačními systémy ANDROID i iOS)</t>
  </si>
  <si>
    <t>O-14</t>
  </si>
  <si>
    <t>SW - objednávání přes internet (z důvodu bezpečnosti instalován na vlastní PC)</t>
  </si>
  <si>
    <t>O-13</t>
  </si>
  <si>
    <t>SW - alergeny a nutriční hodnoty</t>
  </si>
  <si>
    <t>O-12</t>
  </si>
  <si>
    <t>SW -  sklady a normování včetně automatizovaných příjemek z elektronického nákupního portálu pro nákup potravin</t>
  </si>
  <si>
    <t>O-11</t>
  </si>
  <si>
    <t>SW - modul GDPR</t>
  </si>
  <si>
    <t>O-10</t>
  </si>
  <si>
    <t>SW - databáze receptur a karet zboží</t>
  </si>
  <si>
    <t>O-9</t>
  </si>
  <si>
    <t>SW - Správa systému pro 300 klientů (z důvodu bezpečnosti instalován na vlastní PC)</t>
  </si>
  <si>
    <t>O-8</t>
  </si>
  <si>
    <t>SW - Objednávání a výdej pro 300 klientů (z důvodu bezpečnosti instalován na vlastní PC)</t>
  </si>
  <si>
    <t>O-7</t>
  </si>
  <si>
    <t>HW kancelář - BK Snímač pro kancelář/kasa/PM (EM4102)</t>
  </si>
  <si>
    <t>O-6</t>
  </si>
  <si>
    <t>HW - PC - počítač v kanceláři - vlastní (stávající)</t>
  </si>
  <si>
    <t>O-5</t>
  </si>
  <si>
    <t>HW - Zdroj 12V pro výdejní terminál</t>
  </si>
  <si>
    <t>O-4</t>
  </si>
  <si>
    <t>HW - Držák nerez (do výdejní linky)</t>
  </si>
  <si>
    <t>O-3</t>
  </si>
  <si>
    <t>HW -  Multifunkční výdejový terminál AN301 7“ (oboustr.7" dotykový bar. displej, 2x LAN, USB snímač karet EM H4102)</t>
  </si>
  <si>
    <t>O-2</t>
  </si>
  <si>
    <t>HW - Prezentační místo (průmyslový počítač zabezpečen s dotykovou obrazovkou 19" včetně historie), včetně zabudovaného snímače karet EM H4102</t>
  </si>
  <si>
    <t>O-1</t>
  </si>
  <si>
    <t>Objednávkový systém včetně pokladny</t>
  </si>
  <si>
    <t>Gastro obj.systém - viz "G-OS"</t>
  </si>
  <si>
    <t>Dodávka vč. montáže a fyzického připojení čidlel do systému; Instalace SW, zkompletování, zapojení a odzkoušení systému; zaškolení obsluhy</t>
  </si>
  <si>
    <t>Programování čidla do softwaru</t>
  </si>
  <si>
    <t>R-M-07</t>
  </si>
  <si>
    <t xml:space="preserve">Poznámka k položce R-M-06:
• Monitorování teploty měřené čidly 
• možnosti měřit také vlhkost z čidel 
• Připojení čidel přes převodník RS485/USB
• Měření ze všech čidel „současně“ (tolerance 1s/čidlo) v nastavitelném intervalu
• Možnost pojmenování každého čidla
• Možnost nastavení dvou kritických teplot pro každé čidlo
• Zobrazení posledních naměřených hodnot na obrazovce
• Ukládání v nastavitelném intervalu pro všechna čidla společně
• Tlačítko okamžitého změření
• Zaslání emailu při překročení / podtečení nastavené meze u každého čidla
• Zaslání emailu při vadě čidla (čidlo neodpovídá)
• Zobrazení vadných čidel na obrazovce
• Uložení do textového souboru – každý řádek ve formátu datum čas teploty jednotlivých čidel
• Zvýraznění hodnot nad či pod kritickou teplotou
• Zakládání nového souboru každý měsíc
• zaznamenaná data ukládat do grafu s průběhem teplot se záznamy měření v nastavitelném intervalu s možností vytisknutí grafu a to všech čidel současně, případně pouze vybraných čidel.
</t>
  </si>
  <si>
    <t>Software pro snímání a archivaci průběhů teplot, vlhkostí s těmito funkcemi:</t>
  </si>
  <si>
    <t>R-M-06</t>
  </si>
  <si>
    <t>Převodník 2xRS485/USB + napaječ 230 V/ 12 V</t>
  </si>
  <si>
    <t>R-M-05</t>
  </si>
  <si>
    <r>
      <t>Prostorové čidlo teploty a vlhkosti, RS 485, -40 - +70</t>
    </r>
    <r>
      <rPr>
        <sz val="11"/>
        <color indexed="8"/>
        <rFont val="Calibri"/>
        <family val="2"/>
        <charset val="238"/>
      </rPr>
      <t>°C, 0-100°</t>
    </r>
    <r>
      <rPr>
        <sz val="8"/>
        <rFont val="Arial CE"/>
        <family val="2"/>
      </rPr>
      <t>C</t>
    </r>
  </si>
  <si>
    <t>R-M-04</t>
  </si>
  <si>
    <t xml:space="preserve">Čidlo teploty pro zabudování do lednice / chl. boxu, RS485, krytí IP 65, -55-+125°C, rozlišení 0,1°C, </t>
  </si>
  <si>
    <t>R-M-03</t>
  </si>
  <si>
    <t>Skříňka pro převodník, UPS, PC, LCD (sevisní)</t>
  </si>
  <si>
    <t>R-M-02</t>
  </si>
  <si>
    <t>MiniPC (min. 4x2,8GHz, 8GB, 240GB SSD, Win10 pro, UPS, LCD min. 20", FHD, OFFICE2019 *.docx / *.xlsx plně kompatibilní, barevná tiskárna s laserovým tiskem A4 formátu, 3v1 (tiskárna, kopírka, skener), rychlost tisku až 21 stránek za minutu černobíle/barevně, rozlišení tisku 600 x 600 dpi, doporučené měsíční vytížení 150-2500 stránek (max. 40 000stránek), automatický oboustranný tisk, 300-1200dpi skener, min. USB 2.0, LAN, WiFi</t>
  </si>
  <si>
    <t>R-M-01</t>
  </si>
  <si>
    <t>Monitoring</t>
  </si>
  <si>
    <t>Gastro HACCP - viz "HACCP"</t>
  </si>
  <si>
    <t>Gastro demontáž - viz "G-DEM"</t>
  </si>
  <si>
    <t>ŽIDLE KANCELÁŘSKÁ STELLA-ČERNÁ</t>
  </si>
  <si>
    <t>450389/0000</t>
  </si>
  <si>
    <t>ŽIDLE KANCELÁŘSKÁ 1540 ASYN C</t>
  </si>
  <si>
    <t>605113/0000</t>
  </si>
  <si>
    <t>ZMĚKČOVAČ VODY - AUTOMATICKÝ A-8</t>
  </si>
  <si>
    <t>453044/0000</t>
  </si>
  <si>
    <t>ZMĚČOVAČ VODY</t>
  </si>
  <si>
    <t>456580/0000</t>
  </si>
  <si>
    <t>ZIDLE KIRSTEN</t>
  </si>
  <si>
    <t>338069</t>
  </si>
  <si>
    <t>338068</t>
  </si>
  <si>
    <t>338067</t>
  </si>
  <si>
    <t>338066</t>
  </si>
  <si>
    <t>338065</t>
  </si>
  <si>
    <t>338064</t>
  </si>
  <si>
    <t>338063</t>
  </si>
  <si>
    <t>338062</t>
  </si>
  <si>
    <t>338061</t>
  </si>
  <si>
    <t>338060</t>
  </si>
  <si>
    <t>338059</t>
  </si>
  <si>
    <t>338058</t>
  </si>
  <si>
    <t>338057</t>
  </si>
  <si>
    <t>338056</t>
  </si>
  <si>
    <t>338055</t>
  </si>
  <si>
    <t>338054</t>
  </si>
  <si>
    <t>338053</t>
  </si>
  <si>
    <t>338052</t>
  </si>
  <si>
    <t>338051</t>
  </si>
  <si>
    <t>338050</t>
  </si>
  <si>
    <t>338049</t>
  </si>
  <si>
    <t>338048</t>
  </si>
  <si>
    <t>338047</t>
  </si>
  <si>
    <t>338046</t>
  </si>
  <si>
    <t>338045</t>
  </si>
  <si>
    <t>338044</t>
  </si>
  <si>
    <t>338043</t>
  </si>
  <si>
    <t>338042</t>
  </si>
  <si>
    <t>338041</t>
  </si>
  <si>
    <t>338040</t>
  </si>
  <si>
    <t>338039</t>
  </si>
  <si>
    <t>338038</t>
  </si>
  <si>
    <t>338037</t>
  </si>
  <si>
    <t>338036</t>
  </si>
  <si>
    <t>338035</t>
  </si>
  <si>
    <t>338034</t>
  </si>
  <si>
    <t>338033</t>
  </si>
  <si>
    <t>338032</t>
  </si>
  <si>
    <t>338031</t>
  </si>
  <si>
    <t>338030</t>
  </si>
  <si>
    <t>338029</t>
  </si>
  <si>
    <t>338028</t>
  </si>
  <si>
    <t>338027</t>
  </si>
  <si>
    <t>338026</t>
  </si>
  <si>
    <t>338025</t>
  </si>
  <si>
    <t>338024</t>
  </si>
  <si>
    <t>338023</t>
  </si>
  <si>
    <t>338022</t>
  </si>
  <si>
    <t>338021</t>
  </si>
  <si>
    <t>338020</t>
  </si>
  <si>
    <t>338019</t>
  </si>
  <si>
    <t>338018</t>
  </si>
  <si>
    <t>ZIDLE DREVENA</t>
  </si>
  <si>
    <t>305728</t>
  </si>
  <si>
    <t>304077</t>
  </si>
  <si>
    <t>304044</t>
  </si>
  <si>
    <t>304005</t>
  </si>
  <si>
    <t>303986</t>
  </si>
  <si>
    <t>303983</t>
  </si>
  <si>
    <t>303970</t>
  </si>
  <si>
    <t>303969</t>
  </si>
  <si>
    <t>303967</t>
  </si>
  <si>
    <t>303955</t>
  </si>
  <si>
    <t>303934</t>
  </si>
  <si>
    <t>ZASOBNIK NA PRIBORY</t>
  </si>
  <si>
    <t>337986</t>
  </si>
  <si>
    <t>VYSUV POD KLAVESNICI PC</t>
  </si>
  <si>
    <t>334085</t>
  </si>
  <si>
    <t>VYLEVKA KOMBINOVANA S UMYVADLEM-NEREZ</t>
  </si>
  <si>
    <t>102790</t>
  </si>
  <si>
    <t>VOZIK UKLIDOVY</t>
  </si>
  <si>
    <t>312942</t>
  </si>
  <si>
    <t>VOZÍK SERVÍROVACÍ CR083</t>
  </si>
  <si>
    <t>457369/0000</t>
  </si>
  <si>
    <t>VOZIK PREPAVNI NA NADOBI NEREZ</t>
  </si>
  <si>
    <t>329921</t>
  </si>
  <si>
    <t>VOZIK PLOSINOVY</t>
  </si>
  <si>
    <t>339508</t>
  </si>
  <si>
    <t>VOZIK NA ODKL.PODNOSU S POUZITYM NADOBIM</t>
  </si>
  <si>
    <t>337996</t>
  </si>
  <si>
    <t>337995</t>
  </si>
  <si>
    <t>VENTILATOR EL.KLIPSOVY WAVE</t>
  </si>
  <si>
    <t>336098</t>
  </si>
  <si>
    <t>VANA VYHRIVANA VYDEJNI 4XGN</t>
  </si>
  <si>
    <t>103700</t>
  </si>
  <si>
    <t>VANA VYHRIVANA VYDEJNI 3XGN</t>
  </si>
  <si>
    <t>103701</t>
  </si>
  <si>
    <t>VAHA TENZOMETRICKA OBCHODNI TOA15</t>
  </si>
  <si>
    <t>332946</t>
  </si>
  <si>
    <t>VÁHA DIGITÁLNÍ ISHIDA IPC WP 15K+ADAPTÉR</t>
  </si>
  <si>
    <t>450014/0000</t>
  </si>
  <si>
    <t>TERMOS NA ČAJ</t>
  </si>
  <si>
    <t>457331/0000</t>
  </si>
  <si>
    <t>SVITIDLO NASTENNE TRYCHO</t>
  </si>
  <si>
    <t>338143</t>
  </si>
  <si>
    <t>338142</t>
  </si>
  <si>
    <t>338141</t>
  </si>
  <si>
    <t>338140</t>
  </si>
  <si>
    <t>338139</t>
  </si>
  <si>
    <t>338138</t>
  </si>
  <si>
    <t>338137</t>
  </si>
  <si>
    <t>338136</t>
  </si>
  <si>
    <t>338135</t>
  </si>
  <si>
    <t>338134</t>
  </si>
  <si>
    <t>338133</t>
  </si>
  <si>
    <t>338132</t>
  </si>
  <si>
    <t>338131</t>
  </si>
  <si>
    <t>338130</t>
  </si>
  <si>
    <t>338129</t>
  </si>
  <si>
    <t>STUL VYDEJNI PRO TERMOPORTY-NEREZ</t>
  </si>
  <si>
    <t>102777</t>
  </si>
  <si>
    <t>STŮL SKLÁDACÍ 120 X 70</t>
  </si>
  <si>
    <t>456042/0000</t>
  </si>
  <si>
    <t>STUL PSACI 80X80X73</t>
  </si>
  <si>
    <t>332264</t>
  </si>
  <si>
    <t>STUL PRACOVNI NEREZ SNIZENY</t>
  </si>
  <si>
    <t>337990</t>
  </si>
  <si>
    <t>STUL PRACOVNI NEREZ S POLICI</t>
  </si>
  <si>
    <t>316043</t>
  </si>
  <si>
    <t>STUL PRACOVNI 140CM</t>
  </si>
  <si>
    <t>334082</t>
  </si>
  <si>
    <t>STUL PRAC./BLOK TRI ZASUVEK/-NEREZ</t>
  </si>
  <si>
    <t>102788</t>
  </si>
  <si>
    <t>STUL ODKLADACI OTEVRENY MOBILNI PROVEDEN</t>
  </si>
  <si>
    <t>337997</t>
  </si>
  <si>
    <t>STUL ODKLADACI NEREZ</t>
  </si>
  <si>
    <t>329912</t>
  </si>
  <si>
    <t>STUL NEUTRALNI SNIZENY POSUN NA TACY,SOK</t>
  </si>
  <si>
    <t>337981</t>
  </si>
  <si>
    <t>STUL NEUTRALNI ROH.POSUN NA TACY,SOKL</t>
  </si>
  <si>
    <t>337985</t>
  </si>
  <si>
    <t>337984</t>
  </si>
  <si>
    <t>STUL KOTVENY VCETNE PODNOZE</t>
  </si>
  <si>
    <t>338017</t>
  </si>
  <si>
    <t>338016</t>
  </si>
  <si>
    <t>338015</t>
  </si>
  <si>
    <t>338014</t>
  </si>
  <si>
    <t>338013</t>
  </si>
  <si>
    <t>338012</t>
  </si>
  <si>
    <t>338011</t>
  </si>
  <si>
    <t>338010</t>
  </si>
  <si>
    <t>338009</t>
  </si>
  <si>
    <t>338008</t>
  </si>
  <si>
    <t>338007</t>
  </si>
  <si>
    <t>338006</t>
  </si>
  <si>
    <t>338005</t>
  </si>
  <si>
    <t>STUL CHLADICI S CHLAZENOU VANOU,VITRINOU</t>
  </si>
  <si>
    <t>103702</t>
  </si>
  <si>
    <t>STŮL CHLADÍCI</t>
  </si>
  <si>
    <t>456433/0000</t>
  </si>
  <si>
    <t>STUL CTVERCOVY</t>
  </si>
  <si>
    <t>304397</t>
  </si>
  <si>
    <t>STOLIČKA ELEKTRICKÁ</t>
  </si>
  <si>
    <t>453321/0000</t>
  </si>
  <si>
    <t>SPRCHA TLAKOVÁ NA NÁDOBÍ</t>
  </si>
  <si>
    <t>453045/0000</t>
  </si>
  <si>
    <t>SPORÁK ELEKTRICKÝ</t>
  </si>
  <si>
    <t>453320/0000</t>
  </si>
  <si>
    <t>SKŘÍŇ MRAZÍCÍ UF600 BÍLÁ 570L</t>
  </si>
  <si>
    <t>449068/0000</t>
  </si>
  <si>
    <t>SKRINKA ZASUVKOVA POJIZDNA</t>
  </si>
  <si>
    <t>300668</t>
  </si>
  <si>
    <t>300607</t>
  </si>
  <si>
    <t>SKRINKA DVOUDVEROVA</t>
  </si>
  <si>
    <t>309813</t>
  </si>
  <si>
    <t>309811</t>
  </si>
  <si>
    <t>309810</t>
  </si>
  <si>
    <t>SKRIN CHLADICI PROSKLE CALEX CGR 145C</t>
  </si>
  <si>
    <t>341096</t>
  </si>
  <si>
    <t>SKRIN CHLADICI HELKAMA</t>
  </si>
  <si>
    <t>102803</t>
  </si>
  <si>
    <t>102802</t>
  </si>
  <si>
    <t>102801</t>
  </si>
  <si>
    <t>SATNIK KOVOVY 2DVERE, ZAMEK, ZAVORA</t>
  </si>
  <si>
    <t>344552</t>
  </si>
  <si>
    <t>344551</t>
  </si>
  <si>
    <t>344550</t>
  </si>
  <si>
    <t>344548</t>
  </si>
  <si>
    <t>344547</t>
  </si>
  <si>
    <t>344546</t>
  </si>
  <si>
    <t>SADA GN NADOB DO TERMOPORTU /20 KS/</t>
  </si>
  <si>
    <t>102787</t>
  </si>
  <si>
    <t>REGAL RD 1/1</t>
  </si>
  <si>
    <t>306442</t>
  </si>
  <si>
    <t>REGAL POLICOVY KOVOVY LAKOVANY</t>
  </si>
  <si>
    <t>329924</t>
  </si>
  <si>
    <t>REGAL KOVOVY</t>
  </si>
  <si>
    <t>348180</t>
  </si>
  <si>
    <t>348179</t>
  </si>
  <si>
    <t>319248</t>
  </si>
  <si>
    <t>319247</t>
  </si>
  <si>
    <t>REGAL</t>
  </si>
  <si>
    <t>309814</t>
  </si>
  <si>
    <t>POLICE NEREZ NASTENNA 2 STAVITELNE POLIC</t>
  </si>
  <si>
    <t>337987</t>
  </si>
  <si>
    <t>POLICE NASTENNA NEREZ 2 STAVITELNE POLIC</t>
  </si>
  <si>
    <t>337989</t>
  </si>
  <si>
    <t>POLICE NASTENNA NEREZ</t>
  </si>
  <si>
    <t>329926</t>
  </si>
  <si>
    <t>329919</t>
  </si>
  <si>
    <t>POLICE NA PC</t>
  </si>
  <si>
    <t>353347</t>
  </si>
  <si>
    <t>PODSTAVEC POD MYCI STROJ S DESKOU S UCHYTY PRO KOS</t>
  </si>
  <si>
    <t>353901</t>
  </si>
  <si>
    <t>OHRIVAC TALIRU</t>
  </si>
  <si>
    <t>307300</t>
  </si>
  <si>
    <t>ODSAVAC PAR NASTENNY ROVNY</t>
  </si>
  <si>
    <t>355176</t>
  </si>
  <si>
    <t>NASTAVEC PRACOVNIHO STOLU NEREZOVY</t>
  </si>
  <si>
    <t>316720</t>
  </si>
  <si>
    <t>MYCKA NA SKLO+ZMEKCOVAC</t>
  </si>
  <si>
    <t>104780</t>
  </si>
  <si>
    <t>MASODESKA 30X50 ZLUTA</t>
  </si>
  <si>
    <t>343048</t>
  </si>
  <si>
    <t>MASODESKA 30X50 ZELENA</t>
  </si>
  <si>
    <t>343049</t>
  </si>
  <si>
    <t>MASODESKA 30X50 CERVENA</t>
  </si>
  <si>
    <t>343047</t>
  </si>
  <si>
    <t>KRESLO BRAVO+P10</t>
  </si>
  <si>
    <t>346055</t>
  </si>
  <si>
    <t>KOTLÍK NEREZOVÝ POLÉVKOVÝ 9L</t>
  </si>
  <si>
    <t>452870/0000</t>
  </si>
  <si>
    <t>CHLADNIČKA LIEBHERR FKV 4140</t>
  </si>
  <si>
    <t>453355/0000</t>
  </si>
  <si>
    <t>453354/0000</t>
  </si>
  <si>
    <t>453353/0000</t>
  </si>
  <si>
    <t>453352/0000</t>
  </si>
  <si>
    <t>CHLADNICKA 275L</t>
  </si>
  <si>
    <t>338004</t>
  </si>
  <si>
    <t>FREITEZA DVOUKOSOVA,PODSTAVEC</t>
  </si>
  <si>
    <t>103924</t>
  </si>
  <si>
    <t>ELEMENT ROHOVY S VESTAV.ZASOB.NA MISKY</t>
  </si>
  <si>
    <t>337980</t>
  </si>
  <si>
    <t>DVOUDREZ MYCI S ODKL.DESKOU-NEREZ</t>
  </si>
  <si>
    <t>102792</t>
  </si>
  <si>
    <t>DREZ NEREZ VCETNE PRISLUSENSTVI</t>
  </si>
  <si>
    <t>337988</t>
  </si>
  <si>
    <t>DREZ NEREZ</t>
  </si>
  <si>
    <t>338001</t>
  </si>
  <si>
    <t>338000</t>
  </si>
  <si>
    <t>DREZ MYCI NEREZ</t>
  </si>
  <si>
    <t>329925</t>
  </si>
  <si>
    <t>DESKA VRCHNI PRES SKRINKY</t>
  </si>
  <si>
    <t>309812</t>
  </si>
  <si>
    <t>DESKA GRILOVACI,PODSTAVEC</t>
  </si>
  <si>
    <t>103925</t>
  </si>
  <si>
    <t>BEDNA NA PRADLO</t>
  </si>
  <si>
    <t>325978</t>
  </si>
  <si>
    <t>Aktivace dne</t>
  </si>
  <si>
    <t>Označení</t>
  </si>
  <si>
    <t>Inventár.číslo</t>
  </si>
  <si>
    <t>Demontáže stávajících strojů a zařízení ÚV ČR vč. ekologické likvidace</t>
  </si>
  <si>
    <t>Gasrtro demontáž TG- viz "G-DEM TG"</t>
  </si>
  <si>
    <t>* Uskladnění těchto zařízení zajistí investor vč. dopravy na místo následné instalace</t>
  </si>
  <si>
    <t>ZIDLE</t>
  </si>
  <si>
    <t>354763</t>
  </si>
  <si>
    <t>354762</t>
  </si>
  <si>
    <t>354761</t>
  </si>
  <si>
    <t>354760</t>
  </si>
  <si>
    <t>354759</t>
  </si>
  <si>
    <t>354758</t>
  </si>
  <si>
    <t>354757</t>
  </si>
  <si>
    <t>354756</t>
  </si>
  <si>
    <t>VUZ RIEBER OHRIVACI TALIRU</t>
  </si>
  <si>
    <t>103989</t>
  </si>
  <si>
    <t>VITRINA VYHRIVANA STOLNI NEREZ</t>
  </si>
  <si>
    <t>353492</t>
  </si>
  <si>
    <t>VITRINA CHLADICI</t>
  </si>
  <si>
    <t>103930</t>
  </si>
  <si>
    <t>103927</t>
  </si>
  <si>
    <t>VESAK STOJANOVY RU.TON</t>
  </si>
  <si>
    <t>333606</t>
  </si>
  <si>
    <t>VESAK STOJANOVY</t>
  </si>
  <si>
    <t>356818</t>
  </si>
  <si>
    <t>VENTILÁTOR STOLNÍÍ ECG</t>
  </si>
  <si>
    <t>616769/0000</t>
  </si>
  <si>
    <t>TROUBA MIKROVLNNÁ GALLET FMOM 201W</t>
  </si>
  <si>
    <t>616475/0000</t>
  </si>
  <si>
    <t>TROUBA MIKROVLNNÁ BECKERS/RIGA</t>
  </si>
  <si>
    <t>449069/0000</t>
  </si>
  <si>
    <t>STUL PREMYVACI K MYCCE,TALK.SPRCHA STAVA</t>
  </si>
  <si>
    <t>337998</t>
  </si>
  <si>
    <t>STUL PRACOVNI OTEVRENY NEREZ</t>
  </si>
  <si>
    <t>329911</t>
  </si>
  <si>
    <t>STUL PRACOVNI 80CM</t>
  </si>
  <si>
    <t>334083</t>
  </si>
  <si>
    <t>STUL ODKLADACI K MYCCE</t>
  </si>
  <si>
    <t>337999</t>
  </si>
  <si>
    <t>STŮL MELLTROP</t>
  </si>
  <si>
    <t>616800/0000</t>
  </si>
  <si>
    <t>616799/0000</t>
  </si>
  <si>
    <t>616798/0000</t>
  </si>
  <si>
    <t>616797/0000</t>
  </si>
  <si>
    <t>STROJ NÁŘEZOVÝ RM-GMS275XL</t>
  </si>
  <si>
    <t>453094/0000</t>
  </si>
  <si>
    <t>STROJ NAREZOVY BERKEL</t>
  </si>
  <si>
    <t>101134</t>
  </si>
  <si>
    <t>REGAL NEREZ</t>
  </si>
  <si>
    <t>338002</t>
  </si>
  <si>
    <t>PULT CHLAD.S PODSTAVCEM-NEREZ</t>
  </si>
  <si>
    <t>102791</t>
  </si>
  <si>
    <t>PODSTAVEC POD KONVEKTOMAT SE ZÁSUVKY</t>
  </si>
  <si>
    <t>456455/0000</t>
  </si>
  <si>
    <t>MYČKA HOBART AMS900-10N</t>
  </si>
  <si>
    <t>205016/0000</t>
  </si>
  <si>
    <t>MRAZNIČKA LIEBHERR GGV 5010</t>
  </si>
  <si>
    <t>205017/0000</t>
  </si>
  <si>
    <t>LINKA KUCHYN.BEZ DREZU DREV.DELKA 10 M</t>
  </si>
  <si>
    <t>102760</t>
  </si>
  <si>
    <t>KUCHYN CALA ORECH SKRINKA SPODNI 60CM</t>
  </si>
  <si>
    <t>342023</t>
  </si>
  <si>
    <t>KROUHAČ ZELENINY ZK 50(N)</t>
  </si>
  <si>
    <t>453369/0000</t>
  </si>
  <si>
    <t>KOTLÍK NA POLÉVKU</t>
  </si>
  <si>
    <t>616706/0000</t>
  </si>
  <si>
    <t>616705/0000</t>
  </si>
  <si>
    <t>KONVEKTOMAT RETIGO BLUE VISION</t>
  </si>
  <si>
    <t>205148/0000</t>
  </si>
  <si>
    <t>JEDNOTKA KLIMATIZAČNÍ DAIKIN FTXB60CV1B</t>
  </si>
  <si>
    <t>454877/0000</t>
  </si>
  <si>
    <r>
      <t xml:space="preserve">BAR SALATOVY ASB GN 4/1     </t>
    </r>
    <r>
      <rPr>
        <b/>
        <sz val="10"/>
        <color indexed="10"/>
        <rFont val="Arial"/>
        <family val="2"/>
        <charset val="238"/>
      </rPr>
      <t>LP</t>
    </r>
  </si>
  <si>
    <t>103060</t>
  </si>
  <si>
    <t>Demontáže stávajících strojů a zařízení a následná montáž ÚV ČR</t>
  </si>
  <si>
    <t>Konvektomat elektrický boilerový 6GN1/1 k automatickému vaření sestavený do věže s konvektomatem o kapacitě 10 GN1/1.
Toto zařízení je vybaveno provozními režimy: vaření v páře, horký vzduch a kombinace horkého vzduchu a páry s regulací vlhkosti, regenerace, vaření s nízkými teplotami, vaření s teplotním rozdílem, pasterizace, regulace vnitřní teploty pokrmu, zchlazování a rovněž funkce zvlhčování s možností nastavení množství vody v mililitrech a nastavení kynutí pečiva. Vybavení zařízení plně automatickým měřením vlhkosti s přesností na procenta, regulací a zobrazením stupně vlhkosti ve varném prostoru Základní technické parametry: Kapacita  6 GN1/1 Rozteč zásuvů 68 mm Teplotní rozsah  +30 – 300 oC Příkon 11 kW/400V Rozměry 850x850x850mm  Podélné vkládání gastronádob Automatické rozpoznání velikosti potraviny Zařízení musí být schváleno pro provoz bez dozoru 
 Inteligentní procesy přípravy, které se přizpůsobují druhu a výchozímu stavu potraviny a také zobrazují aktuální parametry vaření a zbývající dobu přípravy. Díky inteligentní přípravě na cílovou dobu je možné souběžné vaření více potravin ve stejnou dobu nebo alternativně na stejný cílový okamžik. Na displeji se zobrazuje, které potraviny lze připravovat současně. 
Zařízení lze libovolně naprogramovat (včetně obrázků, příslušenství a textů) pomocí minimálně 1 000 varných programů. Rozsáhlá funkce vyhledávání v celém obsahu příručky a receptech v zařízení,kontextové zobrazování informací nápovědy. Dynamické proudění vzduchu ve varné komoře je zajištěno  ventilátorem s 5-ti rychlostmi.Tí je zajištěna velká rovnoměrnost pečení v komoře.
Výroba páry probíhá bez tlaku pomocí generátoru čerstvé páry se samočisticím programem a automatickým odvápněním a péčí, nezávisle na nastavené tvrdosti vody. Provoz bez zařízení na změkčování vody a bez dodatečného odvápňování. Systém  s automatickým zobrazováním servisních hlášení a funkcí vlastního testu k aktivní kontrole funkcí zařízení. Zařízení je vybaveno plně automatickým systémem čištění nezávislým na tlaku vody s více stupni čištění. Použití čisticích prostředků v pevném skupenství bez fosforu a fosfátů ve formě tablet pro bezpečnou práci. Zařízení má různé čisticí programy, i bez dozoru přes noc, a také funkci ultrarychlého čištění za pouhých 12 minut. Integrovaná ruční sprcha s automatickým navíjením a nastavitelnou funkcí rozprašování a vodního paprsku. Zařízení je vybaveno 10 palcovým TFT barevným dotykovým d.isplayem s centrálním kolečkem s funkcí „push“ Plně integrované rozhraní WLAN bez externí antény a ethernetové rozhraní k připojení ke cloudovému síťovému řešení pro vzdálený přístup a údržbu. Možnost ovládání více zařízení, správy varných programů, správy výroby a zařízení prostřednictvím cloudového řešení. 6x plech na smažení, 6x plech Multibaker, 6x křížový a proužkový grilovací rošt, 6x granitem smaltované nádoby, 6x nerezové nádoby hloubky 65 mm.</t>
  </si>
  <si>
    <t xml:space="preserve">Konvektomat elektrický boilerový 10GN1/1 k automatickému vaření sestavený do věže s konvektomatem o kapacitě 6 GN1/1.
Toto zařízení je vybaveno provozními režimy: vaření v páře, horký vzduch a kombinace horkého vzduchu a páry s regulací vlhkosti, regenerace, vaření s nízkými teplotami, vaření s teplotním rozdílem, pasterizace, regulace vnitřní teploty pokrmu, zchlazování a rovněž funkce zvlhčování s možností nastavení množství vody v mililitrech a nastavení kynutí pečiva. Vybavení zařízení plně automatickým měřením vlhkosti s přesností na procenta, regulací a zobrazením stupně vlhkosti ve varném prostoru Základní technické parametry:Kapacita  10 GN1/1 Rozteč zásuvů 68 mm Teplotní rozsah  +30 – 300 oC Příkon 18 kW/400V Rozměry 850x1100x850mm  Podélné vkládání gastronádob Automatické rozpoznání velikosti potraviny Zařízení musí být schváleno pro provoz bez dozoru 
 Inteligentní procesy přípravy, které se přizpůsobují druhu a výchozímu stavu potraviny a také zobrazují aktuální parametry vaření a zbývající dobu přípravy. Díky inteligentní přípravě na cílovou dobu je možné souběžné vaření více potravin ve stejnou dobu nebo alternativně na stejný cílový okamžik. Na displeji se zobrazuje, které potraviny lze připravovat současně. 
Zařízení lze libovolně naprogramovat (včetně obrázků, příslušenství a textů) pomocí minimálně 1 000 varných programů. Rozsáhlá funkce vyhledávání v celém obsahu příručky a receptech v zařízení,kontextové zobrazování informací nápovědy. Dynamické proudění vzduchu ve varné komoře je zajištěno 2 ventilátory s 5-ti rychlostmi.Tí je zajištěna velká rovnoměrnost pečení v komoře.
Výroba páry probíhá bez tlaku pomocí generátoru čerstvé páry se samočisticím programem a automatickým odvápněním a péčí, nezávisle na nastavené tvrdosti vody. Provoz bez zařízení na změkčování vody a bez dodatečného odvápňování. Systém  s automatickým zobrazováním servisních hlášení a funkcí vlastního testu k aktivní kontrole funkcí zařízení. Zařízení je vybaveno plně automatickým systémem čištění nezávislým na tlaku vody s více stupni čištění. Použití čisticích prostředků v pevném skupenství bez fosforu a fosfátů ve formě tablet pro bezpečnou práci. Zařízení má různé čisticí programy, i bez dozoru přes noc, a také funkci ultrarychlého čištění za pouhých 12 minut. Integrovaná ruční sprcha s automatickým navíjením a nastavitelnou funkcí rozprašování a vodního paprsku. Zařízení je vybaveno 10 palcovým TFT barevným dotykovým d.isplayem s centrálním kolečkem s funkcí „push“
Plně integrované rozhraní WLAN bez externí antény a ethernetové rozhraní k připojení ke cloudovému síťovému řešení pro vzdálený přístup a údržbu. Možnost ovládání více zařízení, správy varných programů, správy výroby a zařízení prostřednictvím cloudového řešení. 10x plech na smažení, 10x plech Multibaker, 10x křížový a proužkový grilovací rošt, 10x granitem smaltované nádoby, 10x nerezové nádoby hloubky 65 mm.
</t>
  </si>
  <si>
    <t>Profesionální vestavná indukční varná a udržovací deska. Bezrámečkové zabudování do varného bloku.
Rozměry sklokeramické desky: 350x330x min. 4mm. Rozměr nádobí při, kterém sepne indukční ohřev od 120mm. Zatížitelnost sklokeramické varné desky min. 60kg. Bezpečnostní prvky při přehřátí elektrického prostoru a varné desky (systém vypne při přehřátí). Bezpečnostní prvky při elektrickém přetížení. 
Udržovací režim (souvide vaření) 7 teplotních stupňů (35,40,50,60,70,80,90°C). Varný režim 10 výkonových stupňů. Nastavení doby chodu v rozsahu minimálně od 1 minuta až 720 minut. Samostatný elektronický ovládací panel, možnost připojení teplotní pokrmové sondy s přesností na 1°C.</t>
  </si>
  <si>
    <t>Univerzální kuchyňský robot - 30 ltr., obsah kotlíku 30 l s nerezovým bezpečnostním zákrytem, manipulační vozík pod kotlík, regulace 3 rychlosti 99/176/320 ot./min), nerezová metla, hák a míchač, mechanické ovládán, časovač, signalizací, STOP vypínačem, možnost dovybavit přídavným zařízením: mlýnek na maso, krouhač s plátkovačem a struhadly, popř. mlýnkem na mák, 30 l kotlík.</t>
  </si>
  <si>
    <t>Myčka provozního nádobí granulová s fukcí klasického mytí pro talíře, příbory a porcelánové nádobí. Otočný standardní mycí koš s možností vložení koše 500x500 pro mytí stolního nádobí. Objem nádrže: min. 83 l. Množství Granulí : 8 l. Teplota mycí vody: min. 65 °C. Teplota oplachovací vody: 85 °C. Objem oplachovací vody (litrů / mycí program) Program Eco: max. 4 l. Krátký/normální program: max. 8 litrů. K dosažení 3600 HUE podle hygienické směrnice NSF/ANSI 3 je potřeba 3,8 litrů , tak,  aby se nádobí nahřálo na 72 °C a došlo k bezpečné sanitaci nádobí. Mycí programy s granulemi: ECO 2 min 20 s; krátký 3 min 30 s; normální  5 min 30 s. Mycí programy bez granulí: ECO 2 min 20 s; krátký 2 min, 50 s; normální 4 min, 50 s. Mycí programy (mód combi): ECO 1 min 30 s; krátký 2 min; normální 2 min 30 s. Kapacita během programu: 6+1 GN1/1 65 mm nebo 3 GN1/1 do hloubky 200 mm a 3 GN1/1 do hloubky 65 mm nebo srovnatelné množství jiných nádob. Běžná kapacita za hodinu: 126 GN1/1 nebo srovnatelné množství jiných nádob. Kapacita za hodinu (mód Combi) 33 košů za hodinu (500 x 500 mm). Instalovaný příkon (napojení na teplou vodu): 12,6 kW. Motory mycího čerpadla 1 x 2,6 kW a 1x 0,7kW. Motor oplachovacího čerpadla 0.37 kW. Topná tělesa mytí/oplachování pro studenou vodu možnost 14 kW/14 kW). Třída ochrany: IP 55. Tlak/průtok studené vody 1–6 bar, 15 l/min. Vypouštění: Požadovaná kapacita 50 litrů/minutu. Součástí standartní konfigurace dodávky je: 1x USB port; 1x GD Memo; 1x Vzduchová mezera v souladu s EN 1717; 1x Standartní mycí koš; 1x Škrabka; 1x Sběrač granulí 8l; 1x 8l originálních granulí; 1x Připojení na studenou vodu; 1x Vložka na tácy a víka; 2x Flexibilní držák hrnců; 10x Koš na talíře 500x500; 10x Koš univerzální 500x500; 1x Dvouletá servisní sada. 1x držák na misky, 1x koš na hrnce.</t>
  </si>
  <si>
    <t>Termos 20 l s vodomírou na horké a studené nápoje, dvouplášťové plně izolované provedení, s víkem, nekapajícím kohoutkem. Elektrické vyhřívání, termostat</t>
  </si>
  <si>
    <t xml:space="preserve">Příslušenství pro poz. 01.02.1: 2× rameno pro automatické zdvihání a spouštění; 2× varný koš; 2× fritovací koš;
1× stěrka; 2× rošt dna nádoby; 2× sítko, houbička na čištění, 1x sítko na špecle </t>
  </si>
  <si>
    <t>Příslušenství pro poz. 01.02.2: 2× rameno pro automatické zdvihání a spouštění; 2× varný koš; 2× fritovací koš;
1× stěrka; 2× rošt dna nádoby; 2× sítko, houbička na čištění</t>
  </si>
  <si>
    <r>
      <t>Pracovní stůl nerez atyp pro dvě multifunkční  pánve a sporák - sestava  na stavební sokl, celonerezové provedení - pracovní deska tl. 40 mm, nerez plech tl. 1,5 mm, s přesahem vzadu nad podestavby pro vedení instalací - hl. desky 900 mm, podnoží z jeklů 40x40x1,5 mm, všechny spodní skříňkové prostory v hygienickém provedení H2  - 3x skříňkový čelně otevřený prostor š. 400 mm, 2x podestavba pod pánev , každá se dvěma prostory s lisovanými vsuny na GN 1/1 a instalační šachtou s odnímatelným krytem - š. 980 mm, 1x podestavba pod sporák čelně otevřená  š. 900 mm, vlevo skříňkový čelně otevřený prostor se střední přestavitelnou policí , š. 1150 mm, vsazené čelo vpravo, zadní a levý lem, provedení na stavebním soklu v. 150 mm. V části sporáku kde budou instalovány indukční desky je v desce vylisovaný po celém obvodu odkapní žlábek pro případ vytečení tekutin. V odkapním žlábku je umístěn otvor, který je napojen na odpad. Otvor pro baterii vylisovaný směrem nahoru proti zamezení zatékání vody. Vč. elektrické 230V zásuvky pro napojení příslušenství (např. tyčový mixér). Vestavěný konektor pro pokrmovou sondu, el. spojen s indukční varnou deskou 2x. 2x pokrmová sonda s přesností 1</t>
    </r>
    <r>
      <rPr>
        <sz val="11"/>
        <color indexed="8"/>
        <rFont val="Calibri"/>
        <family val="2"/>
        <charset val="238"/>
        <scheme val="minor"/>
      </rPr>
      <t>°C, kompaktibilní s indukční deskou.</t>
    </r>
  </si>
  <si>
    <t>Přídavný mlýnek na maso k poz.01.02.14, matrice 6,8,10,12 mm, ledvinka na gulášové maso.</t>
  </si>
  <si>
    <t>Nářezový stroj s teflonovým nožem o průměru 250 mm s uložením posuvného stolu rovně. Určen pro střední zátěž – 1 hod. provozu, 10 min. přestávka. Vyroben z potravinářské hliníkové slitiny a nerezu. 
Regulace tloušťky plátku. Úhel nože 25°. Řemínkový pohon. Ventilovaný motor. Zabudované brusné zařízení. Řezná plocha 230 x 235 mm. Teflonový nůž.</t>
  </si>
  <si>
    <t>Vyhřívaný zásobník na talíře 1-tubusový, možnost vložení všech tvarů nádobí: kulaté až do průměru 33 cm, čtercové, obdelníkové, IPX 5, kapacita 80 talířů, regulace teploty v rozsahu 30 - 110°C. Zásobník umožňuje úplné vyjmutí  šachty pro lepší čištění, nastavení pružin a servísní přistup. Jeden polykarbonátový kryt při výdeji lze zavěsit na madlo vozíku.</t>
  </si>
  <si>
    <t>Vyhřívaný zásobník na misky  1-tubusový, možnost vložení všech tvarů nádobí: kulaté až do průměru 33 cm, čtercové, obdelníkové, IPX 5, kapacita 80 talířů, regulace teploty v rozsahu 30 - 110°C. Zásobník umožňuje úplné vyjmutí šachty pro lepší čištění, nastavení pružin a servísní přistup. Jeden polykarbonátový kryt při výdeji lze zavěsit na madlo vozíku.</t>
  </si>
  <si>
    <t>Vyhřívaný zásobník na talíře 1-tubusový, možnost vložení všech tvarů nádobí: kulaté až do průměru 33 cm, čtercové, obdelníkové, IPX 5, kapacita 80 talířů, regulace teploty v rozsahu 30 - 110°C. Zásobník umožňuje úplné vyjmutí šachty pro lepší čištění, nastavení pružin a servísní přistup. Jeden polykarbonátový kryt při výdeji lze zavěsit na madlo vozíku.</t>
  </si>
  <si>
    <t>Izolovaný vozík se statickým ohřevem (GN 1/1) pro distribuci a udržování teplých pokrmů. Box lze doplnit o děrované police pro skládání talířů s jídlem. Plynule nastavitelná teplota do +90°C je ovládána pomocí digitálního displeje s kontrolkou dosažení nastavené teploty. Dveře se otevírají min. do úhlu 270° a dají se zajistit v otevřené poloze pomocí magnetu. Ergonomická madla na zadní straně vozíku zajišťují bezpečnou a jednoduchou manipulaci. Horní zábradlí po celém obvodu vozíku, které poskytuje další ukládací prostor a usnadňuje manipulaci s vozíkem. Kapacita 12 GN 1/1 - 65mm, 2 pevná a dvě otočná kolečka o pr. min. 160mm z toho dvě s brzdou. Váha vozíku v nenaplněném stavu max. 63 kg.</t>
  </si>
  <si>
    <t>*01.02.1</t>
  </si>
  <si>
    <t>*01.02.2</t>
  </si>
  <si>
    <t>*01.02.3</t>
  </si>
  <si>
    <t>*01.02.4</t>
  </si>
  <si>
    <t>*01.03.1</t>
  </si>
  <si>
    <t>Poznámka:* Pokud se v zadávací dokumentaci vyskytnou požadavky nebo odkazy na obchodní firmy , názvy nebo jména a příjmení, specifická označení zařízení  a služeb, které platí pro určitou osobu , popřípadě její organizační složku za příznačné , patenty na vynálezy , užitné vzory, průmyslové vzory, ochranné známky nebo označení původu, je účastník oprávněn pro plnění zakázky navrhnout i jiné , technicky a kvalitativně rovnocenné řešení , které musí splňovat technické a funkční požadavky zadavatele uvedené v této zadávací dokumentaci a jejich přílohách.</t>
  </si>
  <si>
    <t>Servis</t>
  </si>
  <si>
    <t>Provedení preventivního servisu gastroprovozu čtvrtletně , celkový počet servisních zásahů za tři roky 12, včetně nákladů za  dopravu ze sídla dodavatele do místa servisního zásahu</t>
  </si>
  <si>
    <t>D.1.4.07 - Soupis prací - Servis</t>
  </si>
  <si>
    <t xml:space="preserve">   Servis</t>
  </si>
  <si>
    <t>S</t>
  </si>
  <si>
    <t>Soupis prací - Servis</t>
  </si>
  <si>
    <t>*722181213RT7</t>
  </si>
  <si>
    <t>*722181213RT8</t>
  </si>
  <si>
    <t>*722181213RU1</t>
  </si>
  <si>
    <t>*722181213RV9</t>
  </si>
  <si>
    <t>*722181213RW6</t>
  </si>
  <si>
    <t>*PRAFlaG 2x2x0.8</t>
  </si>
  <si>
    <t>*PRAFlaG 1x2x0.8</t>
  </si>
  <si>
    <t>*ROCKWOOL</t>
  </si>
  <si>
    <t>*LBC3018/01, rep</t>
  </si>
  <si>
    <t>*LBB4443/00, Pra</t>
  </si>
  <si>
    <t>*LBC1256/00, ada</t>
  </si>
  <si>
    <t>*3030</t>
  </si>
  <si>
    <t>*1030</t>
  </si>
  <si>
    <t>*1031</t>
  </si>
  <si>
    <t>*1035</t>
  </si>
  <si>
    <t>*2033</t>
  </si>
  <si>
    <t>*2040</t>
  </si>
  <si>
    <t>*725014131RT1</t>
  </si>
  <si>
    <t>*725017134R00</t>
  </si>
  <si>
    <t>*55230516</t>
  </si>
  <si>
    <t>*725019101R00</t>
  </si>
  <si>
    <t>*55231404</t>
  </si>
  <si>
    <t>*I26000001</t>
  </si>
  <si>
    <t>*I28410109</t>
  </si>
  <si>
    <t>*I28410209</t>
  </si>
  <si>
    <t>*19858</t>
  </si>
  <si>
    <t>*19859</t>
  </si>
  <si>
    <t>*19857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</si>
</sst>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00\ &quot;Kč&quot;"/>
    <numFmt numFmtId="170" formatCode="_-* #,##0.00\ [$Kč-405]_-;\-* #,##0.00\ [$Kč-405]_-;_-* &quot;-&quot;??\ [$Kč-405]_-;_-@_-"/>
  </numFmts>
  <fonts count="97">
    <font>
      <sz val="8"/>
      <name val="Arial CE"/>
      <family val="2"/>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amily val="1"/>
      <charset val="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b/>
      <sz val="11"/>
      <color theme="1"/>
      <name val="Calibri"/>
      <family val="2"/>
      <charset val="238"/>
      <scheme val="minor"/>
    </font>
    <font>
      <sz val="10"/>
      <name val="Arial"/>
      <family val="2"/>
      <charset val="238"/>
    </font>
    <font>
      <sz val="10"/>
      <color indexed="8"/>
      <name val="Arial"/>
      <family val="2"/>
      <charset val="238"/>
    </font>
    <font>
      <sz val="10"/>
      <color indexed="8"/>
      <name val="Arial"/>
      <family val="2"/>
      <charset val="238"/>
    </font>
    <font>
      <i/>
      <sz val="8"/>
      <color indexed="8"/>
      <name val="Arial"/>
      <family val="2"/>
      <charset val="238"/>
    </font>
    <font>
      <b/>
      <sz val="10"/>
      <color indexed="8"/>
      <name val="Arial"/>
      <family val="2"/>
      <charset val="238"/>
    </font>
    <font>
      <sz val="10"/>
      <color indexed="61"/>
      <name val="Arial"/>
      <family val="2"/>
      <charset val="238"/>
    </font>
    <font>
      <b/>
      <sz val="10"/>
      <color indexed="56"/>
      <name val="Arial"/>
      <family val="2"/>
      <charset val="238"/>
    </font>
    <font>
      <sz val="10"/>
      <color indexed="56"/>
      <name val="Arial"/>
      <family val="2"/>
      <charset val="238"/>
    </font>
    <font>
      <sz val="10"/>
      <color indexed="62"/>
      <name val="Arial"/>
      <family val="2"/>
      <charset val="238"/>
    </font>
    <font>
      <sz val="10"/>
      <color indexed="59"/>
      <name val="Arial"/>
      <family val="2"/>
      <charset val="238"/>
    </font>
    <font>
      <sz val="18"/>
      <color indexed="8"/>
      <name val="Arial"/>
      <family val="2"/>
      <charset val="238"/>
    </font>
    <font>
      <sz val="10"/>
      <name val="Arial CE"/>
      <charset val="238"/>
    </font>
    <font>
      <b/>
      <sz val="12"/>
      <name val="Arial CE"/>
      <family val="2"/>
      <charset val="238"/>
    </font>
    <font>
      <sz val="10"/>
      <name val="Arial CE"/>
      <family val="2"/>
      <charset val="238"/>
    </font>
    <font>
      <b/>
      <sz val="10"/>
      <name val="Arial CE"/>
      <charset val="238"/>
    </font>
    <font>
      <b/>
      <sz val="10"/>
      <name val="Arial CE"/>
      <family val="2"/>
      <charset val="238"/>
    </font>
    <font>
      <sz val="8"/>
      <name val="Arial CE"/>
      <family val="2"/>
      <charset val="238"/>
    </font>
    <font>
      <b/>
      <sz val="12"/>
      <name val="Arial CE"/>
      <charset val="238"/>
    </font>
    <font>
      <sz val="12"/>
      <name val="Arial CE"/>
      <charset val="238"/>
    </font>
    <font>
      <b/>
      <sz val="14"/>
      <name val="Arial CE"/>
      <charset val="238"/>
    </font>
    <font>
      <sz val="8"/>
      <color indexed="17"/>
      <name val="Arial CE"/>
      <family val="2"/>
      <charset val="238"/>
    </font>
    <font>
      <sz val="8"/>
      <color indexed="9"/>
      <name val="Arial CE"/>
      <family val="2"/>
      <charset val="238"/>
    </font>
    <font>
      <sz val="15"/>
      <name val="Arial CE"/>
      <family val="2"/>
      <charset val="238"/>
    </font>
    <font>
      <i/>
      <sz val="10"/>
      <name val="Times New Roman CE"/>
      <family val="1"/>
      <charset val="238"/>
    </font>
    <font>
      <sz val="10"/>
      <name val="Times New Roman CE"/>
      <family val="1"/>
      <charset val="238"/>
    </font>
    <font>
      <b/>
      <sz val="11"/>
      <name val="Arial CE"/>
      <family val="2"/>
      <charset val="238"/>
    </font>
    <font>
      <sz val="11"/>
      <name val="Arial CE"/>
      <family val="2"/>
      <charset val="238"/>
    </font>
    <font>
      <b/>
      <sz val="16"/>
      <name val="Arial CE"/>
      <family val="2"/>
      <charset val="238"/>
    </font>
    <font>
      <sz val="12"/>
      <name val="Arial CE"/>
      <family val="2"/>
      <charset val="238"/>
    </font>
    <font>
      <sz val="9"/>
      <name val="Arial CE"/>
      <family val="2"/>
      <charset val="238"/>
    </font>
    <font>
      <sz val="11"/>
      <color theme="1"/>
      <name val="Calibri"/>
      <family val="2"/>
      <charset val="238"/>
    </font>
    <font>
      <sz val="11"/>
      <color theme="1"/>
      <name val="Arial"/>
      <family val="2"/>
      <charset val="238"/>
    </font>
    <font>
      <i/>
      <sz val="11"/>
      <color theme="1"/>
      <name val="Arial"/>
      <family val="2"/>
      <charset val="238"/>
    </font>
    <font>
      <sz val="11"/>
      <name val="Calibri"/>
      <family val="2"/>
      <charset val="238"/>
      <scheme val="minor"/>
    </font>
    <font>
      <b/>
      <sz val="11"/>
      <name val="Calibri"/>
      <family val="2"/>
      <charset val="238"/>
      <scheme val="minor"/>
    </font>
    <font>
      <sz val="10"/>
      <name val="Helv"/>
      <charset val="204"/>
    </font>
    <font>
      <sz val="11"/>
      <color indexed="8"/>
      <name val="Calibri"/>
      <family val="2"/>
      <charset val="238"/>
      <scheme val="minor"/>
    </font>
    <font>
      <b/>
      <sz val="11"/>
      <color indexed="8"/>
      <name val="Calibri"/>
      <family val="2"/>
      <charset val="238"/>
      <scheme val="minor"/>
    </font>
    <font>
      <b/>
      <sz val="11"/>
      <color indexed="8"/>
      <name val="Calibri"/>
      <family val="2"/>
      <charset val="238"/>
    </font>
    <font>
      <sz val="11"/>
      <name val="Calibri"/>
      <family val="2"/>
      <charset val="238"/>
    </font>
    <font>
      <sz val="11"/>
      <name val="Calibri"/>
      <family val="2"/>
      <scheme val="minor"/>
    </font>
    <font>
      <i/>
      <sz val="11"/>
      <name val="Trebuchet MS"/>
      <family val="2"/>
      <charset val="238"/>
    </font>
    <font>
      <sz val="11"/>
      <color indexed="8"/>
      <name val="Calibri"/>
      <family val="2"/>
      <charset val="238"/>
    </font>
    <font>
      <b/>
      <sz val="10"/>
      <color indexed="8"/>
      <name val="Arial"/>
      <family val="2"/>
      <charset val="238"/>
    </font>
    <font>
      <b/>
      <sz val="10"/>
      <color indexed="10"/>
      <name val="Arial"/>
      <family val="2"/>
      <charset val="238"/>
    </font>
    <font>
      <sz val="10"/>
      <name val="Arial"/>
      <family val="2"/>
      <charset val="238"/>
    </font>
  </fonts>
  <fills count="13">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57"/>
        <bgColor indexed="9"/>
      </patternFill>
    </fill>
    <fill>
      <patternFill patternType="solid">
        <fgColor rgb="FFD6E1EE"/>
        <bgColor indexed="64"/>
      </patternFill>
    </fill>
    <fill>
      <patternFill patternType="solid">
        <fgColor rgb="FFDBDBDB"/>
        <bgColor indexed="64"/>
      </patternFill>
    </fill>
    <fill>
      <patternFill patternType="solid">
        <fgColor indexed="22"/>
        <bgColor indexed="64"/>
      </patternFill>
    </fill>
    <fill>
      <patternFill patternType="solid">
        <fgColor indexed="52"/>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s>
  <borders count="71">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23"/>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0">
    <xf numFmtId="0" fontId="0" fillId="0" borderId="0"/>
    <xf numFmtId="0" fontId="48" fillId="0" borderId="0" applyNumberFormat="0" applyFill="0" applyBorder="0" applyAlignment="0" applyProtection="0"/>
    <xf numFmtId="0" fontId="51" fillId="0" borderId="1"/>
    <xf numFmtId="0" fontId="62" fillId="0" borderId="1"/>
    <xf numFmtId="0" fontId="3" fillId="0" borderId="1"/>
    <xf numFmtId="44" fontId="3" fillId="0" borderId="1" applyFont="0" applyFill="0" applyBorder="0" applyAlignment="0" applyProtection="0"/>
    <xf numFmtId="44" fontId="62" fillId="0" borderId="1" applyFont="0" applyFill="0" applyBorder="0" applyAlignment="0" applyProtection="0"/>
    <xf numFmtId="0" fontId="86" fillId="0" borderId="1"/>
    <xf numFmtId="0" fontId="3" fillId="0" borderId="1"/>
    <xf numFmtId="0" fontId="93" fillId="0" borderId="1"/>
  </cellStyleXfs>
  <cellXfs count="783">
    <xf numFmtId="0" fontId="0" fillId="0" borderId="0" xfId="0"/>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0" xfId="0" applyAlignment="1">
      <alignment vertical="center" wrapText="1"/>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wrapText="1"/>
    </xf>
    <xf numFmtId="0" fontId="11" fillId="0" borderId="0" xfId="0" applyFont="1" applyAlignment="1"/>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center" vertical="center"/>
    </xf>
    <xf numFmtId="0" fontId="16" fillId="0" borderId="0" xfId="0" applyFont="1" applyAlignment="1">
      <alignment horizontal="left" vertical="center"/>
    </xf>
    <xf numFmtId="0" fontId="0" fillId="0" borderId="0" xfId="0" applyFont="1" applyAlignment="1">
      <alignment horizontal="left" vertical="center"/>
    </xf>
    <xf numFmtId="0" fontId="0" fillId="0" borderId="4" xfId="0" applyBorder="1"/>
    <xf numFmtId="0" fontId="17" fillId="0" borderId="0" xfId="0" applyFont="1" applyAlignment="1">
      <alignment horizontal="left" vertical="center"/>
    </xf>
    <xf numFmtId="0" fontId="5" fillId="0" borderId="0" xfId="0" applyFont="1" applyAlignment="1">
      <alignment horizontal="left" vertical="center"/>
    </xf>
    <xf numFmtId="0" fontId="0" fillId="0" borderId="0" xfId="0" applyFont="1" applyAlignment="1">
      <alignment vertical="center"/>
    </xf>
    <xf numFmtId="0" fontId="0" fillId="0" borderId="4" xfId="0" applyFont="1" applyBorder="1" applyAlignment="1">
      <alignment vertical="center"/>
    </xf>
    <xf numFmtId="0" fontId="4" fillId="0" borderId="4"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5" fillId="0" borderId="4" xfId="0" applyFont="1" applyBorder="1" applyAlignment="1">
      <alignment vertical="center"/>
    </xf>
    <xf numFmtId="0" fontId="6" fillId="0" borderId="4"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7" fillId="0" borderId="4" xfId="0" applyFont="1" applyBorder="1" applyAlignment="1">
      <alignment vertical="center"/>
    </xf>
    <xf numFmtId="4" fontId="21" fillId="0" borderId="15"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6" xfId="0" applyNumberFormat="1" applyFont="1" applyBorder="1" applyAlignment="1">
      <alignment vertical="center"/>
    </xf>
    <xf numFmtId="0" fontId="7" fillId="0" borderId="0" xfId="0" applyFont="1" applyAlignment="1">
      <alignment horizontal="left" vertical="center"/>
    </xf>
    <xf numFmtId="0" fontId="26" fillId="0" borderId="0" xfId="0" applyFont="1" applyAlignment="1">
      <alignment horizontal="left" vertical="center"/>
    </xf>
    <xf numFmtId="0" fontId="8" fillId="0" borderId="4" xfId="0" applyFont="1" applyBorder="1" applyAlignment="1">
      <alignment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8" fillId="0" borderId="0" xfId="0" applyFont="1" applyAlignment="1">
      <alignment horizontal="left" vertical="center"/>
    </xf>
    <xf numFmtId="4" fontId="4" fillId="0" borderId="15" xfId="0" applyNumberFormat="1" applyFont="1" applyBorder="1" applyAlignment="1">
      <alignment vertical="center"/>
    </xf>
    <xf numFmtId="4" fontId="4" fillId="0" borderId="0" xfId="0" applyNumberFormat="1" applyFont="1" applyBorder="1" applyAlignment="1">
      <alignment vertical="center"/>
    </xf>
    <xf numFmtId="166" fontId="4" fillId="0" borderId="0" xfId="0" applyNumberFormat="1" applyFont="1" applyBorder="1" applyAlignment="1">
      <alignment vertical="center"/>
    </xf>
    <xf numFmtId="4" fontId="4" fillId="0" borderId="16" xfId="0" applyNumberFormat="1" applyFont="1" applyBorder="1" applyAlignment="1">
      <alignment vertical="center"/>
    </xf>
    <xf numFmtId="4" fontId="4" fillId="0" borderId="20" xfId="0" applyNumberFormat="1" applyFont="1" applyBorder="1" applyAlignment="1">
      <alignment vertical="center"/>
    </xf>
    <xf numFmtId="4" fontId="4" fillId="0" borderId="21" xfId="0" applyNumberFormat="1" applyFont="1" applyBorder="1" applyAlignment="1">
      <alignment vertical="center"/>
    </xf>
    <xf numFmtId="166" fontId="4" fillId="0" borderId="21" xfId="0" applyNumberFormat="1" applyFont="1" applyBorder="1" applyAlignment="1">
      <alignment vertical="center"/>
    </xf>
    <xf numFmtId="4" fontId="4" fillId="0" borderId="22" xfId="0" applyNumberFormat="1" applyFont="1" applyBorder="1" applyAlignment="1">
      <alignment vertical="center"/>
    </xf>
    <xf numFmtId="0" fontId="0" fillId="0" borderId="0" xfId="0" applyProtection="1"/>
    <xf numFmtId="0" fontId="32" fillId="0" borderId="0" xfId="0" applyFont="1" applyAlignment="1">
      <alignment horizontal="left" vertical="center"/>
    </xf>
    <xf numFmtId="0" fontId="33"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Border="1" applyAlignment="1">
      <alignment vertical="center" wrapText="1"/>
    </xf>
    <xf numFmtId="0" fontId="9" fillId="0" borderId="4" xfId="0" applyFont="1" applyBorder="1" applyAlignment="1">
      <alignment vertical="center"/>
    </xf>
    <xf numFmtId="0" fontId="10" fillId="0" borderId="4" xfId="0" applyFont="1" applyBorder="1" applyAlignment="1">
      <alignment vertical="center"/>
    </xf>
    <xf numFmtId="0" fontId="0" fillId="0" borderId="0" xfId="0" applyFont="1" applyAlignment="1">
      <alignment horizontal="center" vertical="center" wrapText="1"/>
    </xf>
    <xf numFmtId="0" fontId="0" fillId="0" borderId="4" xfId="0" applyBorder="1" applyAlignment="1">
      <alignment horizontal="center" vertical="center" wrapText="1"/>
    </xf>
    <xf numFmtId="166" fontId="35" fillId="0" borderId="13" xfId="0" applyNumberFormat="1" applyFont="1" applyBorder="1" applyAlignment="1"/>
    <xf numFmtId="166" fontId="35" fillId="0" borderId="14" xfId="0" applyNumberFormat="1" applyFont="1" applyBorder="1" applyAlignment="1"/>
    <xf numFmtId="4" fontId="36" fillId="0" borderId="0" xfId="0" applyNumberFormat="1" applyFont="1" applyAlignment="1">
      <alignment vertical="center"/>
    </xf>
    <xf numFmtId="0" fontId="11" fillId="0" borderId="4" xfId="0" applyFont="1" applyBorder="1" applyAlignment="1"/>
    <xf numFmtId="0" fontId="11" fillId="0" borderId="0" xfId="0" applyFont="1" applyAlignment="1">
      <alignment horizontal="left"/>
    </xf>
    <xf numFmtId="0" fontId="11" fillId="0" borderId="15" xfId="0" applyFont="1" applyBorder="1" applyAlignment="1"/>
    <xf numFmtId="0" fontId="11" fillId="0" borderId="0" xfId="0" applyFont="1" applyBorder="1" applyAlignment="1"/>
    <xf numFmtId="166" fontId="11" fillId="0" borderId="0" xfId="0" applyNumberFormat="1" applyFont="1" applyBorder="1" applyAlignment="1"/>
    <xf numFmtId="166" fontId="11" fillId="0" borderId="16" xfId="0" applyNumberFormat="1" applyFont="1" applyBorder="1" applyAlignment="1"/>
    <xf numFmtId="0" fontId="11" fillId="0" borderId="0" xfId="0" applyFont="1" applyAlignment="1">
      <alignment horizontal="center"/>
    </xf>
    <xf numFmtId="4" fontId="11" fillId="0" borderId="0" xfId="0" applyNumberFormat="1" applyFont="1" applyAlignment="1">
      <alignment vertical="center"/>
    </xf>
    <xf numFmtId="4" fontId="23" fillId="0" borderId="23" xfId="0" applyNumberFormat="1" applyFont="1" applyBorder="1" applyAlignment="1" applyProtection="1">
      <alignment vertical="center"/>
      <protection locked="0"/>
    </xf>
    <xf numFmtId="0" fontId="24" fillId="0" borderId="15" xfId="0" applyFont="1" applyBorder="1" applyAlignment="1">
      <alignment horizontal="left" vertical="center"/>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13" fillId="0" borderId="4" xfId="0" applyFont="1" applyBorder="1" applyAlignment="1">
      <alignment vertical="center"/>
    </xf>
    <xf numFmtId="0" fontId="13" fillId="0" borderId="0" xfId="0" applyFont="1" applyAlignment="1">
      <alignment horizontal="left" vertical="center"/>
    </xf>
    <xf numFmtId="0" fontId="13" fillId="0" borderId="15" xfId="0" applyFont="1" applyBorder="1" applyAlignment="1">
      <alignment vertical="center"/>
    </xf>
    <xf numFmtId="0" fontId="13" fillId="0" borderId="0" xfId="0" applyFont="1" applyBorder="1" applyAlignment="1">
      <alignment vertical="center"/>
    </xf>
    <xf numFmtId="0" fontId="13" fillId="0" borderId="16" xfId="0" applyFont="1" applyBorder="1" applyAlignment="1">
      <alignment vertical="center"/>
    </xf>
    <xf numFmtId="0" fontId="0" fillId="0" borderId="15" xfId="0" applyFont="1" applyBorder="1" applyAlignment="1">
      <alignment vertical="center"/>
    </xf>
    <xf numFmtId="0" fontId="0" fillId="0" borderId="0" xfId="0" applyBorder="1" applyAlignment="1">
      <alignment vertical="center"/>
    </xf>
    <xf numFmtId="0" fontId="14" fillId="0" borderId="4" xfId="0" applyFont="1" applyBorder="1" applyAlignment="1">
      <alignment vertical="center"/>
    </xf>
    <xf numFmtId="0" fontId="14" fillId="0" borderId="0" xfId="0" applyFont="1" applyAlignment="1">
      <alignment horizontal="left" vertical="center"/>
    </xf>
    <xf numFmtId="0" fontId="14" fillId="0" borderId="15" xfId="0" applyFont="1" applyBorder="1" applyAlignment="1">
      <alignment vertical="center"/>
    </xf>
    <xf numFmtId="0" fontId="14" fillId="0" borderId="0" xfId="0" applyFont="1" applyBorder="1" applyAlignment="1">
      <alignment vertical="center"/>
    </xf>
    <xf numFmtId="0" fontId="14" fillId="0" borderId="16" xfId="0" applyFont="1" applyBorder="1" applyAlignment="1">
      <alignment vertical="center"/>
    </xf>
    <xf numFmtId="0" fontId="15" fillId="0" borderId="4" xfId="0" applyFont="1" applyBorder="1" applyAlignment="1">
      <alignment vertical="center"/>
    </xf>
    <xf numFmtId="0" fontId="15" fillId="0" borderId="0" xfId="0" applyFont="1" applyAlignment="1">
      <alignment horizontal="left" vertical="center"/>
    </xf>
    <xf numFmtId="0" fontId="15" fillId="0" borderId="15" xfId="0" applyFont="1" applyBorder="1" applyAlignment="1">
      <alignment vertical="center"/>
    </xf>
    <xf numFmtId="0" fontId="15" fillId="0" borderId="0" xfId="0" applyFont="1" applyBorder="1" applyAlignment="1">
      <alignment vertical="center"/>
    </xf>
    <xf numFmtId="0" fontId="15" fillId="0" borderId="16" xfId="0" applyFont="1" applyBorder="1" applyAlignment="1">
      <alignment vertical="center"/>
    </xf>
    <xf numFmtId="4" fontId="39" fillId="0" borderId="23" xfId="0" applyNumberFormat="1" applyFont="1" applyBorder="1" applyAlignment="1" applyProtection="1">
      <alignment vertical="center"/>
      <protection locked="0"/>
    </xf>
    <xf numFmtId="0" fontId="40" fillId="0" borderId="4" xfId="0" applyFont="1" applyBorder="1" applyAlignment="1">
      <alignment vertical="center"/>
    </xf>
    <xf numFmtId="0" fontId="39" fillId="0" borderId="15" xfId="0" applyFont="1" applyBorder="1" applyAlignment="1">
      <alignment horizontal="left" vertical="center"/>
    </xf>
    <xf numFmtId="0" fontId="39" fillId="0" borderId="0" xfId="0" applyFont="1" applyBorder="1" applyAlignment="1">
      <alignment horizontal="center" vertical="center"/>
    </xf>
    <xf numFmtId="0" fontId="24" fillId="0" borderId="20" xfId="0" applyFont="1" applyBorder="1" applyAlignment="1">
      <alignment horizontal="left" vertical="center"/>
    </xf>
    <xf numFmtId="0" fontId="24" fillId="0" borderId="21" xfId="0" applyFont="1" applyBorder="1" applyAlignment="1">
      <alignment horizontal="center"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1" fillId="0" borderId="28" xfId="0" applyFont="1" applyBorder="1" applyAlignment="1">
      <alignment vertical="top"/>
    </xf>
    <xf numFmtId="0" fontId="41" fillId="0" borderId="31" xfId="0" applyFont="1" applyBorder="1" applyAlignment="1">
      <alignment vertical="top"/>
    </xf>
    <xf numFmtId="0" fontId="52" fillId="0" borderId="1" xfId="2" applyFont="1" applyAlignment="1">
      <alignment vertical="center"/>
    </xf>
    <xf numFmtId="0" fontId="53" fillId="0" borderId="1" xfId="2" applyFont="1" applyAlignment="1">
      <alignment vertical="center"/>
    </xf>
    <xf numFmtId="49" fontId="54" fillId="0" borderId="1" xfId="2" applyNumberFormat="1" applyFont="1" applyAlignment="1">
      <alignment horizontal="left" vertical="center"/>
    </xf>
    <xf numFmtId="0" fontId="52" fillId="0" borderId="25" xfId="2" applyFont="1" applyBorder="1" applyAlignment="1">
      <alignment vertical="center"/>
    </xf>
    <xf numFmtId="4" fontId="56" fillId="0" borderId="1" xfId="2" applyNumberFormat="1" applyFont="1" applyAlignment="1">
      <alignment horizontal="right" vertical="center"/>
    </xf>
    <xf numFmtId="4" fontId="52" fillId="0" borderId="1" xfId="2" applyNumberFormat="1" applyFont="1" applyAlignment="1">
      <alignment horizontal="right" vertical="center"/>
    </xf>
    <xf numFmtId="49" fontId="57" fillId="5" borderId="1" xfId="2" applyNumberFormat="1" applyFont="1" applyFill="1" applyAlignment="1">
      <alignment horizontal="right" vertical="center"/>
    </xf>
    <xf numFmtId="49" fontId="52" fillId="0" borderId="1" xfId="2" applyNumberFormat="1" applyFont="1" applyAlignment="1">
      <alignment horizontal="right" vertical="center"/>
    </xf>
    <xf numFmtId="49" fontId="56" fillId="0" borderId="1" xfId="2" applyNumberFormat="1" applyFont="1" applyAlignment="1">
      <alignment horizontal="right" vertical="center"/>
    </xf>
    <xf numFmtId="4" fontId="57" fillId="5" borderId="1" xfId="2" applyNumberFormat="1" applyFont="1" applyFill="1" applyAlignment="1">
      <alignment horizontal="right" vertical="center"/>
    </xf>
    <xf numFmtId="4" fontId="59" fillId="0" borderId="1" xfId="2" applyNumberFormat="1" applyFont="1" applyAlignment="1">
      <alignment horizontal="right" vertical="center"/>
    </xf>
    <xf numFmtId="49" fontId="59" fillId="0" borderId="1" xfId="2" applyNumberFormat="1" applyFont="1" applyAlignment="1">
      <alignment horizontal="right" vertical="center"/>
    </xf>
    <xf numFmtId="49" fontId="58" fillId="5" borderId="32" xfId="2" applyNumberFormat="1" applyFont="1" applyFill="1" applyBorder="1" applyAlignment="1">
      <alignment horizontal="left" vertical="center"/>
    </xf>
    <xf numFmtId="0" fontId="52" fillId="0" borderId="33" xfId="2" applyFont="1" applyBorder="1" applyAlignment="1">
      <alignment vertical="center"/>
    </xf>
    <xf numFmtId="0" fontId="52" fillId="0" borderId="27" xfId="2" applyFont="1" applyBorder="1" applyAlignment="1">
      <alignment vertical="center"/>
    </xf>
    <xf numFmtId="4" fontId="52" fillId="0" borderId="1" xfId="2" applyNumberFormat="1" applyFont="1" applyAlignment="1">
      <alignment vertical="center"/>
    </xf>
    <xf numFmtId="0" fontId="62" fillId="0" borderId="1" xfId="3"/>
    <xf numFmtId="49" fontId="62" fillId="0" borderId="1" xfId="3" applyNumberFormat="1"/>
    <xf numFmtId="0" fontId="62" fillId="0" borderId="1" xfId="3" applyAlignment="1">
      <alignment horizontal="center"/>
    </xf>
    <xf numFmtId="168" fontId="62" fillId="0" borderId="1" xfId="3" applyNumberFormat="1"/>
    <xf numFmtId="0" fontId="67" fillId="0" borderId="1" xfId="3" applyFont="1"/>
    <xf numFmtId="49" fontId="67" fillId="0" borderId="55" xfId="3" applyNumberFormat="1" applyFont="1" applyBorder="1" applyAlignment="1">
      <alignment horizontal="left" vertical="top" wrapText="1"/>
    </xf>
    <xf numFmtId="0" fontId="67" fillId="0" borderId="1" xfId="3" applyFont="1" applyAlignment="1">
      <alignment vertical="top"/>
    </xf>
    <xf numFmtId="49" fontId="67" fillId="0" borderId="1" xfId="3" applyNumberFormat="1" applyFont="1" applyAlignment="1">
      <alignment vertical="top"/>
    </xf>
    <xf numFmtId="49" fontId="67" fillId="0" borderId="1" xfId="3" applyNumberFormat="1" applyFont="1" applyAlignment="1">
      <alignment horizontal="left" vertical="top" wrapText="1"/>
    </xf>
    <xf numFmtId="0" fontId="67" fillId="0" borderId="1" xfId="3" applyFont="1" applyAlignment="1">
      <alignment horizontal="center" vertical="top" shrinkToFit="1"/>
    </xf>
    <xf numFmtId="168" fontId="67" fillId="0" borderId="1" xfId="3" applyNumberFormat="1" applyFont="1" applyAlignment="1">
      <alignment vertical="top" shrinkToFit="1"/>
    </xf>
    <xf numFmtId="4" fontId="67" fillId="0" borderId="1" xfId="3" applyNumberFormat="1" applyFont="1" applyAlignment="1">
      <alignment vertical="top" shrinkToFit="1"/>
    </xf>
    <xf numFmtId="0" fontId="72" fillId="0" borderId="1" xfId="3" applyFont="1" applyAlignment="1">
      <alignment wrapText="1"/>
    </xf>
    <xf numFmtId="0" fontId="62" fillId="0" borderId="1" xfId="3" applyAlignment="1">
      <alignment horizontal="left" vertical="top"/>
    </xf>
    <xf numFmtId="49" fontId="62" fillId="0" borderId="1" xfId="3" applyNumberFormat="1" applyAlignment="1">
      <alignment horizontal="left" vertical="top"/>
    </xf>
    <xf numFmtId="49" fontId="62" fillId="0" borderId="1" xfId="3" applyNumberFormat="1" applyAlignment="1">
      <alignment horizontal="left" vertical="top" wrapText="1"/>
    </xf>
    <xf numFmtId="168" fontId="62" fillId="0" borderId="1" xfId="3" applyNumberFormat="1" applyAlignment="1">
      <alignment horizontal="left" vertical="top"/>
    </xf>
    <xf numFmtId="49" fontId="64" fillId="0" borderId="1" xfId="3" applyNumberFormat="1" applyFont="1" applyAlignment="1">
      <alignment horizontal="left" vertical="top"/>
    </xf>
    <xf numFmtId="0" fontId="64" fillId="0" borderId="1" xfId="3" applyFont="1" applyAlignment="1">
      <alignment horizontal="left" vertical="top"/>
    </xf>
    <xf numFmtId="0" fontId="73" fillId="0" borderId="1" xfId="3" applyFont="1"/>
    <xf numFmtId="0" fontId="62" fillId="0" borderId="1" xfId="3" applyAlignment="1">
      <alignment wrapText="1"/>
    </xf>
    <xf numFmtId="0" fontId="62" fillId="0" borderId="1" xfId="3" applyAlignment="1">
      <alignment vertical="center"/>
    </xf>
    <xf numFmtId="0" fontId="74" fillId="0" borderId="1" xfId="3" applyFont="1" applyAlignment="1">
      <alignment horizontal="right"/>
    </xf>
    <xf numFmtId="0" fontId="74" fillId="0" borderId="1" xfId="3" applyFont="1"/>
    <xf numFmtId="0" fontId="75" fillId="0" borderId="1" xfId="3" applyFont="1"/>
    <xf numFmtId="0" fontId="74" fillId="0" borderId="1" xfId="3" applyFont="1" applyAlignment="1">
      <alignment vertical="center"/>
    </xf>
    <xf numFmtId="169" fontId="62" fillId="0" borderId="1" xfId="3" applyNumberFormat="1"/>
    <xf numFmtId="0" fontId="3" fillId="0" borderId="1" xfId="4"/>
    <xf numFmtId="0" fontId="3" fillId="0" borderId="1" xfId="4" applyAlignment="1">
      <alignment horizontal="center"/>
    </xf>
    <xf numFmtId="0" fontId="82" fillId="0" borderId="1" xfId="4" applyFont="1"/>
    <xf numFmtId="0" fontId="83" fillId="0" borderId="1" xfId="4" applyFont="1"/>
    <xf numFmtId="170" fontId="87" fillId="0" borderId="36" xfId="4" applyNumberFormat="1" applyFont="1" applyBorder="1" applyAlignment="1" applyProtection="1">
      <alignment horizontal="center"/>
      <protection locked="0"/>
    </xf>
    <xf numFmtId="170" fontId="87" fillId="0" borderId="48" xfId="4" applyNumberFormat="1" applyFont="1" applyBorder="1" applyAlignment="1" applyProtection="1">
      <alignment horizontal="center"/>
      <protection locked="0"/>
    </xf>
    <xf numFmtId="44" fontId="87" fillId="0" borderId="48" xfId="4" applyNumberFormat="1" applyFont="1" applyBorder="1" applyAlignment="1" applyProtection="1">
      <alignment horizontal="center"/>
      <protection locked="0"/>
    </xf>
    <xf numFmtId="0" fontId="3" fillId="0" borderId="1" xfId="4" applyAlignment="1">
      <alignment wrapText="1"/>
    </xf>
    <xf numFmtId="44" fontId="0" fillId="0" borderId="1" xfId="5" applyFont="1" applyAlignment="1">
      <alignment horizontal="center"/>
    </xf>
    <xf numFmtId="170" fontId="87" fillId="0" borderId="1" xfId="4" applyNumberFormat="1" applyFont="1" applyAlignment="1" applyProtection="1">
      <alignment horizontal="center"/>
      <protection locked="0"/>
    </xf>
    <xf numFmtId="0" fontId="25" fillId="0" borderId="0" xfId="0" applyFont="1" applyAlignment="1" applyProtection="1">
      <alignment horizontal="left" vertical="center"/>
    </xf>
    <xf numFmtId="0" fontId="25" fillId="0" borderId="0" xfId="0" applyFont="1" applyAlignment="1" applyProtection="1">
      <alignment vertical="center"/>
    </xf>
    <xf numFmtId="0" fontId="27" fillId="0" borderId="0" xfId="0" applyFont="1" applyAlignment="1" applyProtection="1">
      <alignment vertical="center"/>
    </xf>
    <xf numFmtId="0" fontId="10" fillId="0" borderId="0" xfId="0" applyFont="1" applyAlignment="1" applyProtection="1">
      <alignment vertical="center"/>
    </xf>
    <xf numFmtId="0" fontId="0" fillId="0" borderId="0" xfId="0" applyProtection="1">
      <protection locked="0"/>
    </xf>
    <xf numFmtId="0" fontId="0" fillId="0" borderId="0" xfId="0" applyFont="1" applyAlignment="1" applyProtection="1">
      <alignment vertical="center"/>
      <protection locked="0"/>
    </xf>
    <xf numFmtId="0" fontId="4" fillId="0" borderId="0" xfId="0" applyFont="1" applyAlignment="1" applyProtection="1">
      <alignment horizontal="left" vertical="center"/>
      <protection locked="0"/>
    </xf>
    <xf numFmtId="165" fontId="5" fillId="0" borderId="0" xfId="0" applyNumberFormat="1" applyFont="1" applyAlignment="1" applyProtection="1">
      <alignment horizontal="left" vertical="center"/>
      <protection locked="0"/>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5" fillId="0" borderId="0" xfId="0" applyFont="1" applyAlignment="1" applyProtection="1">
      <alignment horizontal="left" vertical="center" wrapText="1"/>
      <protection locked="0"/>
    </xf>
    <xf numFmtId="0" fontId="23" fillId="4" borderId="18" xfId="0" applyFont="1" applyFill="1" applyBorder="1" applyAlignment="1" applyProtection="1">
      <alignment horizontal="center" vertical="center" wrapText="1"/>
      <protection locked="0"/>
    </xf>
    <xf numFmtId="4" fontId="25" fillId="0" borderId="0" xfId="0" applyNumberFormat="1" applyFont="1" applyAlignment="1" applyProtection="1">
      <protection locked="0"/>
    </xf>
    <xf numFmtId="0" fontId="11" fillId="0" borderId="0" xfId="0" applyFont="1" applyAlignment="1" applyProtection="1">
      <protection locked="0"/>
    </xf>
    <xf numFmtId="4" fontId="9" fillId="0" borderId="0" xfId="0" applyNumberFormat="1" applyFont="1" applyAlignment="1" applyProtection="1">
      <protection locked="0"/>
    </xf>
    <xf numFmtId="4" fontId="10" fillId="0" borderId="0" xfId="0" applyNumberFormat="1" applyFont="1" applyAlignment="1" applyProtection="1">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locked="0"/>
    </xf>
    <xf numFmtId="0" fontId="0" fillId="0" borderId="2" xfId="0" applyBorder="1" applyProtection="1"/>
    <xf numFmtId="0" fontId="0" fillId="0" borderId="3" xfId="0" applyBorder="1" applyProtection="1"/>
    <xf numFmtId="0" fontId="0" fillId="0" borderId="4" xfId="0" applyBorder="1" applyProtection="1"/>
    <xf numFmtId="0" fontId="18"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left" vertical="center"/>
    </xf>
    <xf numFmtId="0" fontId="0" fillId="0" borderId="0" xfId="0" applyFont="1" applyAlignment="1" applyProtection="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left" vertical="center"/>
    </xf>
    <xf numFmtId="0" fontId="0" fillId="0" borderId="0" xfId="0" applyFont="1" applyAlignment="1" applyProtection="1">
      <alignment vertical="center" wrapText="1"/>
    </xf>
    <xf numFmtId="0" fontId="0" fillId="0" borderId="4" xfId="0" applyFont="1" applyBorder="1" applyAlignment="1" applyProtection="1">
      <alignment vertical="center" wrapText="1"/>
    </xf>
    <xf numFmtId="0" fontId="0" fillId="0" borderId="13" xfId="0" applyFont="1" applyBorder="1" applyAlignment="1" applyProtection="1">
      <alignment vertical="center"/>
    </xf>
    <xf numFmtId="0" fontId="19" fillId="0" borderId="0" xfId="0" applyFont="1" applyAlignment="1" applyProtection="1">
      <alignment horizontal="left" vertical="center"/>
    </xf>
    <xf numFmtId="0" fontId="4" fillId="0" borderId="0" xfId="0" applyFont="1" applyAlignment="1" applyProtection="1">
      <alignment horizontal="right" vertical="center"/>
    </xf>
    <xf numFmtId="0" fontId="22" fillId="0" borderId="0" xfId="0" applyFont="1" applyAlignment="1" applyProtection="1">
      <alignment horizontal="left" vertical="center"/>
    </xf>
    <xf numFmtId="4" fontId="4" fillId="0" borderId="0" xfId="0" applyNumberFormat="1" applyFont="1" applyAlignment="1" applyProtection="1">
      <alignment vertical="center"/>
    </xf>
    <xf numFmtId="0" fontId="0" fillId="4" borderId="0" xfId="0" applyFont="1" applyFill="1" applyAlignment="1" applyProtection="1">
      <alignment vertical="center"/>
    </xf>
    <xf numFmtId="0" fontId="7" fillId="4" borderId="7" xfId="0" applyFont="1" applyFill="1" applyBorder="1" applyAlignment="1" applyProtection="1">
      <alignment horizontal="left" vertical="center"/>
    </xf>
    <xf numFmtId="0" fontId="0" fillId="4" borderId="8" xfId="0" applyFont="1" applyFill="1" applyBorder="1" applyAlignment="1" applyProtection="1">
      <alignment vertical="center"/>
    </xf>
    <xf numFmtId="0" fontId="7" fillId="4" borderId="8" xfId="0" applyFont="1" applyFill="1" applyBorder="1" applyAlignment="1" applyProtection="1">
      <alignment horizontal="right" vertical="center"/>
    </xf>
    <xf numFmtId="0" fontId="7" fillId="4"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3" fillId="4" borderId="0" xfId="0" applyFont="1" applyFill="1" applyAlignment="1" applyProtection="1">
      <alignment horizontal="left" vertical="center"/>
    </xf>
    <xf numFmtId="0" fontId="34" fillId="0" borderId="0" xfId="0" applyFont="1" applyAlignment="1" applyProtection="1">
      <alignment horizontal="left" vertical="center"/>
    </xf>
    <xf numFmtId="0" fontId="9" fillId="0" borderId="0" xfId="0" applyFont="1" applyAlignment="1" applyProtection="1">
      <alignment vertical="center"/>
    </xf>
    <xf numFmtId="0" fontId="9" fillId="0" borderId="4" xfId="0" applyFont="1" applyBorder="1" applyAlignment="1" applyProtection="1">
      <alignment vertical="center"/>
    </xf>
    <xf numFmtId="0" fontId="9" fillId="0" borderId="21" xfId="0" applyFont="1" applyBorder="1" applyAlignment="1" applyProtection="1">
      <alignment horizontal="left" vertical="center"/>
    </xf>
    <xf numFmtId="0" fontId="9" fillId="0" borderId="21" xfId="0" applyFont="1" applyBorder="1" applyAlignment="1" applyProtection="1">
      <alignment vertical="center"/>
    </xf>
    <xf numFmtId="0" fontId="10" fillId="0" borderId="4" xfId="0" applyFont="1" applyBorder="1" applyAlignment="1" applyProtection="1">
      <alignment vertical="center"/>
    </xf>
    <xf numFmtId="0" fontId="10" fillId="0" borderId="21" xfId="0" applyFont="1" applyBorder="1" applyAlignment="1" applyProtection="1">
      <alignment horizontal="left" vertical="center"/>
    </xf>
    <xf numFmtId="0" fontId="10" fillId="0" borderId="21" xfId="0" applyFont="1" applyBorder="1" applyAlignment="1" applyProtection="1">
      <alignment vertical="center"/>
    </xf>
    <xf numFmtId="0" fontId="0" fillId="0" borderId="0" xfId="0" applyFont="1" applyAlignment="1" applyProtection="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11" fillId="0" borderId="0" xfId="0" applyFont="1" applyAlignment="1" applyProtection="1"/>
    <xf numFmtId="0" fontId="11" fillId="0" borderId="4" xfId="0" applyFont="1" applyBorder="1" applyAlignment="1" applyProtection="1"/>
    <xf numFmtId="0" fontId="11" fillId="0" borderId="0" xfId="0" applyFont="1" applyAlignment="1" applyProtection="1">
      <alignment horizontal="left"/>
    </xf>
    <xf numFmtId="0" fontId="9" fillId="0" borderId="0" xfId="0" applyFont="1" applyAlignment="1" applyProtection="1">
      <alignment horizontal="left"/>
    </xf>
    <xf numFmtId="0" fontId="10" fillId="0" borderId="0" xfId="0" applyFont="1" applyAlignment="1" applyProtection="1">
      <alignment horizontal="left"/>
    </xf>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0" fontId="12" fillId="0" borderId="0" xfId="0" applyFont="1" applyAlignment="1" applyProtection="1">
      <alignment vertical="center"/>
    </xf>
    <xf numFmtId="0" fontId="12" fillId="0" borderId="4" xfId="0" applyFont="1" applyBorder="1" applyAlignment="1" applyProtection="1">
      <alignment vertical="center"/>
    </xf>
    <xf numFmtId="0" fontId="37" fillId="0" borderId="0" xfId="0" applyFont="1" applyAlignment="1" applyProtection="1">
      <alignment horizontal="lef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3" fillId="0" borderId="0" xfId="0" applyFont="1" applyAlignment="1" applyProtection="1">
      <alignment vertical="center"/>
    </xf>
    <xf numFmtId="0" fontId="13" fillId="0" borderId="4" xfId="0" applyFont="1" applyBorder="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167" fontId="13" fillId="0" borderId="0" xfId="0" applyNumberFormat="1" applyFont="1" applyAlignment="1" applyProtection="1">
      <alignment vertical="center"/>
    </xf>
    <xf numFmtId="0" fontId="38" fillId="0" borderId="0" xfId="0" applyFont="1" applyAlignment="1" applyProtection="1">
      <alignment vertical="center" wrapText="1"/>
    </xf>
    <xf numFmtId="0" fontId="14" fillId="0" borderId="0" xfId="0" applyFont="1" applyAlignment="1" applyProtection="1">
      <alignment vertical="center"/>
    </xf>
    <xf numFmtId="0" fontId="14" fillId="0" borderId="4" xfId="0" applyFont="1" applyBorder="1" applyAlignment="1" applyProtection="1">
      <alignment vertical="center"/>
    </xf>
    <xf numFmtId="0" fontId="14" fillId="0" borderId="0" xfId="0" applyFont="1" applyAlignment="1" applyProtection="1">
      <alignment horizontal="left" vertical="center"/>
    </xf>
    <xf numFmtId="0" fontId="14" fillId="0" borderId="0" xfId="0" applyFont="1" applyAlignment="1" applyProtection="1">
      <alignment horizontal="left" vertical="center" wrapText="1"/>
    </xf>
    <xf numFmtId="167" fontId="14" fillId="0" borderId="0" xfId="0" applyNumberFormat="1" applyFont="1" applyAlignment="1" applyProtection="1">
      <alignment vertical="center"/>
    </xf>
    <xf numFmtId="0" fontId="15" fillId="0" borderId="0" xfId="0" applyFont="1" applyAlignment="1" applyProtection="1">
      <alignment vertical="center"/>
    </xf>
    <xf numFmtId="0" fontId="15" fillId="0" borderId="4" xfId="0" applyFont="1" applyBorder="1" applyAlignment="1" applyProtection="1">
      <alignment vertical="center"/>
    </xf>
    <xf numFmtId="0" fontId="15" fillId="0" borderId="0" xfId="0" applyFont="1" applyAlignment="1" applyProtection="1">
      <alignment horizontal="left" vertical="center"/>
    </xf>
    <xf numFmtId="0" fontId="15" fillId="0" borderId="0" xfId="0" applyFont="1" applyAlignment="1" applyProtection="1">
      <alignment horizontal="left" vertical="center" wrapText="1"/>
    </xf>
    <xf numFmtId="167" fontId="15" fillId="0" borderId="0" xfId="0" applyNumberFormat="1" applyFont="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0" fontId="0" fillId="4" borderId="9" xfId="0" applyFont="1" applyFill="1" applyBorder="1" applyAlignment="1" applyProtection="1">
      <alignment vertical="center"/>
    </xf>
    <xf numFmtId="0" fontId="23" fillId="4" borderId="19" xfId="0" applyFont="1" applyFill="1" applyBorder="1" applyAlignment="1" applyProtection="1">
      <alignment horizontal="center" vertical="center" wrapText="1"/>
    </xf>
    <xf numFmtId="0" fontId="0" fillId="0" borderId="0" xfId="0" applyProtection="1">
      <protection locked="0"/>
    </xf>
    <xf numFmtId="0" fontId="0" fillId="0" borderId="10" xfId="0" applyFont="1" applyBorder="1" applyAlignment="1" applyProtection="1">
      <alignment vertical="center"/>
      <protection locked="0"/>
    </xf>
    <xf numFmtId="0" fontId="7" fillId="0" borderId="0" xfId="0" applyFont="1" applyAlignment="1" applyProtection="1">
      <alignment vertical="center"/>
    </xf>
    <xf numFmtId="0" fontId="7" fillId="0" borderId="4" xfId="0" applyFont="1" applyBorder="1" applyAlignment="1" applyProtection="1">
      <alignment vertical="center"/>
    </xf>
    <xf numFmtId="0" fontId="8" fillId="0" borderId="0" xfId="0" applyFont="1" applyAlignment="1" applyProtection="1">
      <alignment vertical="center"/>
    </xf>
    <xf numFmtId="0" fontId="8" fillId="0" borderId="4" xfId="0" applyFont="1" applyBorder="1" applyAlignment="1" applyProtection="1">
      <alignment vertical="center"/>
    </xf>
    <xf numFmtId="0" fontId="30" fillId="0" borderId="0" xfId="1" applyFont="1" applyAlignment="1" applyProtection="1">
      <alignment horizontal="center"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23" fillId="4" borderId="9" xfId="0" applyFont="1" applyFill="1" applyBorder="1" applyAlignment="1" applyProtection="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5" fillId="0" borderId="0" xfId="0" applyFont="1" applyAlignment="1" applyProtection="1">
      <alignment horizontal="center" vertical="center"/>
    </xf>
    <xf numFmtId="49" fontId="58" fillId="5" borderId="32" xfId="2" applyNumberFormat="1" applyFont="1" applyFill="1" applyBorder="1" applyAlignment="1" applyProtection="1">
      <alignment horizontal="left" vertical="center"/>
      <protection locked="0"/>
    </xf>
    <xf numFmtId="4" fontId="56" fillId="0" borderId="1" xfId="2" applyNumberFormat="1" applyFont="1" applyAlignment="1" applyProtection="1">
      <alignment horizontal="right" vertical="center"/>
      <protection locked="0"/>
    </xf>
    <xf numFmtId="49" fontId="58" fillId="5" borderId="1" xfId="2" applyNumberFormat="1" applyFont="1" applyFill="1" applyAlignment="1" applyProtection="1">
      <alignment horizontal="left" vertical="center"/>
      <protection locked="0"/>
    </xf>
    <xf numFmtId="4" fontId="59" fillId="0" borderId="1" xfId="2" applyNumberFormat="1" applyFont="1" applyAlignment="1" applyProtection="1">
      <alignment horizontal="right" vertical="center"/>
      <protection locked="0"/>
    </xf>
    <xf numFmtId="0" fontId="52" fillId="0" borderId="1" xfId="2" applyFont="1" applyAlignment="1" applyProtection="1">
      <alignment vertical="center"/>
      <protection locked="0"/>
    </xf>
    <xf numFmtId="4" fontId="56" fillId="0" borderId="29" xfId="2" applyNumberFormat="1" applyFont="1" applyBorder="1" applyAlignment="1" applyProtection="1">
      <alignment horizontal="right" vertical="center"/>
      <protection locked="0"/>
    </xf>
    <xf numFmtId="0" fontId="52" fillId="0" borderId="25" xfId="2" applyFont="1" applyBorder="1" applyAlignment="1" applyProtection="1">
      <alignment vertical="center"/>
      <protection locked="0"/>
    </xf>
    <xf numFmtId="49" fontId="55" fillId="0" borderId="45" xfId="2" applyNumberFormat="1" applyFont="1" applyBorder="1" applyAlignment="1" applyProtection="1">
      <alignment horizontal="left" vertical="center"/>
    </xf>
    <xf numFmtId="49" fontId="55" fillId="0" borderId="44" xfId="2" applyNumberFormat="1" applyFont="1" applyBorder="1" applyAlignment="1" applyProtection="1">
      <alignment horizontal="left" vertical="center"/>
    </xf>
    <xf numFmtId="49" fontId="55" fillId="0" borderId="44" xfId="2" applyNumberFormat="1" applyFont="1" applyBorder="1" applyAlignment="1" applyProtection="1">
      <alignment horizontal="center" vertical="center"/>
    </xf>
    <xf numFmtId="49" fontId="52" fillId="0" borderId="39" xfId="2" applyNumberFormat="1" applyFont="1" applyBorder="1" applyAlignment="1" applyProtection="1">
      <alignment horizontal="left" vertical="center"/>
    </xf>
    <xf numFmtId="49" fontId="52" fillId="0" borderId="38" xfId="2" applyNumberFormat="1" applyFont="1" applyBorder="1" applyAlignment="1" applyProtection="1">
      <alignment horizontal="left" vertical="center"/>
    </xf>
    <xf numFmtId="49" fontId="55" fillId="0" borderId="38" xfId="2" applyNumberFormat="1" applyFont="1" applyBorder="1" applyAlignment="1" applyProtection="1">
      <alignment horizontal="left" vertical="center"/>
    </xf>
    <xf numFmtId="49" fontId="58" fillId="5" borderId="32" xfId="2" applyNumberFormat="1" applyFont="1" applyFill="1" applyBorder="1" applyAlignment="1" applyProtection="1">
      <alignment horizontal="left" vertical="center"/>
    </xf>
    <xf numFmtId="49" fontId="57" fillId="5" borderId="32" xfId="2" applyNumberFormat="1" applyFont="1" applyFill="1" applyBorder="1" applyAlignment="1" applyProtection="1">
      <alignment horizontal="left" vertical="center"/>
    </xf>
    <xf numFmtId="49" fontId="56" fillId="0" borderId="1" xfId="2" applyNumberFormat="1" applyFont="1" applyAlignment="1" applyProtection="1">
      <alignment horizontal="left" vertical="center"/>
    </xf>
    <xf numFmtId="4" fontId="56" fillId="0" borderId="1" xfId="2" applyNumberFormat="1" applyFont="1" applyAlignment="1" applyProtection="1">
      <alignment horizontal="right" vertical="center"/>
    </xf>
    <xf numFmtId="49" fontId="58" fillId="5" borderId="1" xfId="2" applyNumberFormat="1" applyFont="1" applyFill="1" applyAlignment="1" applyProtection="1">
      <alignment horizontal="left" vertical="center"/>
    </xf>
    <xf numFmtId="49" fontId="57" fillId="5" borderId="1" xfId="2" applyNumberFormat="1" applyFont="1" applyFill="1" applyAlignment="1" applyProtection="1">
      <alignment horizontal="left" vertical="center"/>
    </xf>
    <xf numFmtId="49" fontId="59" fillId="0" borderId="1" xfId="2" applyNumberFormat="1" applyFont="1" applyAlignment="1" applyProtection="1">
      <alignment horizontal="left" vertical="center"/>
    </xf>
    <xf numFmtId="4" fontId="59" fillId="0" borderId="1" xfId="2" applyNumberFormat="1" applyFont="1" applyAlignment="1" applyProtection="1">
      <alignment horizontal="right" vertical="center"/>
    </xf>
    <xf numFmtId="0" fontId="52" fillId="0" borderId="1" xfId="2" applyFont="1" applyAlignment="1" applyProtection="1">
      <alignment vertical="center"/>
    </xf>
    <xf numFmtId="0" fontId="60" fillId="0" borderId="1" xfId="2" applyFont="1" applyAlignment="1" applyProtection="1">
      <alignment horizontal="left" vertical="center" wrapText="1"/>
    </xf>
    <xf numFmtId="49" fontId="56" fillId="0" borderId="29" xfId="2" applyNumberFormat="1" applyFont="1" applyBorder="1" applyAlignment="1" applyProtection="1">
      <alignment horizontal="left" vertical="center"/>
    </xf>
    <xf numFmtId="4" fontId="56" fillId="0" borderId="29" xfId="2" applyNumberFormat="1" applyFont="1" applyBorder="1" applyAlignment="1" applyProtection="1">
      <alignment horizontal="right" vertical="center"/>
    </xf>
    <xf numFmtId="0" fontId="52" fillId="0" borderId="25" xfId="2" applyFont="1" applyBorder="1" applyAlignment="1" applyProtection="1">
      <alignment vertical="center"/>
    </xf>
    <xf numFmtId="49" fontId="54" fillId="0" borderId="1" xfId="2" applyNumberFormat="1" applyFont="1" applyAlignment="1" applyProtection="1">
      <alignment horizontal="left" vertical="center"/>
    </xf>
    <xf numFmtId="49" fontId="55" fillId="0" borderId="35" xfId="2" applyNumberFormat="1" applyFont="1" applyBorder="1" applyAlignment="1" applyProtection="1">
      <alignment horizontal="center" vertical="center"/>
    </xf>
    <xf numFmtId="49" fontId="55" fillId="0" borderId="34" xfId="2" applyNumberFormat="1" applyFont="1" applyBorder="1" applyAlignment="1" applyProtection="1">
      <alignment horizontal="center" vertical="center"/>
    </xf>
    <xf numFmtId="49" fontId="57" fillId="5" borderId="32" xfId="2" applyNumberFormat="1" applyFont="1" applyFill="1" applyBorder="1" applyAlignment="1" applyProtection="1">
      <alignment horizontal="right" vertical="center"/>
    </xf>
    <xf numFmtId="4" fontId="57" fillId="5" borderId="32" xfId="2" applyNumberFormat="1" applyFont="1" applyFill="1" applyBorder="1" applyAlignment="1" applyProtection="1">
      <alignment horizontal="right" vertical="center"/>
    </xf>
    <xf numFmtId="49" fontId="57" fillId="5" borderId="1" xfId="2" applyNumberFormat="1" applyFont="1" applyFill="1" applyAlignment="1" applyProtection="1">
      <alignment horizontal="right" vertical="center"/>
    </xf>
    <xf numFmtId="4" fontId="57" fillId="5" borderId="1" xfId="2" applyNumberFormat="1" applyFont="1" applyFill="1" applyAlignment="1" applyProtection="1">
      <alignment horizontal="right" vertical="center"/>
    </xf>
    <xf numFmtId="165" fontId="5" fillId="0" borderId="0" xfId="0" applyNumberFormat="1" applyFont="1" applyAlignment="1" applyProtection="1">
      <alignment horizontal="left" vertical="center"/>
    </xf>
    <xf numFmtId="4" fontId="25" fillId="0" borderId="0" xfId="0" applyNumberFormat="1" applyFont="1" applyAlignment="1" applyProtection="1">
      <alignment vertical="center"/>
    </xf>
    <xf numFmtId="164" fontId="4" fillId="0" borderId="0" xfId="0" applyNumberFormat="1" applyFont="1" applyAlignment="1" applyProtection="1">
      <alignment horizontal="right" vertical="center"/>
    </xf>
    <xf numFmtId="4" fontId="7" fillId="4" borderId="8" xfId="0" applyNumberFormat="1" applyFont="1" applyFill="1" applyBorder="1" applyAlignment="1" applyProtection="1">
      <alignment vertical="center"/>
    </xf>
    <xf numFmtId="0" fontId="5" fillId="0" borderId="0" xfId="0" applyFont="1" applyAlignment="1" applyProtection="1">
      <alignment horizontal="left" vertical="center" wrapText="1"/>
    </xf>
    <xf numFmtId="0" fontId="23" fillId="4" borderId="0" xfId="0" applyFont="1" applyFill="1" applyAlignment="1" applyProtection="1">
      <alignment horizontal="right" vertical="center"/>
    </xf>
    <xf numFmtId="4" fontId="9" fillId="0" borderId="21" xfId="0" applyNumberFormat="1" applyFont="1" applyBorder="1" applyAlignment="1" applyProtection="1">
      <alignment vertical="center"/>
    </xf>
    <xf numFmtId="4" fontId="10" fillId="0" borderId="21" xfId="0" applyNumberFormat="1" applyFont="1" applyBorder="1" applyAlignment="1" applyProtection="1">
      <alignment vertical="center"/>
    </xf>
    <xf numFmtId="0" fontId="16" fillId="0" borderId="0" xfId="0" applyFont="1" applyAlignment="1" applyProtection="1">
      <alignment horizontal="left" vertical="center"/>
    </xf>
    <xf numFmtId="0" fontId="4" fillId="0" borderId="0" xfId="0" applyFont="1" applyAlignment="1" applyProtection="1">
      <alignment horizontal="left" vertical="top"/>
    </xf>
    <xf numFmtId="0" fontId="6" fillId="0" borderId="0" xfId="0" applyFont="1" applyAlignment="1" applyProtection="1">
      <alignment horizontal="left" vertical="top"/>
    </xf>
    <xf numFmtId="14" fontId="5" fillId="0" borderId="0" xfId="0" applyNumberFormat="1" applyFont="1" applyAlignment="1" applyProtection="1">
      <alignment horizontal="left" vertical="center"/>
    </xf>
    <xf numFmtId="0" fontId="0" fillId="0" borderId="5" xfId="0" applyBorder="1" applyProtection="1"/>
    <xf numFmtId="0" fontId="19" fillId="0" borderId="6" xfId="0" applyFont="1" applyBorder="1" applyAlignment="1" applyProtection="1">
      <alignment horizontal="left" vertical="center"/>
    </xf>
    <xf numFmtId="0" fontId="4" fillId="0" borderId="0" xfId="0" applyFont="1" applyAlignment="1" applyProtection="1">
      <alignment vertical="center"/>
    </xf>
    <xf numFmtId="0" fontId="4" fillId="0" borderId="4" xfId="0" applyFont="1" applyBorder="1" applyAlignment="1" applyProtection="1">
      <alignment vertical="center"/>
    </xf>
    <xf numFmtId="0" fontId="0" fillId="3" borderId="0" xfId="0" applyFont="1" applyFill="1" applyAlignment="1" applyProtection="1">
      <alignment vertical="center"/>
    </xf>
    <xf numFmtId="0" fontId="7" fillId="3" borderId="7" xfId="0" applyFont="1" applyFill="1" applyBorder="1" applyAlignment="1" applyProtection="1">
      <alignment horizontal="left" vertical="center"/>
    </xf>
    <xf numFmtId="0" fontId="7" fillId="3" borderId="8" xfId="0" applyFont="1" applyFill="1" applyBorder="1" applyAlignment="1" applyProtection="1">
      <alignment horizontal="center" vertical="center"/>
    </xf>
    <xf numFmtId="0" fontId="6" fillId="0" borderId="0" xfId="0" applyFont="1" applyAlignment="1" applyProtection="1">
      <alignment vertical="center"/>
    </xf>
    <xf numFmtId="0" fontId="6" fillId="0" borderId="4" xfId="0" applyFont="1" applyBorder="1" applyAlignment="1" applyProtection="1">
      <alignment vertical="center"/>
    </xf>
    <xf numFmtId="0" fontId="6" fillId="0" borderId="0" xfId="0" applyFont="1" applyAlignment="1" applyProtection="1">
      <alignment horizontal="left" vertical="center"/>
    </xf>
    <xf numFmtId="0" fontId="19" fillId="0" borderId="0" xfId="0" applyFont="1" applyAlignment="1" applyProtection="1">
      <alignment vertical="center"/>
    </xf>
    <xf numFmtId="4" fontId="25" fillId="0" borderId="0" xfId="0" applyNumberFormat="1" applyFont="1" applyAlignment="1" applyProtection="1"/>
    <xf numFmtId="4" fontId="9" fillId="0" borderId="0" xfId="0" applyNumberFormat="1" applyFont="1" applyAlignment="1" applyProtection="1"/>
    <xf numFmtId="4" fontId="10" fillId="0" borderId="0" xfId="0" applyNumberFormat="1" applyFont="1" applyAlignment="1" applyProtection="1"/>
    <xf numFmtId="4" fontId="23" fillId="0" borderId="23" xfId="0" applyNumberFormat="1" applyFont="1" applyBorder="1" applyAlignment="1" applyProtection="1">
      <alignment vertical="center"/>
    </xf>
    <xf numFmtId="49" fontId="55" fillId="0" borderId="36" xfId="2" applyNumberFormat="1" applyFont="1" applyBorder="1" applyAlignment="1" applyProtection="1">
      <alignment horizontal="center" vertical="center"/>
    </xf>
    <xf numFmtId="4" fontId="55" fillId="0" borderId="25" xfId="2" applyNumberFormat="1" applyFont="1" applyBorder="1" applyAlignment="1" applyProtection="1">
      <alignment horizontal="right" vertical="center"/>
    </xf>
    <xf numFmtId="49" fontId="55" fillId="0" borderId="43" xfId="2" applyNumberFormat="1" applyFont="1" applyBorder="1" applyAlignment="1" applyProtection="1">
      <alignment horizontal="center" vertical="center"/>
    </xf>
    <xf numFmtId="49" fontId="55" fillId="0" borderId="37" xfId="2" applyNumberFormat="1" applyFont="1" applyBorder="1" applyAlignment="1" applyProtection="1">
      <alignment horizontal="center" vertical="center"/>
    </xf>
    <xf numFmtId="0" fontId="62" fillId="0" borderId="1" xfId="3" applyProtection="1">
      <protection locked="0"/>
    </xf>
    <xf numFmtId="4" fontId="66" fillId="6" borderId="25" xfId="3" applyNumberFormat="1" applyFont="1" applyFill="1" applyBorder="1" applyAlignment="1" applyProtection="1">
      <alignment vertical="top" shrinkToFit="1"/>
      <protection locked="0"/>
    </xf>
    <xf numFmtId="4" fontId="67" fillId="0" borderId="53" xfId="3" applyNumberFormat="1" applyFont="1" applyBorder="1" applyAlignment="1" applyProtection="1">
      <alignment vertical="top" shrinkToFit="1"/>
      <protection locked="0"/>
    </xf>
    <xf numFmtId="4" fontId="67" fillId="0" borderId="49" xfId="3" applyNumberFormat="1" applyFont="1" applyBorder="1" applyAlignment="1" applyProtection="1">
      <alignment vertical="top" shrinkToFit="1"/>
      <protection locked="0"/>
    </xf>
    <xf numFmtId="4" fontId="67" fillId="0" borderId="48" xfId="3" applyNumberFormat="1" applyFont="1" applyBorder="1" applyAlignment="1" applyProtection="1">
      <alignment vertical="top" shrinkToFit="1"/>
      <protection locked="0"/>
    </xf>
    <xf numFmtId="0" fontId="62" fillId="0" borderId="1" xfId="3" applyProtection="1"/>
    <xf numFmtId="0" fontId="68" fillId="6" borderId="56" xfId="3" applyFont="1" applyFill="1" applyBorder="1" applyAlignment="1" applyProtection="1">
      <alignment vertical="top"/>
    </xf>
    <xf numFmtId="49" fontId="68" fillId="6" borderId="57" xfId="3" applyNumberFormat="1" applyFont="1" applyFill="1" applyBorder="1" applyAlignment="1" applyProtection="1">
      <alignment vertical="top"/>
    </xf>
    <xf numFmtId="49" fontId="69" fillId="6" borderId="57" xfId="3" applyNumberFormat="1" applyFont="1" applyFill="1" applyBorder="1" applyAlignment="1" applyProtection="1">
      <alignment horizontal="left" vertical="top" wrapText="1"/>
    </xf>
    <xf numFmtId="49" fontId="68" fillId="6" borderId="57" xfId="3" applyNumberFormat="1" applyFont="1" applyFill="1" applyBorder="1" applyAlignment="1" applyProtection="1">
      <alignment horizontal="left" vertical="top" wrapText="1"/>
    </xf>
    <xf numFmtId="0" fontId="62" fillId="7" borderId="48" xfId="3" applyFill="1" applyBorder="1" applyProtection="1"/>
    <xf numFmtId="49" fontId="62" fillId="7" borderId="48" xfId="3" applyNumberFormat="1" applyFill="1" applyBorder="1" applyProtection="1"/>
    <xf numFmtId="0" fontId="62" fillId="7" borderId="48" xfId="3" applyFill="1" applyBorder="1" applyAlignment="1" applyProtection="1">
      <alignment horizontal="center"/>
    </xf>
    <xf numFmtId="168" fontId="62" fillId="7" borderId="48" xfId="3" applyNumberFormat="1" applyFill="1" applyBorder="1" applyProtection="1"/>
    <xf numFmtId="0" fontId="62" fillId="0" borderId="1" xfId="3" applyAlignment="1" applyProtection="1">
      <alignment vertical="top"/>
    </xf>
    <xf numFmtId="49" fontId="62" fillId="0" borderId="1" xfId="3" applyNumberFormat="1" applyAlignment="1" applyProtection="1">
      <alignment vertical="top"/>
    </xf>
    <xf numFmtId="0" fontId="62" fillId="0" borderId="1" xfId="3" applyAlignment="1" applyProtection="1">
      <alignment horizontal="center" vertical="top"/>
    </xf>
    <xf numFmtId="168" fontId="62" fillId="0" borderId="1" xfId="3" applyNumberFormat="1" applyAlignment="1" applyProtection="1">
      <alignment vertical="top"/>
    </xf>
    <xf numFmtId="0" fontId="66" fillId="6" borderId="24" xfId="3" applyFont="1" applyFill="1" applyBorder="1" applyAlignment="1" applyProtection="1">
      <alignment vertical="top"/>
    </xf>
    <xf numFmtId="49" fontId="66" fillId="6" borderId="25" xfId="3" applyNumberFormat="1" applyFont="1" applyFill="1" applyBorder="1" applyAlignment="1" applyProtection="1">
      <alignment vertical="top"/>
    </xf>
    <xf numFmtId="49" fontId="66" fillId="6" borderId="25" xfId="3" applyNumberFormat="1" applyFont="1" applyFill="1" applyBorder="1" applyAlignment="1" applyProtection="1">
      <alignment horizontal="left" vertical="top" wrapText="1"/>
    </xf>
    <xf numFmtId="0" fontId="66" fillId="6" borderId="25" xfId="3" applyFont="1" applyFill="1" applyBorder="1" applyAlignment="1" applyProtection="1">
      <alignment horizontal="center" vertical="top" shrinkToFit="1"/>
    </xf>
    <xf numFmtId="168" fontId="66" fillId="6" borderId="25" xfId="3" applyNumberFormat="1" applyFont="1" applyFill="1" applyBorder="1" applyAlignment="1" applyProtection="1">
      <alignment vertical="top" shrinkToFit="1"/>
    </xf>
    <xf numFmtId="49" fontId="62" fillId="6" borderId="25" xfId="3" applyNumberFormat="1" applyFill="1" applyBorder="1" applyAlignment="1" applyProtection="1">
      <alignment horizontal="left" vertical="top" wrapText="1"/>
    </xf>
    <xf numFmtId="0" fontId="67" fillId="0" borderId="52" xfId="3" applyFont="1" applyBorder="1" applyAlignment="1" applyProtection="1">
      <alignment vertical="top"/>
    </xf>
    <xf numFmtId="49" fontId="67" fillId="0" borderId="53" xfId="3" applyNumberFormat="1" applyFont="1" applyBorder="1" applyAlignment="1" applyProtection="1">
      <alignment vertical="top"/>
    </xf>
    <xf numFmtId="49" fontId="67" fillId="0" borderId="53" xfId="3" applyNumberFormat="1" applyFont="1" applyBorder="1" applyAlignment="1" applyProtection="1">
      <alignment horizontal="left" vertical="top" wrapText="1"/>
    </xf>
    <xf numFmtId="0" fontId="67" fillId="0" borderId="53" xfId="3" applyFont="1" applyBorder="1" applyAlignment="1" applyProtection="1">
      <alignment horizontal="center" vertical="top" shrinkToFit="1"/>
    </xf>
    <xf numFmtId="168" fontId="67" fillId="0" borderId="53" xfId="3" applyNumberFormat="1" applyFont="1" applyBorder="1" applyAlignment="1" applyProtection="1">
      <alignment vertical="top" shrinkToFit="1"/>
    </xf>
    <xf numFmtId="0" fontId="67" fillId="0" borderId="49" xfId="3" applyFont="1" applyBorder="1" applyAlignment="1" applyProtection="1">
      <alignment vertical="top"/>
    </xf>
    <xf numFmtId="49" fontId="67" fillId="0" borderId="49" xfId="3" applyNumberFormat="1" applyFont="1" applyBorder="1" applyAlignment="1" applyProtection="1">
      <alignment vertical="top"/>
    </xf>
    <xf numFmtId="49" fontId="67" fillId="0" borderId="49" xfId="3" applyNumberFormat="1" applyFont="1" applyBorder="1" applyAlignment="1" applyProtection="1">
      <alignment horizontal="left" vertical="top" wrapText="1"/>
    </xf>
    <xf numFmtId="0" fontId="67" fillId="0" borderId="49" xfId="3" applyFont="1" applyBorder="1" applyAlignment="1" applyProtection="1">
      <alignment horizontal="center" vertical="top" shrinkToFit="1"/>
    </xf>
    <xf numFmtId="168" fontId="67" fillId="0" borderId="49" xfId="3" applyNumberFormat="1" applyFont="1" applyBorder="1" applyAlignment="1" applyProtection="1">
      <alignment vertical="top" shrinkToFit="1"/>
    </xf>
    <xf numFmtId="49" fontId="67" fillId="0" borderId="25" xfId="3" applyNumberFormat="1" applyFont="1" applyBorder="1" applyAlignment="1" applyProtection="1">
      <alignment vertical="top"/>
    </xf>
    <xf numFmtId="49" fontId="67" fillId="0" borderId="25" xfId="3" applyNumberFormat="1" applyFont="1" applyBorder="1" applyAlignment="1" applyProtection="1">
      <alignment horizontal="left" vertical="top" wrapText="1"/>
    </xf>
    <xf numFmtId="0" fontId="67" fillId="0" borderId="48" xfId="3" applyFont="1" applyBorder="1" applyAlignment="1" applyProtection="1">
      <alignment vertical="top"/>
    </xf>
    <xf numFmtId="49" fontId="67" fillId="0" borderId="48" xfId="3" applyNumberFormat="1" applyFont="1" applyBorder="1" applyAlignment="1" applyProtection="1">
      <alignment vertical="top"/>
    </xf>
    <xf numFmtId="49" fontId="67" fillId="0" borderId="48" xfId="3" applyNumberFormat="1" applyFont="1" applyBorder="1" applyAlignment="1" applyProtection="1">
      <alignment horizontal="left" vertical="top" wrapText="1"/>
    </xf>
    <xf numFmtId="0" fontId="67" fillId="0" borderId="48" xfId="3" applyFont="1" applyBorder="1" applyAlignment="1" applyProtection="1">
      <alignment horizontal="center" vertical="top" shrinkToFit="1"/>
    </xf>
    <xf numFmtId="168" fontId="67" fillId="0" borderId="48" xfId="3" applyNumberFormat="1" applyFont="1" applyBorder="1" applyAlignment="1" applyProtection="1">
      <alignment vertical="top" shrinkToFit="1"/>
    </xf>
    <xf numFmtId="49" fontId="62" fillId="0" borderId="1" xfId="3" applyNumberFormat="1" applyProtection="1"/>
    <xf numFmtId="168" fontId="62" fillId="0" borderId="1" xfId="3" applyNumberFormat="1" applyProtection="1"/>
    <xf numFmtId="0" fontId="62" fillId="7" borderId="48" xfId="3" applyFill="1" applyBorder="1" applyAlignment="1" applyProtection="1">
      <alignment wrapText="1"/>
    </xf>
    <xf numFmtId="4" fontId="62" fillId="0" borderId="1" xfId="3" applyNumberFormat="1" applyAlignment="1" applyProtection="1">
      <alignment vertical="top"/>
    </xf>
    <xf numFmtId="4" fontId="66" fillId="6" borderId="26" xfId="3" applyNumberFormat="1" applyFont="1" applyFill="1" applyBorder="1" applyAlignment="1" applyProtection="1">
      <alignment vertical="top" shrinkToFit="1"/>
    </xf>
    <xf numFmtId="4" fontId="67" fillId="0" borderId="54" xfId="3" applyNumberFormat="1" applyFont="1" applyBorder="1" applyAlignment="1" applyProtection="1">
      <alignment vertical="top" shrinkToFit="1"/>
    </xf>
    <xf numFmtId="4" fontId="67" fillId="0" borderId="49" xfId="3" applyNumberFormat="1" applyFont="1" applyBorder="1" applyAlignment="1" applyProtection="1">
      <alignment vertical="top" shrinkToFit="1"/>
    </xf>
    <xf numFmtId="4" fontId="67" fillId="0" borderId="48" xfId="3" applyNumberFormat="1" applyFont="1" applyBorder="1" applyAlignment="1" applyProtection="1">
      <alignment vertical="top" shrinkToFit="1"/>
    </xf>
    <xf numFmtId="0" fontId="64" fillId="0" borderId="48" xfId="3" applyFont="1" applyBorder="1" applyAlignment="1" applyProtection="1">
      <alignment vertical="center"/>
    </xf>
    <xf numFmtId="49" fontId="62" fillId="0" borderId="49" xfId="3" applyNumberFormat="1" applyBorder="1" applyAlignment="1" applyProtection="1">
      <alignment vertical="center"/>
    </xf>
    <xf numFmtId="0" fontId="64" fillId="6" borderId="48" xfId="3" applyFont="1" applyFill="1" applyBorder="1" applyAlignment="1" applyProtection="1">
      <alignment vertical="center"/>
    </xf>
    <xf numFmtId="49" fontId="62" fillId="6" borderId="49" xfId="3" applyNumberFormat="1" applyFill="1" applyBorder="1" applyAlignment="1" applyProtection="1">
      <alignment vertical="center"/>
    </xf>
    <xf numFmtId="0" fontId="62" fillId="0" borderId="1" xfId="3" applyAlignment="1" applyProtection="1">
      <alignment horizontal="center"/>
    </xf>
    <xf numFmtId="0" fontId="62" fillId="7" borderId="51" xfId="3" applyFill="1" applyBorder="1" applyProtection="1"/>
    <xf numFmtId="4" fontId="66" fillId="6" borderId="25" xfId="3" applyNumberFormat="1" applyFont="1" applyFill="1" applyBorder="1" applyAlignment="1" applyProtection="1">
      <alignment vertical="top" shrinkToFit="1"/>
    </xf>
    <xf numFmtId="0" fontId="79" fillId="9" borderId="1" xfId="3" applyFont="1" applyFill="1" applyProtection="1">
      <protection locked="0"/>
    </xf>
    <xf numFmtId="0" fontId="79" fillId="11" borderId="1" xfId="3" applyFont="1" applyFill="1" applyProtection="1">
      <protection locked="0"/>
    </xf>
    <xf numFmtId="0" fontId="64" fillId="0" borderId="25" xfId="3" applyFont="1" applyBorder="1" applyProtection="1">
      <protection locked="0"/>
    </xf>
    <xf numFmtId="0" fontId="66" fillId="0" borderId="1" xfId="3" applyFont="1" applyAlignment="1" applyProtection="1">
      <alignment horizontal="right"/>
      <protection locked="0"/>
    </xf>
    <xf numFmtId="0" fontId="80" fillId="0" borderId="29" xfId="3" applyFont="1" applyBorder="1" applyAlignment="1" applyProtection="1">
      <alignment horizontal="right"/>
      <protection locked="0"/>
    </xf>
    <xf numFmtId="169" fontId="80" fillId="0" borderId="1" xfId="3" applyNumberFormat="1" applyFont="1" applyAlignment="1" applyProtection="1">
      <alignment horizontal="right"/>
      <protection locked="0"/>
    </xf>
    <xf numFmtId="0" fontId="64" fillId="0" borderId="25" xfId="3" applyFont="1" applyBorder="1" applyAlignment="1" applyProtection="1">
      <alignment vertical="center"/>
    </xf>
    <xf numFmtId="0" fontId="66" fillId="0" borderId="25" xfId="3" applyFont="1" applyBorder="1" applyAlignment="1" applyProtection="1">
      <alignment wrapText="1"/>
    </xf>
    <xf numFmtId="0" fontId="64" fillId="0" borderId="25" xfId="3" applyFont="1" applyBorder="1" applyProtection="1"/>
    <xf numFmtId="169" fontId="66" fillId="10" borderId="25" xfId="3" applyNumberFormat="1" applyFont="1" applyFill="1" applyBorder="1" applyAlignment="1" applyProtection="1">
      <alignment horizontal="right"/>
    </xf>
    <xf numFmtId="0" fontId="66" fillId="0" borderId="1" xfId="3" applyFont="1" applyAlignment="1" applyProtection="1">
      <alignment horizontal="right" vertical="center"/>
    </xf>
    <xf numFmtId="0" fontId="66" fillId="0" borderId="1" xfId="3" applyFont="1" applyAlignment="1" applyProtection="1">
      <alignment wrapText="1"/>
    </xf>
    <xf numFmtId="0" fontId="66" fillId="0" borderId="1" xfId="3" applyFont="1" applyAlignment="1" applyProtection="1">
      <alignment horizontal="left"/>
    </xf>
    <xf numFmtId="0" fontId="66" fillId="0" borderId="1" xfId="3" applyFont="1" applyAlignment="1" applyProtection="1">
      <alignment horizontal="right"/>
    </xf>
    <xf numFmtId="169" fontId="66" fillId="0" borderId="1" xfId="3" applyNumberFormat="1" applyFont="1" applyAlignment="1" applyProtection="1">
      <alignment horizontal="right"/>
    </xf>
    <xf numFmtId="0" fontId="62" fillId="0" borderId="1" xfId="3" applyAlignment="1" applyProtection="1">
      <alignment vertical="center"/>
    </xf>
    <xf numFmtId="0" fontId="62" fillId="0" borderId="1" xfId="3" applyAlignment="1" applyProtection="1">
      <alignment wrapText="1"/>
    </xf>
    <xf numFmtId="0" fontId="79" fillId="11" borderId="1" xfId="3" applyFont="1" applyFill="1" applyAlignment="1" applyProtection="1">
      <alignment vertical="center"/>
    </xf>
    <xf numFmtId="0" fontId="66" fillId="11" borderId="1" xfId="3" applyFont="1" applyFill="1" applyAlignment="1" applyProtection="1">
      <alignment wrapText="1"/>
    </xf>
    <xf numFmtId="0" fontId="79" fillId="11" borderId="1" xfId="3" applyFont="1" applyFill="1" applyProtection="1"/>
    <xf numFmtId="0" fontId="78" fillId="9" borderId="41" xfId="3" applyFont="1" applyFill="1" applyBorder="1" applyProtection="1"/>
    <xf numFmtId="0" fontId="78" fillId="9" borderId="42" xfId="3" applyFont="1" applyFill="1" applyBorder="1" applyProtection="1"/>
    <xf numFmtId="0" fontId="62" fillId="9" borderId="42" xfId="3" applyFill="1" applyBorder="1" applyProtection="1"/>
    <xf numFmtId="0" fontId="62" fillId="9" borderId="40" xfId="3" applyFill="1" applyBorder="1" applyProtection="1"/>
    <xf numFmtId="0" fontId="77" fillId="8" borderId="33" xfId="3" applyFont="1" applyFill="1" applyBorder="1" applyProtection="1"/>
    <xf numFmtId="0" fontId="77" fillId="8" borderId="1" xfId="3" applyFont="1" applyFill="1" applyProtection="1"/>
    <xf numFmtId="0" fontId="62" fillId="8" borderId="1" xfId="3" applyFill="1" applyProtection="1"/>
    <xf numFmtId="0" fontId="62" fillId="8" borderId="63" xfId="3" applyFill="1" applyBorder="1" applyProtection="1"/>
    <xf numFmtId="0" fontId="62" fillId="0" borderId="33" xfId="3" applyBorder="1" applyProtection="1"/>
    <xf numFmtId="0" fontId="62" fillId="0" borderId="29" xfId="3" applyBorder="1" applyProtection="1"/>
    <xf numFmtId="169" fontId="62" fillId="0" borderId="62" xfId="3" applyNumberFormat="1" applyBorder="1" applyAlignment="1" applyProtection="1">
      <alignment horizontal="right"/>
    </xf>
    <xf numFmtId="0" fontId="62" fillId="0" borderId="60" xfId="3" applyBorder="1" applyProtection="1"/>
    <xf numFmtId="0" fontId="76" fillId="0" borderId="46" xfId="3" applyFont="1" applyBorder="1" applyProtection="1"/>
    <xf numFmtId="0" fontId="62" fillId="0" borderId="46" xfId="3" applyBorder="1" applyProtection="1"/>
    <xf numFmtId="169" fontId="76" fillId="0" borderId="59" xfId="3" applyNumberFormat="1" applyFont="1" applyBorder="1" applyAlignment="1" applyProtection="1">
      <alignment horizontal="right"/>
    </xf>
    <xf numFmtId="0" fontId="62" fillId="0" borderId="63" xfId="3" applyBorder="1" applyProtection="1"/>
    <xf numFmtId="0" fontId="76" fillId="0" borderId="29" xfId="3" applyFont="1" applyBorder="1" applyProtection="1"/>
    <xf numFmtId="0" fontId="62" fillId="0" borderId="62" xfId="3" applyBorder="1" applyProtection="1"/>
    <xf numFmtId="0" fontId="62" fillId="0" borderId="49" xfId="3" applyBorder="1" applyProtection="1"/>
    <xf numFmtId="0" fontId="62" fillId="0" borderId="49" xfId="3" applyBorder="1" applyAlignment="1" applyProtection="1">
      <alignment horizontal="right"/>
    </xf>
    <xf numFmtId="0" fontId="62" fillId="0" borderId="49" xfId="3" applyBorder="1" applyAlignment="1" applyProtection="1">
      <alignment horizontal="left"/>
    </xf>
    <xf numFmtId="169" fontId="64" fillId="0" borderId="61" xfId="3" applyNumberFormat="1" applyFont="1" applyBorder="1" applyAlignment="1" applyProtection="1">
      <alignment horizontal="right"/>
    </xf>
    <xf numFmtId="0" fontId="63" fillId="9" borderId="1" xfId="3" applyFont="1" applyFill="1" applyAlignment="1" applyProtection="1">
      <alignment vertical="center"/>
    </xf>
    <xf numFmtId="0" fontId="63" fillId="9" borderId="1" xfId="3" applyFont="1" applyFill="1" applyAlignment="1" applyProtection="1">
      <alignment wrapText="1"/>
    </xf>
    <xf numFmtId="0" fontId="79" fillId="9" borderId="1" xfId="3" applyFont="1" applyFill="1" applyProtection="1"/>
    <xf numFmtId="0" fontId="80" fillId="0" borderId="29" xfId="3" applyFont="1" applyBorder="1" applyAlignment="1" applyProtection="1">
      <alignment vertical="center"/>
    </xf>
    <xf numFmtId="0" fontId="80" fillId="0" borderId="29" xfId="3" applyFont="1" applyBorder="1" applyAlignment="1" applyProtection="1">
      <alignment wrapText="1"/>
    </xf>
    <xf numFmtId="0" fontId="80" fillId="0" borderId="29" xfId="3" applyFont="1" applyBorder="1" applyAlignment="1" applyProtection="1">
      <alignment horizontal="center"/>
    </xf>
    <xf numFmtId="0" fontId="80" fillId="0" borderId="1" xfId="3" applyFont="1" applyAlignment="1" applyProtection="1">
      <alignment vertical="center"/>
    </xf>
    <xf numFmtId="0" fontId="80" fillId="0" borderId="1" xfId="3" applyFont="1" applyAlignment="1" applyProtection="1">
      <alignment wrapText="1"/>
    </xf>
    <xf numFmtId="0" fontId="80" fillId="0" borderId="1" xfId="3" applyFont="1" applyAlignment="1" applyProtection="1">
      <alignment horizontal="right"/>
    </xf>
    <xf numFmtId="0" fontId="80" fillId="0" borderId="1" xfId="3" applyFont="1" applyAlignment="1" applyProtection="1">
      <alignment horizontal="center"/>
    </xf>
    <xf numFmtId="0" fontId="63" fillId="9" borderId="1" xfId="3" applyFont="1" applyFill="1" applyAlignment="1" applyProtection="1">
      <alignment horizontal="right"/>
    </xf>
    <xf numFmtId="0" fontId="80" fillId="0" borderId="29" xfId="3" applyFont="1" applyBorder="1" applyAlignment="1" applyProtection="1">
      <alignment horizontal="right"/>
    </xf>
    <xf numFmtId="169" fontId="80" fillId="0" borderId="1" xfId="3" applyNumberFormat="1" applyFont="1" applyAlignment="1" applyProtection="1">
      <alignment horizontal="right"/>
    </xf>
    <xf numFmtId="0" fontId="66" fillId="11" borderId="1" xfId="3" applyFont="1" applyFill="1" applyProtection="1"/>
    <xf numFmtId="0" fontId="78" fillId="9" borderId="29" xfId="3" applyFont="1" applyFill="1" applyBorder="1" applyProtection="1"/>
    <xf numFmtId="0" fontId="62" fillId="9" borderId="29" xfId="3" applyFill="1" applyBorder="1" applyProtection="1"/>
    <xf numFmtId="169" fontId="62" fillId="0" borderId="29" xfId="3" applyNumberFormat="1" applyBorder="1" applyAlignment="1" applyProtection="1">
      <alignment horizontal="right"/>
    </xf>
    <xf numFmtId="169" fontId="76" fillId="0" borderId="46" xfId="3" applyNumberFormat="1" applyFont="1" applyBorder="1" applyAlignment="1" applyProtection="1">
      <alignment horizontal="right"/>
    </xf>
    <xf numFmtId="9" fontId="62" fillId="0" borderId="49" xfId="3" applyNumberFormat="1" applyBorder="1" applyAlignment="1" applyProtection="1">
      <alignment horizontal="left"/>
    </xf>
    <xf numFmtId="169" fontId="64" fillId="0" borderId="49" xfId="3" applyNumberFormat="1" applyFont="1" applyBorder="1" applyAlignment="1" applyProtection="1">
      <alignment horizontal="right"/>
    </xf>
    <xf numFmtId="0" fontId="80" fillId="0" borderId="1" xfId="3" applyFont="1" applyAlignment="1" applyProtection="1">
      <alignment horizontal="left" vertical="center"/>
    </xf>
    <xf numFmtId="0" fontId="3" fillId="0" borderId="48" xfId="4" applyBorder="1" applyProtection="1">
      <protection locked="0"/>
    </xf>
    <xf numFmtId="0" fontId="3" fillId="0" borderId="1" xfId="4" applyProtection="1">
      <protection locked="0"/>
    </xf>
    <xf numFmtId="0" fontId="50" fillId="0" borderId="70" xfId="4" applyFont="1" applyBorder="1" applyAlignment="1" applyProtection="1">
      <alignment horizontal="center"/>
    </xf>
    <xf numFmtId="0" fontId="50" fillId="0" borderId="69" xfId="4" applyFont="1" applyBorder="1" applyAlignment="1" applyProtection="1">
      <alignment wrapText="1"/>
    </xf>
    <xf numFmtId="0" fontId="88" fillId="0" borderId="69" xfId="4" applyFont="1" applyBorder="1" applyAlignment="1" applyProtection="1">
      <alignment horizontal="center" wrapText="1"/>
    </xf>
    <xf numFmtId="0" fontId="50" fillId="0" borderId="69" xfId="4" applyFont="1" applyBorder="1" applyAlignment="1" applyProtection="1">
      <alignment horizontal="center" wrapText="1"/>
    </xf>
    <xf numFmtId="0" fontId="3" fillId="0" borderId="67" xfId="4" applyBorder="1" applyAlignment="1" applyProtection="1">
      <alignment horizontal="center"/>
    </xf>
    <xf numFmtId="0" fontId="50" fillId="0" borderId="48" xfId="4" applyFont="1" applyBorder="1" applyAlignment="1" applyProtection="1">
      <alignment wrapText="1"/>
    </xf>
    <xf numFmtId="0" fontId="50" fillId="0" borderId="48" xfId="4" applyFont="1" applyBorder="1" applyAlignment="1" applyProtection="1">
      <alignment horizontal="center" wrapText="1"/>
    </xf>
    <xf numFmtId="0" fontId="3" fillId="0" borderId="48" xfId="4" applyBorder="1" applyAlignment="1" applyProtection="1">
      <alignment horizontal="center"/>
    </xf>
    <xf numFmtId="49" fontId="3" fillId="0" borderId="67" xfId="4" applyNumberFormat="1" applyBorder="1" applyAlignment="1" applyProtection="1">
      <alignment horizontal="center"/>
    </xf>
    <xf numFmtId="0" fontId="3" fillId="0" borderId="48" xfId="4" applyBorder="1" applyAlignment="1" applyProtection="1">
      <alignment wrapText="1"/>
    </xf>
    <xf numFmtId="0" fontId="3" fillId="0" borderId="48" xfId="4" applyBorder="1" applyAlignment="1" applyProtection="1">
      <alignment horizontal="center" wrapText="1"/>
    </xf>
    <xf numFmtId="0" fontId="3" fillId="0" borderId="48" xfId="4" applyBorder="1" applyAlignment="1" applyProtection="1">
      <alignment horizontal="center" vertical="center"/>
    </xf>
    <xf numFmtId="0" fontId="3" fillId="0" borderId="48" xfId="8" applyBorder="1" applyAlignment="1" applyProtection="1">
      <alignment wrapText="1"/>
    </xf>
    <xf numFmtId="0" fontId="3" fillId="0" borderId="48" xfId="8" applyBorder="1" applyAlignment="1" applyProtection="1">
      <alignment horizontal="center" wrapText="1"/>
    </xf>
    <xf numFmtId="0" fontId="84" fillId="0" borderId="48" xfId="4" applyFont="1" applyBorder="1" applyAlignment="1" applyProtection="1">
      <alignment wrapText="1"/>
    </xf>
    <xf numFmtId="0" fontId="84" fillId="0" borderId="48" xfId="4" applyFont="1" applyBorder="1" applyAlignment="1" applyProtection="1">
      <alignment horizontal="center"/>
    </xf>
    <xf numFmtId="49" fontId="3" fillId="0" borderId="48" xfId="4" applyNumberFormat="1" applyBorder="1" applyAlignment="1" applyProtection="1">
      <alignment wrapText="1"/>
    </xf>
    <xf numFmtId="0" fontId="3" fillId="0" borderId="48" xfId="4" applyBorder="1" applyAlignment="1" applyProtection="1">
      <alignment vertical="center" wrapText="1"/>
    </xf>
    <xf numFmtId="0" fontId="3" fillId="0" borderId="48" xfId="4" applyBorder="1" applyAlignment="1" applyProtection="1">
      <alignment horizontal="center" vertical="center" wrapText="1"/>
    </xf>
    <xf numFmtId="49" fontId="3" fillId="0" borderId="35" xfId="4" applyNumberFormat="1" applyBorder="1" applyAlignment="1" applyProtection="1">
      <alignment horizontal="center"/>
    </xf>
    <xf numFmtId="0" fontId="3" fillId="0" borderId="36" xfId="4" applyBorder="1" applyAlignment="1" applyProtection="1">
      <alignment horizontal="center" wrapText="1"/>
    </xf>
    <xf numFmtId="0" fontId="3" fillId="0" borderId="36" xfId="4" applyBorder="1" applyAlignment="1" applyProtection="1">
      <alignment horizontal="center"/>
    </xf>
    <xf numFmtId="0" fontId="3" fillId="0" borderId="1" xfId="4" applyAlignment="1" applyProtection="1">
      <alignment horizontal="center"/>
    </xf>
    <xf numFmtId="0" fontId="85" fillId="0" borderId="1" xfId="4" applyFont="1" applyAlignment="1" applyProtection="1">
      <alignment horizontal="left" wrapText="1"/>
    </xf>
    <xf numFmtId="17" fontId="3" fillId="0" borderId="1" xfId="4" applyNumberFormat="1" applyAlignment="1" applyProtection="1">
      <alignment horizontal="center" wrapText="1"/>
    </xf>
    <xf numFmtId="0" fontId="84" fillId="0" borderId="1" xfId="4" applyFont="1" applyAlignment="1" applyProtection="1">
      <alignment horizontal="left" wrapText="1"/>
    </xf>
    <xf numFmtId="0" fontId="3" fillId="0" borderId="1" xfId="4" applyProtection="1"/>
    <xf numFmtId="0" fontId="84" fillId="0" borderId="65" xfId="4" applyFont="1" applyBorder="1" applyAlignment="1" applyProtection="1">
      <alignment wrapText="1"/>
    </xf>
    <xf numFmtId="0" fontId="84" fillId="0" borderId="64" xfId="4" applyFont="1" applyBorder="1" applyAlignment="1" applyProtection="1">
      <alignment wrapText="1"/>
    </xf>
    <xf numFmtId="0" fontId="82" fillId="0" borderId="1" xfId="4" applyFont="1" applyProtection="1"/>
    <xf numFmtId="0" fontId="83" fillId="0" borderId="1" xfId="4" applyFont="1" applyProtection="1"/>
    <xf numFmtId="0" fontId="85" fillId="0" borderId="69" xfId="4" applyFont="1" applyBorder="1" applyAlignment="1" applyProtection="1">
      <alignment horizontal="center"/>
    </xf>
    <xf numFmtId="44" fontId="85" fillId="0" borderId="69" xfId="5" applyFont="1" applyBorder="1" applyAlignment="1" applyProtection="1">
      <alignment horizontal="center" wrapText="1"/>
    </xf>
    <xf numFmtId="44" fontId="85" fillId="0" borderId="68" xfId="5" applyFont="1" applyBorder="1" applyAlignment="1" applyProtection="1">
      <alignment horizontal="center" wrapText="1"/>
    </xf>
    <xf numFmtId="0" fontId="50" fillId="0" borderId="48" xfId="4" applyFont="1" applyBorder="1" applyAlignment="1" applyProtection="1">
      <alignment horizontal="center"/>
    </xf>
    <xf numFmtId="0" fontId="3" fillId="0" borderId="48" xfId="4" applyBorder="1" applyProtection="1"/>
    <xf numFmtId="0" fontId="3" fillId="0" borderId="66" xfId="4" applyBorder="1" applyProtection="1"/>
    <xf numFmtId="44" fontId="84" fillId="0" borderId="48" xfId="6" applyFont="1" applyFill="1" applyBorder="1" applyAlignment="1" applyProtection="1">
      <alignment horizontal="center"/>
    </xf>
    <xf numFmtId="0" fontId="84" fillId="0" borderId="48" xfId="7" applyFont="1" applyBorder="1" applyAlignment="1" applyProtection="1">
      <alignment horizontal="center"/>
    </xf>
    <xf numFmtId="44" fontId="84" fillId="0" borderId="66" xfId="6" applyFont="1" applyFill="1" applyBorder="1" applyAlignment="1" applyProtection="1">
      <alignment horizontal="center"/>
    </xf>
    <xf numFmtId="44" fontId="84" fillId="0" borderId="36" xfId="6" applyFont="1" applyFill="1" applyBorder="1" applyAlignment="1" applyProtection="1">
      <alignment horizontal="center"/>
    </xf>
    <xf numFmtId="0" fontId="84" fillId="0" borderId="36" xfId="7" applyFont="1" applyBorder="1" applyAlignment="1" applyProtection="1">
      <alignment horizontal="center"/>
    </xf>
    <xf numFmtId="44" fontId="84" fillId="0" borderId="34" xfId="6" applyFont="1" applyFill="1" applyBorder="1" applyAlignment="1" applyProtection="1">
      <alignment horizontal="center"/>
    </xf>
    <xf numFmtId="44" fontId="85" fillId="0" borderId="1" xfId="4" applyNumberFormat="1" applyFont="1" applyProtection="1"/>
    <xf numFmtId="44" fontId="84" fillId="0" borderId="1" xfId="5" applyFont="1" applyProtection="1"/>
    <xf numFmtId="0" fontId="84" fillId="0" borderId="1" xfId="4" applyFont="1" applyAlignment="1" applyProtection="1">
      <alignment horizontal="center"/>
    </xf>
    <xf numFmtId="44" fontId="3" fillId="0" borderId="1" xfId="4" applyNumberFormat="1" applyProtection="1"/>
    <xf numFmtId="0" fontId="90" fillId="12" borderId="48" xfId="8" applyFont="1" applyFill="1" applyBorder="1" applyAlignment="1" applyProtection="1">
      <alignment wrapText="1"/>
    </xf>
    <xf numFmtId="0" fontId="84" fillId="0" borderId="48" xfId="4" applyFont="1" applyBorder="1" applyAlignment="1" applyProtection="1">
      <alignment horizontal="center" wrapText="1"/>
    </xf>
    <xf numFmtId="49" fontId="3" fillId="0" borderId="48" xfId="4" applyNumberFormat="1" applyBorder="1" applyAlignment="1" applyProtection="1">
      <alignment horizontal="center" wrapText="1"/>
    </xf>
    <xf numFmtId="14" fontId="3" fillId="0" borderId="48" xfId="4" applyNumberFormat="1" applyBorder="1" applyAlignment="1" applyProtection="1">
      <alignment wrapText="1"/>
    </xf>
    <xf numFmtId="14" fontId="3" fillId="0" borderId="48" xfId="4" applyNumberFormat="1" applyBorder="1" applyAlignment="1" applyProtection="1">
      <alignment horizontal="center" wrapText="1"/>
    </xf>
    <xf numFmtId="0" fontId="84" fillId="0" borderId="36" xfId="4" applyFont="1" applyBorder="1" applyAlignment="1" applyProtection="1">
      <alignment wrapText="1"/>
    </xf>
    <xf numFmtId="0" fontId="84" fillId="0" borderId="36" xfId="4" applyFont="1" applyBorder="1" applyAlignment="1" applyProtection="1">
      <alignment horizontal="center" wrapText="1"/>
    </xf>
    <xf numFmtId="170" fontId="85" fillId="0" borderId="69" xfId="5" applyNumberFormat="1" applyFont="1" applyBorder="1" applyAlignment="1" applyProtection="1">
      <alignment horizontal="center" wrapText="1"/>
    </xf>
    <xf numFmtId="44" fontId="91" fillId="0" borderId="48" xfId="5" applyFont="1" applyFill="1" applyBorder="1" applyAlignment="1" applyProtection="1">
      <alignment horizontal="center"/>
      <protection locked="0"/>
    </xf>
    <xf numFmtId="44" fontId="91" fillId="0" borderId="36" xfId="5" applyFont="1" applyFill="1" applyBorder="1" applyAlignment="1" applyProtection="1">
      <alignment horizontal="center"/>
      <protection locked="0"/>
    </xf>
    <xf numFmtId="0" fontId="50" fillId="0" borderId="48" xfId="4" applyFont="1" applyBorder="1" applyAlignment="1" applyProtection="1">
      <alignment horizontal="left" vertical="center" wrapText="1"/>
    </xf>
    <xf numFmtId="17" fontId="3" fillId="0" borderId="48" xfId="4" applyNumberFormat="1" applyBorder="1" applyAlignment="1" applyProtection="1">
      <alignment horizontal="center" wrapText="1"/>
    </xf>
    <xf numFmtId="0" fontId="3" fillId="0" borderId="48" xfId="4" applyBorder="1" applyAlignment="1" applyProtection="1">
      <alignment horizontal="left" vertical="center" wrapText="1"/>
    </xf>
    <xf numFmtId="0" fontId="3" fillId="0" borderId="36" xfId="4" applyBorder="1" applyAlignment="1" applyProtection="1">
      <alignment horizontal="left" vertical="center" wrapText="1"/>
    </xf>
    <xf numFmtId="17" fontId="3" fillId="0" borderId="36" xfId="4" applyNumberFormat="1" applyBorder="1" applyAlignment="1" applyProtection="1">
      <alignment horizontal="center" wrapText="1"/>
    </xf>
    <xf numFmtId="17" fontId="50" fillId="0" borderId="48" xfId="4" applyNumberFormat="1" applyFont="1" applyBorder="1" applyAlignment="1" applyProtection="1">
      <alignment wrapText="1"/>
    </xf>
    <xf numFmtId="0" fontId="92" fillId="0" borderId="48" xfId="4" applyFont="1" applyBorder="1" applyAlignment="1" applyProtection="1">
      <alignment vertical="center" wrapText="1"/>
    </xf>
    <xf numFmtId="44" fontId="0" fillId="0" borderId="48" xfId="5" applyFont="1" applyBorder="1" applyAlignment="1" applyProtection="1">
      <alignment horizontal="center"/>
      <protection locked="0"/>
    </xf>
    <xf numFmtId="44" fontId="0" fillId="0" borderId="1" xfId="5" applyFont="1" applyAlignment="1" applyProtection="1">
      <alignment horizontal="center"/>
      <protection locked="0"/>
    </xf>
    <xf numFmtId="0" fontId="50" fillId="0" borderId="48" xfId="4" applyFont="1" applyBorder="1" applyProtection="1"/>
    <xf numFmtId="0" fontId="94" fillId="0" borderId="48" xfId="4" applyFont="1" applyBorder="1" applyProtection="1"/>
    <xf numFmtId="49" fontId="53" fillId="0" borderId="48" xfId="4" applyNumberFormat="1" applyFont="1" applyBorder="1" applyProtection="1"/>
    <xf numFmtId="49" fontId="53" fillId="0" borderId="48" xfId="4" applyNumberFormat="1" applyFont="1" applyBorder="1" applyAlignment="1" applyProtection="1">
      <alignment horizontal="left"/>
    </xf>
    <xf numFmtId="14" fontId="53" fillId="0" borderId="48" xfId="4" applyNumberFormat="1" applyFont="1" applyBorder="1" applyProtection="1"/>
    <xf numFmtId="49" fontId="53" fillId="0" borderId="48" xfId="4" applyNumberFormat="1" applyFont="1" applyBorder="1" applyAlignment="1" applyProtection="1">
      <alignment horizontal="left" wrapText="1"/>
    </xf>
    <xf numFmtId="49" fontId="94" fillId="0" borderId="25" xfId="4" applyNumberFormat="1" applyFont="1" applyBorder="1" applyAlignment="1" applyProtection="1">
      <alignment horizontal="left"/>
    </xf>
    <xf numFmtId="0" fontId="85" fillId="0" borderId="48" xfId="9" applyFont="1" applyBorder="1" applyAlignment="1" applyProtection="1">
      <alignment horizontal="center"/>
    </xf>
    <xf numFmtId="44" fontId="85" fillId="0" borderId="48" xfId="5" applyFont="1" applyFill="1" applyBorder="1" applyAlignment="1" applyProtection="1">
      <alignment horizontal="center" wrapText="1"/>
    </xf>
    <xf numFmtId="44" fontId="3" fillId="0" borderId="48" xfId="4" applyNumberFormat="1" applyBorder="1" applyAlignment="1" applyProtection="1">
      <alignment horizontal="center"/>
    </xf>
    <xf numFmtId="44" fontId="50" fillId="0" borderId="1" xfId="4" applyNumberFormat="1" applyFont="1" applyAlignment="1" applyProtection="1">
      <alignment horizontal="center"/>
    </xf>
    <xf numFmtId="0" fontId="96" fillId="0" borderId="1" xfId="4" applyFont="1" applyProtection="1"/>
    <xf numFmtId="49" fontId="53" fillId="0" borderId="1" xfId="4" applyNumberFormat="1" applyFont="1" applyAlignment="1" applyProtection="1">
      <alignment horizontal="left"/>
    </xf>
    <xf numFmtId="170" fontId="3" fillId="0" borderId="1" xfId="4" applyNumberFormat="1" applyProtection="1">
      <protection locked="0"/>
    </xf>
    <xf numFmtId="0" fontId="88" fillId="0" borderId="48" xfId="4" applyFont="1" applyBorder="1" applyAlignment="1" applyProtection="1">
      <alignment horizontal="center" wrapText="1"/>
    </xf>
    <xf numFmtId="0" fontId="84" fillId="0" borderId="1" xfId="4" applyFont="1" applyAlignment="1" applyProtection="1">
      <alignment wrapText="1"/>
    </xf>
    <xf numFmtId="0" fontId="85" fillId="0" borderId="1" xfId="4" applyFont="1" applyAlignment="1" applyProtection="1">
      <alignment wrapText="1"/>
    </xf>
    <xf numFmtId="0" fontId="85" fillId="0" borderId="48" xfId="4" applyFont="1" applyBorder="1" applyAlignment="1" applyProtection="1">
      <alignment horizontal="center"/>
    </xf>
    <xf numFmtId="44" fontId="85" fillId="0" borderId="48" xfId="5" applyFont="1" applyBorder="1" applyAlignment="1" applyProtection="1">
      <alignment horizontal="center" wrapText="1"/>
    </xf>
    <xf numFmtId="170" fontId="85" fillId="0" borderId="48" xfId="5" applyNumberFormat="1" applyFont="1" applyBorder="1" applyAlignment="1" applyProtection="1">
      <alignment horizontal="center" wrapText="1"/>
    </xf>
    <xf numFmtId="0" fontId="44" fillId="0" borderId="1" xfId="0" applyFont="1" applyBorder="1" applyAlignment="1" applyProtection="1">
      <alignment horizontal="left" vertical="center" wrapText="1"/>
    </xf>
    <xf numFmtId="0" fontId="44" fillId="0" borderId="1" xfId="0" applyFont="1" applyBorder="1" applyAlignment="1" applyProtection="1">
      <alignment horizontal="left" vertical="center"/>
    </xf>
    <xf numFmtId="0" fontId="44" fillId="0" borderId="1" xfId="0" applyFont="1" applyBorder="1" applyAlignment="1" applyProtection="1">
      <alignment horizontal="center" vertical="center"/>
    </xf>
    <xf numFmtId="0" fontId="41" fillId="0" borderId="0" xfId="0" applyFont="1" applyAlignment="1" applyProtection="1">
      <alignment vertical="top"/>
    </xf>
    <xf numFmtId="0" fontId="41" fillId="0" borderId="24" xfId="0" applyFont="1" applyBorder="1" applyAlignment="1" applyProtection="1">
      <alignment vertical="center" wrapText="1"/>
    </xf>
    <xf numFmtId="0" fontId="41" fillId="0" borderId="25" xfId="0" applyFont="1" applyBorder="1" applyAlignment="1" applyProtection="1">
      <alignment vertical="center" wrapText="1"/>
    </xf>
    <xf numFmtId="0" fontId="41" fillId="0" borderId="27" xfId="0" applyFont="1" applyBorder="1" applyAlignment="1" applyProtection="1">
      <alignment horizontal="center" vertical="center" wrapText="1"/>
    </xf>
    <xf numFmtId="0" fontId="43" fillId="0" borderId="29" xfId="0" applyFont="1" applyBorder="1" applyAlignment="1" applyProtection="1">
      <alignment horizontal="left"/>
    </xf>
    <xf numFmtId="0" fontId="46" fillId="0" borderId="29" xfId="0" applyFont="1" applyBorder="1" applyAlignment="1" applyProtection="1"/>
    <xf numFmtId="0" fontId="44" fillId="0" borderId="27" xfId="0" applyFont="1" applyBorder="1" applyAlignment="1" applyProtection="1">
      <alignment horizontal="left" vertical="center"/>
    </xf>
    <xf numFmtId="0" fontId="47" fillId="0" borderId="1" xfId="0" applyFont="1" applyBorder="1" applyAlignment="1" applyProtection="1">
      <alignment horizontal="left" vertical="center"/>
    </xf>
    <xf numFmtId="0" fontId="41" fillId="0" borderId="1" xfId="0" applyFont="1" applyBorder="1" applyAlignment="1" applyProtection="1">
      <alignment horizontal="left" vertical="center"/>
    </xf>
    <xf numFmtId="0" fontId="41" fillId="0" borderId="27" xfId="0" applyFont="1" applyBorder="1" applyAlignment="1" applyProtection="1">
      <alignment vertical="top"/>
    </xf>
    <xf numFmtId="0" fontId="41" fillId="0" borderId="1" xfId="0" applyFont="1" applyBorder="1" applyAlignment="1" applyProtection="1">
      <alignment vertical="top"/>
    </xf>
    <xf numFmtId="0" fontId="41" fillId="0" borderId="1" xfId="0" applyFont="1" applyBorder="1" applyAlignment="1" applyProtection="1">
      <alignment horizontal="center" vertical="center"/>
    </xf>
    <xf numFmtId="0" fontId="41" fillId="0" borderId="1" xfId="0" applyFont="1" applyBorder="1" applyAlignment="1" applyProtection="1">
      <alignment horizontal="left" vertical="top"/>
    </xf>
    <xf numFmtId="0" fontId="41" fillId="0" borderId="30" xfId="0" applyFont="1" applyBorder="1" applyAlignment="1" applyProtection="1">
      <alignment vertical="top"/>
    </xf>
    <xf numFmtId="0" fontId="41" fillId="0" borderId="29" xfId="0" applyFont="1" applyBorder="1" applyAlignment="1" applyProtection="1">
      <alignment vertical="top"/>
    </xf>
    <xf numFmtId="0" fontId="81" fillId="0" borderId="48" xfId="0" applyFont="1" applyBorder="1" applyAlignment="1" applyProtection="1">
      <alignment wrapText="1"/>
    </xf>
    <xf numFmtId="0" fontId="84" fillId="0" borderId="48" xfId="0" applyFont="1" applyBorder="1" applyAlignment="1" applyProtection="1">
      <alignment wrapText="1"/>
    </xf>
    <xf numFmtId="0" fontId="84" fillId="0" borderId="48" xfId="0" applyFont="1" applyBorder="1" applyAlignment="1" applyProtection="1">
      <alignment vertical="center" wrapText="1"/>
    </xf>
    <xf numFmtId="0" fontId="84" fillId="0" borderId="48" xfId="0" applyFont="1" applyFill="1" applyBorder="1" applyAlignment="1" applyProtection="1">
      <alignment wrapText="1"/>
    </xf>
    <xf numFmtId="44" fontId="84" fillId="0" borderId="48" xfId="6" applyFont="1" applyFill="1" applyBorder="1" applyAlignment="1" applyProtection="1">
      <alignment horizontal="center"/>
    </xf>
    <xf numFmtId="0" fontId="3" fillId="0" borderId="48" xfId="4" applyBorder="1" applyAlignment="1" applyProtection="1">
      <alignment horizontal="center"/>
    </xf>
    <xf numFmtId="0" fontId="10" fillId="0" borderId="0" xfId="0" applyFont="1" applyAlignment="1" applyProtection="1">
      <alignment vertical="center"/>
    </xf>
    <xf numFmtId="0" fontId="28" fillId="0" borderId="0" xfId="0" applyFont="1" applyAlignment="1" applyProtection="1">
      <alignment vertical="center"/>
    </xf>
    <xf numFmtId="0" fontId="5" fillId="0" borderId="0" xfId="0" applyFont="1" applyAlignment="1" applyProtection="1">
      <alignment horizontal="left" vertical="center"/>
    </xf>
    <xf numFmtId="0" fontId="0" fillId="0" borderId="0" xfId="0" applyProtection="1"/>
    <xf numFmtId="0" fontId="4" fillId="0" borderId="0" xfId="0" applyFont="1" applyAlignment="1" applyProtection="1">
      <alignment vertical="center"/>
    </xf>
    <xf numFmtId="0" fontId="0" fillId="3" borderId="8" xfId="0" applyFont="1" applyFill="1" applyBorder="1" applyAlignment="1" applyProtection="1">
      <alignment vertical="center"/>
    </xf>
    <xf numFmtId="0" fontId="5" fillId="0" borderId="0" xfId="0" applyFont="1" applyAlignment="1" applyProtection="1">
      <alignment horizontal="left" vertical="center" wrapText="1"/>
    </xf>
    <xf numFmtId="0" fontId="0" fillId="0" borderId="6" xfId="0" applyFont="1" applyBorder="1" applyAlignment="1" applyProtection="1">
      <alignment vertical="center"/>
    </xf>
    <xf numFmtId="0" fontId="4" fillId="0" borderId="0" xfId="0" applyFont="1" applyAlignment="1" applyProtection="1">
      <alignment horizontal="right" vertical="center"/>
    </xf>
    <xf numFmtId="0" fontId="5" fillId="0" borderId="0" xfId="0" applyFont="1" applyAlignment="1" applyProtection="1">
      <alignment vertical="center"/>
    </xf>
    <xf numFmtId="0" fontId="6" fillId="0" borderId="0" xfId="0" applyFont="1" applyAlignment="1" applyProtection="1">
      <alignment vertical="center"/>
    </xf>
    <xf numFmtId="165" fontId="5" fillId="0" borderId="0" xfId="0" applyNumberFormat="1" applyFont="1" applyAlignment="1" applyProtection="1">
      <alignment horizontal="left" vertical="center"/>
    </xf>
    <xf numFmtId="4" fontId="25" fillId="0" borderId="0" xfId="0" applyNumberFormat="1" applyFont="1" applyAlignment="1" applyProtection="1">
      <alignment vertical="center"/>
    </xf>
    <xf numFmtId="0" fontId="0" fillId="0" borderId="0" xfId="0" applyFont="1" applyAlignment="1" applyProtection="1">
      <alignment vertical="center"/>
    </xf>
    <xf numFmtId="0" fontId="4" fillId="0" borderId="0" xfId="0" applyFont="1" applyAlignment="1" applyProtection="1">
      <alignment horizontal="left" vertical="center"/>
    </xf>
    <xf numFmtId="0" fontId="22" fillId="0" borderId="0" xfId="0" applyFont="1" applyAlignment="1" applyProtection="1">
      <alignment horizontal="left" vertical="center"/>
    </xf>
    <xf numFmtId="0" fontId="3" fillId="0" borderId="48" xfId="4" applyBorder="1" applyAlignment="1" applyProtection="1">
      <alignment horizontal="center"/>
    </xf>
    <xf numFmtId="49" fontId="3" fillId="0" borderId="48" xfId="4" applyNumberFormat="1" applyBorder="1" applyAlignment="1" applyProtection="1">
      <alignment horizontal="center"/>
    </xf>
    <xf numFmtId="44" fontId="84" fillId="0" borderId="48" xfId="6" applyFont="1" applyFill="1" applyBorder="1" applyAlignment="1" applyProtection="1">
      <alignment horizontal="center"/>
    </xf>
    <xf numFmtId="0" fontId="81" fillId="0" borderId="1" xfId="4" applyFont="1" applyAlignment="1" applyProtection="1">
      <alignment wrapText="1"/>
    </xf>
    <xf numFmtId="0" fontId="2" fillId="0" borderId="48" xfId="8" applyFont="1" applyBorder="1" applyAlignment="1" applyProtection="1">
      <alignment wrapText="1"/>
    </xf>
    <xf numFmtId="0" fontId="52" fillId="0" borderId="1" xfId="2" applyFont="1" applyAlignment="1">
      <alignment horizontal="left" vertical="center" wrapText="1"/>
    </xf>
    <xf numFmtId="170" fontId="85" fillId="0" borderId="48" xfId="5" applyNumberFormat="1" applyFont="1" applyFill="1" applyBorder="1" applyAlignment="1" applyProtection="1">
      <alignment horizontal="center" wrapText="1"/>
      <protection locked="0"/>
    </xf>
    <xf numFmtId="170" fontId="87" fillId="0" borderId="48" xfId="4" applyNumberFormat="1" applyFont="1" applyBorder="1" applyAlignment="1" applyProtection="1">
      <alignment horizontal="center"/>
    </xf>
    <xf numFmtId="49" fontId="1" fillId="0" borderId="48" xfId="4" applyNumberFormat="1" applyFont="1" applyBorder="1" applyAlignment="1" applyProtection="1">
      <alignment horizontal="center"/>
    </xf>
    <xf numFmtId="170" fontId="1" fillId="0" borderId="1" xfId="4" applyNumberFormat="1" applyFont="1"/>
    <xf numFmtId="0" fontId="1" fillId="0" borderId="48" xfId="4" applyFont="1" applyBorder="1" applyAlignment="1" applyProtection="1">
      <alignment horizontal="center"/>
    </xf>
    <xf numFmtId="0" fontId="1" fillId="0" borderId="48" xfId="4" applyFont="1" applyBorder="1" applyAlignment="1" applyProtection="1">
      <alignment wrapText="1"/>
    </xf>
    <xf numFmtId="0" fontId="1" fillId="0" borderId="48" xfId="4" applyFont="1" applyBorder="1" applyAlignment="1" applyProtection="1">
      <alignment horizontal="center" wrapText="1"/>
    </xf>
    <xf numFmtId="0" fontId="1" fillId="0" borderId="1" xfId="4" applyFont="1" applyAlignment="1" applyProtection="1">
      <alignment horizontal="center"/>
    </xf>
    <xf numFmtId="0" fontId="1" fillId="0" borderId="1" xfId="4" applyFont="1" applyProtection="1"/>
    <xf numFmtId="49" fontId="54" fillId="0" borderId="1" xfId="2" applyNumberFormat="1" applyFont="1" applyAlignment="1" applyProtection="1">
      <alignment horizontal="left" vertical="center"/>
      <protection locked="0"/>
    </xf>
    <xf numFmtId="0" fontId="52" fillId="0" borderId="1" xfId="2" applyFont="1" applyAlignment="1">
      <alignment horizontal="left" vertical="center" wrapText="1"/>
    </xf>
    <xf numFmtId="0" fontId="31"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xf>
    <xf numFmtId="4" fontId="25" fillId="0" borderId="0" xfId="0" applyNumberFormat="1" applyFont="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6" fillId="0" borderId="0" xfId="0" applyFont="1" applyAlignment="1" applyProtection="1">
      <alignment vertical="center"/>
    </xf>
    <xf numFmtId="165" fontId="5" fillId="0" borderId="0" xfId="0" applyNumberFormat="1" applyFont="1" applyAlignment="1" applyProtection="1">
      <alignment horizontal="lef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4" fontId="28" fillId="0" borderId="0" xfId="0" applyNumberFormat="1" applyFont="1" applyAlignment="1" applyProtection="1">
      <alignment horizontal="right" vertical="center"/>
    </xf>
    <xf numFmtId="4" fontId="10"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0" fontId="17" fillId="2" borderId="0" xfId="0" applyFont="1" applyFill="1" applyAlignment="1">
      <alignment horizontal="center" vertical="center"/>
    </xf>
    <xf numFmtId="0" fontId="0" fillId="0" borderId="0" xfId="0"/>
    <xf numFmtId="0" fontId="5"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4" fillId="0" borderId="0" xfId="0" applyFont="1" applyAlignment="1" applyProtection="1">
      <alignment horizontal="right" vertical="center"/>
    </xf>
    <xf numFmtId="4" fontId="20" fillId="0" borderId="0" xfId="0" applyNumberFormat="1" applyFont="1" applyAlignment="1" applyProtection="1">
      <alignment vertical="center"/>
    </xf>
    <xf numFmtId="0" fontId="4" fillId="0" borderId="0" xfId="0" applyFont="1" applyAlignment="1" applyProtection="1">
      <alignment vertical="center"/>
    </xf>
    <xf numFmtId="164" fontId="4" fillId="0" borderId="0" xfId="0" applyNumberFormat="1" applyFont="1" applyAlignment="1" applyProtection="1">
      <alignment horizontal="left" vertical="center"/>
    </xf>
    <xf numFmtId="0" fontId="5" fillId="0" borderId="0" xfId="0" applyFont="1" applyAlignment="1" applyProtection="1">
      <alignment horizontal="left" vertical="center"/>
    </xf>
    <xf numFmtId="0" fontId="0" fillId="0" borderId="0" xfId="0" applyProtection="1"/>
    <xf numFmtId="0" fontId="6" fillId="0" borderId="0" xfId="0" applyFont="1" applyAlignment="1" applyProtection="1">
      <alignment horizontal="left" vertical="top" wrapText="1"/>
    </xf>
    <xf numFmtId="0" fontId="7"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7"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applyFont="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49" fontId="55" fillId="0" borderId="41" xfId="2" applyNumberFormat="1" applyFont="1" applyBorder="1" applyAlignment="1" applyProtection="1">
      <alignment horizontal="center" vertical="center"/>
    </xf>
    <xf numFmtId="0" fontId="55" fillId="0" borderId="42" xfId="2" applyFont="1" applyBorder="1" applyAlignment="1" applyProtection="1">
      <alignment horizontal="center" vertical="center"/>
    </xf>
    <xf numFmtId="0" fontId="55" fillId="0" borderId="40" xfId="2" applyFont="1" applyBorder="1" applyAlignment="1" applyProtection="1">
      <alignment horizontal="center" vertical="center"/>
    </xf>
    <xf numFmtId="49" fontId="55" fillId="0" borderId="25" xfId="2" applyNumberFormat="1" applyFont="1" applyBorder="1" applyAlignment="1" applyProtection="1">
      <alignment horizontal="left" vertical="center"/>
    </xf>
    <xf numFmtId="0" fontId="55" fillId="0" borderId="25" xfId="2" applyFont="1" applyBorder="1" applyAlignment="1" applyProtection="1">
      <alignment horizontal="left" vertical="center"/>
    </xf>
    <xf numFmtId="0" fontId="52" fillId="0" borderId="1" xfId="2" applyFont="1" applyAlignment="1" applyProtection="1">
      <alignment horizontal="left" vertical="center" wrapText="1"/>
    </xf>
    <xf numFmtId="0" fontId="52" fillId="0" borderId="1" xfId="2" applyFont="1" applyAlignment="1" applyProtection="1">
      <alignment horizontal="left" vertical="center"/>
    </xf>
    <xf numFmtId="0" fontId="52" fillId="0" borderId="27" xfId="2" applyFont="1" applyBorder="1" applyAlignment="1" applyProtection="1">
      <alignment horizontal="left" vertical="center" wrapText="1"/>
    </xf>
    <xf numFmtId="0" fontId="52" fillId="0" borderId="47" xfId="2" applyFont="1" applyBorder="1" applyAlignment="1" applyProtection="1">
      <alignment horizontal="left" vertical="center"/>
    </xf>
    <xf numFmtId="0" fontId="52" fillId="0" borderId="46" xfId="2" applyFont="1" applyBorder="1" applyAlignment="1" applyProtection="1">
      <alignment horizontal="left" vertical="center"/>
    </xf>
    <xf numFmtId="8" fontId="52" fillId="0" borderId="1" xfId="2" applyNumberFormat="1" applyFont="1" applyAlignment="1" applyProtection="1">
      <alignment horizontal="left" vertical="center" wrapText="1"/>
    </xf>
    <xf numFmtId="49" fontId="52" fillId="0" borderId="1" xfId="2" applyNumberFormat="1" applyFont="1" applyAlignment="1" applyProtection="1">
      <alignment horizontal="left" vertical="center"/>
    </xf>
    <xf numFmtId="0" fontId="52" fillId="0" borderId="27" xfId="2" applyFont="1" applyBorder="1" applyAlignment="1" applyProtection="1">
      <alignment horizontal="left" vertical="center"/>
    </xf>
    <xf numFmtId="49" fontId="61" fillId="0" borderId="29" xfId="2" applyNumberFormat="1" applyFont="1" applyBorder="1" applyAlignment="1" applyProtection="1">
      <alignment horizontal="center"/>
      <protection locked="0"/>
    </xf>
    <xf numFmtId="0" fontId="61" fillId="0" borderId="29" xfId="2" applyFont="1" applyBorder="1" applyAlignment="1" applyProtection="1">
      <alignment horizontal="center" vertical="center"/>
      <protection locked="0"/>
    </xf>
    <xf numFmtId="0" fontId="52" fillId="0" borderId="24" xfId="2" applyFont="1" applyBorder="1" applyAlignment="1" applyProtection="1">
      <alignment horizontal="left" vertical="center" wrapText="1"/>
    </xf>
    <xf numFmtId="0" fontId="52" fillId="0" borderId="25" xfId="2" applyFont="1" applyBorder="1" applyAlignment="1" applyProtection="1">
      <alignment horizontal="left" vertical="center"/>
    </xf>
    <xf numFmtId="0" fontId="55" fillId="0" borderId="25" xfId="2" applyFont="1" applyBorder="1" applyAlignment="1" applyProtection="1">
      <alignment horizontal="left" vertical="center" wrapText="1"/>
    </xf>
    <xf numFmtId="0" fontId="55" fillId="0" borderId="1" xfId="2" applyFont="1" applyAlignment="1" applyProtection="1">
      <alignment horizontal="left" vertical="center"/>
    </xf>
    <xf numFmtId="49" fontId="52" fillId="0" borderId="25" xfId="2" applyNumberFormat="1" applyFont="1" applyBorder="1" applyAlignment="1" applyProtection="1">
      <alignment horizontal="left" vertical="center"/>
    </xf>
    <xf numFmtId="0" fontId="52" fillId="0" borderId="25" xfId="2" applyFont="1" applyBorder="1" applyAlignment="1" applyProtection="1">
      <alignment horizontal="left" vertical="center" wrapText="1"/>
    </xf>
    <xf numFmtId="49" fontId="61" fillId="0" borderId="29" xfId="2" applyNumberFormat="1" applyFont="1" applyBorder="1" applyAlignment="1">
      <alignment horizontal="center"/>
    </xf>
    <xf numFmtId="0" fontId="61" fillId="0" borderId="29" xfId="2" applyFont="1" applyBorder="1" applyAlignment="1">
      <alignment horizontal="center" vertical="center"/>
    </xf>
    <xf numFmtId="0" fontId="52" fillId="0" borderId="1" xfId="2" applyFont="1" applyAlignment="1">
      <alignment horizontal="left" vertical="center" wrapText="1"/>
    </xf>
    <xf numFmtId="0" fontId="52" fillId="0" borderId="1" xfId="2" applyFont="1" applyAlignment="1">
      <alignment horizontal="left" vertical="center"/>
    </xf>
    <xf numFmtId="49" fontId="62" fillId="0" borderId="1" xfId="3" applyNumberFormat="1" applyAlignment="1">
      <alignment horizontal="left" vertical="top" wrapText="1"/>
    </xf>
    <xf numFmtId="0" fontId="63" fillId="0" borderId="1" xfId="3" applyFont="1" applyAlignment="1" applyProtection="1">
      <alignment horizontal="center"/>
    </xf>
    <xf numFmtId="49" fontId="62" fillId="0" borderId="49" xfId="3" applyNumberFormat="1" applyBorder="1" applyAlignment="1" applyProtection="1">
      <alignment vertical="center"/>
    </xf>
    <xf numFmtId="0" fontId="62" fillId="0" borderId="49" xfId="3" applyBorder="1" applyAlignment="1" applyProtection="1">
      <alignment vertical="center"/>
    </xf>
    <xf numFmtId="0" fontId="62" fillId="0" borderId="50" xfId="3" applyBorder="1" applyAlignment="1" applyProtection="1">
      <alignment vertical="center"/>
    </xf>
    <xf numFmtId="49" fontId="65" fillId="0" borderId="49" xfId="3" applyNumberFormat="1" applyFont="1" applyBorder="1" applyAlignment="1" applyProtection="1">
      <alignment vertical="center"/>
    </xf>
    <xf numFmtId="49" fontId="62" fillId="6" borderId="49" xfId="3" applyNumberFormat="1" applyFill="1" applyBorder="1" applyAlignment="1" applyProtection="1">
      <alignment vertical="center"/>
    </xf>
    <xf numFmtId="0" fontId="62" fillId="6" borderId="49" xfId="3" applyFill="1" applyBorder="1" applyAlignment="1" applyProtection="1">
      <alignment vertical="center"/>
    </xf>
    <xf numFmtId="0" fontId="62" fillId="6" borderId="50" xfId="3" applyFill="1" applyBorder="1" applyAlignment="1" applyProtection="1">
      <alignment vertical="center"/>
    </xf>
    <xf numFmtId="169" fontId="70" fillId="6" borderId="57" xfId="3" applyNumberFormat="1" applyFont="1" applyFill="1" applyBorder="1" applyAlignment="1" applyProtection="1">
      <alignment horizontal="center" vertical="top" shrinkToFit="1"/>
    </xf>
    <xf numFmtId="169" fontId="70" fillId="6" borderId="58" xfId="3" applyNumberFormat="1" applyFont="1" applyFill="1" applyBorder="1" applyAlignment="1" applyProtection="1">
      <alignment horizontal="center" vertical="top" shrinkToFit="1"/>
    </xf>
    <xf numFmtId="0" fontId="71" fillId="0" borderId="1" xfId="3" applyFont="1" applyAlignment="1">
      <alignment horizontal="left" vertical="top" wrapText="1"/>
    </xf>
    <xf numFmtId="0" fontId="71" fillId="0" borderId="1" xfId="3" applyFont="1" applyAlignment="1">
      <alignment vertical="top" wrapText="1"/>
    </xf>
    <xf numFmtId="0" fontId="22" fillId="0" borderId="0" xfId="0" applyFont="1" applyAlignment="1" applyProtection="1">
      <alignment horizontal="left" vertical="center"/>
    </xf>
    <xf numFmtId="0" fontId="0" fillId="0" borderId="1" xfId="0" applyBorder="1"/>
    <xf numFmtId="0" fontId="3" fillId="0" borderId="48" xfId="4" applyBorder="1" applyAlignment="1" applyProtection="1">
      <alignment horizontal="center"/>
    </xf>
    <xf numFmtId="0" fontId="50" fillId="0" borderId="48" xfId="4" applyFont="1" applyBorder="1" applyAlignment="1" applyProtection="1">
      <alignment horizontal="center"/>
    </xf>
    <xf numFmtId="44" fontId="84" fillId="0" borderId="48" xfId="6" applyFont="1" applyFill="1" applyBorder="1" applyAlignment="1" applyProtection="1">
      <alignment horizontal="center"/>
    </xf>
    <xf numFmtId="0" fontId="84" fillId="0" borderId="48" xfId="7" applyFont="1" applyBorder="1" applyAlignment="1" applyProtection="1">
      <alignment horizontal="center"/>
    </xf>
    <xf numFmtId="170" fontId="87" fillId="0" borderId="48" xfId="4" applyNumberFormat="1" applyFont="1" applyBorder="1" applyAlignment="1" applyProtection="1">
      <alignment horizontal="center"/>
      <protection locked="0"/>
    </xf>
    <xf numFmtId="0" fontId="3" fillId="0" borderId="48" xfId="4" applyBorder="1" applyAlignment="1" applyProtection="1">
      <alignment horizontal="center"/>
      <protection locked="0"/>
    </xf>
    <xf numFmtId="0" fontId="3" fillId="0" borderId="48" xfId="4" applyBorder="1" applyAlignment="1" applyProtection="1">
      <alignment horizontal="justify" vertical="top" wrapText="1" shrinkToFit="1"/>
    </xf>
    <xf numFmtId="0" fontId="3" fillId="0" borderId="48" xfId="4" applyBorder="1" applyProtection="1"/>
    <xf numFmtId="49" fontId="1" fillId="0" borderId="48" xfId="4" applyNumberFormat="1" applyFont="1" applyBorder="1" applyAlignment="1" applyProtection="1">
      <alignment horizontal="center"/>
    </xf>
    <xf numFmtId="49" fontId="3" fillId="0" borderId="48" xfId="4" applyNumberFormat="1" applyBorder="1" applyAlignment="1" applyProtection="1">
      <alignment horizontal="center"/>
    </xf>
    <xf numFmtId="0" fontId="42" fillId="0" borderId="1" xfId="0" applyFont="1" applyBorder="1" applyAlignment="1">
      <alignment horizontal="center" vertical="center" wrapText="1"/>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pplyProtection="1">
      <alignment horizontal="left"/>
    </xf>
    <xf numFmtId="0" fontId="42" fillId="0" borderId="1" xfId="0" applyFont="1" applyBorder="1" applyAlignment="1" applyProtection="1">
      <alignment horizontal="center" vertical="center" wrapText="1"/>
    </xf>
    <xf numFmtId="0" fontId="44" fillId="0" borderId="1" xfId="0" applyFont="1" applyBorder="1" applyAlignment="1" applyProtection="1">
      <alignment horizontal="left" vertical="center"/>
    </xf>
    <xf numFmtId="0" fontId="44" fillId="0" borderId="1" xfId="0" applyFont="1" applyBorder="1" applyAlignment="1" applyProtection="1">
      <alignment horizontal="left" vertical="top"/>
    </xf>
  </cellXfs>
  <cellStyles count="10">
    <cellStyle name="Excel Built-in Normal" xfId="9"/>
    <cellStyle name="Hypertextový odkaz" xfId="1" builtinId="8"/>
    <cellStyle name="Měna 2" xfId="5"/>
    <cellStyle name="měny_MV-PR-0338#00-5% a 19%" xfId="6"/>
    <cellStyle name="Normální" xfId="0" builtinId="0" customBuiltin="1"/>
    <cellStyle name="Normální 2" xfId="2"/>
    <cellStyle name="Normální 3" xfId="3"/>
    <cellStyle name="Normální 4" xfId="4"/>
    <cellStyle name="Normální 6" xfId="8"/>
    <cellStyle name="normální_MV-PR-0338#00-5% a 19%" xfId="7"/>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1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ACE\Praha%201%20-%20&#218;&#345;ad%20vl&#225;dy%20&#268;R\_CD%20p&#345;ed%20V&#344;\R.%20Rozpo&#269;et\profese\NS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PRACE\Praha%201%20-%20&#218;&#345;ad%20vl&#225;dy%20&#268;R\_CD%20p&#345;ed%20V&#344;\R.%20Rozpo&#269;et\profese\PZ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RACE\Praha%201%20-%20&#218;&#345;ad%20vl&#225;dy%20&#268;R\_CD%20p&#345;ed%20V&#344;\R.%20Rozpo&#269;et\profese\SL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RACE\Praha%201%20-%20&#218;&#345;ad%20vl&#225;dy%20&#268;R\_CD%20p&#345;ed%20V&#344;\R.%20Rozpo&#269;et\profese\EP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CM77"/>
  <sheetViews>
    <sheetView showGridLines="0" tabSelected="1" workbookViewId="0">
      <selection activeCell="AN72" sqref="AN72:AP72"/>
    </sheetView>
  </sheetViews>
  <sheetFormatPr defaultRowHeight="11.25"/>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c r="A1" s="395" t="s">
        <v>0</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Z1" s="18" t="s">
        <v>1</v>
      </c>
      <c r="BA1" s="18" t="s">
        <v>2</v>
      </c>
      <c r="BB1" s="18" t="s">
        <v>3</v>
      </c>
      <c r="BT1" s="18" t="s">
        <v>4</v>
      </c>
      <c r="BU1" s="18" t="s">
        <v>4</v>
      </c>
      <c r="BV1" s="18" t="s">
        <v>5</v>
      </c>
    </row>
    <row r="2" spans="1:74" s="1" customFormat="1" ht="36.950000000000003" customHeight="1">
      <c r="A2" s="61"/>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2"/>
      <c r="AR2" s="705" t="s">
        <v>6</v>
      </c>
      <c r="AS2" s="706"/>
      <c r="AT2" s="706"/>
      <c r="AU2" s="706"/>
      <c r="AV2" s="706"/>
      <c r="AW2" s="706"/>
      <c r="AX2" s="706"/>
      <c r="AY2" s="706"/>
      <c r="AZ2" s="706"/>
      <c r="BA2" s="706"/>
      <c r="BB2" s="706"/>
      <c r="BC2" s="706"/>
      <c r="BD2" s="706"/>
      <c r="BE2" s="706"/>
      <c r="BS2" s="19" t="s">
        <v>7</v>
      </c>
      <c r="BT2" s="19" t="s">
        <v>8</v>
      </c>
    </row>
    <row r="3" spans="1:74" s="1" customFormat="1" ht="6.95" customHeight="1">
      <c r="A3" s="61"/>
      <c r="B3" s="263"/>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0"/>
      <c r="BS3" s="19" t="s">
        <v>7</v>
      </c>
      <c r="BT3" s="19" t="s">
        <v>9</v>
      </c>
    </row>
    <row r="4" spans="1:74" s="1" customFormat="1" ht="24.95" customHeight="1">
      <c r="A4" s="61"/>
      <c r="B4" s="265"/>
      <c r="C4" s="652"/>
      <c r="D4" s="266" t="s">
        <v>10</v>
      </c>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20"/>
      <c r="AS4" s="21" t="s">
        <v>11</v>
      </c>
      <c r="BS4" s="19" t="s">
        <v>12</v>
      </c>
    </row>
    <row r="5" spans="1:74" s="1" customFormat="1" ht="12" customHeight="1">
      <c r="A5" s="61"/>
      <c r="B5" s="265"/>
      <c r="C5" s="652"/>
      <c r="D5" s="396" t="s">
        <v>13</v>
      </c>
      <c r="E5" s="652"/>
      <c r="F5" s="652"/>
      <c r="G5" s="652"/>
      <c r="H5" s="652"/>
      <c r="I5" s="652"/>
      <c r="J5" s="652"/>
      <c r="K5" s="714" t="s">
        <v>14</v>
      </c>
      <c r="L5" s="715"/>
      <c r="M5" s="715"/>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652"/>
      <c r="AQ5" s="652"/>
      <c r="AR5" s="20"/>
      <c r="BS5" s="19" t="s">
        <v>7</v>
      </c>
    </row>
    <row r="6" spans="1:74" s="1" customFormat="1" ht="36.950000000000003" customHeight="1">
      <c r="A6" s="61"/>
      <c r="B6" s="265"/>
      <c r="C6" s="652"/>
      <c r="D6" s="397" t="s">
        <v>15</v>
      </c>
      <c r="E6" s="652"/>
      <c r="F6" s="652"/>
      <c r="G6" s="652"/>
      <c r="H6" s="652"/>
      <c r="I6" s="652"/>
      <c r="J6" s="652"/>
      <c r="K6" s="716" t="s">
        <v>16</v>
      </c>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652"/>
      <c r="AQ6" s="652"/>
      <c r="AR6" s="20"/>
      <c r="BS6" s="19" t="s">
        <v>7</v>
      </c>
    </row>
    <row r="7" spans="1:74" s="1" customFormat="1" ht="12" customHeight="1">
      <c r="A7" s="61"/>
      <c r="B7" s="265"/>
      <c r="C7" s="652"/>
      <c r="D7" s="663" t="s">
        <v>17</v>
      </c>
      <c r="E7" s="652"/>
      <c r="F7" s="652"/>
      <c r="G7" s="652"/>
      <c r="H7" s="652"/>
      <c r="I7" s="652"/>
      <c r="J7" s="652"/>
      <c r="K7" s="651" t="s">
        <v>3</v>
      </c>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63" t="s">
        <v>18</v>
      </c>
      <c r="AL7" s="652"/>
      <c r="AM7" s="652"/>
      <c r="AN7" s="651" t="s">
        <v>3</v>
      </c>
      <c r="AO7" s="652"/>
      <c r="AP7" s="652"/>
      <c r="AQ7" s="652"/>
      <c r="AR7" s="20"/>
      <c r="BS7" s="19" t="s">
        <v>7</v>
      </c>
    </row>
    <row r="8" spans="1:74" s="1" customFormat="1" ht="12" customHeight="1">
      <c r="A8" s="61"/>
      <c r="B8" s="265"/>
      <c r="C8" s="652"/>
      <c r="D8" s="663" t="s">
        <v>19</v>
      </c>
      <c r="E8" s="652"/>
      <c r="F8" s="652"/>
      <c r="G8" s="652"/>
      <c r="H8" s="652"/>
      <c r="I8" s="652"/>
      <c r="J8" s="652"/>
      <c r="K8" s="651" t="s">
        <v>20</v>
      </c>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63" t="s">
        <v>21</v>
      </c>
      <c r="AL8" s="652"/>
      <c r="AM8" s="652"/>
      <c r="AN8" s="398">
        <v>44077</v>
      </c>
      <c r="AO8" s="652"/>
      <c r="AP8" s="652"/>
      <c r="AQ8" s="652"/>
      <c r="AR8" s="20"/>
      <c r="BS8" s="19" t="s">
        <v>7</v>
      </c>
    </row>
    <row r="9" spans="1:74" s="1" customFormat="1" ht="14.45" customHeight="1">
      <c r="A9" s="61"/>
      <c r="B9" s="265"/>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20"/>
      <c r="BS9" s="19" t="s">
        <v>7</v>
      </c>
    </row>
    <row r="10" spans="1:74" s="1" customFormat="1" ht="12" customHeight="1">
      <c r="A10" s="61"/>
      <c r="B10" s="265"/>
      <c r="C10" s="652"/>
      <c r="D10" s="663" t="s">
        <v>22</v>
      </c>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63" t="s">
        <v>23</v>
      </c>
      <c r="AL10" s="652"/>
      <c r="AM10" s="652"/>
      <c r="AN10" s="651" t="s">
        <v>3</v>
      </c>
      <c r="AO10" s="652"/>
      <c r="AP10" s="652"/>
      <c r="AQ10" s="652"/>
      <c r="AR10" s="20"/>
      <c r="BS10" s="19" t="s">
        <v>7</v>
      </c>
    </row>
    <row r="11" spans="1:74" s="1" customFormat="1" ht="18.399999999999999" customHeight="1">
      <c r="A11" s="61"/>
      <c r="B11" s="265"/>
      <c r="C11" s="652"/>
      <c r="D11" s="652"/>
      <c r="E11" s="651" t="s">
        <v>24</v>
      </c>
      <c r="F11" s="652"/>
      <c r="G11" s="652"/>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63" t="s">
        <v>25</v>
      </c>
      <c r="AL11" s="652"/>
      <c r="AM11" s="652"/>
      <c r="AN11" s="651" t="s">
        <v>3</v>
      </c>
      <c r="AO11" s="652"/>
      <c r="AP11" s="652"/>
      <c r="AQ11" s="652"/>
      <c r="AR11" s="20"/>
      <c r="BS11" s="19" t="s">
        <v>7</v>
      </c>
    </row>
    <row r="12" spans="1:74" s="1" customFormat="1" ht="6.95" customHeight="1">
      <c r="A12" s="61"/>
      <c r="B12" s="265"/>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2"/>
      <c r="AR12" s="20"/>
      <c r="BS12" s="19" t="s">
        <v>7</v>
      </c>
    </row>
    <row r="13" spans="1:74" s="1" customFormat="1" ht="12" customHeight="1">
      <c r="A13" s="61"/>
      <c r="B13" s="265"/>
      <c r="C13" s="652"/>
      <c r="D13" s="663" t="s">
        <v>26</v>
      </c>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63" t="s">
        <v>23</v>
      </c>
      <c r="AL13" s="652"/>
      <c r="AM13" s="652"/>
      <c r="AN13" s="651" t="s">
        <v>3</v>
      </c>
      <c r="AO13" s="652"/>
      <c r="AP13" s="652"/>
      <c r="AQ13" s="652"/>
      <c r="AR13" s="20"/>
      <c r="BS13" s="19" t="s">
        <v>7</v>
      </c>
    </row>
    <row r="14" spans="1:74" ht="12.75">
      <c r="A14" s="61"/>
      <c r="B14" s="265"/>
      <c r="C14" s="652"/>
      <c r="D14" s="652"/>
      <c r="E14" s="651" t="s">
        <v>27</v>
      </c>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63" t="s">
        <v>25</v>
      </c>
      <c r="AL14" s="652"/>
      <c r="AM14" s="652"/>
      <c r="AN14" s="651" t="s">
        <v>3</v>
      </c>
      <c r="AO14" s="652"/>
      <c r="AP14" s="652"/>
      <c r="AQ14" s="652"/>
      <c r="AR14" s="20"/>
      <c r="BS14" s="19" t="s">
        <v>7</v>
      </c>
    </row>
    <row r="15" spans="1:74" s="1" customFormat="1" ht="6.95" customHeight="1">
      <c r="A15" s="61"/>
      <c r="B15" s="265"/>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20"/>
      <c r="BS15" s="19" t="s">
        <v>4</v>
      </c>
    </row>
    <row r="16" spans="1:74" s="1" customFormat="1" ht="12" customHeight="1">
      <c r="A16" s="61"/>
      <c r="B16" s="265"/>
      <c r="C16" s="652"/>
      <c r="D16" s="663" t="s">
        <v>28</v>
      </c>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63" t="s">
        <v>23</v>
      </c>
      <c r="AL16" s="652"/>
      <c r="AM16" s="652"/>
      <c r="AN16" s="651" t="s">
        <v>3</v>
      </c>
      <c r="AO16" s="652"/>
      <c r="AP16" s="652"/>
      <c r="AQ16" s="652"/>
      <c r="AR16" s="20"/>
      <c r="BS16" s="19" t="s">
        <v>4</v>
      </c>
    </row>
    <row r="17" spans="1:71" s="1" customFormat="1" ht="18.399999999999999" customHeight="1">
      <c r="A17" s="61"/>
      <c r="B17" s="265"/>
      <c r="C17" s="652"/>
      <c r="D17" s="652"/>
      <c r="E17" s="651" t="s">
        <v>29</v>
      </c>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63" t="s">
        <v>25</v>
      </c>
      <c r="AL17" s="652"/>
      <c r="AM17" s="652"/>
      <c r="AN17" s="651" t="s">
        <v>3</v>
      </c>
      <c r="AO17" s="652"/>
      <c r="AP17" s="652"/>
      <c r="AQ17" s="652"/>
      <c r="AR17" s="20"/>
      <c r="BS17" s="19" t="s">
        <v>30</v>
      </c>
    </row>
    <row r="18" spans="1:71" s="1" customFormat="1" ht="6.95" customHeight="1">
      <c r="A18" s="61"/>
      <c r="B18" s="265"/>
      <c r="C18" s="652"/>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652"/>
      <c r="AN18" s="652"/>
      <c r="AO18" s="652"/>
      <c r="AP18" s="652"/>
      <c r="AQ18" s="652"/>
      <c r="AR18" s="20"/>
      <c r="BS18" s="19" t="s">
        <v>7</v>
      </c>
    </row>
    <row r="19" spans="1:71" s="1" customFormat="1" ht="12" customHeight="1">
      <c r="A19" s="61"/>
      <c r="B19" s="265"/>
      <c r="C19" s="652"/>
      <c r="D19" s="663" t="s">
        <v>31</v>
      </c>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63" t="s">
        <v>23</v>
      </c>
      <c r="AL19" s="652"/>
      <c r="AM19" s="652"/>
      <c r="AN19" s="651" t="s">
        <v>3</v>
      </c>
      <c r="AO19" s="652"/>
      <c r="AP19" s="652"/>
      <c r="AQ19" s="652"/>
      <c r="AR19" s="20"/>
      <c r="BS19" s="19" t="s">
        <v>7</v>
      </c>
    </row>
    <row r="20" spans="1:71" s="1" customFormat="1" ht="18.399999999999999" customHeight="1">
      <c r="A20" s="61"/>
      <c r="B20" s="265"/>
      <c r="C20" s="652"/>
      <c r="D20" s="652"/>
      <c r="E20" s="651" t="s">
        <v>29</v>
      </c>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63" t="s">
        <v>25</v>
      </c>
      <c r="AL20" s="652"/>
      <c r="AM20" s="652"/>
      <c r="AN20" s="651" t="s">
        <v>3</v>
      </c>
      <c r="AO20" s="652"/>
      <c r="AP20" s="652"/>
      <c r="AQ20" s="652"/>
      <c r="AR20" s="20"/>
      <c r="BS20" s="19" t="s">
        <v>4</v>
      </c>
    </row>
    <row r="21" spans="1:71" s="1" customFormat="1" ht="6.95" customHeight="1">
      <c r="A21" s="61"/>
      <c r="B21" s="265"/>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c r="AQ21" s="652"/>
      <c r="AR21" s="20"/>
    </row>
    <row r="22" spans="1:71" s="1" customFormat="1" ht="12" customHeight="1">
      <c r="A22" s="61"/>
      <c r="B22" s="265"/>
      <c r="C22" s="652"/>
      <c r="D22" s="663" t="s">
        <v>32</v>
      </c>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20"/>
    </row>
    <row r="23" spans="1:71" s="1" customFormat="1" ht="60" customHeight="1">
      <c r="A23" s="61"/>
      <c r="B23" s="265"/>
      <c r="C23" s="652"/>
      <c r="D23" s="652"/>
      <c r="E23" s="707" t="s">
        <v>33</v>
      </c>
      <c r="F23" s="707"/>
      <c r="G23" s="707"/>
      <c r="H23" s="707"/>
      <c r="I23" s="707"/>
      <c r="J23" s="707"/>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7"/>
      <c r="AO23" s="652"/>
      <c r="AP23" s="652"/>
      <c r="AQ23" s="652"/>
      <c r="AR23" s="20"/>
    </row>
    <row r="24" spans="1:71" s="1" customFormat="1" ht="6.95" customHeight="1">
      <c r="A24" s="61"/>
      <c r="B24" s="265"/>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20"/>
    </row>
    <row r="25" spans="1:71" s="1" customFormat="1" ht="6.95" customHeight="1">
      <c r="A25" s="61"/>
      <c r="B25" s="265"/>
      <c r="C25" s="652"/>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652"/>
      <c r="AQ25" s="652"/>
      <c r="AR25" s="20"/>
    </row>
    <row r="26" spans="1:71" s="2" customFormat="1" ht="25.9" customHeight="1">
      <c r="A26" s="271"/>
      <c r="B26" s="270"/>
      <c r="C26" s="662"/>
      <c r="D26" s="400" t="s">
        <v>34</v>
      </c>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708">
        <f>ROUND(AG54,2)</f>
        <v>0</v>
      </c>
      <c r="AL26" s="709"/>
      <c r="AM26" s="709"/>
      <c r="AN26" s="709"/>
      <c r="AO26" s="709"/>
      <c r="AP26" s="662"/>
      <c r="AQ26" s="662"/>
      <c r="AR26" s="24"/>
      <c r="BE26" s="23"/>
    </row>
    <row r="27" spans="1:71" s="2" customFormat="1" ht="6.95" customHeight="1">
      <c r="A27" s="271"/>
      <c r="B27" s="270"/>
      <c r="C27" s="662"/>
      <c r="D27" s="662"/>
      <c r="E27" s="662"/>
      <c r="F27" s="662"/>
      <c r="G27" s="662"/>
      <c r="H27" s="662"/>
      <c r="I27" s="662"/>
      <c r="J27" s="662"/>
      <c r="K27" s="662"/>
      <c r="L27" s="662"/>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662"/>
      <c r="AM27" s="662"/>
      <c r="AN27" s="662"/>
      <c r="AO27" s="662"/>
      <c r="AP27" s="662"/>
      <c r="AQ27" s="662"/>
      <c r="AR27" s="24"/>
      <c r="BE27" s="23"/>
    </row>
    <row r="28" spans="1:71" s="2" customFormat="1" ht="12.75">
      <c r="A28" s="271"/>
      <c r="B28" s="270"/>
      <c r="C28" s="662"/>
      <c r="D28" s="662"/>
      <c r="E28" s="662"/>
      <c r="F28" s="662"/>
      <c r="G28" s="662"/>
      <c r="H28" s="662"/>
      <c r="I28" s="662"/>
      <c r="J28" s="662"/>
      <c r="K28" s="662"/>
      <c r="L28" s="710" t="s">
        <v>35</v>
      </c>
      <c r="M28" s="710"/>
      <c r="N28" s="710"/>
      <c r="O28" s="710"/>
      <c r="P28" s="710"/>
      <c r="Q28" s="662"/>
      <c r="R28" s="662"/>
      <c r="S28" s="662"/>
      <c r="T28" s="662"/>
      <c r="U28" s="662"/>
      <c r="V28" s="662"/>
      <c r="W28" s="710" t="s">
        <v>36</v>
      </c>
      <c r="X28" s="710"/>
      <c r="Y28" s="710"/>
      <c r="Z28" s="710"/>
      <c r="AA28" s="710"/>
      <c r="AB28" s="710"/>
      <c r="AC28" s="710"/>
      <c r="AD28" s="710"/>
      <c r="AE28" s="710"/>
      <c r="AF28" s="662"/>
      <c r="AG28" s="662"/>
      <c r="AH28" s="662"/>
      <c r="AI28" s="662"/>
      <c r="AJ28" s="662"/>
      <c r="AK28" s="710" t="s">
        <v>37</v>
      </c>
      <c r="AL28" s="710"/>
      <c r="AM28" s="710"/>
      <c r="AN28" s="710"/>
      <c r="AO28" s="710"/>
      <c r="AP28" s="662"/>
      <c r="AQ28" s="662"/>
      <c r="AR28" s="24"/>
      <c r="BE28" s="23"/>
    </row>
    <row r="29" spans="1:71" s="3" customFormat="1" ht="14.45" customHeight="1">
      <c r="A29" s="401"/>
      <c r="B29" s="402"/>
      <c r="C29" s="653"/>
      <c r="D29" s="663" t="s">
        <v>38</v>
      </c>
      <c r="E29" s="653"/>
      <c r="F29" s="663" t="s">
        <v>39</v>
      </c>
      <c r="G29" s="653"/>
      <c r="H29" s="653"/>
      <c r="I29" s="653"/>
      <c r="J29" s="653"/>
      <c r="K29" s="653"/>
      <c r="L29" s="713">
        <v>0.21</v>
      </c>
      <c r="M29" s="712"/>
      <c r="N29" s="712"/>
      <c r="O29" s="712"/>
      <c r="P29" s="712"/>
      <c r="Q29" s="653"/>
      <c r="R29" s="653"/>
      <c r="S29" s="653"/>
      <c r="T29" s="653"/>
      <c r="U29" s="653"/>
      <c r="V29" s="653"/>
      <c r="W29" s="711">
        <f>ROUND(AZ54, 2)</f>
        <v>0</v>
      </c>
      <c r="X29" s="712"/>
      <c r="Y29" s="712"/>
      <c r="Z29" s="712"/>
      <c r="AA29" s="712"/>
      <c r="AB29" s="712"/>
      <c r="AC29" s="712"/>
      <c r="AD29" s="712"/>
      <c r="AE29" s="712"/>
      <c r="AF29" s="653"/>
      <c r="AG29" s="653"/>
      <c r="AH29" s="653"/>
      <c r="AI29" s="653"/>
      <c r="AJ29" s="653"/>
      <c r="AK29" s="711">
        <f>ROUND(AV54, 2)</f>
        <v>0</v>
      </c>
      <c r="AL29" s="712"/>
      <c r="AM29" s="712"/>
      <c r="AN29" s="712"/>
      <c r="AO29" s="712"/>
      <c r="AP29" s="653"/>
      <c r="AQ29" s="653"/>
      <c r="AR29" s="25"/>
    </row>
    <row r="30" spans="1:71" s="3" customFormat="1" ht="14.45" customHeight="1">
      <c r="A30" s="401"/>
      <c r="B30" s="402"/>
      <c r="C30" s="653"/>
      <c r="D30" s="653"/>
      <c r="E30" s="653"/>
      <c r="F30" s="663" t="s">
        <v>40</v>
      </c>
      <c r="G30" s="653"/>
      <c r="H30" s="653"/>
      <c r="I30" s="653"/>
      <c r="J30" s="653"/>
      <c r="K30" s="653"/>
      <c r="L30" s="713">
        <v>0.15</v>
      </c>
      <c r="M30" s="712"/>
      <c r="N30" s="712"/>
      <c r="O30" s="712"/>
      <c r="P30" s="712"/>
      <c r="Q30" s="653"/>
      <c r="R30" s="653"/>
      <c r="S30" s="653"/>
      <c r="T30" s="653"/>
      <c r="U30" s="653"/>
      <c r="V30" s="653"/>
      <c r="W30" s="711">
        <f>ROUND(BA54, 2)</f>
        <v>0</v>
      </c>
      <c r="X30" s="712"/>
      <c r="Y30" s="712"/>
      <c r="Z30" s="712"/>
      <c r="AA30" s="712"/>
      <c r="AB30" s="712"/>
      <c r="AC30" s="712"/>
      <c r="AD30" s="712"/>
      <c r="AE30" s="712"/>
      <c r="AF30" s="653"/>
      <c r="AG30" s="653"/>
      <c r="AH30" s="653"/>
      <c r="AI30" s="653"/>
      <c r="AJ30" s="653"/>
      <c r="AK30" s="711">
        <f>ROUND(AW54, 2)</f>
        <v>0</v>
      </c>
      <c r="AL30" s="712"/>
      <c r="AM30" s="712"/>
      <c r="AN30" s="712"/>
      <c r="AO30" s="712"/>
      <c r="AP30" s="653"/>
      <c r="AQ30" s="653"/>
      <c r="AR30" s="25"/>
    </row>
    <row r="31" spans="1:71" s="3" customFormat="1" ht="14.45" hidden="1" customHeight="1">
      <c r="A31" s="401"/>
      <c r="B31" s="402"/>
      <c r="C31" s="653"/>
      <c r="D31" s="653"/>
      <c r="E31" s="653"/>
      <c r="F31" s="663" t="s">
        <v>41</v>
      </c>
      <c r="G31" s="653"/>
      <c r="H31" s="653"/>
      <c r="I31" s="653"/>
      <c r="J31" s="653"/>
      <c r="K31" s="653"/>
      <c r="L31" s="713">
        <v>0.21</v>
      </c>
      <c r="M31" s="712"/>
      <c r="N31" s="712"/>
      <c r="O31" s="712"/>
      <c r="P31" s="712"/>
      <c r="Q31" s="653"/>
      <c r="R31" s="653"/>
      <c r="S31" s="653"/>
      <c r="T31" s="653"/>
      <c r="U31" s="653"/>
      <c r="V31" s="653"/>
      <c r="W31" s="711">
        <f>ROUND(BB54, 2)</f>
        <v>0</v>
      </c>
      <c r="X31" s="712"/>
      <c r="Y31" s="712"/>
      <c r="Z31" s="712"/>
      <c r="AA31" s="712"/>
      <c r="AB31" s="712"/>
      <c r="AC31" s="712"/>
      <c r="AD31" s="712"/>
      <c r="AE31" s="712"/>
      <c r="AF31" s="653"/>
      <c r="AG31" s="653"/>
      <c r="AH31" s="653"/>
      <c r="AI31" s="653"/>
      <c r="AJ31" s="653"/>
      <c r="AK31" s="711">
        <v>0</v>
      </c>
      <c r="AL31" s="712"/>
      <c r="AM31" s="712"/>
      <c r="AN31" s="712"/>
      <c r="AO31" s="712"/>
      <c r="AP31" s="653"/>
      <c r="AQ31" s="653"/>
      <c r="AR31" s="25"/>
    </row>
    <row r="32" spans="1:71" s="3" customFormat="1" ht="14.45" hidden="1" customHeight="1">
      <c r="A32" s="401"/>
      <c r="B32" s="402"/>
      <c r="C32" s="653"/>
      <c r="D32" s="653"/>
      <c r="E32" s="653"/>
      <c r="F32" s="663" t="s">
        <v>42</v>
      </c>
      <c r="G32" s="653"/>
      <c r="H32" s="653"/>
      <c r="I32" s="653"/>
      <c r="J32" s="653"/>
      <c r="K32" s="653"/>
      <c r="L32" s="713">
        <v>0.15</v>
      </c>
      <c r="M32" s="712"/>
      <c r="N32" s="712"/>
      <c r="O32" s="712"/>
      <c r="P32" s="712"/>
      <c r="Q32" s="653"/>
      <c r="R32" s="653"/>
      <c r="S32" s="653"/>
      <c r="T32" s="653"/>
      <c r="U32" s="653"/>
      <c r="V32" s="653"/>
      <c r="W32" s="711">
        <f>ROUND(BC54, 2)</f>
        <v>0</v>
      </c>
      <c r="X32" s="712"/>
      <c r="Y32" s="712"/>
      <c r="Z32" s="712"/>
      <c r="AA32" s="712"/>
      <c r="AB32" s="712"/>
      <c r="AC32" s="712"/>
      <c r="AD32" s="712"/>
      <c r="AE32" s="712"/>
      <c r="AF32" s="653"/>
      <c r="AG32" s="653"/>
      <c r="AH32" s="653"/>
      <c r="AI32" s="653"/>
      <c r="AJ32" s="653"/>
      <c r="AK32" s="711">
        <v>0</v>
      </c>
      <c r="AL32" s="712"/>
      <c r="AM32" s="712"/>
      <c r="AN32" s="712"/>
      <c r="AO32" s="712"/>
      <c r="AP32" s="653"/>
      <c r="AQ32" s="653"/>
      <c r="AR32" s="25"/>
    </row>
    <row r="33" spans="1:57" s="3" customFormat="1" ht="14.45" hidden="1" customHeight="1">
      <c r="A33" s="401"/>
      <c r="B33" s="402"/>
      <c r="C33" s="653"/>
      <c r="D33" s="653"/>
      <c r="E33" s="653"/>
      <c r="F33" s="663" t="s">
        <v>43</v>
      </c>
      <c r="G33" s="653"/>
      <c r="H33" s="653"/>
      <c r="I33" s="653"/>
      <c r="J33" s="653"/>
      <c r="K33" s="653"/>
      <c r="L33" s="713">
        <v>0</v>
      </c>
      <c r="M33" s="712"/>
      <c r="N33" s="712"/>
      <c r="O33" s="712"/>
      <c r="P33" s="712"/>
      <c r="Q33" s="653"/>
      <c r="R33" s="653"/>
      <c r="S33" s="653"/>
      <c r="T33" s="653"/>
      <c r="U33" s="653"/>
      <c r="V33" s="653"/>
      <c r="W33" s="711">
        <f>ROUND(BD54, 2)</f>
        <v>0</v>
      </c>
      <c r="X33" s="712"/>
      <c r="Y33" s="712"/>
      <c r="Z33" s="712"/>
      <c r="AA33" s="712"/>
      <c r="AB33" s="712"/>
      <c r="AC33" s="712"/>
      <c r="AD33" s="712"/>
      <c r="AE33" s="712"/>
      <c r="AF33" s="653"/>
      <c r="AG33" s="653"/>
      <c r="AH33" s="653"/>
      <c r="AI33" s="653"/>
      <c r="AJ33" s="653"/>
      <c r="AK33" s="711">
        <v>0</v>
      </c>
      <c r="AL33" s="712"/>
      <c r="AM33" s="712"/>
      <c r="AN33" s="712"/>
      <c r="AO33" s="712"/>
      <c r="AP33" s="653"/>
      <c r="AQ33" s="653"/>
      <c r="AR33" s="25"/>
    </row>
    <row r="34" spans="1:57" s="2" customFormat="1" ht="6.95" customHeight="1">
      <c r="A34" s="271"/>
      <c r="B34" s="270"/>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24"/>
      <c r="BE34" s="23"/>
    </row>
    <row r="35" spans="1:57" s="2" customFormat="1" ht="25.9" customHeight="1">
      <c r="A35" s="271"/>
      <c r="B35" s="270"/>
      <c r="C35" s="403"/>
      <c r="D35" s="404" t="s">
        <v>44</v>
      </c>
      <c r="E35" s="654"/>
      <c r="F35" s="654"/>
      <c r="G35" s="654"/>
      <c r="H35" s="654"/>
      <c r="I35" s="654"/>
      <c r="J35" s="654"/>
      <c r="K35" s="654"/>
      <c r="L35" s="654"/>
      <c r="M35" s="654"/>
      <c r="N35" s="654"/>
      <c r="O35" s="654"/>
      <c r="P35" s="654"/>
      <c r="Q35" s="654"/>
      <c r="R35" s="654"/>
      <c r="S35" s="654"/>
      <c r="T35" s="405" t="s">
        <v>45</v>
      </c>
      <c r="U35" s="654"/>
      <c r="V35" s="654"/>
      <c r="W35" s="654"/>
      <c r="X35" s="717" t="s">
        <v>46</v>
      </c>
      <c r="Y35" s="718"/>
      <c r="Z35" s="718"/>
      <c r="AA35" s="718"/>
      <c r="AB35" s="718"/>
      <c r="AC35" s="654"/>
      <c r="AD35" s="654"/>
      <c r="AE35" s="654"/>
      <c r="AF35" s="654"/>
      <c r="AG35" s="654"/>
      <c r="AH35" s="654"/>
      <c r="AI35" s="654"/>
      <c r="AJ35" s="654"/>
      <c r="AK35" s="719">
        <f>SUM(AK26:AK33)</f>
        <v>0</v>
      </c>
      <c r="AL35" s="718"/>
      <c r="AM35" s="718"/>
      <c r="AN35" s="718"/>
      <c r="AO35" s="720"/>
      <c r="AP35" s="403"/>
      <c r="AQ35" s="403"/>
      <c r="AR35" s="24"/>
      <c r="BE35" s="23"/>
    </row>
    <row r="36" spans="1:57" s="2" customFormat="1" ht="6.95" customHeight="1">
      <c r="A36" s="271"/>
      <c r="B36" s="270"/>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62"/>
      <c r="AJ36" s="662"/>
      <c r="AK36" s="662"/>
      <c r="AL36" s="662"/>
      <c r="AM36" s="662"/>
      <c r="AN36" s="662"/>
      <c r="AO36" s="662"/>
      <c r="AP36" s="662"/>
      <c r="AQ36" s="662"/>
      <c r="AR36" s="24"/>
      <c r="BE36" s="23"/>
    </row>
    <row r="37" spans="1:57" s="2" customFormat="1" ht="6.95" customHeight="1">
      <c r="A37" s="271"/>
      <c r="B37" s="286"/>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4"/>
      <c r="BE37" s="23"/>
    </row>
    <row r="38" spans="1:57">
      <c r="A38" s="61"/>
      <c r="B38" s="652"/>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row>
    <row r="39" spans="1:57">
      <c r="A39" s="61"/>
      <c r="B39" s="652"/>
      <c r="C39" s="652"/>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row>
    <row r="40" spans="1:57">
      <c r="A40" s="61"/>
      <c r="B40" s="652"/>
      <c r="C40" s="652"/>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2"/>
      <c r="AL40" s="652"/>
      <c r="AM40" s="652"/>
      <c r="AN40" s="652"/>
      <c r="AO40" s="652"/>
      <c r="AP40" s="652"/>
      <c r="AQ40" s="652"/>
    </row>
    <row r="41" spans="1:57" s="2" customFormat="1" ht="6.95" customHeight="1">
      <c r="A41" s="271"/>
      <c r="B41" s="288"/>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4"/>
      <c r="BE41" s="23"/>
    </row>
    <row r="42" spans="1:57" s="2" customFormat="1" ht="24.95" customHeight="1">
      <c r="A42" s="271"/>
      <c r="B42" s="270"/>
      <c r="C42" s="266" t="s">
        <v>47</v>
      </c>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24"/>
      <c r="BE42" s="23"/>
    </row>
    <row r="43" spans="1:57" s="2" customFormat="1" ht="6.95" customHeight="1">
      <c r="A43" s="271"/>
      <c r="B43" s="270"/>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2"/>
      <c r="AQ43" s="662"/>
      <c r="AR43" s="24"/>
      <c r="BE43" s="23"/>
    </row>
    <row r="44" spans="1:57" s="4" customFormat="1" ht="12" customHeight="1">
      <c r="A44" s="349"/>
      <c r="B44" s="348"/>
      <c r="C44" s="663" t="s">
        <v>13</v>
      </c>
      <c r="D44" s="658"/>
      <c r="E44" s="658"/>
      <c r="F44" s="658"/>
      <c r="G44" s="658"/>
      <c r="H44" s="658"/>
      <c r="I44" s="658"/>
      <c r="J44" s="658"/>
      <c r="K44" s="658"/>
      <c r="L44" s="658" t="str">
        <f>K5</f>
        <v>S-19040</v>
      </c>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28"/>
    </row>
    <row r="45" spans="1:57" s="5" customFormat="1" ht="36.950000000000003" customHeight="1">
      <c r="A45" s="406"/>
      <c r="B45" s="407"/>
      <c r="C45" s="408" t="s">
        <v>15</v>
      </c>
      <c r="D45" s="659"/>
      <c r="E45" s="659"/>
      <c r="F45" s="659"/>
      <c r="G45" s="659"/>
      <c r="H45" s="659"/>
      <c r="I45" s="659"/>
      <c r="J45" s="659"/>
      <c r="K45" s="659"/>
      <c r="L45" s="689" t="str">
        <f>K6</f>
        <v>Úpravy gastroprovozu Úřadu vlády ČR v 1.pp Strakovy akademie</v>
      </c>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59"/>
      <c r="AQ45" s="659"/>
      <c r="AR45" s="29"/>
    </row>
    <row r="46" spans="1:57" s="2" customFormat="1" ht="6.95" customHeight="1">
      <c r="A46" s="271"/>
      <c r="B46" s="270"/>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2"/>
      <c r="AL46" s="662"/>
      <c r="AM46" s="662"/>
      <c r="AN46" s="662"/>
      <c r="AO46" s="662"/>
      <c r="AP46" s="662"/>
      <c r="AQ46" s="662"/>
      <c r="AR46" s="24"/>
      <c r="BE46" s="23"/>
    </row>
    <row r="47" spans="1:57" s="2" customFormat="1" ht="12" customHeight="1">
      <c r="A47" s="271"/>
      <c r="B47" s="270"/>
      <c r="C47" s="663" t="s">
        <v>19</v>
      </c>
      <c r="D47" s="662"/>
      <c r="E47" s="662"/>
      <c r="F47" s="662"/>
      <c r="G47" s="662"/>
      <c r="H47" s="662"/>
      <c r="I47" s="662"/>
      <c r="J47" s="662"/>
      <c r="K47" s="662"/>
      <c r="L47" s="409" t="str">
        <f>IF(K8="","",K8)</f>
        <v xml:space="preserve">Praha </v>
      </c>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3" t="s">
        <v>21</v>
      </c>
      <c r="AJ47" s="662"/>
      <c r="AK47" s="662"/>
      <c r="AL47" s="662"/>
      <c r="AM47" s="691">
        <f>IF(AN8= "","",AN8)</f>
        <v>44077</v>
      </c>
      <c r="AN47" s="691"/>
      <c r="AO47" s="662"/>
      <c r="AP47" s="662"/>
      <c r="AQ47" s="662"/>
      <c r="AR47" s="24"/>
      <c r="BE47" s="23"/>
    </row>
    <row r="48" spans="1:57" s="2" customFormat="1" ht="6.95" customHeight="1">
      <c r="A48" s="271"/>
      <c r="B48" s="270"/>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c r="AR48" s="24"/>
      <c r="BE48" s="23"/>
    </row>
    <row r="49" spans="1:91" s="2" customFormat="1" ht="15.6" customHeight="1">
      <c r="A49" s="271"/>
      <c r="B49" s="270"/>
      <c r="C49" s="663" t="s">
        <v>22</v>
      </c>
      <c r="D49" s="662"/>
      <c r="E49" s="662"/>
      <c r="F49" s="662"/>
      <c r="G49" s="662"/>
      <c r="H49" s="662"/>
      <c r="I49" s="662"/>
      <c r="J49" s="662"/>
      <c r="K49" s="662"/>
      <c r="L49" s="658" t="str">
        <f>IF(E11= "","",E11)</f>
        <v xml:space="preserve">Úřad vlády České republiky </v>
      </c>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3" t="s">
        <v>28</v>
      </c>
      <c r="AJ49" s="662"/>
      <c r="AK49" s="662"/>
      <c r="AL49" s="662"/>
      <c r="AM49" s="696" t="str">
        <f>IF(E17="","",E17)</f>
        <v>Ateliér Simona Group</v>
      </c>
      <c r="AN49" s="697"/>
      <c r="AO49" s="697"/>
      <c r="AP49" s="697"/>
      <c r="AQ49" s="662"/>
      <c r="AR49" s="24"/>
      <c r="AS49" s="698" t="s">
        <v>48</v>
      </c>
      <c r="AT49" s="699"/>
      <c r="AU49" s="30"/>
      <c r="AV49" s="30"/>
      <c r="AW49" s="30"/>
      <c r="AX49" s="30"/>
      <c r="AY49" s="30"/>
      <c r="AZ49" s="30"/>
      <c r="BA49" s="30"/>
      <c r="BB49" s="30"/>
      <c r="BC49" s="30"/>
      <c r="BD49" s="31"/>
      <c r="BE49" s="23"/>
    </row>
    <row r="50" spans="1:91" s="2" customFormat="1" ht="15.6" customHeight="1">
      <c r="A50" s="271"/>
      <c r="B50" s="270"/>
      <c r="C50" s="663" t="s">
        <v>26</v>
      </c>
      <c r="D50" s="662"/>
      <c r="E50" s="662"/>
      <c r="F50" s="662"/>
      <c r="G50" s="662"/>
      <c r="H50" s="662"/>
      <c r="I50" s="662"/>
      <c r="J50" s="662"/>
      <c r="K50" s="662"/>
      <c r="L50" s="658" t="str">
        <f>IF(E14="","",E14)</f>
        <v xml:space="preserve"> </v>
      </c>
      <c r="M50" s="662"/>
      <c r="N50" s="662"/>
      <c r="O50" s="662"/>
      <c r="P50" s="662"/>
      <c r="Q50" s="662"/>
      <c r="R50" s="662"/>
      <c r="S50" s="662"/>
      <c r="T50" s="662"/>
      <c r="U50" s="662"/>
      <c r="V50" s="662"/>
      <c r="W50" s="662"/>
      <c r="X50" s="662"/>
      <c r="Y50" s="662"/>
      <c r="Z50" s="662"/>
      <c r="AA50" s="662"/>
      <c r="AB50" s="662"/>
      <c r="AC50" s="662"/>
      <c r="AD50" s="662"/>
      <c r="AE50" s="662"/>
      <c r="AF50" s="662"/>
      <c r="AG50" s="662"/>
      <c r="AH50" s="662"/>
      <c r="AI50" s="663" t="s">
        <v>31</v>
      </c>
      <c r="AJ50" s="662"/>
      <c r="AK50" s="662"/>
      <c r="AL50" s="662"/>
      <c r="AM50" s="696" t="str">
        <f>IF(E20="","",E20)</f>
        <v>Ateliér Simona Group</v>
      </c>
      <c r="AN50" s="697"/>
      <c r="AO50" s="697"/>
      <c r="AP50" s="697"/>
      <c r="AQ50" s="662"/>
      <c r="AR50" s="24"/>
      <c r="AS50" s="700"/>
      <c r="AT50" s="701"/>
      <c r="AU50" s="32"/>
      <c r="AV50" s="32"/>
      <c r="AW50" s="32"/>
      <c r="AX50" s="32"/>
      <c r="AY50" s="32"/>
      <c r="AZ50" s="32"/>
      <c r="BA50" s="32"/>
      <c r="BB50" s="32"/>
      <c r="BC50" s="32"/>
      <c r="BD50" s="33"/>
      <c r="BE50" s="23"/>
    </row>
    <row r="51" spans="1:91" s="2" customFormat="1" ht="10.9" customHeight="1">
      <c r="A51" s="271"/>
      <c r="B51" s="270"/>
      <c r="C51" s="662"/>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662"/>
      <c r="AM51" s="662"/>
      <c r="AN51" s="662"/>
      <c r="AO51" s="662"/>
      <c r="AP51" s="662"/>
      <c r="AQ51" s="662"/>
      <c r="AR51" s="24"/>
      <c r="AS51" s="700"/>
      <c r="AT51" s="701"/>
      <c r="AU51" s="32"/>
      <c r="AV51" s="32"/>
      <c r="AW51" s="32"/>
      <c r="AX51" s="32"/>
      <c r="AY51" s="32"/>
      <c r="AZ51" s="32"/>
      <c r="BA51" s="32"/>
      <c r="BB51" s="32"/>
      <c r="BC51" s="32"/>
      <c r="BD51" s="33"/>
      <c r="BE51" s="23"/>
    </row>
    <row r="52" spans="1:91" s="2" customFormat="1" ht="29.25" customHeight="1">
      <c r="A52" s="271"/>
      <c r="B52" s="270"/>
      <c r="C52" s="686" t="s">
        <v>49</v>
      </c>
      <c r="D52" s="687"/>
      <c r="E52" s="687"/>
      <c r="F52" s="687"/>
      <c r="G52" s="687"/>
      <c r="H52" s="283"/>
      <c r="I52" s="692" t="s">
        <v>50</v>
      </c>
      <c r="J52" s="687"/>
      <c r="K52" s="687"/>
      <c r="L52" s="687"/>
      <c r="M52" s="687"/>
      <c r="N52" s="687"/>
      <c r="O52" s="687"/>
      <c r="P52" s="687"/>
      <c r="Q52" s="687"/>
      <c r="R52" s="687"/>
      <c r="S52" s="687"/>
      <c r="T52" s="687"/>
      <c r="U52" s="687"/>
      <c r="V52" s="687"/>
      <c r="W52" s="687"/>
      <c r="X52" s="687"/>
      <c r="Y52" s="687"/>
      <c r="Z52" s="687"/>
      <c r="AA52" s="687"/>
      <c r="AB52" s="687"/>
      <c r="AC52" s="687"/>
      <c r="AD52" s="687"/>
      <c r="AE52" s="687"/>
      <c r="AF52" s="687"/>
      <c r="AG52" s="693" t="s">
        <v>51</v>
      </c>
      <c r="AH52" s="687"/>
      <c r="AI52" s="687"/>
      <c r="AJ52" s="687"/>
      <c r="AK52" s="687"/>
      <c r="AL52" s="687"/>
      <c r="AM52" s="687"/>
      <c r="AN52" s="692" t="s">
        <v>52</v>
      </c>
      <c r="AO52" s="687"/>
      <c r="AP52" s="687"/>
      <c r="AQ52" s="350" t="s">
        <v>53</v>
      </c>
      <c r="AR52" s="24"/>
      <c r="AS52" s="34" t="s">
        <v>54</v>
      </c>
      <c r="AT52" s="35" t="s">
        <v>55</v>
      </c>
      <c r="AU52" s="35" t="s">
        <v>56</v>
      </c>
      <c r="AV52" s="35" t="s">
        <v>57</v>
      </c>
      <c r="AW52" s="35" t="s">
        <v>58</v>
      </c>
      <c r="AX52" s="35" t="s">
        <v>59</v>
      </c>
      <c r="AY52" s="35" t="s">
        <v>60</v>
      </c>
      <c r="AZ52" s="35" t="s">
        <v>61</v>
      </c>
      <c r="BA52" s="35" t="s">
        <v>62</v>
      </c>
      <c r="BB52" s="35" t="s">
        <v>63</v>
      </c>
      <c r="BC52" s="35" t="s">
        <v>64</v>
      </c>
      <c r="BD52" s="36" t="s">
        <v>65</v>
      </c>
      <c r="BE52" s="23"/>
    </row>
    <row r="53" spans="1:91" s="2" customFormat="1" ht="10.9" customHeight="1">
      <c r="A53" s="271"/>
      <c r="B53" s="270"/>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L53" s="662"/>
      <c r="AM53" s="662"/>
      <c r="AN53" s="662"/>
      <c r="AO53" s="662"/>
      <c r="AP53" s="662"/>
      <c r="AQ53" s="662"/>
      <c r="AR53" s="24"/>
      <c r="AS53" s="37"/>
      <c r="AT53" s="38"/>
      <c r="AU53" s="38"/>
      <c r="AV53" s="38"/>
      <c r="AW53" s="38"/>
      <c r="AX53" s="38"/>
      <c r="AY53" s="38"/>
      <c r="AZ53" s="38"/>
      <c r="BA53" s="38"/>
      <c r="BB53" s="38"/>
      <c r="BC53" s="38"/>
      <c r="BD53" s="39"/>
      <c r="BE53" s="23"/>
    </row>
    <row r="54" spans="1:91" s="6" customFormat="1" ht="32.450000000000003" customHeight="1">
      <c r="A54" s="343"/>
      <c r="B54" s="344"/>
      <c r="C54" s="243" t="s">
        <v>66</v>
      </c>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704">
        <f>ROUND(AG55+AG57+AG74,2)</f>
        <v>0</v>
      </c>
      <c r="AH54" s="704"/>
      <c r="AI54" s="704"/>
      <c r="AJ54" s="704"/>
      <c r="AK54" s="704"/>
      <c r="AL54" s="704"/>
      <c r="AM54" s="704"/>
      <c r="AN54" s="685">
        <f t="shared" ref="AN54:AN75" si="0">SUM(AG54,AT54)</f>
        <v>0</v>
      </c>
      <c r="AO54" s="685"/>
      <c r="AP54" s="685"/>
      <c r="AQ54" s="351" t="s">
        <v>3</v>
      </c>
      <c r="AR54" s="40"/>
      <c r="AS54" s="41">
        <f>ROUND(AS55+AS57+AS74,2)</f>
        <v>0</v>
      </c>
      <c r="AT54" s="42">
        <f t="shared" ref="AT54:AT75" si="1">ROUND(SUM(AV54:AW54),2)</f>
        <v>0</v>
      </c>
      <c r="AU54" s="43">
        <f>ROUND(AU55+AU57+AU74,5)</f>
        <v>6737.7094299999999</v>
      </c>
      <c r="AV54" s="42">
        <f>ROUND(AZ54*L29,2)</f>
        <v>0</v>
      </c>
      <c r="AW54" s="42">
        <f>ROUND(BA54*L30,2)</f>
        <v>0</v>
      </c>
      <c r="AX54" s="42">
        <f>ROUND(BB54*L29,2)</f>
        <v>0</v>
      </c>
      <c r="AY54" s="42">
        <f>ROUND(BC54*L30,2)</f>
        <v>0</v>
      </c>
      <c r="AZ54" s="42">
        <f>ROUND(AZ55+AZ57+AZ74,2)</f>
        <v>0</v>
      </c>
      <c r="BA54" s="42">
        <f>ROUND(BA55+BA57+BA74,2)</f>
        <v>0</v>
      </c>
      <c r="BB54" s="42">
        <f>ROUND(BB55+BB57+BB74,2)</f>
        <v>0</v>
      </c>
      <c r="BC54" s="42">
        <f>ROUND(BC55+BC57+BC74,2)</f>
        <v>0</v>
      </c>
      <c r="BD54" s="44">
        <f>ROUND(BD55+BD57+BD74,2)</f>
        <v>0</v>
      </c>
      <c r="BS54" s="45" t="s">
        <v>67</v>
      </c>
      <c r="BT54" s="45" t="s">
        <v>68</v>
      </c>
      <c r="BU54" s="46" t="s">
        <v>69</v>
      </c>
      <c r="BV54" s="45" t="s">
        <v>70</v>
      </c>
      <c r="BW54" s="45" t="s">
        <v>5</v>
      </c>
      <c r="BX54" s="45" t="s">
        <v>71</v>
      </c>
      <c r="CL54" s="45" t="s">
        <v>3</v>
      </c>
    </row>
    <row r="55" spans="1:91" s="7" customFormat="1" ht="26.45" customHeight="1">
      <c r="A55" s="345"/>
      <c r="B55" s="346"/>
      <c r="C55" s="245"/>
      <c r="D55" s="688" t="s">
        <v>72</v>
      </c>
      <c r="E55" s="688"/>
      <c r="F55" s="688"/>
      <c r="G55" s="688"/>
      <c r="H55" s="688"/>
      <c r="I55" s="650"/>
      <c r="J55" s="688" t="s">
        <v>73</v>
      </c>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702">
        <f>ROUND(AG56,2)</f>
        <v>0</v>
      </c>
      <c r="AH55" s="695"/>
      <c r="AI55" s="695"/>
      <c r="AJ55" s="695"/>
      <c r="AK55" s="695"/>
      <c r="AL55" s="695"/>
      <c r="AM55" s="695"/>
      <c r="AN55" s="694">
        <f t="shared" si="0"/>
        <v>0</v>
      </c>
      <c r="AO55" s="695"/>
      <c r="AP55" s="695"/>
      <c r="AQ55" s="352" t="s">
        <v>74</v>
      </c>
      <c r="AR55" s="47"/>
      <c r="AS55" s="48">
        <f>ROUND(AS56,2)</f>
        <v>0</v>
      </c>
      <c r="AT55" s="49">
        <f t="shared" si="1"/>
        <v>0</v>
      </c>
      <c r="AU55" s="50">
        <f>ROUND(AU56,5)</f>
        <v>6737.7094299999999</v>
      </c>
      <c r="AV55" s="49">
        <f>ROUND(AZ55*L29,2)</f>
        <v>0</v>
      </c>
      <c r="AW55" s="49">
        <f>ROUND(BA55*L30,2)</f>
        <v>0</v>
      </c>
      <c r="AX55" s="49">
        <f>ROUND(BB55*L29,2)</f>
        <v>0</v>
      </c>
      <c r="AY55" s="49">
        <f>ROUND(BC55*L30,2)</f>
        <v>0</v>
      </c>
      <c r="AZ55" s="49">
        <f>ROUND(AZ56,2)</f>
        <v>0</v>
      </c>
      <c r="BA55" s="49">
        <f>ROUND(BA56,2)</f>
        <v>0</v>
      </c>
      <c r="BB55" s="49">
        <f>ROUND(BB56,2)</f>
        <v>0</v>
      </c>
      <c r="BC55" s="49">
        <f>ROUND(BC56,2)</f>
        <v>0</v>
      </c>
      <c r="BD55" s="51">
        <f>ROUND(BD56,2)</f>
        <v>0</v>
      </c>
      <c r="BS55" s="52" t="s">
        <v>67</v>
      </c>
      <c r="BT55" s="52" t="s">
        <v>75</v>
      </c>
      <c r="BU55" s="52" t="s">
        <v>69</v>
      </c>
      <c r="BV55" s="52" t="s">
        <v>70</v>
      </c>
      <c r="BW55" s="52" t="s">
        <v>76</v>
      </c>
      <c r="BX55" s="52" t="s">
        <v>5</v>
      </c>
      <c r="CL55" s="52" t="s">
        <v>3</v>
      </c>
      <c r="CM55" s="52" t="s">
        <v>77</v>
      </c>
    </row>
    <row r="56" spans="1:91" s="4" customFormat="1" ht="36" customHeight="1">
      <c r="A56" s="347" t="s">
        <v>78</v>
      </c>
      <c r="B56" s="348"/>
      <c r="C56" s="649"/>
      <c r="D56" s="649"/>
      <c r="E56" s="682" t="s">
        <v>79</v>
      </c>
      <c r="F56" s="682"/>
      <c r="G56" s="682"/>
      <c r="H56" s="682"/>
      <c r="I56" s="682"/>
      <c r="J56" s="649"/>
      <c r="K56" s="682" t="s">
        <v>80</v>
      </c>
      <c r="L56" s="682"/>
      <c r="M56" s="682"/>
      <c r="N56" s="682"/>
      <c r="O56" s="682"/>
      <c r="P56" s="682"/>
      <c r="Q56" s="682"/>
      <c r="R56" s="682"/>
      <c r="S56" s="682"/>
      <c r="T56" s="682"/>
      <c r="U56" s="682"/>
      <c r="V56" s="682"/>
      <c r="W56" s="682"/>
      <c r="X56" s="682"/>
      <c r="Y56" s="682"/>
      <c r="Z56" s="682"/>
      <c r="AA56" s="682"/>
      <c r="AB56" s="682"/>
      <c r="AC56" s="682"/>
      <c r="AD56" s="682"/>
      <c r="AE56" s="682"/>
      <c r="AF56" s="682"/>
      <c r="AG56" s="683">
        <f>'D.1.1 ASR'!J32</f>
        <v>0</v>
      </c>
      <c r="AH56" s="684"/>
      <c r="AI56" s="684"/>
      <c r="AJ56" s="684"/>
      <c r="AK56" s="684"/>
      <c r="AL56" s="684"/>
      <c r="AM56" s="684"/>
      <c r="AN56" s="683">
        <f t="shared" si="0"/>
        <v>0</v>
      </c>
      <c r="AO56" s="684"/>
      <c r="AP56" s="684"/>
      <c r="AQ56" s="353" t="s">
        <v>81</v>
      </c>
      <c r="AR56" s="28"/>
      <c r="AS56" s="53">
        <v>0</v>
      </c>
      <c r="AT56" s="54">
        <f t="shared" si="1"/>
        <v>0</v>
      </c>
      <c r="AU56" s="55">
        <f>'D.1.1 ASR'!P115</f>
        <v>6737.7094289999995</v>
      </c>
      <c r="AV56" s="54">
        <f>'D.1.1 ASR'!J35</f>
        <v>0</v>
      </c>
      <c r="AW56" s="54">
        <f>'D.1.1 ASR'!J36</f>
        <v>0</v>
      </c>
      <c r="AX56" s="54">
        <f>'D.1.1 ASR'!J37</f>
        <v>0</v>
      </c>
      <c r="AY56" s="54">
        <f>'D.1.1 ASR'!J38</f>
        <v>0</v>
      </c>
      <c r="AZ56" s="54">
        <f>'D.1.1 ASR'!F35</f>
        <v>0</v>
      </c>
      <c r="BA56" s="54">
        <f>'D.1.1 ASR'!F36</f>
        <v>0</v>
      </c>
      <c r="BB56" s="54">
        <f>'D.1.1 ASR'!F37</f>
        <v>0</v>
      </c>
      <c r="BC56" s="54">
        <f>'D.1.1 ASR'!F38</f>
        <v>0</v>
      </c>
      <c r="BD56" s="56">
        <f>'D.1.1 ASR'!F39</f>
        <v>0</v>
      </c>
      <c r="BT56" s="22" t="s">
        <v>77</v>
      </c>
      <c r="BV56" s="22" t="s">
        <v>70</v>
      </c>
      <c r="BW56" s="22" t="s">
        <v>82</v>
      </c>
      <c r="BX56" s="22" t="s">
        <v>76</v>
      </c>
      <c r="CL56" s="22" t="s">
        <v>3</v>
      </c>
    </row>
    <row r="57" spans="1:91" s="7" customFormat="1" ht="14.45" customHeight="1">
      <c r="A57" s="345"/>
      <c r="B57" s="346"/>
      <c r="C57" s="245"/>
      <c r="D57" s="688" t="s">
        <v>83</v>
      </c>
      <c r="E57" s="688"/>
      <c r="F57" s="688"/>
      <c r="G57" s="688"/>
      <c r="H57" s="688"/>
      <c r="I57" s="650"/>
      <c r="J57" s="688" t="s">
        <v>84</v>
      </c>
      <c r="K57" s="688"/>
      <c r="L57" s="688"/>
      <c r="M57" s="688"/>
      <c r="N57" s="688"/>
      <c r="O57" s="688"/>
      <c r="P57" s="688"/>
      <c r="Q57" s="688"/>
      <c r="R57" s="688"/>
      <c r="S57" s="688"/>
      <c r="T57" s="688"/>
      <c r="U57" s="688"/>
      <c r="V57" s="688"/>
      <c r="W57" s="688"/>
      <c r="X57" s="688"/>
      <c r="Y57" s="688"/>
      <c r="Z57" s="688"/>
      <c r="AA57" s="688"/>
      <c r="AB57" s="688"/>
      <c r="AC57" s="688"/>
      <c r="AD57" s="688"/>
      <c r="AE57" s="688"/>
      <c r="AF57" s="688"/>
      <c r="AG57" s="702">
        <f>ROUND(AG58+SUM(AG59:AG61)+AG66+AG67+AG73,2)</f>
        <v>0</v>
      </c>
      <c r="AH57" s="695"/>
      <c r="AI57" s="695"/>
      <c r="AJ57" s="695"/>
      <c r="AK57" s="695"/>
      <c r="AL57" s="695"/>
      <c r="AM57" s="695"/>
      <c r="AN57" s="694">
        <f t="shared" si="0"/>
        <v>0</v>
      </c>
      <c r="AO57" s="695"/>
      <c r="AP57" s="695"/>
      <c r="AQ57" s="352" t="s">
        <v>74</v>
      </c>
      <c r="AR57" s="47"/>
      <c r="AS57" s="48">
        <f>ROUND(AS58+SUM(AS59:AS61)+AS66+AS67+AS73,2)</f>
        <v>0</v>
      </c>
      <c r="AT57" s="49">
        <f t="shared" si="1"/>
        <v>0</v>
      </c>
      <c r="AU57" s="50">
        <f>ROUND(AU58+SUM(AU59:AU61)+AU66+AU67+AU73,5)</f>
        <v>0</v>
      </c>
      <c r="AV57" s="49">
        <f>ROUND(AZ57*L29,2)</f>
        <v>0</v>
      </c>
      <c r="AW57" s="49">
        <f>ROUND(BA57*L30,2)</f>
        <v>0</v>
      </c>
      <c r="AX57" s="49">
        <f>ROUND(BB57*L29,2)</f>
        <v>0</v>
      </c>
      <c r="AY57" s="49">
        <f>ROUND(BC57*L30,2)</f>
        <v>0</v>
      </c>
      <c r="AZ57" s="49">
        <f>ROUND(AZ58+SUM(AZ59:AZ61)+AZ66+AZ67+AZ73,2)</f>
        <v>0</v>
      </c>
      <c r="BA57" s="49">
        <f>ROUND(BA58+SUM(BA59:BA61)+BA66+BA67+BA73,2)</f>
        <v>0</v>
      </c>
      <c r="BB57" s="49">
        <f>ROUND(BB58+SUM(BB59:BB61)+BB66+BB67+BB73,2)</f>
        <v>0</v>
      </c>
      <c r="BC57" s="49">
        <f>ROUND(BC58+SUM(BC59:BC61)+BC66+BC67+BC73,2)</f>
        <v>0</v>
      </c>
      <c r="BD57" s="51">
        <f>ROUND(BD58+SUM(BD59:BD61)+BD66+BD67+BD73,2)</f>
        <v>0</v>
      </c>
      <c r="BS57" s="52" t="s">
        <v>67</v>
      </c>
      <c r="BT57" s="52" t="s">
        <v>75</v>
      </c>
      <c r="BU57" s="52" t="s">
        <v>69</v>
      </c>
      <c r="BV57" s="52" t="s">
        <v>70</v>
      </c>
      <c r="BW57" s="52" t="s">
        <v>85</v>
      </c>
      <c r="BX57" s="52" t="s">
        <v>5</v>
      </c>
      <c r="CL57" s="52" t="s">
        <v>3</v>
      </c>
      <c r="CM57" s="52" t="s">
        <v>77</v>
      </c>
    </row>
    <row r="58" spans="1:91" s="4" customFormat="1" ht="24" customHeight="1">
      <c r="A58" s="347" t="s">
        <v>78</v>
      </c>
      <c r="B58" s="348"/>
      <c r="C58" s="649"/>
      <c r="D58" s="649"/>
      <c r="E58" s="682" t="s">
        <v>86</v>
      </c>
      <c r="F58" s="682"/>
      <c r="G58" s="682"/>
      <c r="H58" s="682"/>
      <c r="I58" s="682"/>
      <c r="J58" s="649"/>
      <c r="K58" s="682" t="s">
        <v>87</v>
      </c>
      <c r="L58" s="682"/>
      <c r="M58" s="682"/>
      <c r="N58" s="682"/>
      <c r="O58" s="682"/>
      <c r="P58" s="682"/>
      <c r="Q58" s="682"/>
      <c r="R58" s="682"/>
      <c r="S58" s="682"/>
      <c r="T58" s="682"/>
      <c r="U58" s="682"/>
      <c r="V58" s="682"/>
      <c r="W58" s="682"/>
      <c r="X58" s="682"/>
      <c r="Y58" s="682"/>
      <c r="Z58" s="682"/>
      <c r="AA58" s="682"/>
      <c r="AB58" s="682"/>
      <c r="AC58" s="682"/>
      <c r="AD58" s="682"/>
      <c r="AE58" s="682"/>
      <c r="AF58" s="682"/>
      <c r="AG58" s="683">
        <f>'D.1.4.01 ZTI'!J32</f>
        <v>0</v>
      </c>
      <c r="AH58" s="684"/>
      <c r="AI58" s="684"/>
      <c r="AJ58" s="684"/>
      <c r="AK58" s="684"/>
      <c r="AL58" s="684"/>
      <c r="AM58" s="684"/>
      <c r="AN58" s="683">
        <f t="shared" si="0"/>
        <v>0</v>
      </c>
      <c r="AO58" s="684"/>
      <c r="AP58" s="684"/>
      <c r="AQ58" s="353" t="s">
        <v>81</v>
      </c>
      <c r="AR58" s="28"/>
      <c r="AS58" s="53">
        <v>0</v>
      </c>
      <c r="AT58" s="54">
        <f t="shared" si="1"/>
        <v>0</v>
      </c>
      <c r="AU58" s="55">
        <f>'D.1.4.01 ZTI'!P87</f>
        <v>0</v>
      </c>
      <c r="AV58" s="54">
        <f>'D.1.4.01 ZTI'!J35</f>
        <v>0</v>
      </c>
      <c r="AW58" s="54">
        <f>'D.1.4.01 ZTI'!J36</f>
        <v>0</v>
      </c>
      <c r="AX58" s="54">
        <f>'D.1.4.01 ZTI'!J37</f>
        <v>0</v>
      </c>
      <c r="AY58" s="54">
        <f>'D.1.4.01 ZTI'!J38</f>
        <v>0</v>
      </c>
      <c r="AZ58" s="54">
        <f>'D.1.4.01 ZTI'!F35</f>
        <v>0</v>
      </c>
      <c r="BA58" s="54">
        <f>'D.1.4.01 ZTI'!F36</f>
        <v>0</v>
      </c>
      <c r="BB58" s="54">
        <f>'D.1.4.01 ZTI'!F37</f>
        <v>0</v>
      </c>
      <c r="BC58" s="54">
        <f>'D.1.4.01 ZTI'!F38</f>
        <v>0</v>
      </c>
      <c r="BD58" s="56">
        <f>'D.1.4.01 ZTI'!F39</f>
        <v>0</v>
      </c>
      <c r="BT58" s="22" t="s">
        <v>77</v>
      </c>
      <c r="BV58" s="22" t="s">
        <v>70</v>
      </c>
      <c r="BW58" s="22" t="s">
        <v>88</v>
      </c>
      <c r="BX58" s="22" t="s">
        <v>85</v>
      </c>
      <c r="CL58" s="22" t="s">
        <v>3</v>
      </c>
    </row>
    <row r="59" spans="1:91" s="4" customFormat="1" ht="24" customHeight="1">
      <c r="A59" s="347" t="s">
        <v>78</v>
      </c>
      <c r="B59" s="348"/>
      <c r="C59" s="649"/>
      <c r="D59" s="649"/>
      <c r="E59" s="682" t="s">
        <v>89</v>
      </c>
      <c r="F59" s="682"/>
      <c r="G59" s="682"/>
      <c r="H59" s="682"/>
      <c r="I59" s="682"/>
      <c r="J59" s="649"/>
      <c r="K59" s="682" t="s">
        <v>90</v>
      </c>
      <c r="L59" s="682"/>
      <c r="M59" s="682"/>
      <c r="N59" s="682"/>
      <c r="O59" s="682"/>
      <c r="P59" s="682"/>
      <c r="Q59" s="682"/>
      <c r="R59" s="682"/>
      <c r="S59" s="682"/>
      <c r="T59" s="682"/>
      <c r="U59" s="682"/>
      <c r="V59" s="682"/>
      <c r="W59" s="682"/>
      <c r="X59" s="682"/>
      <c r="Y59" s="682"/>
      <c r="Z59" s="682"/>
      <c r="AA59" s="682"/>
      <c r="AB59" s="682"/>
      <c r="AC59" s="682"/>
      <c r="AD59" s="682"/>
      <c r="AE59" s="682"/>
      <c r="AF59" s="682"/>
      <c r="AG59" s="683">
        <f>'D.1.4.02 UT'!J32</f>
        <v>0</v>
      </c>
      <c r="AH59" s="684"/>
      <c r="AI59" s="684"/>
      <c r="AJ59" s="684"/>
      <c r="AK59" s="684"/>
      <c r="AL59" s="684"/>
      <c r="AM59" s="684"/>
      <c r="AN59" s="683">
        <f t="shared" si="0"/>
        <v>0</v>
      </c>
      <c r="AO59" s="684"/>
      <c r="AP59" s="684"/>
      <c r="AQ59" s="353" t="s">
        <v>81</v>
      </c>
      <c r="AR59" s="28"/>
      <c r="AS59" s="53">
        <v>0</v>
      </c>
      <c r="AT59" s="54">
        <f t="shared" si="1"/>
        <v>0</v>
      </c>
      <c r="AU59" s="55">
        <f>'D.1.4.02 UT'!P87</f>
        <v>0</v>
      </c>
      <c r="AV59" s="54">
        <f>'D.1.4.02 UT'!J35</f>
        <v>0</v>
      </c>
      <c r="AW59" s="54">
        <f>'D.1.4.02 UT'!J36</f>
        <v>0</v>
      </c>
      <c r="AX59" s="54">
        <f>'D.1.4.02 UT'!J37</f>
        <v>0</v>
      </c>
      <c r="AY59" s="54">
        <f>'D.1.4.02 UT'!J38</f>
        <v>0</v>
      </c>
      <c r="AZ59" s="54">
        <f>'D.1.4.02 UT'!F35</f>
        <v>0</v>
      </c>
      <c r="BA59" s="54">
        <f>'D.1.4.02 UT'!F36</f>
        <v>0</v>
      </c>
      <c r="BB59" s="54">
        <f>'D.1.4.02 UT'!F37</f>
        <v>0</v>
      </c>
      <c r="BC59" s="54">
        <f>'D.1.4.02 UT'!F38</f>
        <v>0</v>
      </c>
      <c r="BD59" s="56">
        <f>'D.1.4.02 UT'!F39</f>
        <v>0</v>
      </c>
      <c r="BT59" s="22" t="s">
        <v>77</v>
      </c>
      <c r="BV59" s="22" t="s">
        <v>70</v>
      </c>
      <c r="BW59" s="22" t="s">
        <v>91</v>
      </c>
      <c r="BX59" s="22" t="s">
        <v>85</v>
      </c>
      <c r="CL59" s="22" t="s">
        <v>3</v>
      </c>
    </row>
    <row r="60" spans="1:91" s="4" customFormat="1" ht="24" customHeight="1">
      <c r="A60" s="347" t="s">
        <v>78</v>
      </c>
      <c r="B60" s="348"/>
      <c r="C60" s="649"/>
      <c r="D60" s="649"/>
      <c r="E60" s="682" t="s">
        <v>92</v>
      </c>
      <c r="F60" s="682"/>
      <c r="G60" s="682"/>
      <c r="H60" s="682"/>
      <c r="I60" s="682"/>
      <c r="J60" s="649"/>
      <c r="K60" s="682" t="s">
        <v>93</v>
      </c>
      <c r="L60" s="682"/>
      <c r="M60" s="682"/>
      <c r="N60" s="682"/>
      <c r="O60" s="682"/>
      <c r="P60" s="682"/>
      <c r="Q60" s="682"/>
      <c r="R60" s="682"/>
      <c r="S60" s="682"/>
      <c r="T60" s="682"/>
      <c r="U60" s="682"/>
      <c r="V60" s="682"/>
      <c r="W60" s="682"/>
      <c r="X60" s="682"/>
      <c r="Y60" s="682"/>
      <c r="Z60" s="682"/>
      <c r="AA60" s="682"/>
      <c r="AB60" s="682"/>
      <c r="AC60" s="682"/>
      <c r="AD60" s="682"/>
      <c r="AE60" s="682"/>
      <c r="AF60" s="682"/>
      <c r="AG60" s="683">
        <f>'D.1.4.03 ELEKTRO'!J32</f>
        <v>0</v>
      </c>
      <c r="AH60" s="684"/>
      <c r="AI60" s="684"/>
      <c r="AJ60" s="684"/>
      <c r="AK60" s="684"/>
      <c r="AL60" s="684"/>
      <c r="AM60" s="684"/>
      <c r="AN60" s="683">
        <f t="shared" si="0"/>
        <v>0</v>
      </c>
      <c r="AO60" s="684"/>
      <c r="AP60" s="684"/>
      <c r="AQ60" s="353" t="s">
        <v>81</v>
      </c>
      <c r="AR60" s="28"/>
      <c r="AS60" s="53">
        <v>0</v>
      </c>
      <c r="AT60" s="54">
        <f t="shared" si="1"/>
        <v>0</v>
      </c>
      <c r="AU60" s="55">
        <f>'D.1.4.03 ELEKTRO'!P87</f>
        <v>0</v>
      </c>
      <c r="AV60" s="54">
        <f>'D.1.4.03 ELEKTRO'!J35</f>
        <v>0</v>
      </c>
      <c r="AW60" s="54">
        <f>'D.1.4.03 ELEKTRO'!J36</f>
        <v>0</v>
      </c>
      <c r="AX60" s="54">
        <f>'D.1.4.03 ELEKTRO'!J37</f>
        <v>0</v>
      </c>
      <c r="AY60" s="54">
        <f>'D.1.4.03 ELEKTRO'!J38</f>
        <v>0</v>
      </c>
      <c r="AZ60" s="54">
        <f>'D.1.4.03 ELEKTRO'!F35</f>
        <v>0</v>
      </c>
      <c r="BA60" s="54">
        <f>'D.1.4.03 ELEKTRO'!F36</f>
        <v>0</v>
      </c>
      <c r="BB60" s="54">
        <f>'D.1.4.03 ELEKTRO'!F37</f>
        <v>0</v>
      </c>
      <c r="BC60" s="54">
        <f>'D.1.4.03 ELEKTRO'!F38</f>
        <v>0</v>
      </c>
      <c r="BD60" s="56">
        <f>'D.1.4.03 ELEKTRO'!F39</f>
        <v>0</v>
      </c>
      <c r="BT60" s="22" t="s">
        <v>77</v>
      </c>
      <c r="BV60" s="22" t="s">
        <v>70</v>
      </c>
      <c r="BW60" s="22" t="s">
        <v>94</v>
      </c>
      <c r="BX60" s="22" t="s">
        <v>85</v>
      </c>
      <c r="CL60" s="22" t="s">
        <v>3</v>
      </c>
    </row>
    <row r="61" spans="1:91" s="4" customFormat="1" ht="24" customHeight="1">
      <c r="A61" s="349"/>
      <c r="B61" s="348"/>
      <c r="C61" s="649"/>
      <c r="D61" s="649"/>
      <c r="E61" s="682" t="s">
        <v>95</v>
      </c>
      <c r="F61" s="682"/>
      <c r="G61" s="682"/>
      <c r="H61" s="682"/>
      <c r="I61" s="682"/>
      <c r="J61" s="649"/>
      <c r="K61" s="682" t="s">
        <v>96</v>
      </c>
      <c r="L61" s="682"/>
      <c r="M61" s="682"/>
      <c r="N61" s="682"/>
      <c r="O61" s="682"/>
      <c r="P61" s="682"/>
      <c r="Q61" s="682"/>
      <c r="R61" s="682"/>
      <c r="S61" s="682"/>
      <c r="T61" s="682"/>
      <c r="U61" s="682"/>
      <c r="V61" s="682"/>
      <c r="W61" s="682"/>
      <c r="X61" s="682"/>
      <c r="Y61" s="682"/>
      <c r="Z61" s="682"/>
      <c r="AA61" s="682"/>
      <c r="AB61" s="682"/>
      <c r="AC61" s="682"/>
      <c r="AD61" s="682"/>
      <c r="AE61" s="682"/>
      <c r="AF61" s="682"/>
      <c r="AG61" s="703">
        <f>ROUND(SUM(AG62:AG65),2)</f>
        <v>0</v>
      </c>
      <c r="AH61" s="684"/>
      <c r="AI61" s="684"/>
      <c r="AJ61" s="684"/>
      <c r="AK61" s="684"/>
      <c r="AL61" s="684"/>
      <c r="AM61" s="684"/>
      <c r="AN61" s="683">
        <f t="shared" si="0"/>
        <v>0</v>
      </c>
      <c r="AO61" s="684"/>
      <c r="AP61" s="684"/>
      <c r="AQ61" s="353" t="s">
        <v>81</v>
      </c>
      <c r="AR61" s="28"/>
      <c r="AS61" s="53">
        <f>ROUND(SUM(AS62:AS65),2)</f>
        <v>0</v>
      </c>
      <c r="AT61" s="54">
        <f t="shared" si="1"/>
        <v>0</v>
      </c>
      <c r="AU61" s="55">
        <f>ROUND(SUM(AU62:AU65),5)</f>
        <v>0</v>
      </c>
      <c r="AV61" s="54">
        <f>ROUND(AZ61*L29,2)</f>
        <v>0</v>
      </c>
      <c r="AW61" s="54">
        <f>ROUND(BA61*L30,2)</f>
        <v>0</v>
      </c>
      <c r="AX61" s="54">
        <f>ROUND(BB61*L29,2)</f>
        <v>0</v>
      </c>
      <c r="AY61" s="54">
        <f>ROUND(BC61*L30,2)</f>
        <v>0</v>
      </c>
      <c r="AZ61" s="54">
        <f>ROUND(SUM(AZ62:AZ65),2)</f>
        <v>0</v>
      </c>
      <c r="BA61" s="54">
        <f>ROUND(SUM(BA62:BA65),2)</f>
        <v>0</v>
      </c>
      <c r="BB61" s="54">
        <f>ROUND(SUM(BB62:BB65),2)</f>
        <v>0</v>
      </c>
      <c r="BC61" s="54">
        <f>ROUND(SUM(BC62:BC65),2)</f>
        <v>0</v>
      </c>
      <c r="BD61" s="56">
        <f>ROUND(SUM(BD62:BD65),2)</f>
        <v>0</v>
      </c>
      <c r="BS61" s="22" t="s">
        <v>67</v>
      </c>
      <c r="BT61" s="22" t="s">
        <v>77</v>
      </c>
      <c r="BU61" s="22" t="s">
        <v>69</v>
      </c>
      <c r="BV61" s="22" t="s">
        <v>70</v>
      </c>
      <c r="BW61" s="22" t="s">
        <v>97</v>
      </c>
      <c r="BX61" s="22" t="s">
        <v>85</v>
      </c>
      <c r="CL61" s="22" t="s">
        <v>3</v>
      </c>
    </row>
    <row r="62" spans="1:91" s="4" customFormat="1" ht="24" customHeight="1">
      <c r="A62" s="347" t="s">
        <v>78</v>
      </c>
      <c r="B62" s="348"/>
      <c r="C62" s="649"/>
      <c r="D62" s="649"/>
      <c r="E62" s="649"/>
      <c r="F62" s="682" t="s">
        <v>98</v>
      </c>
      <c r="G62" s="682"/>
      <c r="H62" s="682"/>
      <c r="I62" s="682"/>
      <c r="J62" s="682"/>
      <c r="K62" s="649"/>
      <c r="L62" s="682" t="s">
        <v>99</v>
      </c>
      <c r="M62" s="682"/>
      <c r="N62" s="682"/>
      <c r="O62" s="682"/>
      <c r="P62" s="682"/>
      <c r="Q62" s="682"/>
      <c r="R62" s="682"/>
      <c r="S62" s="682"/>
      <c r="T62" s="682"/>
      <c r="U62" s="682"/>
      <c r="V62" s="682"/>
      <c r="W62" s="682"/>
      <c r="X62" s="682"/>
      <c r="Y62" s="682"/>
      <c r="Z62" s="682"/>
      <c r="AA62" s="682"/>
      <c r="AB62" s="682"/>
      <c r="AC62" s="682"/>
      <c r="AD62" s="682"/>
      <c r="AE62" s="682"/>
      <c r="AF62" s="682"/>
      <c r="AG62" s="683">
        <f>'D.1.4.04.1 EPS'!J34</f>
        <v>0</v>
      </c>
      <c r="AH62" s="684"/>
      <c r="AI62" s="684"/>
      <c r="AJ62" s="684"/>
      <c r="AK62" s="684"/>
      <c r="AL62" s="684"/>
      <c r="AM62" s="684"/>
      <c r="AN62" s="683">
        <f t="shared" si="0"/>
        <v>0</v>
      </c>
      <c r="AO62" s="684"/>
      <c r="AP62" s="684"/>
      <c r="AQ62" s="353" t="s">
        <v>81</v>
      </c>
      <c r="AR62" s="28"/>
      <c r="AS62" s="53">
        <v>0</v>
      </c>
      <c r="AT62" s="54">
        <f t="shared" si="1"/>
        <v>0</v>
      </c>
      <c r="AU62" s="55">
        <f>'D.1.4.04.1 EPS'!P93</f>
        <v>0</v>
      </c>
      <c r="AV62" s="54">
        <f>'D.1.4.04.1 EPS'!J37</f>
        <v>0</v>
      </c>
      <c r="AW62" s="54">
        <f>'D.1.4.04.1 EPS'!J38</f>
        <v>0</v>
      </c>
      <c r="AX62" s="54">
        <f>'D.1.4.04.1 EPS'!J39</f>
        <v>0</v>
      </c>
      <c r="AY62" s="54">
        <f>'D.1.4.04.1 EPS'!J40</f>
        <v>0</v>
      </c>
      <c r="AZ62" s="54">
        <f>'D.1.4.04.1 EPS'!F37</f>
        <v>0</v>
      </c>
      <c r="BA62" s="54">
        <f>'D.1.4.04.1 EPS'!F38</f>
        <v>0</v>
      </c>
      <c r="BB62" s="54">
        <f>'D.1.4.04.1 EPS'!F39</f>
        <v>0</v>
      </c>
      <c r="BC62" s="54">
        <f>'D.1.4.04.1 EPS'!F40</f>
        <v>0</v>
      </c>
      <c r="BD62" s="56">
        <f>'D.1.4.04.1 EPS'!F41</f>
        <v>0</v>
      </c>
      <c r="BT62" s="22" t="s">
        <v>100</v>
      </c>
      <c r="BV62" s="22" t="s">
        <v>70</v>
      </c>
      <c r="BW62" s="22" t="s">
        <v>101</v>
      </c>
      <c r="BX62" s="22" t="s">
        <v>97</v>
      </c>
      <c r="CL62" s="22" t="s">
        <v>3</v>
      </c>
    </row>
    <row r="63" spans="1:91" s="4" customFormat="1" ht="24" customHeight="1">
      <c r="A63" s="347" t="s">
        <v>78</v>
      </c>
      <c r="B63" s="348"/>
      <c r="C63" s="649"/>
      <c r="D63" s="649"/>
      <c r="E63" s="649"/>
      <c r="F63" s="682" t="s">
        <v>102</v>
      </c>
      <c r="G63" s="682"/>
      <c r="H63" s="682"/>
      <c r="I63" s="682"/>
      <c r="J63" s="682"/>
      <c r="K63" s="649"/>
      <c r="L63" s="682" t="s">
        <v>103</v>
      </c>
      <c r="M63" s="682"/>
      <c r="N63" s="682"/>
      <c r="O63" s="682"/>
      <c r="P63" s="682"/>
      <c r="Q63" s="682"/>
      <c r="R63" s="682"/>
      <c r="S63" s="682"/>
      <c r="T63" s="682"/>
      <c r="U63" s="682"/>
      <c r="V63" s="682"/>
      <c r="W63" s="682"/>
      <c r="X63" s="682"/>
      <c r="Y63" s="682"/>
      <c r="Z63" s="682"/>
      <c r="AA63" s="682"/>
      <c r="AB63" s="682"/>
      <c r="AC63" s="682"/>
      <c r="AD63" s="682"/>
      <c r="AE63" s="682"/>
      <c r="AF63" s="682"/>
      <c r="AG63" s="683">
        <f>'D.1.4.04.2 NZS'!J34</f>
        <v>0</v>
      </c>
      <c r="AH63" s="684"/>
      <c r="AI63" s="684"/>
      <c r="AJ63" s="684"/>
      <c r="AK63" s="684"/>
      <c r="AL63" s="684"/>
      <c r="AM63" s="684"/>
      <c r="AN63" s="683">
        <f t="shared" si="0"/>
        <v>0</v>
      </c>
      <c r="AO63" s="684"/>
      <c r="AP63" s="684"/>
      <c r="AQ63" s="353" t="s">
        <v>81</v>
      </c>
      <c r="AR63" s="28"/>
      <c r="AS63" s="53">
        <v>0</v>
      </c>
      <c r="AT63" s="54">
        <f t="shared" si="1"/>
        <v>0</v>
      </c>
      <c r="AU63" s="55">
        <f>'D.1.4.04.2 NZS'!P93</f>
        <v>0</v>
      </c>
      <c r="AV63" s="54">
        <f>'D.1.4.04.2 NZS'!J37</f>
        <v>0</v>
      </c>
      <c r="AW63" s="54">
        <f>'D.1.4.04.2 NZS'!J38</f>
        <v>0</v>
      </c>
      <c r="AX63" s="54">
        <f>'D.1.4.04.2 NZS'!J39</f>
        <v>0</v>
      </c>
      <c r="AY63" s="54">
        <f>'D.1.4.04.2 NZS'!J40</f>
        <v>0</v>
      </c>
      <c r="AZ63" s="54">
        <f>'D.1.4.04.2 NZS'!F37</f>
        <v>0</v>
      </c>
      <c r="BA63" s="54">
        <f>'D.1.4.04.2 NZS'!F38</f>
        <v>0</v>
      </c>
      <c r="BB63" s="54">
        <f>'D.1.4.04.2 NZS'!F39</f>
        <v>0</v>
      </c>
      <c r="BC63" s="54">
        <f>'D.1.4.04.2 NZS'!F40</f>
        <v>0</v>
      </c>
      <c r="BD63" s="56">
        <f>'D.1.4.04.2 NZS'!F41</f>
        <v>0</v>
      </c>
      <c r="BT63" s="22" t="s">
        <v>100</v>
      </c>
      <c r="BV63" s="22" t="s">
        <v>70</v>
      </c>
      <c r="BW63" s="22" t="s">
        <v>104</v>
      </c>
      <c r="BX63" s="22" t="s">
        <v>97</v>
      </c>
      <c r="CL63" s="22" t="s">
        <v>3</v>
      </c>
    </row>
    <row r="64" spans="1:91" s="4" customFormat="1" ht="24" customHeight="1">
      <c r="A64" s="347" t="s">
        <v>78</v>
      </c>
      <c r="B64" s="348"/>
      <c r="C64" s="649"/>
      <c r="D64" s="649"/>
      <c r="E64" s="649"/>
      <c r="F64" s="682" t="s">
        <v>105</v>
      </c>
      <c r="G64" s="682"/>
      <c r="H64" s="682"/>
      <c r="I64" s="682"/>
      <c r="J64" s="682"/>
      <c r="K64" s="649"/>
      <c r="L64" s="682" t="s">
        <v>106</v>
      </c>
      <c r="M64" s="682"/>
      <c r="N64" s="682"/>
      <c r="O64" s="682"/>
      <c r="P64" s="682"/>
      <c r="Q64" s="682"/>
      <c r="R64" s="682"/>
      <c r="S64" s="682"/>
      <c r="T64" s="682"/>
      <c r="U64" s="682"/>
      <c r="V64" s="682"/>
      <c r="W64" s="682"/>
      <c r="X64" s="682"/>
      <c r="Y64" s="682"/>
      <c r="Z64" s="682"/>
      <c r="AA64" s="682"/>
      <c r="AB64" s="682"/>
      <c r="AC64" s="682"/>
      <c r="AD64" s="682"/>
      <c r="AE64" s="682"/>
      <c r="AF64" s="682"/>
      <c r="AG64" s="683">
        <f>'D.1.4.04.3 PZTS'!J34</f>
        <v>0</v>
      </c>
      <c r="AH64" s="684"/>
      <c r="AI64" s="684"/>
      <c r="AJ64" s="684"/>
      <c r="AK64" s="684"/>
      <c r="AL64" s="684"/>
      <c r="AM64" s="684"/>
      <c r="AN64" s="683">
        <f t="shared" si="0"/>
        <v>0</v>
      </c>
      <c r="AO64" s="684"/>
      <c r="AP64" s="684"/>
      <c r="AQ64" s="353" t="s">
        <v>81</v>
      </c>
      <c r="AR64" s="28"/>
      <c r="AS64" s="53">
        <v>0</v>
      </c>
      <c r="AT64" s="54">
        <f t="shared" si="1"/>
        <v>0</v>
      </c>
      <c r="AU64" s="55">
        <f>'D.1.4.04.3 PZTS'!P93</f>
        <v>0</v>
      </c>
      <c r="AV64" s="54">
        <f>'D.1.4.04.3 PZTS'!J37</f>
        <v>0</v>
      </c>
      <c r="AW64" s="54">
        <f>'D.1.4.04.3 PZTS'!J38</f>
        <v>0</v>
      </c>
      <c r="AX64" s="54">
        <f>'D.1.4.04.3 PZTS'!J39</f>
        <v>0</v>
      </c>
      <c r="AY64" s="54">
        <f>'D.1.4.04.3 PZTS'!J40</f>
        <v>0</v>
      </c>
      <c r="AZ64" s="54">
        <f>'D.1.4.04.3 PZTS'!F37</f>
        <v>0</v>
      </c>
      <c r="BA64" s="54">
        <f>'D.1.4.04.3 PZTS'!F38</f>
        <v>0</v>
      </c>
      <c r="BB64" s="54">
        <f>'D.1.4.04.3 PZTS'!F39</f>
        <v>0</v>
      </c>
      <c r="BC64" s="54">
        <f>'D.1.4.04.3 PZTS'!F40</f>
        <v>0</v>
      </c>
      <c r="BD64" s="56">
        <f>'D.1.4.04.3 PZTS'!F41</f>
        <v>0</v>
      </c>
      <c r="BT64" s="22" t="s">
        <v>100</v>
      </c>
      <c r="BV64" s="22" t="s">
        <v>70</v>
      </c>
      <c r="BW64" s="22" t="s">
        <v>107</v>
      </c>
      <c r="BX64" s="22" t="s">
        <v>97</v>
      </c>
      <c r="CL64" s="22" t="s">
        <v>3</v>
      </c>
    </row>
    <row r="65" spans="1:91" s="4" customFormat="1" ht="24" customHeight="1">
      <c r="A65" s="347" t="s">
        <v>78</v>
      </c>
      <c r="B65" s="348"/>
      <c r="C65" s="649"/>
      <c r="D65" s="649"/>
      <c r="E65" s="649"/>
      <c r="F65" s="682" t="s">
        <v>108</v>
      </c>
      <c r="G65" s="682"/>
      <c r="H65" s="682"/>
      <c r="I65" s="682"/>
      <c r="J65" s="682"/>
      <c r="K65" s="649"/>
      <c r="L65" s="682" t="s">
        <v>109</v>
      </c>
      <c r="M65" s="682"/>
      <c r="N65" s="682"/>
      <c r="O65" s="682"/>
      <c r="P65" s="682"/>
      <c r="Q65" s="682"/>
      <c r="R65" s="682"/>
      <c r="S65" s="682"/>
      <c r="T65" s="682"/>
      <c r="U65" s="682"/>
      <c r="V65" s="682"/>
      <c r="W65" s="682"/>
      <c r="X65" s="682"/>
      <c r="Y65" s="682"/>
      <c r="Z65" s="682"/>
      <c r="AA65" s="682"/>
      <c r="AB65" s="682"/>
      <c r="AC65" s="682"/>
      <c r="AD65" s="682"/>
      <c r="AE65" s="682"/>
      <c r="AF65" s="682"/>
      <c r="AG65" s="683">
        <f>'D.1.4.04.4 SLB'!J34</f>
        <v>0</v>
      </c>
      <c r="AH65" s="684"/>
      <c r="AI65" s="684"/>
      <c r="AJ65" s="684"/>
      <c r="AK65" s="684"/>
      <c r="AL65" s="684"/>
      <c r="AM65" s="684"/>
      <c r="AN65" s="683">
        <f t="shared" si="0"/>
        <v>0</v>
      </c>
      <c r="AO65" s="684"/>
      <c r="AP65" s="684"/>
      <c r="AQ65" s="353" t="s">
        <v>81</v>
      </c>
      <c r="AR65" s="28"/>
      <c r="AS65" s="53">
        <v>0</v>
      </c>
      <c r="AT65" s="54">
        <f t="shared" si="1"/>
        <v>0</v>
      </c>
      <c r="AU65" s="55">
        <f>'D.1.4.04.4 SLB'!P93</f>
        <v>0</v>
      </c>
      <c r="AV65" s="54">
        <f>'D.1.4.04.4 SLB'!J37</f>
        <v>0</v>
      </c>
      <c r="AW65" s="54">
        <f>'D.1.4.04.4 SLB'!J38</f>
        <v>0</v>
      </c>
      <c r="AX65" s="54">
        <f>'D.1.4.04.4 SLB'!J39</f>
        <v>0</v>
      </c>
      <c r="AY65" s="54">
        <f>'D.1.4.04.4 SLB'!J40</f>
        <v>0</v>
      </c>
      <c r="AZ65" s="54">
        <f>'D.1.4.04.4 SLB'!F37</f>
        <v>0</v>
      </c>
      <c r="BA65" s="54">
        <f>'D.1.4.04.4 SLB'!F38</f>
        <v>0</v>
      </c>
      <c r="BB65" s="54">
        <f>'D.1.4.04.4 SLB'!F39</f>
        <v>0</v>
      </c>
      <c r="BC65" s="54">
        <f>'D.1.4.04.4 SLB'!F40</f>
        <v>0</v>
      </c>
      <c r="BD65" s="56">
        <f>'D.1.4.04.4 SLB'!F41</f>
        <v>0</v>
      </c>
      <c r="BT65" s="22" t="s">
        <v>100</v>
      </c>
      <c r="BV65" s="22" t="s">
        <v>70</v>
      </c>
      <c r="BW65" s="22" t="s">
        <v>110</v>
      </c>
      <c r="BX65" s="22" t="s">
        <v>97</v>
      </c>
      <c r="CL65" s="22" t="s">
        <v>3</v>
      </c>
    </row>
    <row r="66" spans="1:91" s="4" customFormat="1" ht="24" customHeight="1">
      <c r="A66" s="347" t="s">
        <v>78</v>
      </c>
      <c r="B66" s="348"/>
      <c r="C66" s="649"/>
      <c r="D66" s="649"/>
      <c r="E66" s="682" t="s">
        <v>111</v>
      </c>
      <c r="F66" s="682"/>
      <c r="G66" s="682"/>
      <c r="H66" s="682"/>
      <c r="I66" s="682"/>
      <c r="J66" s="649"/>
      <c r="K66" s="682" t="s">
        <v>112</v>
      </c>
      <c r="L66" s="682"/>
      <c r="M66" s="682"/>
      <c r="N66" s="682"/>
      <c r="O66" s="682"/>
      <c r="P66" s="682"/>
      <c r="Q66" s="682"/>
      <c r="R66" s="682"/>
      <c r="S66" s="682"/>
      <c r="T66" s="682"/>
      <c r="U66" s="682"/>
      <c r="V66" s="682"/>
      <c r="W66" s="682"/>
      <c r="X66" s="682"/>
      <c r="Y66" s="682"/>
      <c r="Z66" s="682"/>
      <c r="AA66" s="682"/>
      <c r="AB66" s="682"/>
      <c r="AC66" s="682"/>
      <c r="AD66" s="682"/>
      <c r="AE66" s="682"/>
      <c r="AF66" s="682"/>
      <c r="AG66" s="683">
        <f>'D.1.4.05 VZT'!J32</f>
        <v>0</v>
      </c>
      <c r="AH66" s="684"/>
      <c r="AI66" s="684"/>
      <c r="AJ66" s="684"/>
      <c r="AK66" s="684"/>
      <c r="AL66" s="684"/>
      <c r="AM66" s="684"/>
      <c r="AN66" s="683">
        <f t="shared" si="0"/>
        <v>0</v>
      </c>
      <c r="AO66" s="684"/>
      <c r="AP66" s="684"/>
      <c r="AQ66" s="353" t="s">
        <v>81</v>
      </c>
      <c r="AR66" s="28"/>
      <c r="AS66" s="53">
        <v>0</v>
      </c>
      <c r="AT66" s="54">
        <f t="shared" si="1"/>
        <v>0</v>
      </c>
      <c r="AU66" s="55">
        <f>'D.1.4.05 VZT'!P87</f>
        <v>0</v>
      </c>
      <c r="AV66" s="54">
        <f>'D.1.4.05 VZT'!J35</f>
        <v>0</v>
      </c>
      <c r="AW66" s="54">
        <f>'D.1.4.05 VZT'!J36</f>
        <v>0</v>
      </c>
      <c r="AX66" s="54">
        <f>'D.1.4.05 VZT'!J37</f>
        <v>0</v>
      </c>
      <c r="AY66" s="54">
        <f>'D.1.4.05 VZT'!J38</f>
        <v>0</v>
      </c>
      <c r="AZ66" s="54">
        <f>'D.1.4.05 VZT'!F35</f>
        <v>0</v>
      </c>
      <c r="BA66" s="54">
        <f>'D.1.4.05 VZT'!F36</f>
        <v>0</v>
      </c>
      <c r="BB66" s="54">
        <f>'D.1.4.05 VZT'!F37</f>
        <v>0</v>
      </c>
      <c r="BC66" s="54">
        <f>'D.1.4.05 VZT'!F38</f>
        <v>0</v>
      </c>
      <c r="BD66" s="56">
        <f>'D.1.4.05 VZT'!F39</f>
        <v>0</v>
      </c>
      <c r="BT66" s="22" t="s">
        <v>77</v>
      </c>
      <c r="BV66" s="22" t="s">
        <v>70</v>
      </c>
      <c r="BW66" s="22" t="s">
        <v>113</v>
      </c>
      <c r="BX66" s="22" t="s">
        <v>85</v>
      </c>
      <c r="CL66" s="22" t="s">
        <v>3</v>
      </c>
    </row>
    <row r="67" spans="1:91" s="4" customFormat="1" ht="24" customHeight="1">
      <c r="A67" s="349"/>
      <c r="B67" s="348"/>
      <c r="C67" s="649"/>
      <c r="D67" s="649"/>
      <c r="E67" s="682" t="s">
        <v>114</v>
      </c>
      <c r="F67" s="682"/>
      <c r="G67" s="682"/>
      <c r="H67" s="682"/>
      <c r="I67" s="682"/>
      <c r="J67" s="649"/>
      <c r="K67" s="682" t="s">
        <v>115</v>
      </c>
      <c r="L67" s="682"/>
      <c r="M67" s="682"/>
      <c r="N67" s="682"/>
      <c r="O67" s="682"/>
      <c r="P67" s="682"/>
      <c r="Q67" s="682"/>
      <c r="R67" s="682"/>
      <c r="S67" s="682"/>
      <c r="T67" s="682"/>
      <c r="U67" s="682"/>
      <c r="V67" s="682"/>
      <c r="W67" s="682"/>
      <c r="X67" s="682"/>
      <c r="Y67" s="682"/>
      <c r="Z67" s="682"/>
      <c r="AA67" s="682"/>
      <c r="AB67" s="682"/>
      <c r="AC67" s="682"/>
      <c r="AD67" s="682"/>
      <c r="AE67" s="682"/>
      <c r="AF67" s="682"/>
      <c r="AG67" s="703">
        <f>ROUND(SUM(AG68:AG72),2)</f>
        <v>0</v>
      </c>
      <c r="AH67" s="684"/>
      <c r="AI67" s="684"/>
      <c r="AJ67" s="684"/>
      <c r="AK67" s="684"/>
      <c r="AL67" s="684"/>
      <c r="AM67" s="684"/>
      <c r="AN67" s="683">
        <f t="shared" si="0"/>
        <v>0</v>
      </c>
      <c r="AO67" s="684"/>
      <c r="AP67" s="684"/>
      <c r="AQ67" s="353" t="s">
        <v>81</v>
      </c>
      <c r="AR67" s="28"/>
      <c r="AS67" s="53">
        <f>ROUND(SUM(AS68:AS72),2)</f>
        <v>0</v>
      </c>
      <c r="AT67" s="54">
        <f t="shared" si="1"/>
        <v>0</v>
      </c>
      <c r="AU67" s="55">
        <f>ROUND(SUM(AU68:AU72),5)</f>
        <v>0</v>
      </c>
      <c r="AV67" s="54">
        <f>ROUND(AZ67*L29,2)</f>
        <v>0</v>
      </c>
      <c r="AW67" s="54">
        <f>ROUND(BA67*L30,2)</f>
        <v>0</v>
      </c>
      <c r="AX67" s="54">
        <f>ROUND(BB67*L29,2)</f>
        <v>0</v>
      </c>
      <c r="AY67" s="54">
        <f>ROUND(BC67*L30,2)</f>
        <v>0</v>
      </c>
      <c r="AZ67" s="54">
        <f>ROUND(SUM(AZ68:AZ72),2)</f>
        <v>0</v>
      </c>
      <c r="BA67" s="54">
        <f>ROUND(SUM(BA68:BA72),2)</f>
        <v>0</v>
      </c>
      <c r="BB67" s="54">
        <f>ROUND(SUM(BB68:BB72),2)</f>
        <v>0</v>
      </c>
      <c r="BC67" s="54">
        <f>ROUND(SUM(BC68:BC72),2)</f>
        <v>0</v>
      </c>
      <c r="BD67" s="56">
        <f>ROUND(SUM(BD68:BD72),2)</f>
        <v>0</v>
      </c>
      <c r="BS67" s="22" t="s">
        <v>67</v>
      </c>
      <c r="BT67" s="22" t="s">
        <v>77</v>
      </c>
      <c r="BU67" s="22" t="s">
        <v>69</v>
      </c>
      <c r="BV67" s="22" t="s">
        <v>70</v>
      </c>
      <c r="BW67" s="22" t="s">
        <v>116</v>
      </c>
      <c r="BX67" s="22" t="s">
        <v>85</v>
      </c>
      <c r="CL67" s="22" t="s">
        <v>3</v>
      </c>
    </row>
    <row r="68" spans="1:91" s="4" customFormat="1" ht="24" customHeight="1">
      <c r="A68" s="347" t="s">
        <v>78</v>
      </c>
      <c r="B68" s="348"/>
      <c r="C68" s="649"/>
      <c r="D68" s="649"/>
      <c r="E68" s="649"/>
      <c r="F68" s="682" t="s">
        <v>117</v>
      </c>
      <c r="G68" s="682"/>
      <c r="H68" s="682"/>
      <c r="I68" s="682"/>
      <c r="J68" s="682"/>
      <c r="K68" s="649"/>
      <c r="L68" s="682" t="s">
        <v>115</v>
      </c>
      <c r="M68" s="682"/>
      <c r="N68" s="682"/>
      <c r="O68" s="682"/>
      <c r="P68" s="682"/>
      <c r="Q68" s="682"/>
      <c r="R68" s="682"/>
      <c r="S68" s="682"/>
      <c r="T68" s="682"/>
      <c r="U68" s="682"/>
      <c r="V68" s="682"/>
      <c r="W68" s="682"/>
      <c r="X68" s="682"/>
      <c r="Y68" s="682"/>
      <c r="Z68" s="682"/>
      <c r="AA68" s="682"/>
      <c r="AB68" s="682"/>
      <c r="AC68" s="682"/>
      <c r="AD68" s="682"/>
      <c r="AE68" s="682"/>
      <c r="AF68" s="682"/>
      <c r="AG68" s="683">
        <f>'D.1.4.06.1 GASTRO'!J34</f>
        <v>0</v>
      </c>
      <c r="AH68" s="684"/>
      <c r="AI68" s="684"/>
      <c r="AJ68" s="684"/>
      <c r="AK68" s="684"/>
      <c r="AL68" s="684"/>
      <c r="AM68" s="684"/>
      <c r="AN68" s="683">
        <f t="shared" si="0"/>
        <v>0</v>
      </c>
      <c r="AO68" s="684"/>
      <c r="AP68" s="684"/>
      <c r="AQ68" s="353" t="s">
        <v>81</v>
      </c>
      <c r="AR68" s="28"/>
      <c r="AS68" s="53">
        <v>0</v>
      </c>
      <c r="AT68" s="54">
        <f t="shared" si="1"/>
        <v>0</v>
      </c>
      <c r="AU68" s="55">
        <f>'D.1.4.06.1 GASTRO'!P93</f>
        <v>0</v>
      </c>
      <c r="AV68" s="54">
        <f>'D.1.4.06.1 GASTRO'!J37</f>
        <v>0</v>
      </c>
      <c r="AW68" s="54">
        <f>'D.1.4.06.1 GASTRO'!J38</f>
        <v>0</v>
      </c>
      <c r="AX68" s="54">
        <f>'D.1.4.06.1 GASTRO'!J39</f>
        <v>0</v>
      </c>
      <c r="AY68" s="54">
        <f>'D.1.4.06.1 GASTRO'!J40</f>
        <v>0</v>
      </c>
      <c r="AZ68" s="54">
        <f>'D.1.4.06.1 GASTRO'!F37</f>
        <v>0</v>
      </c>
      <c r="BA68" s="54">
        <f>'D.1.4.06.1 GASTRO'!F38</f>
        <v>0</v>
      </c>
      <c r="BB68" s="54">
        <f>'D.1.4.06.1 GASTRO'!F39</f>
        <v>0</v>
      </c>
      <c r="BC68" s="54">
        <f>'D.1.4.06.1 GASTRO'!F40</f>
        <v>0</v>
      </c>
      <c r="BD68" s="56">
        <f>'D.1.4.06.1 GASTRO'!F41</f>
        <v>0</v>
      </c>
      <c r="BT68" s="22" t="s">
        <v>100</v>
      </c>
      <c r="BV68" s="22" t="s">
        <v>70</v>
      </c>
      <c r="BW68" s="22" t="s">
        <v>118</v>
      </c>
      <c r="BX68" s="22" t="s">
        <v>116</v>
      </c>
      <c r="CL68" s="22" t="s">
        <v>3</v>
      </c>
    </row>
    <row r="69" spans="1:91" s="4" customFormat="1" ht="24" customHeight="1">
      <c r="A69" s="347" t="s">
        <v>78</v>
      </c>
      <c r="B69" s="348"/>
      <c r="C69" s="649"/>
      <c r="D69" s="649"/>
      <c r="E69" s="649"/>
      <c r="F69" s="682" t="s">
        <v>119</v>
      </c>
      <c r="G69" s="682"/>
      <c r="H69" s="682"/>
      <c r="I69" s="682"/>
      <c r="J69" s="682"/>
      <c r="K69" s="649"/>
      <c r="L69" s="682" t="s">
        <v>120</v>
      </c>
      <c r="M69" s="682"/>
      <c r="N69" s="682"/>
      <c r="O69" s="682"/>
      <c r="P69" s="682"/>
      <c r="Q69" s="682"/>
      <c r="R69" s="682"/>
      <c r="S69" s="682"/>
      <c r="T69" s="682"/>
      <c r="U69" s="682"/>
      <c r="V69" s="682"/>
      <c r="W69" s="682"/>
      <c r="X69" s="682"/>
      <c r="Y69" s="682"/>
      <c r="Z69" s="682"/>
      <c r="AA69" s="682"/>
      <c r="AB69" s="682"/>
      <c r="AC69" s="682"/>
      <c r="AD69" s="682"/>
      <c r="AE69" s="682"/>
      <c r="AF69" s="682"/>
      <c r="AG69" s="683">
        <f>'D.1.4.06.2 GASTRO-OS'!J34</f>
        <v>0</v>
      </c>
      <c r="AH69" s="684"/>
      <c r="AI69" s="684"/>
      <c r="AJ69" s="684"/>
      <c r="AK69" s="684"/>
      <c r="AL69" s="684"/>
      <c r="AM69" s="684"/>
      <c r="AN69" s="683">
        <f t="shared" si="0"/>
        <v>0</v>
      </c>
      <c r="AO69" s="684"/>
      <c r="AP69" s="684"/>
      <c r="AQ69" s="353" t="s">
        <v>81</v>
      </c>
      <c r="AR69" s="28"/>
      <c r="AS69" s="53">
        <v>0</v>
      </c>
      <c r="AT69" s="54">
        <f t="shared" si="1"/>
        <v>0</v>
      </c>
      <c r="AU69" s="55">
        <f>'D.1.4.06.2 GASTRO-OS'!P93</f>
        <v>0</v>
      </c>
      <c r="AV69" s="54">
        <f>'D.1.4.06.2 GASTRO-OS'!J37</f>
        <v>0</v>
      </c>
      <c r="AW69" s="54">
        <f>'D.1.4.06.2 GASTRO-OS'!J38</f>
        <v>0</v>
      </c>
      <c r="AX69" s="54">
        <f>'D.1.4.06.2 GASTRO-OS'!J39</f>
        <v>0</v>
      </c>
      <c r="AY69" s="54">
        <f>'D.1.4.06.2 GASTRO-OS'!J40</f>
        <v>0</v>
      </c>
      <c r="AZ69" s="54">
        <f>'D.1.4.06.2 GASTRO-OS'!F37</f>
        <v>0</v>
      </c>
      <c r="BA69" s="54">
        <f>'D.1.4.06.2 GASTRO-OS'!F38</f>
        <v>0</v>
      </c>
      <c r="BB69" s="54">
        <f>'D.1.4.06.2 GASTRO-OS'!F39</f>
        <v>0</v>
      </c>
      <c r="BC69" s="54">
        <f>'D.1.4.06.2 GASTRO-OS'!F40</f>
        <v>0</v>
      </c>
      <c r="BD69" s="56">
        <f>'D.1.4.06.2 GASTRO-OS'!F41</f>
        <v>0</v>
      </c>
      <c r="BT69" s="22" t="s">
        <v>100</v>
      </c>
      <c r="BV69" s="22" t="s">
        <v>70</v>
      </c>
      <c r="BW69" s="22" t="s">
        <v>121</v>
      </c>
      <c r="BX69" s="22" t="s">
        <v>116</v>
      </c>
      <c r="CL69" s="22" t="s">
        <v>3</v>
      </c>
    </row>
    <row r="70" spans="1:91" s="4" customFormat="1" ht="24" customHeight="1">
      <c r="A70" s="347" t="s">
        <v>78</v>
      </c>
      <c r="B70" s="348"/>
      <c r="C70" s="649"/>
      <c r="D70" s="649"/>
      <c r="E70" s="649"/>
      <c r="F70" s="682" t="s">
        <v>122</v>
      </c>
      <c r="G70" s="682"/>
      <c r="H70" s="682"/>
      <c r="I70" s="682"/>
      <c r="J70" s="682"/>
      <c r="K70" s="649"/>
      <c r="L70" s="682" t="s">
        <v>123</v>
      </c>
      <c r="M70" s="682"/>
      <c r="N70" s="682"/>
      <c r="O70" s="682"/>
      <c r="P70" s="682"/>
      <c r="Q70" s="682"/>
      <c r="R70" s="682"/>
      <c r="S70" s="682"/>
      <c r="T70" s="682"/>
      <c r="U70" s="682"/>
      <c r="V70" s="682"/>
      <c r="W70" s="682"/>
      <c r="X70" s="682"/>
      <c r="Y70" s="682"/>
      <c r="Z70" s="682"/>
      <c r="AA70" s="682"/>
      <c r="AB70" s="682"/>
      <c r="AC70" s="682"/>
      <c r="AD70" s="682"/>
      <c r="AE70" s="682"/>
      <c r="AF70" s="682"/>
      <c r="AG70" s="683">
        <f>'D.1.4.06.3 HACCP'!J34</f>
        <v>0</v>
      </c>
      <c r="AH70" s="684"/>
      <c r="AI70" s="684"/>
      <c r="AJ70" s="684"/>
      <c r="AK70" s="684"/>
      <c r="AL70" s="684"/>
      <c r="AM70" s="684"/>
      <c r="AN70" s="683">
        <f t="shared" si="0"/>
        <v>0</v>
      </c>
      <c r="AO70" s="684"/>
      <c r="AP70" s="684"/>
      <c r="AQ70" s="353" t="s">
        <v>81</v>
      </c>
      <c r="AR70" s="28"/>
      <c r="AS70" s="53">
        <v>0</v>
      </c>
      <c r="AT70" s="54">
        <f t="shared" si="1"/>
        <v>0</v>
      </c>
      <c r="AU70" s="55">
        <f>'D.1.4.06.3 HACCP'!P93</f>
        <v>0</v>
      </c>
      <c r="AV70" s="54">
        <f>'D.1.4.06.3 HACCP'!J37</f>
        <v>0</v>
      </c>
      <c r="AW70" s="54">
        <f>'D.1.4.06.3 HACCP'!J38</f>
        <v>0</v>
      </c>
      <c r="AX70" s="54">
        <f>'D.1.4.06.3 HACCP'!J39</f>
        <v>0</v>
      </c>
      <c r="AY70" s="54">
        <f>'D.1.4.06.3 HACCP'!J40</f>
        <v>0</v>
      </c>
      <c r="AZ70" s="54">
        <f>'D.1.4.06.3 HACCP'!F37</f>
        <v>0</v>
      </c>
      <c r="BA70" s="54">
        <f>'D.1.4.06.3 HACCP'!F38</f>
        <v>0</v>
      </c>
      <c r="BB70" s="54">
        <f>'D.1.4.06.3 HACCP'!F39</f>
        <v>0</v>
      </c>
      <c r="BC70" s="54">
        <f>'D.1.4.06.3 HACCP'!F40</f>
        <v>0</v>
      </c>
      <c r="BD70" s="56">
        <f>'D.1.4.06.3 HACCP'!F41</f>
        <v>0</v>
      </c>
      <c r="BT70" s="22" t="s">
        <v>100</v>
      </c>
      <c r="BV70" s="22" t="s">
        <v>70</v>
      </c>
      <c r="BW70" s="22" t="s">
        <v>124</v>
      </c>
      <c r="BX70" s="22" t="s">
        <v>116</v>
      </c>
      <c r="CL70" s="22" t="s">
        <v>3</v>
      </c>
    </row>
    <row r="71" spans="1:91" s="4" customFormat="1" ht="24" customHeight="1">
      <c r="A71" s="347" t="s">
        <v>78</v>
      </c>
      <c r="B71" s="348"/>
      <c r="C71" s="649"/>
      <c r="D71" s="649"/>
      <c r="E71" s="649"/>
      <c r="F71" s="682" t="s">
        <v>125</v>
      </c>
      <c r="G71" s="682"/>
      <c r="H71" s="682"/>
      <c r="I71" s="682"/>
      <c r="J71" s="682"/>
      <c r="K71" s="649"/>
      <c r="L71" s="682" t="s">
        <v>126</v>
      </c>
      <c r="M71" s="682"/>
      <c r="N71" s="682"/>
      <c r="O71" s="682"/>
      <c r="P71" s="682"/>
      <c r="Q71" s="682"/>
      <c r="R71" s="682"/>
      <c r="S71" s="682"/>
      <c r="T71" s="682"/>
      <c r="U71" s="682"/>
      <c r="V71" s="682"/>
      <c r="W71" s="682"/>
      <c r="X71" s="682"/>
      <c r="Y71" s="682"/>
      <c r="Z71" s="682"/>
      <c r="AA71" s="682"/>
      <c r="AB71" s="682"/>
      <c r="AC71" s="682"/>
      <c r="AD71" s="682"/>
      <c r="AE71" s="682"/>
      <c r="AF71" s="682"/>
      <c r="AG71" s="683">
        <f>'D.1.4.06.4 G-DEM'!J34</f>
        <v>0</v>
      </c>
      <c r="AH71" s="684"/>
      <c r="AI71" s="684"/>
      <c r="AJ71" s="684"/>
      <c r="AK71" s="684"/>
      <c r="AL71" s="684"/>
      <c r="AM71" s="684"/>
      <c r="AN71" s="683">
        <f t="shared" si="0"/>
        <v>0</v>
      </c>
      <c r="AO71" s="684"/>
      <c r="AP71" s="684"/>
      <c r="AQ71" s="353" t="s">
        <v>81</v>
      </c>
      <c r="AR71" s="28"/>
      <c r="AS71" s="53">
        <v>0</v>
      </c>
      <c r="AT71" s="54">
        <f t="shared" si="1"/>
        <v>0</v>
      </c>
      <c r="AU71" s="55">
        <f>'D.1.4.06.4 G-DEM'!P93</f>
        <v>0</v>
      </c>
      <c r="AV71" s="54">
        <f>'D.1.4.06.4 G-DEM'!J37</f>
        <v>0</v>
      </c>
      <c r="AW71" s="54">
        <f>'D.1.4.06.4 G-DEM'!J38</f>
        <v>0</v>
      </c>
      <c r="AX71" s="54">
        <f>'D.1.4.06.4 G-DEM'!J39</f>
        <v>0</v>
      </c>
      <c r="AY71" s="54">
        <f>'D.1.4.06.4 G-DEM'!J40</f>
        <v>0</v>
      </c>
      <c r="AZ71" s="54">
        <f>'D.1.4.06.4 G-DEM'!F37</f>
        <v>0</v>
      </c>
      <c r="BA71" s="54">
        <f>'D.1.4.06.4 G-DEM'!F38</f>
        <v>0</v>
      </c>
      <c r="BB71" s="54">
        <f>'D.1.4.06.4 G-DEM'!F39</f>
        <v>0</v>
      </c>
      <c r="BC71" s="54">
        <f>'D.1.4.06.4 G-DEM'!F40</f>
        <v>0</v>
      </c>
      <c r="BD71" s="56">
        <f>'D.1.4.06.4 G-DEM'!F41</f>
        <v>0</v>
      </c>
      <c r="BT71" s="22" t="s">
        <v>100</v>
      </c>
      <c r="BV71" s="22" t="s">
        <v>70</v>
      </c>
      <c r="BW71" s="22" t="s">
        <v>127</v>
      </c>
      <c r="BX71" s="22" t="s">
        <v>116</v>
      </c>
      <c r="CL71" s="22" t="s">
        <v>3</v>
      </c>
    </row>
    <row r="72" spans="1:91" s="4" customFormat="1" ht="24" customHeight="1">
      <c r="A72" s="347" t="s">
        <v>78</v>
      </c>
      <c r="B72" s="348"/>
      <c r="C72" s="649"/>
      <c r="D72" s="649"/>
      <c r="E72" s="649"/>
      <c r="F72" s="682" t="s">
        <v>128</v>
      </c>
      <c r="G72" s="682"/>
      <c r="H72" s="682"/>
      <c r="I72" s="682"/>
      <c r="J72" s="682"/>
      <c r="K72" s="649"/>
      <c r="L72" s="682" t="s">
        <v>129</v>
      </c>
      <c r="M72" s="682"/>
      <c r="N72" s="682"/>
      <c r="O72" s="682"/>
      <c r="P72" s="682"/>
      <c r="Q72" s="682"/>
      <c r="R72" s="682"/>
      <c r="S72" s="682"/>
      <c r="T72" s="682"/>
      <c r="U72" s="682"/>
      <c r="V72" s="682"/>
      <c r="W72" s="682"/>
      <c r="X72" s="682"/>
      <c r="Y72" s="682"/>
      <c r="Z72" s="682"/>
      <c r="AA72" s="682"/>
      <c r="AB72" s="682"/>
      <c r="AC72" s="682"/>
      <c r="AD72" s="682"/>
      <c r="AE72" s="682"/>
      <c r="AF72" s="682"/>
      <c r="AG72" s="683">
        <f>'D.1.4.06.5 G-DEM TG'!J34</f>
        <v>0</v>
      </c>
      <c r="AH72" s="684"/>
      <c r="AI72" s="684"/>
      <c r="AJ72" s="684"/>
      <c r="AK72" s="684"/>
      <c r="AL72" s="684"/>
      <c r="AM72" s="684"/>
      <c r="AN72" s="683">
        <f t="shared" si="0"/>
        <v>0</v>
      </c>
      <c r="AO72" s="684"/>
      <c r="AP72" s="684"/>
      <c r="AQ72" s="353" t="s">
        <v>81</v>
      </c>
      <c r="AR72" s="28"/>
      <c r="AS72" s="53">
        <v>0</v>
      </c>
      <c r="AT72" s="54">
        <f t="shared" si="1"/>
        <v>0</v>
      </c>
      <c r="AU72" s="55">
        <f>'D.1.4.06.5 G-DEM TG'!P93</f>
        <v>0</v>
      </c>
      <c r="AV72" s="54">
        <f>'D.1.4.06.5 G-DEM TG'!J37</f>
        <v>0</v>
      </c>
      <c r="AW72" s="54">
        <f>'D.1.4.06.5 G-DEM TG'!J38</f>
        <v>0</v>
      </c>
      <c r="AX72" s="54">
        <f>'D.1.4.06.5 G-DEM TG'!J39</f>
        <v>0</v>
      </c>
      <c r="AY72" s="54">
        <f>'D.1.4.06.5 G-DEM TG'!J40</f>
        <v>0</v>
      </c>
      <c r="AZ72" s="54">
        <f>'D.1.4.06.5 G-DEM TG'!F37</f>
        <v>0</v>
      </c>
      <c r="BA72" s="54">
        <f>'D.1.4.06.5 G-DEM TG'!F38</f>
        <v>0</v>
      </c>
      <c r="BB72" s="54">
        <f>'D.1.4.06.5 G-DEM TG'!F39</f>
        <v>0</v>
      </c>
      <c r="BC72" s="54">
        <f>'D.1.4.06.5 G-DEM TG'!F40</f>
        <v>0</v>
      </c>
      <c r="BD72" s="56">
        <f>'D.1.4.06.5 G-DEM TG'!F41</f>
        <v>0</v>
      </c>
      <c r="BT72" s="22" t="s">
        <v>100</v>
      </c>
      <c r="BV72" s="22" t="s">
        <v>70</v>
      </c>
      <c r="BW72" s="22" t="s">
        <v>130</v>
      </c>
      <c r="BX72" s="22" t="s">
        <v>116</v>
      </c>
      <c r="CL72" s="22" t="s">
        <v>3</v>
      </c>
    </row>
    <row r="73" spans="1:91" s="4" customFormat="1" ht="24" customHeight="1">
      <c r="A73" s="347" t="s">
        <v>78</v>
      </c>
      <c r="B73" s="348"/>
      <c r="C73" s="649"/>
      <c r="D73" s="649"/>
      <c r="E73" s="682" t="s">
        <v>131</v>
      </c>
      <c r="F73" s="682"/>
      <c r="G73" s="682"/>
      <c r="H73" s="682"/>
      <c r="I73" s="682"/>
      <c r="J73" s="649"/>
      <c r="K73" s="682" t="s">
        <v>3475</v>
      </c>
      <c r="L73" s="682"/>
      <c r="M73" s="682"/>
      <c r="N73" s="682"/>
      <c r="O73" s="682"/>
      <c r="P73" s="682"/>
      <c r="Q73" s="682"/>
      <c r="R73" s="682"/>
      <c r="S73" s="682"/>
      <c r="T73" s="682"/>
      <c r="U73" s="682"/>
      <c r="V73" s="682"/>
      <c r="W73" s="682"/>
      <c r="X73" s="682"/>
      <c r="Y73" s="682"/>
      <c r="Z73" s="682"/>
      <c r="AA73" s="682"/>
      <c r="AB73" s="682"/>
      <c r="AC73" s="682"/>
      <c r="AD73" s="682"/>
      <c r="AE73" s="682"/>
      <c r="AF73" s="682"/>
      <c r="AG73" s="683">
        <f>'D.1.4.07 Servis'!J32</f>
        <v>0</v>
      </c>
      <c r="AH73" s="684"/>
      <c r="AI73" s="684"/>
      <c r="AJ73" s="684"/>
      <c r="AK73" s="684"/>
      <c r="AL73" s="684"/>
      <c r="AM73" s="684"/>
      <c r="AN73" s="683">
        <f t="shared" si="0"/>
        <v>0</v>
      </c>
      <c r="AO73" s="684"/>
      <c r="AP73" s="684"/>
      <c r="AQ73" s="353" t="s">
        <v>81</v>
      </c>
      <c r="AR73" s="28"/>
      <c r="AS73" s="53">
        <v>0</v>
      </c>
      <c r="AT73" s="54">
        <f t="shared" si="1"/>
        <v>0</v>
      </c>
      <c r="AU73" s="55">
        <f>'D.1.4.07 Servis'!P87</f>
        <v>0</v>
      </c>
      <c r="AV73" s="54">
        <f>'D.1.4.07 Servis'!J35</f>
        <v>0</v>
      </c>
      <c r="AW73" s="54">
        <f>'D.1.4.07 Servis'!J36</f>
        <v>0</v>
      </c>
      <c r="AX73" s="54">
        <f>'D.1.4.07 Servis'!J37</f>
        <v>0</v>
      </c>
      <c r="AY73" s="54">
        <f>'D.1.4.07 Servis'!J38</f>
        <v>0</v>
      </c>
      <c r="AZ73" s="54">
        <f>'D.1.4.07 Servis'!F35</f>
        <v>0</v>
      </c>
      <c r="BA73" s="54">
        <f>'D.1.4.07 Servis'!F36</f>
        <v>0</v>
      </c>
      <c r="BB73" s="54">
        <f>'D.1.4.07 Servis'!F37</f>
        <v>0</v>
      </c>
      <c r="BC73" s="54">
        <f>'D.1.4.07 Servis'!F38</f>
        <v>0</v>
      </c>
      <c r="BD73" s="56">
        <f>'D.1.4.07 Servis'!F39</f>
        <v>0</v>
      </c>
      <c r="BT73" s="22" t="s">
        <v>77</v>
      </c>
      <c r="BV73" s="22" t="s">
        <v>70</v>
      </c>
      <c r="BW73" s="22" t="s">
        <v>132</v>
      </c>
      <c r="BX73" s="22" t="s">
        <v>85</v>
      </c>
      <c r="CL73" s="22" t="s">
        <v>3</v>
      </c>
    </row>
    <row r="74" spans="1:91" s="7" customFormat="1" ht="14.45" customHeight="1">
      <c r="A74" s="345"/>
      <c r="B74" s="346"/>
      <c r="C74" s="245"/>
      <c r="D74" s="688" t="s">
        <v>133</v>
      </c>
      <c r="E74" s="688"/>
      <c r="F74" s="688"/>
      <c r="G74" s="688"/>
      <c r="H74" s="688"/>
      <c r="I74" s="650"/>
      <c r="J74" s="688" t="s">
        <v>134</v>
      </c>
      <c r="K74" s="688"/>
      <c r="L74" s="688"/>
      <c r="M74" s="688"/>
      <c r="N74" s="688"/>
      <c r="O74" s="688"/>
      <c r="P74" s="688"/>
      <c r="Q74" s="688"/>
      <c r="R74" s="688"/>
      <c r="S74" s="688"/>
      <c r="T74" s="688"/>
      <c r="U74" s="688"/>
      <c r="V74" s="688"/>
      <c r="W74" s="688"/>
      <c r="X74" s="688"/>
      <c r="Y74" s="688"/>
      <c r="Z74" s="688"/>
      <c r="AA74" s="688"/>
      <c r="AB74" s="688"/>
      <c r="AC74" s="688"/>
      <c r="AD74" s="688"/>
      <c r="AE74" s="688"/>
      <c r="AF74" s="688"/>
      <c r="AG74" s="702">
        <f>ROUND(AG75,2)</f>
        <v>0</v>
      </c>
      <c r="AH74" s="695"/>
      <c r="AI74" s="695"/>
      <c r="AJ74" s="695"/>
      <c r="AK74" s="695"/>
      <c r="AL74" s="695"/>
      <c r="AM74" s="695"/>
      <c r="AN74" s="694">
        <f t="shared" si="0"/>
        <v>0</v>
      </c>
      <c r="AO74" s="695"/>
      <c r="AP74" s="695"/>
      <c r="AQ74" s="352" t="s">
        <v>133</v>
      </c>
      <c r="AR74" s="47"/>
      <c r="AS74" s="48">
        <f>ROUND(AS75,2)</f>
        <v>0</v>
      </c>
      <c r="AT74" s="49">
        <f t="shared" si="1"/>
        <v>0</v>
      </c>
      <c r="AU74" s="50">
        <f>ROUND(AU75,5)</f>
        <v>0</v>
      </c>
      <c r="AV74" s="49">
        <f>ROUND(AZ74*L29,2)</f>
        <v>0</v>
      </c>
      <c r="AW74" s="49">
        <f>ROUND(BA74*L30,2)</f>
        <v>0</v>
      </c>
      <c r="AX74" s="49">
        <f>ROUND(BB74*L29,2)</f>
        <v>0</v>
      </c>
      <c r="AY74" s="49">
        <f>ROUND(BC74*L30,2)</f>
        <v>0</v>
      </c>
      <c r="AZ74" s="49">
        <f>ROUND(AZ75,2)</f>
        <v>0</v>
      </c>
      <c r="BA74" s="49">
        <f>ROUND(BA75,2)</f>
        <v>0</v>
      </c>
      <c r="BB74" s="49">
        <f>ROUND(BB75,2)</f>
        <v>0</v>
      </c>
      <c r="BC74" s="49">
        <f>ROUND(BC75,2)</f>
        <v>0</v>
      </c>
      <c r="BD74" s="51">
        <f>ROUND(BD75,2)</f>
        <v>0</v>
      </c>
      <c r="BS74" s="52" t="s">
        <v>67</v>
      </c>
      <c r="BT74" s="52" t="s">
        <v>75</v>
      </c>
      <c r="BU74" s="52" t="s">
        <v>69</v>
      </c>
      <c r="BV74" s="52" t="s">
        <v>70</v>
      </c>
      <c r="BW74" s="52" t="s">
        <v>135</v>
      </c>
      <c r="BX74" s="52" t="s">
        <v>5</v>
      </c>
      <c r="CL74" s="52" t="s">
        <v>3</v>
      </c>
      <c r="CM74" s="52" t="s">
        <v>77</v>
      </c>
    </row>
    <row r="75" spans="1:91" s="4" customFormat="1" ht="24" customHeight="1">
      <c r="A75" s="347" t="s">
        <v>78</v>
      </c>
      <c r="B75" s="348"/>
      <c r="C75" s="649"/>
      <c r="D75" s="649"/>
      <c r="E75" s="682" t="s">
        <v>133</v>
      </c>
      <c r="F75" s="682"/>
      <c r="G75" s="682"/>
      <c r="H75" s="682"/>
      <c r="I75" s="682"/>
      <c r="J75" s="649"/>
      <c r="K75" s="682" t="s">
        <v>136</v>
      </c>
      <c r="L75" s="682"/>
      <c r="M75" s="682"/>
      <c r="N75" s="682"/>
      <c r="O75" s="682"/>
      <c r="P75" s="682"/>
      <c r="Q75" s="682"/>
      <c r="R75" s="682"/>
      <c r="S75" s="682"/>
      <c r="T75" s="682"/>
      <c r="U75" s="682"/>
      <c r="V75" s="682"/>
      <c r="W75" s="682"/>
      <c r="X75" s="682"/>
      <c r="Y75" s="682"/>
      <c r="Z75" s="682"/>
      <c r="AA75" s="682"/>
      <c r="AB75" s="682"/>
      <c r="AC75" s="682"/>
      <c r="AD75" s="682"/>
      <c r="AE75" s="682"/>
      <c r="AF75" s="682"/>
      <c r="AG75" s="683">
        <f>'VON - Soupis prací - Vedl...'!J32</f>
        <v>0</v>
      </c>
      <c r="AH75" s="684"/>
      <c r="AI75" s="684"/>
      <c r="AJ75" s="684"/>
      <c r="AK75" s="684"/>
      <c r="AL75" s="684"/>
      <c r="AM75" s="684"/>
      <c r="AN75" s="683">
        <f t="shared" si="0"/>
        <v>0</v>
      </c>
      <c r="AO75" s="684"/>
      <c r="AP75" s="684"/>
      <c r="AQ75" s="353" t="s">
        <v>81</v>
      </c>
      <c r="AR75" s="28"/>
      <c r="AS75" s="57">
        <v>0</v>
      </c>
      <c r="AT75" s="58">
        <f t="shared" si="1"/>
        <v>0</v>
      </c>
      <c r="AU75" s="59">
        <f>'VON - Soupis prací - Vedl...'!P91</f>
        <v>0</v>
      </c>
      <c r="AV75" s="58">
        <f>'VON - Soupis prací - Vedl...'!J35</f>
        <v>0</v>
      </c>
      <c r="AW75" s="58">
        <f>'VON - Soupis prací - Vedl...'!J36</f>
        <v>0</v>
      </c>
      <c r="AX75" s="58">
        <f>'VON - Soupis prací - Vedl...'!J37</f>
        <v>0</v>
      </c>
      <c r="AY75" s="58">
        <f>'VON - Soupis prací - Vedl...'!J38</f>
        <v>0</v>
      </c>
      <c r="AZ75" s="58">
        <f>'VON - Soupis prací - Vedl...'!F35</f>
        <v>0</v>
      </c>
      <c r="BA75" s="58">
        <f>'VON - Soupis prací - Vedl...'!F36</f>
        <v>0</v>
      </c>
      <c r="BB75" s="58">
        <f>'VON - Soupis prací - Vedl...'!F37</f>
        <v>0</v>
      </c>
      <c r="BC75" s="58">
        <f>'VON - Soupis prací - Vedl...'!F38</f>
        <v>0</v>
      </c>
      <c r="BD75" s="60">
        <f>'VON - Soupis prací - Vedl...'!F39</f>
        <v>0</v>
      </c>
      <c r="BT75" s="22" t="s">
        <v>77</v>
      </c>
      <c r="BV75" s="22" t="s">
        <v>70</v>
      </c>
      <c r="BW75" s="22" t="s">
        <v>137</v>
      </c>
      <c r="BX75" s="22" t="s">
        <v>135</v>
      </c>
      <c r="CL75" s="22" t="s">
        <v>3</v>
      </c>
    </row>
    <row r="76" spans="1:91" s="2" customFormat="1" ht="30" customHeight="1">
      <c r="A76" s="271"/>
      <c r="B76" s="270"/>
      <c r="C76" s="662"/>
      <c r="D76" s="662"/>
      <c r="E76" s="662"/>
      <c r="F76" s="662"/>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2"/>
      <c r="AL76" s="662"/>
      <c r="AM76" s="662"/>
      <c r="AN76" s="662"/>
      <c r="AO76" s="662"/>
      <c r="AP76" s="662"/>
      <c r="AQ76" s="662"/>
      <c r="AR76" s="24"/>
      <c r="AS76" s="23"/>
      <c r="AT76" s="23"/>
      <c r="AU76" s="23"/>
      <c r="AV76" s="23"/>
      <c r="AW76" s="23"/>
      <c r="AX76" s="23"/>
      <c r="AY76" s="23"/>
      <c r="AZ76" s="23"/>
      <c r="BA76" s="23"/>
      <c r="BB76" s="23"/>
      <c r="BC76" s="23"/>
      <c r="BD76" s="23"/>
      <c r="BE76" s="23"/>
    </row>
    <row r="77" spans="1:91" s="2" customFormat="1" ht="6.95" customHeight="1">
      <c r="A77" s="269"/>
      <c r="B77" s="286"/>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7"/>
      <c r="AH77" s="27"/>
      <c r="AI77" s="27"/>
      <c r="AJ77" s="27"/>
      <c r="AK77" s="27"/>
      <c r="AL77" s="27"/>
      <c r="AM77" s="27"/>
      <c r="AN77" s="27"/>
      <c r="AO77" s="27"/>
      <c r="AP77" s="27"/>
      <c r="AQ77" s="27"/>
      <c r="AR77" s="24"/>
      <c r="AS77" s="23"/>
      <c r="AT77" s="23"/>
      <c r="AU77" s="23"/>
      <c r="AV77" s="23"/>
      <c r="AW77" s="23"/>
      <c r="AX77" s="23"/>
      <c r="AY77" s="23"/>
      <c r="AZ77" s="23"/>
      <c r="BA77" s="23"/>
      <c r="BB77" s="23"/>
      <c r="BC77" s="23"/>
      <c r="BD77" s="23"/>
      <c r="BE77" s="23"/>
    </row>
  </sheetData>
  <sheetProtection password="CAB1" sheet="1" objects="1" scenarios="1"/>
  <mergeCells count="120">
    <mergeCell ref="AN69:AP69"/>
    <mergeCell ref="AN68:AP68"/>
    <mergeCell ref="AN70:AP70"/>
    <mergeCell ref="AN71:AP71"/>
    <mergeCell ref="AN72:AP72"/>
    <mergeCell ref="AN73:AP73"/>
    <mergeCell ref="AN74:AP74"/>
    <mergeCell ref="AN75:AP75"/>
    <mergeCell ref="K5:AO5"/>
    <mergeCell ref="K6:AO6"/>
    <mergeCell ref="AK31:AO31"/>
    <mergeCell ref="L31:P31"/>
    <mergeCell ref="AK32:AO32"/>
    <mergeCell ref="L32:P32"/>
    <mergeCell ref="AK33:AO33"/>
    <mergeCell ref="L33:P33"/>
    <mergeCell ref="W32:AE32"/>
    <mergeCell ref="W31:AE31"/>
    <mergeCell ref="W33:AE33"/>
    <mergeCell ref="X35:AB35"/>
    <mergeCell ref="AK35:AO35"/>
    <mergeCell ref="L72:AF72"/>
    <mergeCell ref="K73:AF73"/>
    <mergeCell ref="J74:AF74"/>
    <mergeCell ref="AR2:BE2"/>
    <mergeCell ref="E23:AN23"/>
    <mergeCell ref="AK26:AO26"/>
    <mergeCell ref="L28:P28"/>
    <mergeCell ref="W28:AE28"/>
    <mergeCell ref="AK28:AO28"/>
    <mergeCell ref="AK29:AO29"/>
    <mergeCell ref="L29:P29"/>
    <mergeCell ref="AK30:AO30"/>
    <mergeCell ref="L30:P30"/>
    <mergeCell ref="W29:AE29"/>
    <mergeCell ref="W30:AE30"/>
    <mergeCell ref="F70:J70"/>
    <mergeCell ref="F69:J69"/>
    <mergeCell ref="F71:J71"/>
    <mergeCell ref="F72:J72"/>
    <mergeCell ref="E73:I73"/>
    <mergeCell ref="D74:H74"/>
    <mergeCell ref="E75:I75"/>
    <mergeCell ref="AG67:AM67"/>
    <mergeCell ref="AG65:AM65"/>
    <mergeCell ref="AG66:AM66"/>
    <mergeCell ref="AG68:AM68"/>
    <mergeCell ref="AG69:AM69"/>
    <mergeCell ref="AG70:AM70"/>
    <mergeCell ref="AG71:AM71"/>
    <mergeCell ref="AG72:AM72"/>
    <mergeCell ref="AG73:AM73"/>
    <mergeCell ref="AG74:AM74"/>
    <mergeCell ref="AG75:AM75"/>
    <mergeCell ref="K67:AF67"/>
    <mergeCell ref="K66:AF66"/>
    <mergeCell ref="L68:AF68"/>
    <mergeCell ref="L69:AF69"/>
    <mergeCell ref="L70:AF70"/>
    <mergeCell ref="L71:AF71"/>
    <mergeCell ref="K75:AF75"/>
    <mergeCell ref="AM49:AP49"/>
    <mergeCell ref="AS49:AT51"/>
    <mergeCell ref="AM50:AP50"/>
    <mergeCell ref="AG55:AM55"/>
    <mergeCell ref="AG56:AM56"/>
    <mergeCell ref="AG57:AM57"/>
    <mergeCell ref="AG58:AM58"/>
    <mergeCell ref="AG59:AM59"/>
    <mergeCell ref="AG60:AM60"/>
    <mergeCell ref="AG61:AM61"/>
    <mergeCell ref="AG62:AM62"/>
    <mergeCell ref="AG63:AM63"/>
    <mergeCell ref="AG64:AM64"/>
    <mergeCell ref="AG54:AM54"/>
    <mergeCell ref="K60:AF60"/>
    <mergeCell ref="K61:AF61"/>
    <mergeCell ref="L62:AF62"/>
    <mergeCell ref="L63:AF63"/>
    <mergeCell ref="L64:AF64"/>
    <mergeCell ref="L65:AF65"/>
    <mergeCell ref="AN60:AP60"/>
    <mergeCell ref="AN61:AP61"/>
    <mergeCell ref="AN62:AP62"/>
    <mergeCell ref="L45:AO45"/>
    <mergeCell ref="AM47:AN47"/>
    <mergeCell ref="I52:AF52"/>
    <mergeCell ref="AG52:AM52"/>
    <mergeCell ref="J55:AF55"/>
    <mergeCell ref="K56:AF56"/>
    <mergeCell ref="J57:AF57"/>
    <mergeCell ref="K58:AF58"/>
    <mergeCell ref="K59:AF59"/>
    <mergeCell ref="AN52:AP52"/>
    <mergeCell ref="AN55:AP55"/>
    <mergeCell ref="AN56:AP56"/>
    <mergeCell ref="AN57:AP57"/>
    <mergeCell ref="AN58:AP58"/>
    <mergeCell ref="AN59:AP59"/>
    <mergeCell ref="F68:J68"/>
    <mergeCell ref="AN63:AP63"/>
    <mergeCell ref="AN64:AP64"/>
    <mergeCell ref="AN65:AP65"/>
    <mergeCell ref="AN66:AP66"/>
    <mergeCell ref="AN67:AP67"/>
    <mergeCell ref="AN54:AP54"/>
    <mergeCell ref="C52:G52"/>
    <mergeCell ref="E60:I60"/>
    <mergeCell ref="D55:H55"/>
    <mergeCell ref="E56:I56"/>
    <mergeCell ref="D57:H57"/>
    <mergeCell ref="E58:I58"/>
    <mergeCell ref="E59:I59"/>
    <mergeCell ref="E61:I61"/>
    <mergeCell ref="F62:J62"/>
    <mergeCell ref="F63:J63"/>
    <mergeCell ref="F64:J64"/>
    <mergeCell ref="F65:J65"/>
    <mergeCell ref="E66:I66"/>
    <mergeCell ref="E67:I67"/>
  </mergeCells>
  <hyperlinks>
    <hyperlink ref="A56" location="'D.1.1.1 - Soupis prací - ...'!C2" display="/"/>
    <hyperlink ref="A58" location="'D.1.4.01 - Soupis prací -...'!C2" display="/"/>
    <hyperlink ref="A59" location="'D.1.4.02 - Soupis prací -...'!C2" display="/"/>
    <hyperlink ref="A60" location="'D.1.4.03 - Soupis prací -...'!C2" display="/"/>
    <hyperlink ref="A62" location="'D.1.4.04.1 - Soupis prací...'!C2" display="/"/>
    <hyperlink ref="A63" location="'D.1.4.04.2 - Soupis prací...'!C2" display="/"/>
    <hyperlink ref="A64" location="'D.1.4.04.3 - Soupis prací...'!C2" display="/"/>
    <hyperlink ref="A65" location="'D.1.4.04.4 - Soupis prací...'!C2" display="/"/>
    <hyperlink ref="A66" location="'D.1.4.05 - Soupis prací -...'!C2" display="/"/>
    <hyperlink ref="A68" location="'D.1.4.06.1 - Soupis prací...'!C2" display="/"/>
    <hyperlink ref="A69" location="'D.1.4.06.2 - Soupis prací...'!C2" display="/"/>
    <hyperlink ref="A70" location="'D.1.4.06.3 - Soupis prací...'!C2" display="/"/>
    <hyperlink ref="A71" location="'D.1.4.06.4 - Soupis prací...'!C2" display="/"/>
    <hyperlink ref="A72" location="'D.1.4.06.5 - Soupis prací...'!C2" display="/"/>
    <hyperlink ref="A73" location="'D.1.4.07 - Soupis prací -...'!C2" display="/"/>
    <hyperlink ref="A75" location="'VON - Soupis prací - Vedl...'!C2" display="/"/>
  </hyperlink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BM1205"/>
  <sheetViews>
    <sheetView showGridLines="0" topLeftCell="A97" workbookViewId="0">
      <selection activeCell="C125" sqref="C125"/>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0.3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56">
      <c r="A1" s="61"/>
      <c r="B1" s="61"/>
      <c r="C1" s="61"/>
      <c r="D1" s="61"/>
      <c r="E1" s="61"/>
      <c r="F1" s="61"/>
      <c r="G1" s="61"/>
      <c r="H1" s="61"/>
      <c r="I1" s="61"/>
      <c r="J1" s="61"/>
      <c r="K1" s="61"/>
    </row>
    <row r="2" spans="1:5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82</v>
      </c>
      <c r="AZ2" s="62" t="s">
        <v>138</v>
      </c>
      <c r="BA2" s="62" t="s">
        <v>138</v>
      </c>
      <c r="BB2" s="62" t="s">
        <v>3</v>
      </c>
      <c r="BC2" s="62" t="s">
        <v>139</v>
      </c>
      <c r="BD2" s="62" t="s">
        <v>77</v>
      </c>
    </row>
    <row r="3" spans="1:56" s="1" customFormat="1" ht="6.95" customHeight="1">
      <c r="A3" s="61"/>
      <c r="B3" s="263"/>
      <c r="C3" s="264"/>
      <c r="D3" s="264"/>
      <c r="E3" s="264"/>
      <c r="F3" s="264"/>
      <c r="G3" s="264"/>
      <c r="H3" s="264"/>
      <c r="I3" s="264"/>
      <c r="J3" s="264"/>
      <c r="K3" s="264"/>
      <c r="L3" s="20"/>
      <c r="AT3" s="19" t="s">
        <v>77</v>
      </c>
      <c r="AZ3" s="62" t="s">
        <v>140</v>
      </c>
      <c r="BA3" s="62" t="s">
        <v>140</v>
      </c>
      <c r="BB3" s="62" t="s">
        <v>3</v>
      </c>
      <c r="BC3" s="62" t="s">
        <v>141</v>
      </c>
      <c r="BD3" s="62" t="s">
        <v>77</v>
      </c>
    </row>
    <row r="4" spans="1:56" s="1" customFormat="1" ht="24.95" customHeight="1">
      <c r="A4" s="61"/>
      <c r="B4" s="265"/>
      <c r="C4" s="61"/>
      <c r="D4" s="266" t="s">
        <v>142</v>
      </c>
      <c r="E4" s="61"/>
      <c r="F4" s="61"/>
      <c r="G4" s="61"/>
      <c r="H4" s="61"/>
      <c r="I4" s="61"/>
      <c r="J4" s="61"/>
      <c r="K4" s="61"/>
      <c r="L4" s="20"/>
      <c r="M4" s="63" t="s">
        <v>11</v>
      </c>
      <c r="AT4" s="19" t="s">
        <v>4</v>
      </c>
      <c r="AZ4" s="62" t="s">
        <v>143</v>
      </c>
      <c r="BA4" s="62" t="s">
        <v>143</v>
      </c>
      <c r="BB4" s="62" t="s">
        <v>3</v>
      </c>
      <c r="BC4" s="62" t="s">
        <v>144</v>
      </c>
      <c r="BD4" s="62" t="s">
        <v>77</v>
      </c>
    </row>
    <row r="5" spans="1:56" s="1" customFormat="1" ht="6.95" customHeight="1">
      <c r="A5" s="61"/>
      <c r="B5" s="265"/>
      <c r="C5" s="61"/>
      <c r="D5" s="61"/>
      <c r="E5" s="61"/>
      <c r="F5" s="61"/>
      <c r="G5" s="61"/>
      <c r="H5" s="61"/>
      <c r="I5" s="61"/>
      <c r="J5" s="61"/>
      <c r="K5" s="61"/>
      <c r="L5" s="20"/>
      <c r="AZ5" s="62" t="s">
        <v>145</v>
      </c>
      <c r="BA5" s="62" t="s">
        <v>145</v>
      </c>
      <c r="BB5" s="62" t="s">
        <v>3</v>
      </c>
      <c r="BC5" s="62" t="s">
        <v>146</v>
      </c>
      <c r="BD5" s="62" t="s">
        <v>77</v>
      </c>
    </row>
    <row r="6" spans="1:56" s="1" customFormat="1" ht="12" customHeight="1">
      <c r="A6" s="61"/>
      <c r="B6" s="265"/>
      <c r="C6" s="61"/>
      <c r="D6" s="268" t="s">
        <v>15</v>
      </c>
      <c r="E6" s="61"/>
      <c r="F6" s="61"/>
      <c r="G6" s="61"/>
      <c r="H6" s="61"/>
      <c r="I6" s="61"/>
      <c r="J6" s="61"/>
      <c r="K6" s="61"/>
      <c r="L6" s="20"/>
      <c r="AZ6" s="62" t="s">
        <v>147</v>
      </c>
      <c r="BA6" s="62" t="s">
        <v>147</v>
      </c>
      <c r="BB6" s="62" t="s">
        <v>3</v>
      </c>
      <c r="BC6" s="62" t="s">
        <v>148</v>
      </c>
      <c r="BD6" s="62" t="s">
        <v>77</v>
      </c>
    </row>
    <row r="7" spans="1:56" s="1" customFormat="1" ht="14.45" customHeight="1">
      <c r="A7" s="61"/>
      <c r="B7" s="265"/>
      <c r="C7" s="61"/>
      <c r="D7" s="61"/>
      <c r="E7" s="722" t="str">
        <f>'Rekapitulace stavby'!K6</f>
        <v>Úpravy gastroprovozu Úřadu vlády ČR v 1.pp Strakovy akademie</v>
      </c>
      <c r="F7" s="723"/>
      <c r="G7" s="723"/>
      <c r="H7" s="723"/>
      <c r="I7" s="61"/>
      <c r="J7" s="61"/>
      <c r="K7" s="61"/>
      <c r="L7" s="20"/>
      <c r="AZ7" s="62" t="s">
        <v>149</v>
      </c>
      <c r="BA7" s="62" t="s">
        <v>149</v>
      </c>
      <c r="BB7" s="62" t="s">
        <v>3</v>
      </c>
      <c r="BC7" s="62" t="s">
        <v>150</v>
      </c>
      <c r="BD7" s="62" t="s">
        <v>77</v>
      </c>
    </row>
    <row r="8" spans="1:56" s="1" customFormat="1" ht="12" customHeight="1">
      <c r="A8" s="61"/>
      <c r="B8" s="265"/>
      <c r="C8" s="61"/>
      <c r="D8" s="268" t="s">
        <v>151</v>
      </c>
      <c r="E8" s="61"/>
      <c r="F8" s="61"/>
      <c r="G8" s="61"/>
      <c r="H8" s="61"/>
      <c r="I8" s="61"/>
      <c r="J8" s="61"/>
      <c r="K8" s="61"/>
      <c r="L8" s="20"/>
      <c r="AZ8" s="62" t="s">
        <v>152</v>
      </c>
      <c r="BA8" s="62" t="s">
        <v>152</v>
      </c>
      <c r="BB8" s="62" t="s">
        <v>3</v>
      </c>
      <c r="BC8" s="62" t="s">
        <v>153</v>
      </c>
      <c r="BD8" s="62" t="s">
        <v>77</v>
      </c>
    </row>
    <row r="9" spans="1:56" s="2" customFormat="1" ht="14.45" customHeight="1">
      <c r="A9" s="271"/>
      <c r="B9" s="270"/>
      <c r="C9" s="271"/>
      <c r="D9" s="271"/>
      <c r="E9" s="722" t="s">
        <v>154</v>
      </c>
      <c r="F9" s="721"/>
      <c r="G9" s="721"/>
      <c r="H9" s="721"/>
      <c r="I9" s="271"/>
      <c r="J9" s="271"/>
      <c r="K9" s="271"/>
      <c r="L9" s="64"/>
      <c r="S9" s="23"/>
      <c r="T9" s="23"/>
      <c r="U9" s="23"/>
      <c r="V9" s="23"/>
      <c r="W9" s="23"/>
      <c r="X9" s="23"/>
      <c r="Y9" s="23"/>
      <c r="Z9" s="23"/>
      <c r="AA9" s="23"/>
      <c r="AB9" s="23"/>
      <c r="AC9" s="23"/>
      <c r="AD9" s="23"/>
      <c r="AE9" s="23"/>
      <c r="AZ9" s="62" t="s">
        <v>155</v>
      </c>
      <c r="BA9" s="62" t="s">
        <v>155</v>
      </c>
      <c r="BB9" s="62" t="s">
        <v>3</v>
      </c>
      <c r="BC9" s="62" t="s">
        <v>156</v>
      </c>
      <c r="BD9" s="62" t="s">
        <v>77</v>
      </c>
    </row>
    <row r="10" spans="1:56" s="2" customFormat="1" ht="12" customHeight="1">
      <c r="A10" s="271"/>
      <c r="B10" s="270"/>
      <c r="C10" s="271"/>
      <c r="D10" s="268" t="s">
        <v>157</v>
      </c>
      <c r="E10" s="271"/>
      <c r="F10" s="271"/>
      <c r="G10" s="271"/>
      <c r="H10" s="271"/>
      <c r="I10" s="271"/>
      <c r="J10" s="271"/>
      <c r="K10" s="271"/>
      <c r="L10" s="64"/>
      <c r="S10" s="23"/>
      <c r="T10" s="23"/>
      <c r="U10" s="23"/>
      <c r="V10" s="23"/>
      <c r="W10" s="23"/>
      <c r="X10" s="23"/>
      <c r="Y10" s="23"/>
      <c r="Z10" s="23"/>
      <c r="AA10" s="23"/>
      <c r="AB10" s="23"/>
      <c r="AC10" s="23"/>
      <c r="AD10" s="23"/>
      <c r="AE10" s="23"/>
      <c r="AZ10" s="62" t="s">
        <v>158</v>
      </c>
      <c r="BA10" s="62" t="s">
        <v>158</v>
      </c>
      <c r="BB10" s="62" t="s">
        <v>3</v>
      </c>
      <c r="BC10" s="62" t="s">
        <v>159</v>
      </c>
      <c r="BD10" s="62" t="s">
        <v>77</v>
      </c>
    </row>
    <row r="11" spans="1:56" s="2" customFormat="1" ht="14.45" customHeight="1">
      <c r="A11" s="271"/>
      <c r="B11" s="270"/>
      <c r="C11" s="271"/>
      <c r="D11" s="271"/>
      <c r="E11" s="689" t="s">
        <v>160</v>
      </c>
      <c r="F11" s="721"/>
      <c r="G11" s="721"/>
      <c r="H11" s="721"/>
      <c r="I11" s="271"/>
      <c r="J11" s="271"/>
      <c r="K11" s="271"/>
      <c r="L11" s="64"/>
      <c r="S11" s="23"/>
      <c r="T11" s="23"/>
      <c r="U11" s="23"/>
      <c r="V11" s="23"/>
      <c r="W11" s="23"/>
      <c r="X11" s="23"/>
      <c r="Y11" s="23"/>
      <c r="Z11" s="23"/>
      <c r="AA11" s="23"/>
      <c r="AB11" s="23"/>
      <c r="AC11" s="23"/>
      <c r="AD11" s="23"/>
      <c r="AE11" s="23"/>
      <c r="AZ11" s="62" t="s">
        <v>161</v>
      </c>
      <c r="BA11" s="62" t="s">
        <v>161</v>
      </c>
      <c r="BB11" s="62" t="s">
        <v>3</v>
      </c>
      <c r="BC11" s="62" t="s">
        <v>162</v>
      </c>
      <c r="BD11" s="62" t="s">
        <v>77</v>
      </c>
    </row>
    <row r="12" spans="1:56" s="2" customFormat="1">
      <c r="A12" s="271"/>
      <c r="B12" s="270"/>
      <c r="C12" s="271"/>
      <c r="D12" s="271"/>
      <c r="E12" s="271"/>
      <c r="F12" s="271"/>
      <c r="G12" s="271"/>
      <c r="H12" s="271"/>
      <c r="I12" s="271"/>
      <c r="J12" s="271"/>
      <c r="K12" s="271"/>
      <c r="L12" s="64"/>
      <c r="S12" s="23"/>
      <c r="T12" s="23"/>
      <c r="U12" s="23"/>
      <c r="V12" s="23"/>
      <c r="W12" s="23"/>
      <c r="X12" s="23"/>
      <c r="Y12" s="23"/>
      <c r="Z12" s="23"/>
      <c r="AA12" s="23"/>
      <c r="AB12" s="23"/>
      <c r="AC12" s="23"/>
      <c r="AD12" s="23"/>
      <c r="AE12" s="23"/>
      <c r="AZ12" s="62" t="s">
        <v>163</v>
      </c>
      <c r="BA12" s="62" t="s">
        <v>163</v>
      </c>
      <c r="BB12" s="62" t="s">
        <v>3</v>
      </c>
      <c r="BC12" s="62" t="s">
        <v>164</v>
      </c>
      <c r="BD12" s="62" t="s">
        <v>77</v>
      </c>
    </row>
    <row r="13" spans="1:56" s="2" customFormat="1" ht="12" customHeight="1">
      <c r="A13" s="271"/>
      <c r="B13" s="270"/>
      <c r="C13" s="271"/>
      <c r="D13" s="268" t="s">
        <v>17</v>
      </c>
      <c r="E13" s="271"/>
      <c r="F13" s="273" t="s">
        <v>3</v>
      </c>
      <c r="G13" s="271"/>
      <c r="H13" s="271"/>
      <c r="I13" s="268" t="s">
        <v>18</v>
      </c>
      <c r="J13" s="273" t="s">
        <v>3</v>
      </c>
      <c r="K13" s="271"/>
      <c r="L13" s="64"/>
      <c r="S13" s="23"/>
      <c r="T13" s="23"/>
      <c r="U13" s="23"/>
      <c r="V13" s="23"/>
      <c r="W13" s="23"/>
      <c r="X13" s="23"/>
      <c r="Y13" s="23"/>
      <c r="Z13" s="23"/>
      <c r="AA13" s="23"/>
      <c r="AB13" s="23"/>
      <c r="AC13" s="23"/>
      <c r="AD13" s="23"/>
      <c r="AE13" s="23"/>
      <c r="AZ13" s="62" t="s">
        <v>165</v>
      </c>
      <c r="BA13" s="62" t="s">
        <v>165</v>
      </c>
      <c r="BB13" s="62" t="s">
        <v>3</v>
      </c>
      <c r="BC13" s="62" t="s">
        <v>166</v>
      </c>
      <c r="BD13" s="62" t="s">
        <v>77</v>
      </c>
    </row>
    <row r="14" spans="1:56" s="2" customFormat="1" ht="12" customHeight="1">
      <c r="A14" s="271"/>
      <c r="B14" s="270"/>
      <c r="C14" s="271"/>
      <c r="D14" s="268" t="s">
        <v>19</v>
      </c>
      <c r="E14" s="271"/>
      <c r="F14" s="273" t="s">
        <v>27</v>
      </c>
      <c r="G14" s="271"/>
      <c r="H14" s="271"/>
      <c r="I14" s="268" t="s">
        <v>21</v>
      </c>
      <c r="J14" s="387">
        <f>'Rekapitulace stavby'!AN8</f>
        <v>44077</v>
      </c>
      <c r="K14" s="271"/>
      <c r="L14" s="64"/>
      <c r="S14" s="23"/>
      <c r="T14" s="23"/>
      <c r="U14" s="23"/>
      <c r="V14" s="23"/>
      <c r="W14" s="23"/>
      <c r="X14" s="23"/>
      <c r="Y14" s="23"/>
      <c r="Z14" s="23"/>
      <c r="AA14" s="23"/>
      <c r="AB14" s="23"/>
      <c r="AC14" s="23"/>
      <c r="AD14" s="23"/>
      <c r="AE14" s="23"/>
    </row>
    <row r="15" spans="1:56" s="2" customFormat="1" ht="10.9" customHeight="1">
      <c r="A15" s="271"/>
      <c r="B15" s="270"/>
      <c r="C15" s="271"/>
      <c r="D15" s="271"/>
      <c r="E15" s="271"/>
      <c r="F15" s="271"/>
      <c r="G15" s="271"/>
      <c r="H15" s="271"/>
      <c r="I15" s="271"/>
      <c r="J15" s="271"/>
      <c r="K15" s="271"/>
      <c r="L15" s="64"/>
      <c r="S15" s="23"/>
      <c r="T15" s="23"/>
      <c r="U15" s="23"/>
      <c r="V15" s="23"/>
      <c r="W15" s="23"/>
      <c r="X15" s="23"/>
      <c r="Y15" s="23"/>
      <c r="Z15" s="23"/>
      <c r="AA15" s="23"/>
      <c r="AB15" s="23"/>
      <c r="AC15" s="23"/>
      <c r="AD15" s="23"/>
      <c r="AE15" s="23"/>
    </row>
    <row r="16" spans="1:56" s="2" customFormat="1" ht="12" customHeight="1">
      <c r="A16" s="271"/>
      <c r="B16" s="270"/>
      <c r="C16" s="271"/>
      <c r="D16" s="268" t="s">
        <v>22</v>
      </c>
      <c r="E16" s="271"/>
      <c r="F16" s="271"/>
      <c r="G16" s="271"/>
      <c r="H16" s="271"/>
      <c r="I16" s="268" t="s">
        <v>23</v>
      </c>
      <c r="J16" s="273" t="s">
        <v>3</v>
      </c>
      <c r="K16" s="271"/>
      <c r="L16" s="64"/>
      <c r="S16" s="23"/>
      <c r="T16" s="23"/>
      <c r="U16" s="23"/>
      <c r="V16" s="23"/>
      <c r="W16" s="23"/>
      <c r="X16" s="23"/>
      <c r="Y16" s="23"/>
      <c r="Z16" s="23"/>
      <c r="AA16" s="23"/>
      <c r="AB16" s="23"/>
      <c r="AC16" s="23"/>
      <c r="AD16" s="23"/>
      <c r="AE16" s="23"/>
    </row>
    <row r="17" spans="1:31" s="2" customFormat="1" ht="18" customHeight="1">
      <c r="A17" s="271"/>
      <c r="B17" s="270"/>
      <c r="C17" s="271"/>
      <c r="D17" s="271"/>
      <c r="E17" s="273" t="s">
        <v>24</v>
      </c>
      <c r="F17" s="271"/>
      <c r="G17" s="271"/>
      <c r="H17" s="271"/>
      <c r="I17" s="268" t="s">
        <v>25</v>
      </c>
      <c r="J17" s="273" t="s">
        <v>3</v>
      </c>
      <c r="K17" s="271"/>
      <c r="L17" s="64"/>
      <c r="S17" s="23"/>
      <c r="T17" s="23"/>
      <c r="U17" s="23"/>
      <c r="V17" s="23"/>
      <c r="W17" s="23"/>
      <c r="X17" s="23"/>
      <c r="Y17" s="23"/>
      <c r="Z17" s="23"/>
      <c r="AA17" s="23"/>
      <c r="AB17" s="23"/>
      <c r="AC17" s="23"/>
      <c r="AD17" s="23"/>
      <c r="AE17" s="23"/>
    </row>
    <row r="18" spans="1:31" s="2" customFormat="1" ht="6.95" customHeight="1">
      <c r="A18" s="271"/>
      <c r="B18" s="270"/>
      <c r="C18" s="271"/>
      <c r="D18" s="271"/>
      <c r="E18" s="271"/>
      <c r="F18" s="271"/>
      <c r="G18" s="271"/>
      <c r="H18" s="271"/>
      <c r="I18" s="271"/>
      <c r="J18" s="271"/>
      <c r="K18" s="271"/>
      <c r="L18" s="64"/>
      <c r="S18" s="23"/>
      <c r="T18" s="23"/>
      <c r="U18" s="23"/>
      <c r="V18" s="23"/>
      <c r="W18" s="23"/>
      <c r="X18" s="23"/>
      <c r="Y18" s="23"/>
      <c r="Z18" s="23"/>
      <c r="AA18" s="23"/>
      <c r="AB18" s="23"/>
      <c r="AC18" s="23"/>
      <c r="AD18" s="23"/>
      <c r="AE18" s="23"/>
    </row>
    <row r="19" spans="1:31" s="2" customFormat="1" ht="12" customHeight="1">
      <c r="A19" s="271"/>
      <c r="B19" s="270"/>
      <c r="C19" s="271"/>
      <c r="D19" s="268" t="s">
        <v>26</v>
      </c>
      <c r="E19" s="271"/>
      <c r="F19" s="271"/>
      <c r="G19" s="271"/>
      <c r="H19" s="271"/>
      <c r="I19" s="268" t="s">
        <v>23</v>
      </c>
      <c r="J19" s="273" t="str">
        <f>'Rekapitulace stavby'!AN13</f>
        <v/>
      </c>
      <c r="K19" s="271"/>
      <c r="L19" s="64"/>
      <c r="S19" s="23"/>
      <c r="T19" s="23"/>
      <c r="U19" s="23"/>
      <c r="V19" s="23"/>
      <c r="W19" s="23"/>
      <c r="X19" s="23"/>
      <c r="Y19" s="23"/>
      <c r="Z19" s="23"/>
      <c r="AA19" s="23"/>
      <c r="AB19" s="23"/>
      <c r="AC19" s="23"/>
      <c r="AD19" s="23"/>
      <c r="AE19" s="23"/>
    </row>
    <row r="20" spans="1:31" s="2" customFormat="1" ht="18" customHeight="1">
      <c r="A20" s="271"/>
      <c r="B20" s="270"/>
      <c r="C20" s="271"/>
      <c r="D20" s="271"/>
      <c r="E20" s="714" t="str">
        <f>'Rekapitulace stavby'!E14</f>
        <v xml:space="preserve"> </v>
      </c>
      <c r="F20" s="714"/>
      <c r="G20" s="714"/>
      <c r="H20" s="714"/>
      <c r="I20" s="268" t="s">
        <v>25</v>
      </c>
      <c r="J20" s="273" t="str">
        <f>'Rekapitulace stavby'!AN14</f>
        <v/>
      </c>
      <c r="K20" s="271"/>
      <c r="L20" s="64"/>
      <c r="S20" s="23"/>
      <c r="T20" s="23"/>
      <c r="U20" s="23"/>
      <c r="V20" s="23"/>
      <c r="W20" s="23"/>
      <c r="X20" s="23"/>
      <c r="Y20" s="23"/>
      <c r="Z20" s="23"/>
      <c r="AA20" s="23"/>
      <c r="AB20" s="23"/>
      <c r="AC20" s="23"/>
      <c r="AD20" s="23"/>
      <c r="AE20" s="23"/>
    </row>
    <row r="21" spans="1:31" s="2" customFormat="1" ht="6.95" customHeight="1">
      <c r="A21" s="271"/>
      <c r="B21" s="270"/>
      <c r="C21" s="271"/>
      <c r="D21" s="271"/>
      <c r="E21" s="271"/>
      <c r="F21" s="271"/>
      <c r="G21" s="271"/>
      <c r="H21" s="271"/>
      <c r="I21" s="271"/>
      <c r="J21" s="271"/>
      <c r="K21" s="271"/>
      <c r="L21" s="64"/>
      <c r="S21" s="23"/>
      <c r="T21" s="23"/>
      <c r="U21" s="23"/>
      <c r="V21" s="23"/>
      <c r="W21" s="23"/>
      <c r="X21" s="23"/>
      <c r="Y21" s="23"/>
      <c r="Z21" s="23"/>
      <c r="AA21" s="23"/>
      <c r="AB21" s="23"/>
      <c r="AC21" s="23"/>
      <c r="AD21" s="23"/>
      <c r="AE21" s="23"/>
    </row>
    <row r="22" spans="1:31" s="2" customFormat="1" ht="12" customHeight="1">
      <c r="A22" s="271"/>
      <c r="B22" s="270"/>
      <c r="C22" s="271"/>
      <c r="D22" s="268" t="s">
        <v>28</v>
      </c>
      <c r="E22" s="271"/>
      <c r="F22" s="271"/>
      <c r="G22" s="271"/>
      <c r="H22" s="271"/>
      <c r="I22" s="268" t="s">
        <v>23</v>
      </c>
      <c r="J22" s="273" t="s">
        <v>3</v>
      </c>
      <c r="K22" s="271"/>
      <c r="L22" s="64"/>
      <c r="S22" s="23"/>
      <c r="T22" s="23"/>
      <c r="U22" s="23"/>
      <c r="V22" s="23"/>
      <c r="W22" s="23"/>
      <c r="X22" s="23"/>
      <c r="Y22" s="23"/>
      <c r="Z22" s="23"/>
      <c r="AA22" s="23"/>
      <c r="AB22" s="23"/>
      <c r="AC22" s="23"/>
      <c r="AD22" s="23"/>
      <c r="AE22" s="23"/>
    </row>
    <row r="23" spans="1:31" s="2" customFormat="1" ht="18" customHeight="1">
      <c r="A23" s="271"/>
      <c r="B23" s="270"/>
      <c r="C23" s="271"/>
      <c r="D23" s="271"/>
      <c r="E23" s="273" t="s">
        <v>29</v>
      </c>
      <c r="F23" s="271"/>
      <c r="G23" s="271"/>
      <c r="H23" s="271"/>
      <c r="I23" s="268" t="s">
        <v>25</v>
      </c>
      <c r="J23" s="273" t="s">
        <v>3</v>
      </c>
      <c r="K23" s="271"/>
      <c r="L23" s="64"/>
      <c r="S23" s="23"/>
      <c r="T23" s="23"/>
      <c r="U23" s="23"/>
      <c r="V23" s="23"/>
      <c r="W23" s="23"/>
      <c r="X23" s="23"/>
      <c r="Y23" s="23"/>
      <c r="Z23" s="23"/>
      <c r="AA23" s="23"/>
      <c r="AB23" s="23"/>
      <c r="AC23" s="23"/>
      <c r="AD23" s="23"/>
      <c r="AE23" s="23"/>
    </row>
    <row r="24" spans="1:31" s="2" customFormat="1" ht="6.95" customHeight="1">
      <c r="A24" s="271"/>
      <c r="B24" s="270"/>
      <c r="C24" s="271"/>
      <c r="D24" s="271"/>
      <c r="E24" s="271"/>
      <c r="F24" s="271"/>
      <c r="G24" s="271"/>
      <c r="H24" s="271"/>
      <c r="I24" s="271"/>
      <c r="J24" s="271"/>
      <c r="K24" s="271"/>
      <c r="L24" s="64"/>
      <c r="S24" s="23"/>
      <c r="T24" s="23"/>
      <c r="U24" s="23"/>
      <c r="V24" s="23"/>
      <c r="W24" s="23"/>
      <c r="X24" s="23"/>
      <c r="Y24" s="23"/>
      <c r="Z24" s="23"/>
      <c r="AA24" s="23"/>
      <c r="AB24" s="23"/>
      <c r="AC24" s="23"/>
      <c r="AD24" s="23"/>
      <c r="AE24" s="23"/>
    </row>
    <row r="25" spans="1:31" s="2" customFormat="1" ht="12" customHeight="1">
      <c r="A25" s="271"/>
      <c r="B25" s="270"/>
      <c r="C25" s="271"/>
      <c r="D25" s="268" t="s">
        <v>31</v>
      </c>
      <c r="E25" s="271"/>
      <c r="F25" s="271"/>
      <c r="G25" s="271"/>
      <c r="H25" s="271"/>
      <c r="I25" s="268" t="s">
        <v>23</v>
      </c>
      <c r="J25" s="273" t="s">
        <v>3</v>
      </c>
      <c r="K25" s="271"/>
      <c r="L25" s="64"/>
      <c r="S25" s="23"/>
      <c r="T25" s="23"/>
      <c r="U25" s="23"/>
      <c r="V25" s="23"/>
      <c r="W25" s="23"/>
      <c r="X25" s="23"/>
      <c r="Y25" s="23"/>
      <c r="Z25" s="23"/>
      <c r="AA25" s="23"/>
      <c r="AB25" s="23"/>
      <c r="AC25" s="23"/>
      <c r="AD25" s="23"/>
      <c r="AE25" s="23"/>
    </row>
    <row r="26" spans="1:31" s="2" customFormat="1" ht="18" customHeight="1">
      <c r="A26" s="271"/>
      <c r="B26" s="270"/>
      <c r="C26" s="271"/>
      <c r="D26" s="271"/>
      <c r="E26" s="273" t="s">
        <v>29</v>
      </c>
      <c r="F26" s="271"/>
      <c r="G26" s="271"/>
      <c r="H26" s="271"/>
      <c r="I26" s="268" t="s">
        <v>25</v>
      </c>
      <c r="J26" s="273" t="s">
        <v>3</v>
      </c>
      <c r="K26" s="271"/>
      <c r="L26" s="64"/>
      <c r="S26" s="23"/>
      <c r="T26" s="23"/>
      <c r="U26" s="23"/>
      <c r="V26" s="23"/>
      <c r="W26" s="23"/>
      <c r="X26" s="23"/>
      <c r="Y26" s="23"/>
      <c r="Z26" s="23"/>
      <c r="AA26" s="23"/>
      <c r="AB26" s="23"/>
      <c r="AC26" s="23"/>
      <c r="AD26" s="23"/>
      <c r="AE26" s="23"/>
    </row>
    <row r="27" spans="1:31" s="2" customFormat="1" ht="6.95" customHeight="1">
      <c r="A27" s="271"/>
      <c r="B27" s="270"/>
      <c r="C27" s="271"/>
      <c r="D27" s="271"/>
      <c r="E27" s="271"/>
      <c r="F27" s="271"/>
      <c r="G27" s="271"/>
      <c r="H27" s="271"/>
      <c r="I27" s="271"/>
      <c r="J27" s="271"/>
      <c r="K27" s="271"/>
      <c r="L27" s="64"/>
      <c r="S27" s="23"/>
      <c r="T27" s="23"/>
      <c r="U27" s="23"/>
      <c r="V27" s="23"/>
      <c r="W27" s="23"/>
      <c r="X27" s="23"/>
      <c r="Y27" s="23"/>
      <c r="Z27" s="23"/>
      <c r="AA27" s="23"/>
      <c r="AB27" s="23"/>
      <c r="AC27" s="23"/>
      <c r="AD27" s="23"/>
      <c r="AE27" s="23"/>
    </row>
    <row r="28" spans="1:31" s="2" customFormat="1" ht="12" customHeight="1">
      <c r="A28" s="271"/>
      <c r="B28" s="270"/>
      <c r="C28" s="271"/>
      <c r="D28" s="268" t="s">
        <v>32</v>
      </c>
      <c r="E28" s="271"/>
      <c r="F28" s="271"/>
      <c r="G28" s="271"/>
      <c r="H28" s="271"/>
      <c r="I28" s="271"/>
      <c r="J28" s="271"/>
      <c r="K28" s="271"/>
      <c r="L28" s="64"/>
      <c r="S28" s="23"/>
      <c r="T28" s="23"/>
      <c r="U28" s="23"/>
      <c r="V28" s="23"/>
      <c r="W28" s="23"/>
      <c r="X28" s="23"/>
      <c r="Y28" s="23"/>
      <c r="Z28" s="23"/>
      <c r="AA28" s="23"/>
      <c r="AB28" s="23"/>
      <c r="AC28" s="23"/>
      <c r="AD28" s="23"/>
      <c r="AE28" s="23"/>
    </row>
    <row r="29" spans="1:31" s="8" customFormat="1" ht="14.45" customHeight="1">
      <c r="A29" s="274"/>
      <c r="B29" s="275"/>
      <c r="C29" s="274"/>
      <c r="D29" s="274"/>
      <c r="E29" s="707" t="s">
        <v>3</v>
      </c>
      <c r="F29" s="707"/>
      <c r="G29" s="707"/>
      <c r="H29" s="707"/>
      <c r="I29" s="274"/>
      <c r="J29" s="274"/>
      <c r="K29" s="274"/>
      <c r="L29" s="66"/>
      <c r="S29" s="65"/>
      <c r="T29" s="65"/>
      <c r="U29" s="65"/>
      <c r="V29" s="65"/>
      <c r="W29" s="65"/>
      <c r="X29" s="65"/>
      <c r="Y29" s="65"/>
      <c r="Z29" s="65"/>
      <c r="AA29" s="65"/>
      <c r="AB29" s="65"/>
      <c r="AC29" s="65"/>
      <c r="AD29" s="65"/>
      <c r="AE29" s="65"/>
    </row>
    <row r="30" spans="1:31" s="2" customFormat="1" ht="6.95" customHeight="1">
      <c r="A30" s="271"/>
      <c r="B30" s="270"/>
      <c r="C30" s="271"/>
      <c r="D30" s="271"/>
      <c r="E30" s="271"/>
      <c r="F30" s="271"/>
      <c r="G30" s="271"/>
      <c r="H30" s="271"/>
      <c r="I30" s="271"/>
      <c r="J30" s="271"/>
      <c r="K30" s="271"/>
      <c r="L30" s="64"/>
      <c r="S30" s="23"/>
      <c r="T30" s="23"/>
      <c r="U30" s="23"/>
      <c r="V30" s="23"/>
      <c r="W30" s="23"/>
      <c r="X30" s="23"/>
      <c r="Y30" s="23"/>
      <c r="Z30" s="23"/>
      <c r="AA30" s="23"/>
      <c r="AB30" s="23"/>
      <c r="AC30" s="23"/>
      <c r="AD30" s="23"/>
      <c r="AE30" s="23"/>
    </row>
    <row r="31" spans="1:31" s="2" customFormat="1" ht="6.95" customHeight="1">
      <c r="A31" s="271"/>
      <c r="B31" s="270"/>
      <c r="C31" s="271"/>
      <c r="D31" s="276"/>
      <c r="E31" s="276"/>
      <c r="F31" s="276"/>
      <c r="G31" s="276"/>
      <c r="H31" s="276"/>
      <c r="I31" s="276"/>
      <c r="J31" s="276"/>
      <c r="K31" s="276"/>
      <c r="L31" s="64"/>
      <c r="S31" s="23"/>
      <c r="T31" s="23"/>
      <c r="U31" s="23"/>
      <c r="V31" s="23"/>
      <c r="W31" s="23"/>
      <c r="X31" s="23"/>
      <c r="Y31" s="23"/>
      <c r="Z31" s="23"/>
      <c r="AA31" s="23"/>
      <c r="AB31" s="23"/>
      <c r="AC31" s="23"/>
      <c r="AD31" s="23"/>
      <c r="AE31" s="23"/>
    </row>
    <row r="32" spans="1:31" s="2" customFormat="1" ht="25.35" customHeight="1">
      <c r="A32" s="271"/>
      <c r="B32" s="270"/>
      <c r="C32" s="271"/>
      <c r="D32" s="277" t="s">
        <v>34</v>
      </c>
      <c r="E32" s="271"/>
      <c r="F32" s="271"/>
      <c r="G32" s="271"/>
      <c r="H32" s="271"/>
      <c r="I32" s="271"/>
      <c r="J32" s="388">
        <f>ROUND(J115, 2)</f>
        <v>0</v>
      </c>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14.45" customHeight="1">
      <c r="A34" s="271"/>
      <c r="B34" s="270"/>
      <c r="C34" s="271"/>
      <c r="D34" s="271"/>
      <c r="E34" s="271"/>
      <c r="F34" s="278" t="s">
        <v>36</v>
      </c>
      <c r="G34" s="271"/>
      <c r="H34" s="271"/>
      <c r="I34" s="278" t="s">
        <v>35</v>
      </c>
      <c r="J34" s="278" t="s">
        <v>37</v>
      </c>
      <c r="K34" s="271"/>
      <c r="L34" s="64"/>
      <c r="S34" s="23"/>
      <c r="T34" s="23"/>
      <c r="U34" s="23"/>
      <c r="V34" s="23"/>
      <c r="W34" s="23"/>
      <c r="X34" s="23"/>
      <c r="Y34" s="23"/>
      <c r="Z34" s="23"/>
      <c r="AA34" s="23"/>
      <c r="AB34" s="23"/>
      <c r="AC34" s="23"/>
      <c r="AD34" s="23"/>
      <c r="AE34" s="23"/>
    </row>
    <row r="35" spans="1:31" s="2" customFormat="1" ht="14.45" customHeight="1">
      <c r="A35" s="271"/>
      <c r="B35" s="270"/>
      <c r="C35" s="271"/>
      <c r="D35" s="279" t="s">
        <v>38</v>
      </c>
      <c r="E35" s="268" t="s">
        <v>39</v>
      </c>
      <c r="F35" s="280">
        <f>ROUND((SUM(BE115:BE1204)),  2)</f>
        <v>0</v>
      </c>
      <c r="G35" s="271"/>
      <c r="H35" s="271"/>
      <c r="I35" s="389">
        <v>0.21</v>
      </c>
      <c r="J35" s="280">
        <f>ROUND(((SUM(BE115:BE1204))*I35),  2)</f>
        <v>0</v>
      </c>
      <c r="K35" s="271"/>
      <c r="L35" s="64"/>
      <c r="S35" s="23"/>
      <c r="T35" s="23"/>
      <c r="U35" s="23"/>
      <c r="V35" s="23"/>
      <c r="W35" s="23"/>
      <c r="X35" s="23"/>
      <c r="Y35" s="23"/>
      <c r="Z35" s="23"/>
      <c r="AA35" s="23"/>
      <c r="AB35" s="23"/>
      <c r="AC35" s="23"/>
      <c r="AD35" s="23"/>
      <c r="AE35" s="23"/>
    </row>
    <row r="36" spans="1:31" s="2" customFormat="1" ht="14.45" customHeight="1">
      <c r="A36" s="271"/>
      <c r="B36" s="270"/>
      <c r="C36" s="271"/>
      <c r="D36" s="271"/>
      <c r="E36" s="268" t="s">
        <v>40</v>
      </c>
      <c r="F36" s="280">
        <f>ROUND((SUM(BF115:BF1204)),  2)</f>
        <v>0</v>
      </c>
      <c r="G36" s="271"/>
      <c r="H36" s="271"/>
      <c r="I36" s="389">
        <v>0.15</v>
      </c>
      <c r="J36" s="280">
        <f>ROUND(((SUM(BF115:BF1204))*I36),  2)</f>
        <v>0</v>
      </c>
      <c r="K36" s="271"/>
      <c r="L36" s="64"/>
      <c r="S36" s="23"/>
      <c r="T36" s="23"/>
      <c r="U36" s="23"/>
      <c r="V36" s="23"/>
      <c r="W36" s="23"/>
      <c r="X36" s="23"/>
      <c r="Y36" s="23"/>
      <c r="Z36" s="23"/>
      <c r="AA36" s="23"/>
      <c r="AB36" s="23"/>
      <c r="AC36" s="23"/>
      <c r="AD36" s="23"/>
      <c r="AE36" s="23"/>
    </row>
    <row r="37" spans="1:31" s="2" customFormat="1" ht="14.45" hidden="1" customHeight="1">
      <c r="A37" s="271"/>
      <c r="B37" s="270"/>
      <c r="C37" s="271"/>
      <c r="D37" s="271"/>
      <c r="E37" s="268" t="s">
        <v>41</v>
      </c>
      <c r="F37" s="280">
        <f>ROUND((SUM(BG115:BG1204)),  2)</f>
        <v>0</v>
      </c>
      <c r="G37" s="271"/>
      <c r="H37" s="271"/>
      <c r="I37" s="389">
        <v>0.21</v>
      </c>
      <c r="J37" s="280">
        <f>0</f>
        <v>0</v>
      </c>
      <c r="K37" s="271"/>
      <c r="L37" s="64"/>
      <c r="S37" s="23"/>
      <c r="T37" s="23"/>
      <c r="U37" s="23"/>
      <c r="V37" s="23"/>
      <c r="W37" s="23"/>
      <c r="X37" s="23"/>
      <c r="Y37" s="23"/>
      <c r="Z37" s="23"/>
      <c r="AA37" s="23"/>
      <c r="AB37" s="23"/>
      <c r="AC37" s="23"/>
      <c r="AD37" s="23"/>
      <c r="AE37" s="23"/>
    </row>
    <row r="38" spans="1:31" s="2" customFormat="1" ht="14.45" hidden="1" customHeight="1">
      <c r="A38" s="271"/>
      <c r="B38" s="270"/>
      <c r="C38" s="271"/>
      <c r="D38" s="271"/>
      <c r="E38" s="268" t="s">
        <v>42</v>
      </c>
      <c r="F38" s="280">
        <f>ROUND((SUM(BH115:BH1204)),  2)</f>
        <v>0</v>
      </c>
      <c r="G38" s="271"/>
      <c r="H38" s="271"/>
      <c r="I38" s="389">
        <v>0.15</v>
      </c>
      <c r="J38" s="280">
        <f>0</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43</v>
      </c>
      <c r="F39" s="280">
        <f>ROUND((SUM(BI115:BI1204)),  2)</f>
        <v>0</v>
      </c>
      <c r="G39" s="271"/>
      <c r="H39" s="271"/>
      <c r="I39" s="389">
        <v>0</v>
      </c>
      <c r="J39" s="280">
        <f>0</f>
        <v>0</v>
      </c>
      <c r="K39" s="271"/>
      <c r="L39" s="64"/>
      <c r="S39" s="23"/>
      <c r="T39" s="23"/>
      <c r="U39" s="23"/>
      <c r="V39" s="23"/>
      <c r="W39" s="23"/>
      <c r="X39" s="23"/>
      <c r="Y39" s="23"/>
      <c r="Z39" s="23"/>
      <c r="AA39" s="23"/>
      <c r="AB39" s="23"/>
      <c r="AC39" s="23"/>
      <c r="AD39" s="23"/>
      <c r="AE39" s="23"/>
    </row>
    <row r="40" spans="1:31" s="2" customFormat="1" ht="6.95" customHeight="1">
      <c r="A40" s="271"/>
      <c r="B40" s="270"/>
      <c r="C40" s="271"/>
      <c r="D40" s="271"/>
      <c r="E40" s="271"/>
      <c r="F40" s="271"/>
      <c r="G40" s="271"/>
      <c r="H40" s="271"/>
      <c r="I40" s="271"/>
      <c r="J40" s="271"/>
      <c r="K40" s="271"/>
      <c r="L40" s="64"/>
      <c r="S40" s="23"/>
      <c r="T40" s="23"/>
      <c r="U40" s="23"/>
      <c r="V40" s="23"/>
      <c r="W40" s="23"/>
      <c r="X40" s="23"/>
      <c r="Y40" s="23"/>
      <c r="Z40" s="23"/>
      <c r="AA40" s="23"/>
      <c r="AB40" s="23"/>
      <c r="AC40" s="23"/>
      <c r="AD40" s="23"/>
      <c r="AE40" s="23"/>
    </row>
    <row r="41" spans="1:31" s="2" customFormat="1" ht="25.35" customHeight="1">
      <c r="A41" s="271"/>
      <c r="B41" s="270"/>
      <c r="C41" s="281"/>
      <c r="D41" s="282" t="s">
        <v>44</v>
      </c>
      <c r="E41" s="283"/>
      <c r="F41" s="283"/>
      <c r="G41" s="284" t="s">
        <v>45</v>
      </c>
      <c r="H41" s="285" t="s">
        <v>46</v>
      </c>
      <c r="I41" s="283"/>
      <c r="J41" s="390">
        <f>SUM(J32:J39)</f>
        <v>0</v>
      </c>
      <c r="K41" s="339"/>
      <c r="L41" s="64"/>
      <c r="S41" s="23"/>
      <c r="T41" s="23"/>
      <c r="U41" s="23"/>
      <c r="V41" s="23"/>
      <c r="W41" s="23"/>
      <c r="X41" s="23"/>
      <c r="Y41" s="23"/>
      <c r="Z41" s="23"/>
      <c r="AA41" s="23"/>
      <c r="AB41" s="23"/>
      <c r="AC41" s="23"/>
      <c r="AD41" s="23"/>
      <c r="AE41" s="23"/>
    </row>
    <row r="42" spans="1:31" s="2" customFormat="1" ht="14.45" customHeight="1">
      <c r="A42" s="271"/>
      <c r="B42" s="286"/>
      <c r="C42" s="287"/>
      <c r="D42" s="287"/>
      <c r="E42" s="287"/>
      <c r="F42" s="287"/>
      <c r="G42" s="287"/>
      <c r="H42" s="287"/>
      <c r="I42" s="287"/>
      <c r="J42" s="287"/>
      <c r="K42" s="287"/>
      <c r="L42" s="64"/>
      <c r="S42" s="23"/>
      <c r="T42" s="23"/>
      <c r="U42" s="23"/>
      <c r="V42" s="23"/>
      <c r="W42" s="23"/>
      <c r="X42" s="23"/>
      <c r="Y42" s="23"/>
      <c r="Z42" s="23"/>
      <c r="AA42" s="23"/>
      <c r="AB42" s="23"/>
      <c r="AC42" s="23"/>
      <c r="AD42" s="23"/>
      <c r="AE42" s="23"/>
    </row>
    <row r="43" spans="1:31">
      <c r="A43" s="61"/>
      <c r="B43" s="61"/>
      <c r="C43" s="61"/>
      <c r="D43" s="61"/>
      <c r="E43" s="61"/>
      <c r="F43" s="61"/>
      <c r="G43" s="61"/>
      <c r="H43" s="61"/>
      <c r="I43" s="61"/>
      <c r="J43" s="61"/>
      <c r="K43" s="61"/>
    </row>
    <row r="44" spans="1:31">
      <c r="A44" s="61"/>
      <c r="B44" s="61"/>
      <c r="C44" s="61"/>
      <c r="D44" s="61"/>
      <c r="E44" s="61"/>
      <c r="F44" s="61"/>
      <c r="G44" s="61"/>
      <c r="H44" s="61"/>
      <c r="I44" s="61"/>
      <c r="J44" s="61"/>
      <c r="K44" s="61"/>
    </row>
    <row r="45" spans="1:31">
      <c r="A45" s="61"/>
      <c r="B45" s="61"/>
      <c r="C45" s="61"/>
      <c r="D45" s="61"/>
      <c r="E45" s="61"/>
      <c r="F45" s="61"/>
      <c r="G45" s="61"/>
      <c r="H45" s="61"/>
      <c r="I45" s="61"/>
      <c r="J45" s="61"/>
      <c r="K45" s="61"/>
    </row>
    <row r="46" spans="1:31" s="2" customFormat="1" ht="6.95" customHeight="1">
      <c r="A46" s="271"/>
      <c r="B46" s="288"/>
      <c r="C46" s="289"/>
      <c r="D46" s="289"/>
      <c r="E46" s="289"/>
      <c r="F46" s="289"/>
      <c r="G46" s="289"/>
      <c r="H46" s="289"/>
      <c r="I46" s="289"/>
      <c r="J46" s="289"/>
      <c r="K46" s="289"/>
      <c r="L46" s="64"/>
      <c r="S46" s="23"/>
      <c r="T46" s="23"/>
      <c r="U46" s="23"/>
      <c r="V46" s="23"/>
      <c r="W46" s="23"/>
      <c r="X46" s="23"/>
      <c r="Y46" s="23"/>
      <c r="Z46" s="23"/>
      <c r="AA46" s="23"/>
      <c r="AB46" s="23"/>
      <c r="AC46" s="23"/>
      <c r="AD46" s="23"/>
      <c r="AE46" s="23"/>
    </row>
    <row r="47" spans="1:31" s="2" customFormat="1" ht="24.95" customHeight="1">
      <c r="A47" s="271"/>
      <c r="B47" s="270"/>
      <c r="C47" s="266" t="s">
        <v>167</v>
      </c>
      <c r="D47" s="271"/>
      <c r="E47" s="271"/>
      <c r="F47" s="271"/>
      <c r="G47" s="271"/>
      <c r="H47" s="271"/>
      <c r="I47" s="271"/>
      <c r="J47" s="271"/>
      <c r="K47" s="271"/>
      <c r="L47" s="64"/>
      <c r="S47" s="23"/>
      <c r="T47" s="23"/>
      <c r="U47" s="23"/>
      <c r="V47" s="23"/>
      <c r="W47" s="23"/>
      <c r="X47" s="23"/>
      <c r="Y47" s="23"/>
      <c r="Z47" s="23"/>
      <c r="AA47" s="23"/>
      <c r="AB47" s="23"/>
      <c r="AC47" s="23"/>
      <c r="AD47" s="23"/>
      <c r="AE47" s="23"/>
    </row>
    <row r="48" spans="1:31" s="2" customFormat="1" ht="6.95" customHeight="1">
      <c r="A48" s="271"/>
      <c r="B48" s="270"/>
      <c r="C48" s="271"/>
      <c r="D48" s="271"/>
      <c r="E48" s="271"/>
      <c r="F48" s="271"/>
      <c r="G48" s="271"/>
      <c r="H48" s="271"/>
      <c r="I48" s="271"/>
      <c r="J48" s="271"/>
      <c r="K48" s="271"/>
      <c r="L48" s="64"/>
      <c r="S48" s="23"/>
      <c r="T48" s="23"/>
      <c r="U48" s="23"/>
      <c r="V48" s="23"/>
      <c r="W48" s="23"/>
      <c r="X48" s="23"/>
      <c r="Y48" s="23"/>
      <c r="Z48" s="23"/>
      <c r="AA48" s="23"/>
      <c r="AB48" s="23"/>
      <c r="AC48" s="23"/>
      <c r="AD48" s="23"/>
      <c r="AE48" s="23"/>
    </row>
    <row r="49" spans="1:47" s="2" customFormat="1" ht="12" customHeight="1">
      <c r="A49" s="271"/>
      <c r="B49" s="270"/>
      <c r="C49" s="268" t="s">
        <v>15</v>
      </c>
      <c r="D49" s="271"/>
      <c r="E49" s="271"/>
      <c r="F49" s="271"/>
      <c r="G49" s="271"/>
      <c r="H49" s="271"/>
      <c r="I49" s="271"/>
      <c r="J49" s="271"/>
      <c r="K49" s="271"/>
      <c r="L49" s="64"/>
      <c r="S49" s="23"/>
      <c r="T49" s="23"/>
      <c r="U49" s="23"/>
      <c r="V49" s="23"/>
      <c r="W49" s="23"/>
      <c r="X49" s="23"/>
      <c r="Y49" s="23"/>
      <c r="Z49" s="23"/>
      <c r="AA49" s="23"/>
      <c r="AB49" s="23"/>
      <c r="AC49" s="23"/>
      <c r="AD49" s="23"/>
      <c r="AE49" s="23"/>
    </row>
    <row r="50" spans="1:47" s="2" customFormat="1" ht="14.45" customHeight="1">
      <c r="A50" s="271"/>
      <c r="B50" s="270"/>
      <c r="C50" s="271"/>
      <c r="D50" s="271"/>
      <c r="E50" s="722" t="str">
        <f>E7</f>
        <v>Úpravy gastroprovozu Úřadu vlády ČR v 1.pp Strakovy akademie</v>
      </c>
      <c r="F50" s="723"/>
      <c r="G50" s="723"/>
      <c r="H50" s="723"/>
      <c r="I50" s="271"/>
      <c r="J50" s="271"/>
      <c r="K50" s="271"/>
      <c r="L50" s="64"/>
      <c r="S50" s="23"/>
      <c r="T50" s="23"/>
      <c r="U50" s="23"/>
      <c r="V50" s="23"/>
      <c r="W50" s="23"/>
      <c r="X50" s="23"/>
      <c r="Y50" s="23"/>
      <c r="Z50" s="23"/>
      <c r="AA50" s="23"/>
      <c r="AB50" s="23"/>
      <c r="AC50" s="23"/>
      <c r="AD50" s="23"/>
      <c r="AE50" s="23"/>
    </row>
    <row r="51" spans="1:47" s="1" customFormat="1" ht="12" customHeight="1">
      <c r="A51" s="61"/>
      <c r="B51" s="265"/>
      <c r="C51" s="268" t="s">
        <v>151</v>
      </c>
      <c r="D51" s="61"/>
      <c r="E51" s="61"/>
      <c r="F51" s="61"/>
      <c r="G51" s="61"/>
      <c r="H51" s="61"/>
      <c r="I51" s="61"/>
      <c r="J51" s="61"/>
      <c r="K51" s="61"/>
      <c r="L51" s="20"/>
    </row>
    <row r="52" spans="1:47" s="2" customFormat="1" ht="14.45" customHeight="1">
      <c r="A52" s="271"/>
      <c r="B52" s="270"/>
      <c r="C52" s="271"/>
      <c r="D52" s="271"/>
      <c r="E52" s="722" t="s">
        <v>154</v>
      </c>
      <c r="F52" s="721"/>
      <c r="G52" s="721"/>
      <c r="H52" s="721"/>
      <c r="I52" s="271"/>
      <c r="J52" s="271"/>
      <c r="K52" s="271"/>
      <c r="L52" s="64"/>
      <c r="S52" s="23"/>
      <c r="T52" s="23"/>
      <c r="U52" s="23"/>
      <c r="V52" s="23"/>
      <c r="W52" s="23"/>
      <c r="X52" s="23"/>
      <c r="Y52" s="23"/>
      <c r="Z52" s="23"/>
      <c r="AA52" s="23"/>
      <c r="AB52" s="23"/>
      <c r="AC52" s="23"/>
      <c r="AD52" s="23"/>
      <c r="AE52" s="23"/>
    </row>
    <row r="53" spans="1:47" s="2" customFormat="1" ht="12" customHeight="1">
      <c r="A53" s="271"/>
      <c r="B53" s="270"/>
      <c r="C53" s="268" t="s">
        <v>157</v>
      </c>
      <c r="D53" s="271"/>
      <c r="E53" s="271"/>
      <c r="F53" s="271"/>
      <c r="G53" s="271"/>
      <c r="H53" s="271"/>
      <c r="I53" s="271"/>
      <c r="J53" s="271"/>
      <c r="K53" s="271"/>
      <c r="L53" s="64"/>
      <c r="S53" s="23"/>
      <c r="T53" s="23"/>
      <c r="U53" s="23"/>
      <c r="V53" s="23"/>
      <c r="W53" s="23"/>
      <c r="X53" s="23"/>
      <c r="Y53" s="23"/>
      <c r="Z53" s="23"/>
      <c r="AA53" s="23"/>
      <c r="AB53" s="23"/>
      <c r="AC53" s="23"/>
      <c r="AD53" s="23"/>
      <c r="AE53" s="23"/>
    </row>
    <row r="54" spans="1:47" s="2" customFormat="1" ht="14.45" customHeight="1">
      <c r="A54" s="271"/>
      <c r="B54" s="270"/>
      <c r="C54" s="271"/>
      <c r="D54" s="271"/>
      <c r="E54" s="689" t="str">
        <f>E11</f>
        <v xml:space="preserve">D.1.1.1 - Soupis prací - Architektonicko stavební a konstrukční řešení gastroprovozu </v>
      </c>
      <c r="F54" s="721"/>
      <c r="G54" s="721"/>
      <c r="H54" s="721"/>
      <c r="I54" s="271"/>
      <c r="J54" s="271"/>
      <c r="K54" s="271"/>
      <c r="L54" s="64"/>
      <c r="S54" s="23"/>
      <c r="T54" s="23"/>
      <c r="U54" s="23"/>
      <c r="V54" s="23"/>
      <c r="W54" s="23"/>
      <c r="X54" s="23"/>
      <c r="Y54" s="23"/>
      <c r="Z54" s="23"/>
      <c r="AA54" s="23"/>
      <c r="AB54" s="23"/>
      <c r="AC54" s="23"/>
      <c r="AD54" s="23"/>
      <c r="AE54" s="23"/>
    </row>
    <row r="55" spans="1:47" s="2" customFormat="1" ht="6.95" customHeight="1">
      <c r="A55" s="271"/>
      <c r="B55" s="270"/>
      <c r="C55" s="271"/>
      <c r="D55" s="271"/>
      <c r="E55" s="271"/>
      <c r="F55" s="271"/>
      <c r="G55" s="271"/>
      <c r="H55" s="271"/>
      <c r="I55" s="271"/>
      <c r="J55" s="271"/>
      <c r="K55" s="271"/>
      <c r="L55" s="64"/>
      <c r="S55" s="23"/>
      <c r="T55" s="23"/>
      <c r="U55" s="23"/>
      <c r="V55" s="23"/>
      <c r="W55" s="23"/>
      <c r="X55" s="23"/>
      <c r="Y55" s="23"/>
      <c r="Z55" s="23"/>
      <c r="AA55" s="23"/>
      <c r="AB55" s="23"/>
      <c r="AC55" s="23"/>
      <c r="AD55" s="23"/>
      <c r="AE55" s="23"/>
    </row>
    <row r="56" spans="1:47" s="2" customFormat="1" ht="12" customHeight="1">
      <c r="A56" s="271"/>
      <c r="B56" s="270"/>
      <c r="C56" s="268" t="s">
        <v>19</v>
      </c>
      <c r="D56" s="271"/>
      <c r="E56" s="271"/>
      <c r="F56" s="273" t="str">
        <f>F14</f>
        <v xml:space="preserve"> </v>
      </c>
      <c r="G56" s="271"/>
      <c r="H56" s="271"/>
      <c r="I56" s="268" t="s">
        <v>21</v>
      </c>
      <c r="J56" s="387">
        <f>IF(J14="","",J14)</f>
        <v>44077</v>
      </c>
      <c r="K56" s="271"/>
      <c r="L56" s="64"/>
      <c r="S56" s="23"/>
      <c r="T56" s="23"/>
      <c r="U56" s="23"/>
      <c r="V56" s="23"/>
      <c r="W56" s="23"/>
      <c r="X56" s="23"/>
      <c r="Y56" s="23"/>
      <c r="Z56" s="23"/>
      <c r="AA56" s="23"/>
      <c r="AB56" s="23"/>
      <c r="AC56" s="23"/>
      <c r="AD56" s="23"/>
      <c r="AE56" s="23"/>
    </row>
    <row r="57" spans="1:47" s="2" customFormat="1" ht="6.95" customHeight="1">
      <c r="A57" s="271"/>
      <c r="B57" s="270"/>
      <c r="C57" s="271"/>
      <c r="D57" s="271"/>
      <c r="E57" s="271"/>
      <c r="F57" s="271"/>
      <c r="G57" s="271"/>
      <c r="H57" s="271"/>
      <c r="I57" s="271"/>
      <c r="J57" s="271"/>
      <c r="K57" s="271"/>
      <c r="L57" s="64"/>
      <c r="S57" s="23"/>
      <c r="T57" s="23"/>
      <c r="U57" s="23"/>
      <c r="V57" s="23"/>
      <c r="W57" s="23"/>
      <c r="X57" s="23"/>
      <c r="Y57" s="23"/>
      <c r="Z57" s="23"/>
      <c r="AA57" s="23"/>
      <c r="AB57" s="23"/>
      <c r="AC57" s="23"/>
      <c r="AD57" s="23"/>
      <c r="AE57" s="23"/>
    </row>
    <row r="58" spans="1:47" s="2" customFormat="1" ht="26.45" customHeight="1">
      <c r="A58" s="271"/>
      <c r="B58" s="270"/>
      <c r="C58" s="268" t="s">
        <v>22</v>
      </c>
      <c r="D58" s="271"/>
      <c r="E58" s="271"/>
      <c r="F58" s="273" t="str">
        <f>E17</f>
        <v xml:space="preserve">Úřad vlády České republiky </v>
      </c>
      <c r="G58" s="271"/>
      <c r="H58" s="271"/>
      <c r="I58" s="268" t="s">
        <v>28</v>
      </c>
      <c r="J58" s="391" t="str">
        <f>E23</f>
        <v>Ateliér Simona Group</v>
      </c>
      <c r="K58" s="271"/>
      <c r="L58" s="64"/>
      <c r="S58" s="23"/>
      <c r="T58" s="23"/>
      <c r="U58" s="23"/>
      <c r="V58" s="23"/>
      <c r="W58" s="23"/>
      <c r="X58" s="23"/>
      <c r="Y58" s="23"/>
      <c r="Z58" s="23"/>
      <c r="AA58" s="23"/>
      <c r="AB58" s="23"/>
      <c r="AC58" s="23"/>
      <c r="AD58" s="23"/>
      <c r="AE58" s="23"/>
    </row>
    <row r="59" spans="1:47" s="2" customFormat="1" ht="26.45" customHeight="1">
      <c r="A59" s="271"/>
      <c r="B59" s="270"/>
      <c r="C59" s="268" t="s">
        <v>26</v>
      </c>
      <c r="D59" s="271"/>
      <c r="E59" s="271"/>
      <c r="F59" s="273" t="str">
        <f>IF(E20="","",E20)</f>
        <v xml:space="preserve"> </v>
      </c>
      <c r="G59" s="271"/>
      <c r="H59" s="271"/>
      <c r="I59" s="268" t="s">
        <v>31</v>
      </c>
      <c r="J59" s="391" t="str">
        <f>E26</f>
        <v>Ateliér Simona Group</v>
      </c>
      <c r="K59" s="271"/>
      <c r="L59" s="64"/>
      <c r="S59" s="23"/>
      <c r="T59" s="23"/>
      <c r="U59" s="23"/>
      <c r="V59" s="23"/>
      <c r="W59" s="23"/>
      <c r="X59" s="23"/>
      <c r="Y59" s="23"/>
      <c r="Z59" s="23"/>
      <c r="AA59" s="23"/>
      <c r="AB59" s="23"/>
      <c r="AC59" s="23"/>
      <c r="AD59" s="23"/>
      <c r="AE59" s="23"/>
    </row>
    <row r="60" spans="1:47" s="2" customFormat="1" ht="10.35" customHeight="1">
      <c r="A60" s="271"/>
      <c r="B60" s="270"/>
      <c r="C60" s="271"/>
      <c r="D60" s="271"/>
      <c r="E60" s="271"/>
      <c r="F60" s="271"/>
      <c r="G60" s="271"/>
      <c r="H60" s="271"/>
      <c r="I60" s="271"/>
      <c r="J60" s="271"/>
      <c r="K60" s="271"/>
      <c r="L60" s="64"/>
      <c r="S60" s="23"/>
      <c r="T60" s="23"/>
      <c r="U60" s="23"/>
      <c r="V60" s="23"/>
      <c r="W60" s="23"/>
      <c r="X60" s="23"/>
      <c r="Y60" s="23"/>
      <c r="Z60" s="23"/>
      <c r="AA60" s="23"/>
      <c r="AB60" s="23"/>
      <c r="AC60" s="23"/>
      <c r="AD60" s="23"/>
      <c r="AE60" s="23"/>
    </row>
    <row r="61" spans="1:47" s="2" customFormat="1" ht="29.25" customHeight="1">
      <c r="A61" s="271"/>
      <c r="B61" s="270"/>
      <c r="C61" s="290" t="s">
        <v>168</v>
      </c>
      <c r="D61" s="281"/>
      <c r="E61" s="281"/>
      <c r="F61" s="281"/>
      <c r="G61" s="281"/>
      <c r="H61" s="281"/>
      <c r="I61" s="281"/>
      <c r="J61" s="392" t="s">
        <v>169</v>
      </c>
      <c r="K61" s="281"/>
      <c r="L61" s="64"/>
      <c r="S61" s="23"/>
      <c r="T61" s="23"/>
      <c r="U61" s="23"/>
      <c r="V61" s="23"/>
      <c r="W61" s="23"/>
      <c r="X61" s="23"/>
      <c r="Y61" s="23"/>
      <c r="Z61" s="23"/>
      <c r="AA61" s="23"/>
      <c r="AB61" s="23"/>
      <c r="AC61" s="23"/>
      <c r="AD61" s="23"/>
      <c r="AE61" s="23"/>
    </row>
    <row r="62" spans="1:47" s="2" customFormat="1" ht="10.35" customHeight="1">
      <c r="A62" s="271"/>
      <c r="B62" s="270"/>
      <c r="C62" s="271"/>
      <c r="D62" s="271"/>
      <c r="E62" s="271"/>
      <c r="F62" s="271"/>
      <c r="G62" s="271"/>
      <c r="H62" s="271"/>
      <c r="I62" s="271"/>
      <c r="J62" s="271"/>
      <c r="K62" s="271"/>
      <c r="L62" s="64"/>
      <c r="S62" s="23"/>
      <c r="T62" s="23"/>
      <c r="U62" s="23"/>
      <c r="V62" s="23"/>
      <c r="W62" s="23"/>
      <c r="X62" s="23"/>
      <c r="Y62" s="23"/>
      <c r="Z62" s="23"/>
      <c r="AA62" s="23"/>
      <c r="AB62" s="23"/>
      <c r="AC62" s="23"/>
      <c r="AD62" s="23"/>
      <c r="AE62" s="23"/>
    </row>
    <row r="63" spans="1:47" s="2" customFormat="1" ht="22.9" customHeight="1">
      <c r="A63" s="271"/>
      <c r="B63" s="270"/>
      <c r="C63" s="291" t="s">
        <v>66</v>
      </c>
      <c r="D63" s="271"/>
      <c r="E63" s="271"/>
      <c r="F63" s="271"/>
      <c r="G63" s="271"/>
      <c r="H63" s="271"/>
      <c r="I63" s="271"/>
      <c r="J63" s="388">
        <f>J115</f>
        <v>0</v>
      </c>
      <c r="K63" s="271"/>
      <c r="L63" s="64"/>
      <c r="S63" s="23"/>
      <c r="T63" s="23"/>
      <c r="U63" s="23"/>
      <c r="V63" s="23"/>
      <c r="W63" s="23"/>
      <c r="X63" s="23"/>
      <c r="Y63" s="23"/>
      <c r="Z63" s="23"/>
      <c r="AA63" s="23"/>
      <c r="AB63" s="23"/>
      <c r="AC63" s="23"/>
      <c r="AD63" s="23"/>
      <c r="AE63" s="23"/>
      <c r="AU63" s="19" t="s">
        <v>170</v>
      </c>
    </row>
    <row r="64" spans="1:47" s="9" customFormat="1" ht="24.95" customHeight="1">
      <c r="A64" s="292"/>
      <c r="B64" s="293"/>
      <c r="C64" s="292"/>
      <c r="D64" s="294" t="s">
        <v>171</v>
      </c>
      <c r="E64" s="295"/>
      <c r="F64" s="295"/>
      <c r="G64" s="295"/>
      <c r="H64" s="295"/>
      <c r="I64" s="295"/>
      <c r="J64" s="393">
        <f>J116</f>
        <v>0</v>
      </c>
      <c r="K64" s="292"/>
      <c r="L64" s="67"/>
    </row>
    <row r="65" spans="1:12" s="10" customFormat="1" ht="19.899999999999999" customHeight="1">
      <c r="A65" s="246"/>
      <c r="B65" s="296"/>
      <c r="C65" s="246"/>
      <c r="D65" s="297" t="s">
        <v>172</v>
      </c>
      <c r="E65" s="298"/>
      <c r="F65" s="298"/>
      <c r="G65" s="298"/>
      <c r="H65" s="298"/>
      <c r="I65" s="298"/>
      <c r="J65" s="394">
        <f>J117</f>
        <v>0</v>
      </c>
      <c r="K65" s="246"/>
      <c r="L65" s="68"/>
    </row>
    <row r="66" spans="1:12" s="10" customFormat="1" ht="19.899999999999999" customHeight="1">
      <c r="A66" s="246"/>
      <c r="B66" s="296"/>
      <c r="C66" s="246"/>
      <c r="D66" s="297" t="s">
        <v>173</v>
      </c>
      <c r="E66" s="298"/>
      <c r="F66" s="298"/>
      <c r="G66" s="298"/>
      <c r="H66" s="298"/>
      <c r="I66" s="298"/>
      <c r="J66" s="394">
        <f>J160</f>
        <v>0</v>
      </c>
      <c r="K66" s="246"/>
      <c r="L66" s="68"/>
    </row>
    <row r="67" spans="1:12" s="10" customFormat="1" ht="19.899999999999999" customHeight="1">
      <c r="A67" s="246"/>
      <c r="B67" s="296"/>
      <c r="C67" s="246"/>
      <c r="D67" s="297" t="s">
        <v>174</v>
      </c>
      <c r="E67" s="298"/>
      <c r="F67" s="298"/>
      <c r="G67" s="298"/>
      <c r="H67" s="298"/>
      <c r="I67" s="298"/>
      <c r="J67" s="394">
        <f>J165</f>
        <v>0</v>
      </c>
      <c r="K67" s="246"/>
      <c r="L67" s="68"/>
    </row>
    <row r="68" spans="1:12" s="10" customFormat="1" ht="19.899999999999999" customHeight="1">
      <c r="A68" s="246"/>
      <c r="B68" s="296"/>
      <c r="C68" s="246"/>
      <c r="D68" s="297" t="s">
        <v>175</v>
      </c>
      <c r="E68" s="298"/>
      <c r="F68" s="298"/>
      <c r="G68" s="298"/>
      <c r="H68" s="298"/>
      <c r="I68" s="298"/>
      <c r="J68" s="394">
        <f>J241</f>
        <v>0</v>
      </c>
      <c r="K68" s="246"/>
      <c r="L68" s="68"/>
    </row>
    <row r="69" spans="1:12" s="10" customFormat="1" ht="19.899999999999999" customHeight="1">
      <c r="A69" s="246"/>
      <c r="B69" s="296"/>
      <c r="C69" s="246"/>
      <c r="D69" s="297" t="s">
        <v>176</v>
      </c>
      <c r="E69" s="298"/>
      <c r="F69" s="298"/>
      <c r="G69" s="298"/>
      <c r="H69" s="298"/>
      <c r="I69" s="298"/>
      <c r="J69" s="394">
        <f>J255</f>
        <v>0</v>
      </c>
      <c r="K69" s="246"/>
      <c r="L69" s="68"/>
    </row>
    <row r="70" spans="1:12" s="10" customFormat="1" ht="19.899999999999999" customHeight="1">
      <c r="A70" s="246"/>
      <c r="B70" s="296"/>
      <c r="C70" s="246"/>
      <c r="D70" s="297" t="s">
        <v>177</v>
      </c>
      <c r="E70" s="298"/>
      <c r="F70" s="298"/>
      <c r="G70" s="298"/>
      <c r="H70" s="298"/>
      <c r="I70" s="298"/>
      <c r="J70" s="394">
        <f>J432</f>
        <v>0</v>
      </c>
      <c r="K70" s="246"/>
      <c r="L70" s="68"/>
    </row>
    <row r="71" spans="1:12" s="10" customFormat="1" ht="19.899999999999999" customHeight="1">
      <c r="A71" s="246"/>
      <c r="B71" s="296"/>
      <c r="C71" s="246"/>
      <c r="D71" s="297" t="s">
        <v>178</v>
      </c>
      <c r="E71" s="298"/>
      <c r="F71" s="298"/>
      <c r="G71" s="298"/>
      <c r="H71" s="298"/>
      <c r="I71" s="298"/>
      <c r="J71" s="394">
        <f>J437</f>
        <v>0</v>
      </c>
      <c r="K71" s="246"/>
      <c r="L71" s="68"/>
    </row>
    <row r="72" spans="1:12" s="10" customFormat="1" ht="19.899999999999999" customHeight="1">
      <c r="A72" s="246"/>
      <c r="B72" s="296"/>
      <c r="C72" s="246"/>
      <c r="D72" s="297" t="s">
        <v>179</v>
      </c>
      <c r="E72" s="298"/>
      <c r="F72" s="298"/>
      <c r="G72" s="298"/>
      <c r="H72" s="298"/>
      <c r="I72" s="298"/>
      <c r="J72" s="394">
        <f>J667</f>
        <v>0</v>
      </c>
      <c r="K72" s="246"/>
      <c r="L72" s="68"/>
    </row>
    <row r="73" spans="1:12" s="10" customFormat="1" ht="19.899999999999999" customHeight="1">
      <c r="A73" s="246"/>
      <c r="B73" s="296"/>
      <c r="C73" s="246"/>
      <c r="D73" s="297" t="s">
        <v>180</v>
      </c>
      <c r="E73" s="298"/>
      <c r="F73" s="298"/>
      <c r="G73" s="298"/>
      <c r="H73" s="298"/>
      <c r="I73" s="298"/>
      <c r="J73" s="394">
        <f>J684</f>
        <v>0</v>
      </c>
      <c r="K73" s="246"/>
      <c r="L73" s="68"/>
    </row>
    <row r="74" spans="1:12" s="9" customFormat="1" ht="24.95" customHeight="1">
      <c r="A74" s="292"/>
      <c r="B74" s="293"/>
      <c r="C74" s="292"/>
      <c r="D74" s="294" t="s">
        <v>181</v>
      </c>
      <c r="E74" s="295"/>
      <c r="F74" s="295"/>
      <c r="G74" s="295"/>
      <c r="H74" s="295"/>
      <c r="I74" s="295"/>
      <c r="J74" s="393">
        <f>J687</f>
        <v>0</v>
      </c>
      <c r="K74" s="292"/>
      <c r="L74" s="67"/>
    </row>
    <row r="75" spans="1:12" s="10" customFormat="1" ht="19.899999999999999" customHeight="1">
      <c r="A75" s="246"/>
      <c r="B75" s="296"/>
      <c r="C75" s="246"/>
      <c r="D75" s="297" t="s">
        <v>182</v>
      </c>
      <c r="E75" s="298"/>
      <c r="F75" s="298"/>
      <c r="G75" s="298"/>
      <c r="H75" s="298"/>
      <c r="I75" s="298"/>
      <c r="J75" s="394">
        <f>J688</f>
        <v>0</v>
      </c>
      <c r="K75" s="246"/>
      <c r="L75" s="68"/>
    </row>
    <row r="76" spans="1:12" s="10" customFormat="1" ht="19.899999999999999" customHeight="1">
      <c r="A76" s="246"/>
      <c r="B76" s="296"/>
      <c r="C76" s="246"/>
      <c r="D76" s="297" t="s">
        <v>183</v>
      </c>
      <c r="E76" s="298"/>
      <c r="F76" s="298"/>
      <c r="G76" s="298"/>
      <c r="H76" s="298"/>
      <c r="I76" s="298"/>
      <c r="J76" s="394">
        <f>J708</f>
        <v>0</v>
      </c>
      <c r="K76" s="246"/>
      <c r="L76" s="68"/>
    </row>
    <row r="77" spans="1:12" s="10" customFormat="1" ht="19.899999999999999" customHeight="1">
      <c r="A77" s="246"/>
      <c r="B77" s="296"/>
      <c r="C77" s="246"/>
      <c r="D77" s="297" t="s">
        <v>184</v>
      </c>
      <c r="E77" s="298"/>
      <c r="F77" s="298"/>
      <c r="G77" s="298"/>
      <c r="H77" s="298"/>
      <c r="I77" s="298"/>
      <c r="J77" s="394">
        <f>J710</f>
        <v>0</v>
      </c>
      <c r="K77" s="246"/>
      <c r="L77" s="68"/>
    </row>
    <row r="78" spans="1:12" s="10" customFormat="1" ht="19.899999999999999" customHeight="1">
      <c r="A78" s="246"/>
      <c r="B78" s="296"/>
      <c r="C78" s="246"/>
      <c r="D78" s="297" t="s">
        <v>185</v>
      </c>
      <c r="E78" s="298"/>
      <c r="F78" s="298"/>
      <c r="G78" s="298"/>
      <c r="H78" s="298"/>
      <c r="I78" s="298"/>
      <c r="J78" s="394">
        <f>J717</f>
        <v>0</v>
      </c>
      <c r="K78" s="246"/>
      <c r="L78" s="68"/>
    </row>
    <row r="79" spans="1:12" s="10" customFormat="1" ht="19.899999999999999" customHeight="1">
      <c r="A79" s="246"/>
      <c r="B79" s="296"/>
      <c r="C79" s="246"/>
      <c r="D79" s="297" t="s">
        <v>186</v>
      </c>
      <c r="E79" s="298"/>
      <c r="F79" s="298"/>
      <c r="G79" s="298"/>
      <c r="H79" s="298"/>
      <c r="I79" s="298"/>
      <c r="J79" s="394">
        <f>J720</f>
        <v>0</v>
      </c>
      <c r="K79" s="246"/>
      <c r="L79" s="68"/>
    </row>
    <row r="80" spans="1:12" s="10" customFormat="1" ht="19.899999999999999" customHeight="1">
      <c r="A80" s="246"/>
      <c r="B80" s="296"/>
      <c r="C80" s="246"/>
      <c r="D80" s="297" t="s">
        <v>187</v>
      </c>
      <c r="E80" s="298"/>
      <c r="F80" s="298"/>
      <c r="G80" s="298"/>
      <c r="H80" s="298"/>
      <c r="I80" s="298"/>
      <c r="J80" s="394">
        <f>J833</f>
        <v>0</v>
      </c>
      <c r="K80" s="246"/>
      <c r="L80" s="68"/>
    </row>
    <row r="81" spans="1:31" s="10" customFormat="1" ht="19.899999999999999" customHeight="1">
      <c r="A81" s="246"/>
      <c r="B81" s="296"/>
      <c r="C81" s="246"/>
      <c r="D81" s="297" t="s">
        <v>188</v>
      </c>
      <c r="E81" s="298"/>
      <c r="F81" s="298"/>
      <c r="G81" s="298"/>
      <c r="H81" s="298"/>
      <c r="I81" s="298"/>
      <c r="J81" s="394">
        <f>J854</f>
        <v>0</v>
      </c>
      <c r="K81" s="246"/>
      <c r="L81" s="68"/>
    </row>
    <row r="82" spans="1:31" s="10" customFormat="1" ht="19.899999999999999" customHeight="1">
      <c r="A82" s="246"/>
      <c r="B82" s="296"/>
      <c r="C82" s="246"/>
      <c r="D82" s="297" t="s">
        <v>189</v>
      </c>
      <c r="E82" s="298"/>
      <c r="F82" s="298"/>
      <c r="G82" s="298"/>
      <c r="H82" s="298"/>
      <c r="I82" s="298"/>
      <c r="J82" s="394">
        <f>J881</f>
        <v>0</v>
      </c>
      <c r="K82" s="246"/>
      <c r="L82" s="68"/>
    </row>
    <row r="83" spans="1:31" s="10" customFormat="1" ht="19.899999999999999" customHeight="1">
      <c r="A83" s="246"/>
      <c r="B83" s="296"/>
      <c r="C83" s="246"/>
      <c r="D83" s="297" t="s">
        <v>190</v>
      </c>
      <c r="E83" s="298"/>
      <c r="F83" s="298"/>
      <c r="G83" s="298"/>
      <c r="H83" s="298"/>
      <c r="I83" s="298"/>
      <c r="J83" s="394">
        <f>J1011</f>
        <v>0</v>
      </c>
      <c r="K83" s="246"/>
      <c r="L83" s="68"/>
    </row>
    <row r="84" spans="1:31" s="10" customFormat="1" ht="19.899999999999999" customHeight="1">
      <c r="A84" s="246"/>
      <c r="B84" s="296"/>
      <c r="C84" s="246"/>
      <c r="D84" s="297" t="s">
        <v>191</v>
      </c>
      <c r="E84" s="298"/>
      <c r="F84" s="298"/>
      <c r="G84" s="298"/>
      <c r="H84" s="298"/>
      <c r="I84" s="298"/>
      <c r="J84" s="394">
        <f>J1022</f>
        <v>0</v>
      </c>
      <c r="K84" s="246"/>
      <c r="L84" s="68"/>
    </row>
    <row r="85" spans="1:31" s="10" customFormat="1" ht="19.899999999999999" customHeight="1">
      <c r="A85" s="246"/>
      <c r="B85" s="296"/>
      <c r="C85" s="246"/>
      <c r="D85" s="297" t="s">
        <v>192</v>
      </c>
      <c r="E85" s="298"/>
      <c r="F85" s="298"/>
      <c r="G85" s="298"/>
      <c r="H85" s="298"/>
      <c r="I85" s="298"/>
      <c r="J85" s="394">
        <f>J1062</f>
        <v>0</v>
      </c>
      <c r="K85" s="246"/>
      <c r="L85" s="68"/>
    </row>
    <row r="86" spans="1:31" s="10" customFormat="1" ht="19.899999999999999" customHeight="1">
      <c r="A86" s="246"/>
      <c r="B86" s="296"/>
      <c r="C86" s="246"/>
      <c r="D86" s="297" t="s">
        <v>193</v>
      </c>
      <c r="E86" s="298"/>
      <c r="F86" s="298"/>
      <c r="G86" s="298"/>
      <c r="H86" s="298"/>
      <c r="I86" s="298"/>
      <c r="J86" s="394">
        <f>J1131</f>
        <v>0</v>
      </c>
      <c r="K86" s="246"/>
      <c r="L86" s="68"/>
    </row>
    <row r="87" spans="1:31" s="10" customFormat="1" ht="19.899999999999999" customHeight="1">
      <c r="A87" s="246"/>
      <c r="B87" s="296"/>
      <c r="C87" s="246"/>
      <c r="D87" s="297" t="s">
        <v>194</v>
      </c>
      <c r="E87" s="298"/>
      <c r="F87" s="298"/>
      <c r="G87" s="298"/>
      <c r="H87" s="298"/>
      <c r="I87" s="298"/>
      <c r="J87" s="394">
        <f>J1141</f>
        <v>0</v>
      </c>
      <c r="K87" s="246"/>
      <c r="L87" s="68"/>
    </row>
    <row r="88" spans="1:31" s="10" customFormat="1" ht="19.899999999999999" customHeight="1">
      <c r="A88" s="246"/>
      <c r="B88" s="296"/>
      <c r="C88" s="246"/>
      <c r="D88" s="297" t="s">
        <v>195</v>
      </c>
      <c r="E88" s="298"/>
      <c r="F88" s="298"/>
      <c r="G88" s="298"/>
      <c r="H88" s="298"/>
      <c r="I88" s="298"/>
      <c r="J88" s="394">
        <f>J1174</f>
        <v>0</v>
      </c>
      <c r="K88" s="246"/>
      <c r="L88" s="68"/>
    </row>
    <row r="89" spans="1:31" s="10" customFormat="1" ht="19.899999999999999" customHeight="1">
      <c r="A89" s="246"/>
      <c r="B89" s="296"/>
      <c r="C89" s="246"/>
      <c r="D89" s="297" t="s">
        <v>196</v>
      </c>
      <c r="E89" s="298"/>
      <c r="F89" s="298"/>
      <c r="G89" s="298"/>
      <c r="H89" s="298"/>
      <c r="I89" s="298"/>
      <c r="J89" s="394">
        <f>J1176</f>
        <v>0</v>
      </c>
      <c r="K89" s="246"/>
      <c r="L89" s="68"/>
    </row>
    <row r="90" spans="1:31" s="10" customFormat="1" ht="19.899999999999999" customHeight="1">
      <c r="A90" s="246"/>
      <c r="B90" s="296"/>
      <c r="C90" s="246"/>
      <c r="D90" s="297" t="s">
        <v>197</v>
      </c>
      <c r="E90" s="298"/>
      <c r="F90" s="298"/>
      <c r="G90" s="298"/>
      <c r="H90" s="298"/>
      <c r="I90" s="298"/>
      <c r="J90" s="394">
        <f>J1178</f>
        <v>0</v>
      </c>
      <c r="K90" s="246"/>
      <c r="L90" s="68"/>
    </row>
    <row r="91" spans="1:31" s="10" customFormat="1" ht="19.899999999999999" customHeight="1">
      <c r="A91" s="246"/>
      <c r="B91" s="296"/>
      <c r="C91" s="246"/>
      <c r="D91" s="297" t="s">
        <v>198</v>
      </c>
      <c r="E91" s="298"/>
      <c r="F91" s="298"/>
      <c r="G91" s="298"/>
      <c r="H91" s="298"/>
      <c r="I91" s="298"/>
      <c r="J91" s="394">
        <f>J1192</f>
        <v>0</v>
      </c>
      <c r="K91" s="246"/>
      <c r="L91" s="68"/>
    </row>
    <row r="92" spans="1:31" s="9" customFormat="1" ht="24.95" customHeight="1">
      <c r="A92" s="292"/>
      <c r="B92" s="293"/>
      <c r="C92" s="292"/>
      <c r="D92" s="294" t="s">
        <v>199</v>
      </c>
      <c r="E92" s="295"/>
      <c r="F92" s="295"/>
      <c r="G92" s="295"/>
      <c r="H92" s="295"/>
      <c r="I92" s="295"/>
      <c r="J92" s="393">
        <f>J1202</f>
        <v>0</v>
      </c>
      <c r="K92" s="292"/>
      <c r="L92" s="67"/>
    </row>
    <row r="93" spans="1:31" s="10" customFormat="1" ht="19.899999999999999" customHeight="1">
      <c r="A93" s="246"/>
      <c r="B93" s="296"/>
      <c r="C93" s="246"/>
      <c r="D93" s="297" t="s">
        <v>200</v>
      </c>
      <c r="E93" s="298"/>
      <c r="F93" s="298"/>
      <c r="G93" s="298"/>
      <c r="H93" s="298"/>
      <c r="I93" s="298"/>
      <c r="J93" s="394">
        <f>J1203</f>
        <v>0</v>
      </c>
      <c r="K93" s="246"/>
      <c r="L93" s="68"/>
    </row>
    <row r="94" spans="1:31" s="2" customFormat="1" ht="21.75" customHeight="1">
      <c r="A94" s="271"/>
      <c r="B94" s="270"/>
      <c r="C94" s="271"/>
      <c r="D94" s="271"/>
      <c r="E94" s="271"/>
      <c r="F94" s="271"/>
      <c r="G94" s="271"/>
      <c r="H94" s="271"/>
      <c r="I94" s="271"/>
      <c r="J94" s="271"/>
      <c r="K94" s="271"/>
      <c r="L94" s="64"/>
      <c r="S94" s="23"/>
      <c r="T94" s="23"/>
      <c r="U94" s="23"/>
      <c r="V94" s="23"/>
      <c r="W94" s="23"/>
      <c r="X94" s="23"/>
      <c r="Y94" s="23"/>
      <c r="Z94" s="23"/>
      <c r="AA94" s="23"/>
      <c r="AB94" s="23"/>
      <c r="AC94" s="23"/>
      <c r="AD94" s="23"/>
      <c r="AE94" s="23"/>
    </row>
    <row r="95" spans="1:31" s="2" customFormat="1" ht="6.95" customHeight="1">
      <c r="A95" s="269"/>
      <c r="B95" s="286"/>
      <c r="C95" s="287"/>
      <c r="D95" s="287"/>
      <c r="E95" s="287"/>
      <c r="F95" s="287"/>
      <c r="G95" s="287"/>
      <c r="H95" s="287"/>
      <c r="I95" s="251"/>
      <c r="J95" s="251"/>
      <c r="K95" s="287"/>
      <c r="L95" s="64"/>
      <c r="S95" s="23"/>
      <c r="T95" s="23"/>
      <c r="U95" s="23"/>
      <c r="V95" s="23"/>
      <c r="W95" s="23"/>
      <c r="X95" s="23"/>
      <c r="Y95" s="23"/>
      <c r="Z95" s="23"/>
      <c r="AA95" s="23"/>
      <c r="AB95" s="23"/>
      <c r="AC95" s="23"/>
      <c r="AD95" s="23"/>
      <c r="AE95" s="23"/>
    </row>
    <row r="96" spans="1:31">
      <c r="A96" s="61"/>
      <c r="B96" s="61"/>
      <c r="C96" s="61"/>
      <c r="D96" s="61"/>
      <c r="E96" s="61"/>
      <c r="F96" s="61"/>
      <c r="G96" s="61"/>
      <c r="H96" s="61"/>
      <c r="I96" s="247"/>
      <c r="J96" s="247"/>
      <c r="K96" s="61"/>
    </row>
    <row r="97" spans="1:31">
      <c r="A97" s="61"/>
      <c r="B97" s="61"/>
      <c r="C97" s="61"/>
      <c r="D97" s="61"/>
      <c r="E97" s="61"/>
      <c r="F97" s="61"/>
      <c r="G97" s="61"/>
      <c r="H97" s="61"/>
      <c r="I97" s="247"/>
      <c r="J97" s="247"/>
      <c r="K97" s="61"/>
    </row>
    <row r="98" spans="1:31">
      <c r="A98" s="61"/>
      <c r="B98" s="61"/>
      <c r="C98" s="61"/>
      <c r="D98" s="61"/>
      <c r="E98" s="61"/>
      <c r="F98" s="61"/>
      <c r="G98" s="61"/>
      <c r="H98" s="61"/>
      <c r="I98" s="247"/>
      <c r="J98" s="247"/>
      <c r="K98" s="61"/>
    </row>
    <row r="99" spans="1:31" s="2" customFormat="1" ht="6.95" customHeight="1">
      <c r="A99" s="269"/>
      <c r="B99" s="288"/>
      <c r="C99" s="289"/>
      <c r="D99" s="289"/>
      <c r="E99" s="289"/>
      <c r="F99" s="289"/>
      <c r="G99" s="289"/>
      <c r="H99" s="289"/>
      <c r="I99" s="252"/>
      <c r="J99" s="252"/>
      <c r="K99" s="289"/>
      <c r="L99" s="64"/>
      <c r="S99" s="23"/>
      <c r="T99" s="23"/>
      <c r="U99" s="23"/>
      <c r="V99" s="23"/>
      <c r="W99" s="23"/>
      <c r="X99" s="23"/>
      <c r="Y99" s="23"/>
      <c r="Z99" s="23"/>
      <c r="AA99" s="23"/>
      <c r="AB99" s="23"/>
      <c r="AC99" s="23"/>
      <c r="AD99" s="23"/>
      <c r="AE99" s="23"/>
    </row>
    <row r="100" spans="1:31" s="2" customFormat="1" ht="24.95" customHeight="1">
      <c r="A100" s="269"/>
      <c r="B100" s="270"/>
      <c r="C100" s="266" t="s">
        <v>201</v>
      </c>
      <c r="D100" s="269"/>
      <c r="E100" s="269"/>
      <c r="F100" s="269"/>
      <c r="G100" s="269"/>
      <c r="H100" s="269"/>
      <c r="I100" s="248"/>
      <c r="J100" s="248"/>
      <c r="K100" s="269"/>
      <c r="L100" s="64"/>
      <c r="S100" s="23"/>
      <c r="T100" s="23"/>
      <c r="U100" s="23"/>
      <c r="V100" s="23"/>
      <c r="W100" s="23"/>
      <c r="X100" s="23"/>
      <c r="Y100" s="23"/>
      <c r="Z100" s="23"/>
      <c r="AA100" s="23"/>
      <c r="AB100" s="23"/>
      <c r="AC100" s="23"/>
      <c r="AD100" s="23"/>
      <c r="AE100" s="23"/>
    </row>
    <row r="101" spans="1:31" s="2" customFormat="1" ht="6.95" customHeight="1">
      <c r="A101" s="269"/>
      <c r="B101" s="270"/>
      <c r="C101" s="269"/>
      <c r="D101" s="269"/>
      <c r="E101" s="269"/>
      <c r="F101" s="269"/>
      <c r="G101" s="269"/>
      <c r="H101" s="269"/>
      <c r="I101" s="248"/>
      <c r="J101" s="248"/>
      <c r="K101" s="269"/>
      <c r="L101" s="64"/>
      <c r="S101" s="23"/>
      <c r="T101" s="23"/>
      <c r="U101" s="23"/>
      <c r="V101" s="23"/>
      <c r="W101" s="23"/>
      <c r="X101" s="23"/>
      <c r="Y101" s="23"/>
      <c r="Z101" s="23"/>
      <c r="AA101" s="23"/>
      <c r="AB101" s="23"/>
      <c r="AC101" s="23"/>
      <c r="AD101" s="23"/>
      <c r="AE101" s="23"/>
    </row>
    <row r="102" spans="1:31" s="2" customFormat="1" ht="12" customHeight="1">
      <c r="A102" s="269"/>
      <c r="B102" s="270"/>
      <c r="C102" s="267" t="s">
        <v>15</v>
      </c>
      <c r="D102" s="269"/>
      <c r="E102" s="269"/>
      <c r="F102" s="269"/>
      <c r="G102" s="269"/>
      <c r="H102" s="269"/>
      <c r="I102" s="248"/>
      <c r="J102" s="248"/>
      <c r="K102" s="269"/>
      <c r="L102" s="64"/>
      <c r="S102" s="23"/>
      <c r="T102" s="23"/>
      <c r="U102" s="23"/>
      <c r="V102" s="23"/>
      <c r="W102" s="23"/>
      <c r="X102" s="23"/>
      <c r="Y102" s="23"/>
      <c r="Z102" s="23"/>
      <c r="AA102" s="23"/>
      <c r="AB102" s="23"/>
      <c r="AC102" s="23"/>
      <c r="AD102" s="23"/>
      <c r="AE102" s="23"/>
    </row>
    <row r="103" spans="1:31" s="2" customFormat="1" ht="14.45" customHeight="1">
      <c r="A103" s="269"/>
      <c r="B103" s="270"/>
      <c r="C103" s="269"/>
      <c r="D103" s="269"/>
      <c r="E103" s="722" t="str">
        <f>E7</f>
        <v>Úpravy gastroprovozu Úřadu vlády ČR v 1.pp Strakovy akademie</v>
      </c>
      <c r="F103" s="723"/>
      <c r="G103" s="723"/>
      <c r="H103" s="723"/>
      <c r="I103" s="248"/>
      <c r="J103" s="248"/>
      <c r="K103" s="269"/>
      <c r="L103" s="64"/>
      <c r="S103" s="23"/>
      <c r="T103" s="23"/>
      <c r="U103" s="23"/>
      <c r="V103" s="23"/>
      <c r="W103" s="23"/>
      <c r="X103" s="23"/>
      <c r="Y103" s="23"/>
      <c r="Z103" s="23"/>
      <c r="AA103" s="23"/>
      <c r="AB103" s="23"/>
      <c r="AC103" s="23"/>
      <c r="AD103" s="23"/>
      <c r="AE103" s="23"/>
    </row>
    <row r="104" spans="1:31" s="1" customFormat="1" ht="12" customHeight="1">
      <c r="A104" s="61"/>
      <c r="B104" s="265"/>
      <c r="C104" s="267" t="s">
        <v>151</v>
      </c>
      <c r="D104" s="61"/>
      <c r="E104" s="61"/>
      <c r="F104" s="61"/>
      <c r="G104" s="61"/>
      <c r="H104" s="61"/>
      <c r="I104" s="247"/>
      <c r="J104" s="247"/>
      <c r="K104" s="61"/>
      <c r="L104" s="20"/>
    </row>
    <row r="105" spans="1:31" s="2" customFormat="1" ht="14.45" customHeight="1">
      <c r="A105" s="269"/>
      <c r="B105" s="270"/>
      <c r="C105" s="269"/>
      <c r="D105" s="269"/>
      <c r="E105" s="722" t="s">
        <v>154</v>
      </c>
      <c r="F105" s="721"/>
      <c r="G105" s="721"/>
      <c r="H105" s="721"/>
      <c r="I105" s="248"/>
      <c r="J105" s="248"/>
      <c r="K105" s="269"/>
      <c r="L105" s="64"/>
      <c r="S105" s="23"/>
      <c r="T105" s="23"/>
      <c r="U105" s="23"/>
      <c r="V105" s="23"/>
      <c r="W105" s="23"/>
      <c r="X105" s="23"/>
      <c r="Y105" s="23"/>
      <c r="Z105" s="23"/>
      <c r="AA105" s="23"/>
      <c r="AB105" s="23"/>
      <c r="AC105" s="23"/>
      <c r="AD105" s="23"/>
      <c r="AE105" s="23"/>
    </row>
    <row r="106" spans="1:31" s="2" customFormat="1" ht="12" customHeight="1">
      <c r="A106" s="269"/>
      <c r="B106" s="270"/>
      <c r="C106" s="267" t="s">
        <v>157</v>
      </c>
      <c r="D106" s="269"/>
      <c r="E106" s="269"/>
      <c r="F106" s="269"/>
      <c r="G106" s="269"/>
      <c r="H106" s="269"/>
      <c r="I106" s="248"/>
      <c r="J106" s="248"/>
      <c r="K106" s="269"/>
      <c r="L106" s="64"/>
      <c r="S106" s="23"/>
      <c r="T106" s="23"/>
      <c r="U106" s="23"/>
      <c r="V106" s="23"/>
      <c r="W106" s="23"/>
      <c r="X106" s="23"/>
      <c r="Y106" s="23"/>
      <c r="Z106" s="23"/>
      <c r="AA106" s="23"/>
      <c r="AB106" s="23"/>
      <c r="AC106" s="23"/>
      <c r="AD106" s="23"/>
      <c r="AE106" s="23"/>
    </row>
    <row r="107" spans="1:31" s="2" customFormat="1" ht="14.45" customHeight="1">
      <c r="A107" s="269"/>
      <c r="B107" s="270"/>
      <c r="C107" s="269"/>
      <c r="D107" s="269"/>
      <c r="E107" s="689" t="str">
        <f>E11</f>
        <v xml:space="preserve">D.1.1.1 - Soupis prací - Architektonicko stavební a konstrukční řešení gastroprovozu </v>
      </c>
      <c r="F107" s="721"/>
      <c r="G107" s="721"/>
      <c r="H107" s="721"/>
      <c r="I107" s="248"/>
      <c r="J107" s="248"/>
      <c r="K107" s="269"/>
      <c r="L107" s="64"/>
      <c r="S107" s="23"/>
      <c r="T107" s="23"/>
      <c r="U107" s="23"/>
      <c r="V107" s="23"/>
      <c r="W107" s="23"/>
      <c r="X107" s="23"/>
      <c r="Y107" s="23"/>
      <c r="Z107" s="23"/>
      <c r="AA107" s="23"/>
      <c r="AB107" s="23"/>
      <c r="AC107" s="23"/>
      <c r="AD107" s="23"/>
      <c r="AE107" s="23"/>
    </row>
    <row r="108" spans="1:31" s="2" customFormat="1" ht="6.95" customHeight="1">
      <c r="A108" s="269"/>
      <c r="B108" s="270"/>
      <c r="C108" s="269"/>
      <c r="D108" s="269"/>
      <c r="E108" s="269"/>
      <c r="F108" s="269"/>
      <c r="G108" s="269"/>
      <c r="H108" s="269"/>
      <c r="I108" s="248"/>
      <c r="J108" s="248"/>
      <c r="K108" s="269"/>
      <c r="L108" s="64"/>
      <c r="S108" s="23"/>
      <c r="T108" s="23"/>
      <c r="U108" s="23"/>
      <c r="V108" s="23"/>
      <c r="W108" s="23"/>
      <c r="X108" s="23"/>
      <c r="Y108" s="23"/>
      <c r="Z108" s="23"/>
      <c r="AA108" s="23"/>
      <c r="AB108" s="23"/>
      <c r="AC108" s="23"/>
      <c r="AD108" s="23"/>
      <c r="AE108" s="23"/>
    </row>
    <row r="109" spans="1:31" s="2" customFormat="1" ht="12" customHeight="1">
      <c r="A109" s="269"/>
      <c r="B109" s="270"/>
      <c r="C109" s="267" t="s">
        <v>19</v>
      </c>
      <c r="D109" s="269"/>
      <c r="E109" s="269"/>
      <c r="F109" s="272" t="str">
        <f>F14</f>
        <v xml:space="preserve"> </v>
      </c>
      <c r="G109" s="269"/>
      <c r="H109" s="269"/>
      <c r="I109" s="249" t="s">
        <v>21</v>
      </c>
      <c r="J109" s="250">
        <f>IF(J14="","",J14)</f>
        <v>44077</v>
      </c>
      <c r="K109" s="269"/>
      <c r="L109" s="64"/>
      <c r="S109" s="23"/>
      <c r="T109" s="23"/>
      <c r="U109" s="23"/>
      <c r="V109" s="23"/>
      <c r="W109" s="23"/>
      <c r="X109" s="23"/>
      <c r="Y109" s="23"/>
      <c r="Z109" s="23"/>
      <c r="AA109" s="23"/>
      <c r="AB109" s="23"/>
      <c r="AC109" s="23"/>
      <c r="AD109" s="23"/>
      <c r="AE109" s="23"/>
    </row>
    <row r="110" spans="1:31" s="2" customFormat="1" ht="6.95" customHeight="1">
      <c r="A110" s="269"/>
      <c r="B110" s="270"/>
      <c r="C110" s="269"/>
      <c r="D110" s="269"/>
      <c r="E110" s="269"/>
      <c r="F110" s="269"/>
      <c r="G110" s="269"/>
      <c r="H110" s="269"/>
      <c r="I110" s="248"/>
      <c r="J110" s="248"/>
      <c r="K110" s="269"/>
      <c r="L110" s="64"/>
      <c r="S110" s="23"/>
      <c r="T110" s="23"/>
      <c r="U110" s="23"/>
      <c r="V110" s="23"/>
      <c r="W110" s="23"/>
      <c r="X110" s="23"/>
      <c r="Y110" s="23"/>
      <c r="Z110" s="23"/>
      <c r="AA110" s="23"/>
      <c r="AB110" s="23"/>
      <c r="AC110" s="23"/>
      <c r="AD110" s="23"/>
      <c r="AE110" s="23"/>
    </row>
    <row r="111" spans="1:31" s="2" customFormat="1" ht="26.45" customHeight="1">
      <c r="A111" s="269"/>
      <c r="B111" s="270"/>
      <c r="C111" s="267" t="s">
        <v>22</v>
      </c>
      <c r="D111" s="269"/>
      <c r="E111" s="269"/>
      <c r="F111" s="272" t="str">
        <f>E17</f>
        <v xml:space="preserve">Úřad vlády České republiky </v>
      </c>
      <c r="G111" s="269"/>
      <c r="H111" s="269"/>
      <c r="I111" s="249" t="s">
        <v>28</v>
      </c>
      <c r="J111" s="253" t="str">
        <f>E23</f>
        <v>Ateliér Simona Group</v>
      </c>
      <c r="K111" s="269"/>
      <c r="L111" s="64"/>
      <c r="S111" s="23"/>
      <c r="T111" s="23"/>
      <c r="U111" s="23"/>
      <c r="V111" s="23"/>
      <c r="W111" s="23"/>
      <c r="X111" s="23"/>
      <c r="Y111" s="23"/>
      <c r="Z111" s="23"/>
      <c r="AA111" s="23"/>
      <c r="AB111" s="23"/>
      <c r="AC111" s="23"/>
      <c r="AD111" s="23"/>
      <c r="AE111" s="23"/>
    </row>
    <row r="112" spans="1:31" s="2" customFormat="1" ht="26.45" customHeight="1">
      <c r="A112" s="269"/>
      <c r="B112" s="270"/>
      <c r="C112" s="267" t="s">
        <v>26</v>
      </c>
      <c r="D112" s="269"/>
      <c r="E112" s="269"/>
      <c r="F112" s="272" t="str">
        <f>IF(E20="","",E20)</f>
        <v xml:space="preserve"> </v>
      </c>
      <c r="G112" s="269"/>
      <c r="H112" s="269"/>
      <c r="I112" s="249" t="s">
        <v>31</v>
      </c>
      <c r="J112" s="253" t="str">
        <f>E26</f>
        <v>Ateliér Simona Group</v>
      </c>
      <c r="K112" s="269"/>
      <c r="L112" s="64"/>
      <c r="S112" s="23"/>
      <c r="T112" s="23"/>
      <c r="U112" s="23"/>
      <c r="V112" s="23"/>
      <c r="W112" s="23"/>
      <c r="X112" s="23"/>
      <c r="Y112" s="23"/>
      <c r="Z112" s="23"/>
      <c r="AA112" s="23"/>
      <c r="AB112" s="23"/>
      <c r="AC112" s="23"/>
      <c r="AD112" s="23"/>
      <c r="AE112" s="23"/>
    </row>
    <row r="113" spans="1:65" s="2" customFormat="1" ht="10.35" customHeight="1">
      <c r="A113" s="269"/>
      <c r="B113" s="270"/>
      <c r="C113" s="269"/>
      <c r="D113" s="269"/>
      <c r="E113" s="269"/>
      <c r="F113" s="269"/>
      <c r="G113" s="269"/>
      <c r="H113" s="269"/>
      <c r="I113" s="248"/>
      <c r="J113" s="248"/>
      <c r="K113" s="269"/>
      <c r="L113" s="64"/>
      <c r="S113" s="23"/>
      <c r="T113" s="23"/>
      <c r="U113" s="23"/>
      <c r="V113" s="23"/>
      <c r="W113" s="23"/>
      <c r="X113" s="23"/>
      <c r="Y113" s="23"/>
      <c r="Z113" s="23"/>
      <c r="AA113" s="23"/>
      <c r="AB113" s="23"/>
      <c r="AC113" s="23"/>
      <c r="AD113" s="23"/>
      <c r="AE113" s="23"/>
    </row>
    <row r="114" spans="1:65" s="11" customFormat="1" ht="29.25" customHeight="1">
      <c r="A114" s="299"/>
      <c r="B114" s="300"/>
      <c r="C114" s="301" t="s">
        <v>202</v>
      </c>
      <c r="D114" s="302" t="s">
        <v>53</v>
      </c>
      <c r="E114" s="302" t="s">
        <v>49</v>
      </c>
      <c r="F114" s="302" t="s">
        <v>50</v>
      </c>
      <c r="G114" s="302" t="s">
        <v>203</v>
      </c>
      <c r="H114" s="302" t="s">
        <v>204</v>
      </c>
      <c r="I114" s="254" t="s">
        <v>205</v>
      </c>
      <c r="J114" s="254" t="s">
        <v>169</v>
      </c>
      <c r="K114" s="340" t="s">
        <v>206</v>
      </c>
      <c r="L114" s="70"/>
      <c r="M114" s="34" t="s">
        <v>3</v>
      </c>
      <c r="N114" s="35" t="s">
        <v>38</v>
      </c>
      <c r="O114" s="35" t="s">
        <v>207</v>
      </c>
      <c r="P114" s="35" t="s">
        <v>208</v>
      </c>
      <c r="Q114" s="35" t="s">
        <v>209</v>
      </c>
      <c r="R114" s="35" t="s">
        <v>210</v>
      </c>
      <c r="S114" s="35" t="s">
        <v>211</v>
      </c>
      <c r="T114" s="36" t="s">
        <v>212</v>
      </c>
      <c r="U114" s="69"/>
      <c r="V114" s="69"/>
      <c r="W114" s="69"/>
      <c r="X114" s="69"/>
      <c r="Y114" s="69"/>
      <c r="Z114" s="69"/>
      <c r="AA114" s="69"/>
      <c r="AB114" s="69"/>
      <c r="AC114" s="69"/>
      <c r="AD114" s="69"/>
      <c r="AE114" s="69"/>
    </row>
    <row r="115" spans="1:65" s="2" customFormat="1" ht="22.9" customHeight="1">
      <c r="A115" s="269"/>
      <c r="B115" s="270"/>
      <c r="C115" s="243" t="s">
        <v>213</v>
      </c>
      <c r="D115" s="269"/>
      <c r="E115" s="269"/>
      <c r="F115" s="269"/>
      <c r="G115" s="269"/>
      <c r="H115" s="269"/>
      <c r="I115" s="248"/>
      <c r="J115" s="255">
        <f>BK115</f>
        <v>0</v>
      </c>
      <c r="K115" s="269"/>
      <c r="L115" s="24"/>
      <c r="M115" s="37"/>
      <c r="N115" s="30"/>
      <c r="O115" s="38"/>
      <c r="P115" s="71">
        <f>P116+P687+P1202</f>
        <v>6737.7094289999995</v>
      </c>
      <c r="Q115" s="38"/>
      <c r="R115" s="71">
        <f>R116+R687+R1202</f>
        <v>199.82777151000002</v>
      </c>
      <c r="S115" s="38"/>
      <c r="T115" s="72">
        <f>T116+T687+T1202</f>
        <v>188.14673986000003</v>
      </c>
      <c r="U115" s="23"/>
      <c r="V115" s="23"/>
      <c r="W115" s="23"/>
      <c r="X115" s="23"/>
      <c r="Y115" s="23"/>
      <c r="Z115" s="23"/>
      <c r="AA115" s="23"/>
      <c r="AB115" s="23"/>
      <c r="AC115" s="23"/>
      <c r="AD115" s="23"/>
      <c r="AE115" s="23"/>
      <c r="AT115" s="19" t="s">
        <v>67</v>
      </c>
      <c r="AU115" s="19" t="s">
        <v>170</v>
      </c>
      <c r="BK115" s="73">
        <f>BK116+BK687+BK1202</f>
        <v>0</v>
      </c>
    </row>
    <row r="116" spans="1:65" s="12" customFormat="1" ht="25.9" customHeight="1">
      <c r="A116" s="303"/>
      <c r="B116" s="304"/>
      <c r="C116" s="303"/>
      <c r="D116" s="305" t="s">
        <v>67</v>
      </c>
      <c r="E116" s="306" t="s">
        <v>214</v>
      </c>
      <c r="F116" s="306" t="s">
        <v>215</v>
      </c>
      <c r="G116" s="303"/>
      <c r="H116" s="303"/>
      <c r="I116" s="256"/>
      <c r="J116" s="257">
        <f>BK116</f>
        <v>0</v>
      </c>
      <c r="K116" s="303"/>
      <c r="L116" s="74"/>
      <c r="M116" s="76"/>
      <c r="N116" s="77"/>
      <c r="O116" s="77"/>
      <c r="P116" s="78">
        <f>P117+P160+P165+P241+P255+P432+P437+P667+P684</f>
        <v>5125.9724779999997</v>
      </c>
      <c r="Q116" s="77"/>
      <c r="R116" s="78">
        <f>R117+R160+R165+R241+R255+R432+R437+R667+R684</f>
        <v>178.20891532000002</v>
      </c>
      <c r="S116" s="77"/>
      <c r="T116" s="79">
        <f>T117+T160+T165+T241+T255+T432+T437+T667+T684</f>
        <v>136.37445900000003</v>
      </c>
      <c r="AR116" s="75" t="s">
        <v>75</v>
      </c>
      <c r="AT116" s="80" t="s">
        <v>67</v>
      </c>
      <c r="AU116" s="80" t="s">
        <v>68</v>
      </c>
      <c r="AY116" s="75" t="s">
        <v>216</v>
      </c>
      <c r="BK116" s="81">
        <f>BK117+BK160+BK165+BK241+BK255+BK432+BK437+BK667+BK684</f>
        <v>0</v>
      </c>
    </row>
    <row r="117" spans="1:65" s="12" customFormat="1" ht="22.9" customHeight="1">
      <c r="A117" s="303"/>
      <c r="B117" s="304"/>
      <c r="C117" s="303"/>
      <c r="D117" s="305" t="s">
        <v>67</v>
      </c>
      <c r="E117" s="307" t="s">
        <v>75</v>
      </c>
      <c r="F117" s="307" t="s">
        <v>217</v>
      </c>
      <c r="G117" s="303"/>
      <c r="H117" s="303"/>
      <c r="I117" s="256"/>
      <c r="J117" s="258">
        <f>BK117</f>
        <v>0</v>
      </c>
      <c r="K117" s="303"/>
      <c r="L117" s="74"/>
      <c r="M117" s="76"/>
      <c r="N117" s="77"/>
      <c r="O117" s="77"/>
      <c r="P117" s="78">
        <f>SUM(P118:P159)</f>
        <v>634.42872</v>
      </c>
      <c r="Q117" s="77"/>
      <c r="R117" s="78">
        <f>SUM(R118:R159)</f>
        <v>0</v>
      </c>
      <c r="S117" s="77"/>
      <c r="T117" s="79">
        <f>SUM(T118:T159)</f>
        <v>0</v>
      </c>
      <c r="AR117" s="75" t="s">
        <v>75</v>
      </c>
      <c r="AT117" s="80" t="s">
        <v>67</v>
      </c>
      <c r="AU117" s="80" t="s">
        <v>75</v>
      </c>
      <c r="AY117" s="75" t="s">
        <v>216</v>
      </c>
      <c r="BK117" s="81">
        <f>SUM(BK118:BK159)</f>
        <v>0</v>
      </c>
    </row>
    <row r="118" spans="1:65" s="2" customFormat="1" ht="21.6" customHeight="1">
      <c r="A118" s="269"/>
      <c r="B118" s="270"/>
      <c r="C118" s="308" t="s">
        <v>75</v>
      </c>
      <c r="D118" s="308" t="s">
        <v>218</v>
      </c>
      <c r="E118" s="309" t="s">
        <v>219</v>
      </c>
      <c r="F118" s="310" t="s">
        <v>220</v>
      </c>
      <c r="G118" s="311" t="s">
        <v>221</v>
      </c>
      <c r="H118" s="312">
        <v>5.625</v>
      </c>
      <c r="I118" s="82">
        <v>0</v>
      </c>
      <c r="J118" s="82">
        <f>ROUND(I118*H118,2)</f>
        <v>0</v>
      </c>
      <c r="K118" s="310" t="s">
        <v>222</v>
      </c>
      <c r="L118" s="24"/>
      <c r="M118" s="83" t="s">
        <v>3</v>
      </c>
      <c r="N118" s="84" t="s">
        <v>39</v>
      </c>
      <c r="O118" s="85">
        <v>1.2</v>
      </c>
      <c r="P118" s="85">
        <f>O118*H118</f>
        <v>6.75</v>
      </c>
      <c r="Q118" s="85">
        <v>0</v>
      </c>
      <c r="R118" s="85">
        <f>Q118*H118</f>
        <v>0</v>
      </c>
      <c r="S118" s="85">
        <v>0</v>
      </c>
      <c r="T118" s="86">
        <f>S118*H118</f>
        <v>0</v>
      </c>
      <c r="U118" s="23"/>
      <c r="V118" s="23"/>
      <c r="W118" s="23"/>
      <c r="X118" s="23"/>
      <c r="Y118" s="23"/>
      <c r="Z118" s="23"/>
      <c r="AA118" s="23"/>
      <c r="AB118" s="23"/>
      <c r="AC118" s="23"/>
      <c r="AD118" s="23"/>
      <c r="AE118" s="23"/>
      <c r="AR118" s="87" t="s">
        <v>223</v>
      </c>
      <c r="AT118" s="87" t="s">
        <v>218</v>
      </c>
      <c r="AU118" s="87" t="s">
        <v>77</v>
      </c>
      <c r="AY118" s="19" t="s">
        <v>216</v>
      </c>
      <c r="BE118" s="88">
        <f>IF(N118="základní",J118,0)</f>
        <v>0</v>
      </c>
      <c r="BF118" s="88">
        <f>IF(N118="snížená",J118,0)</f>
        <v>0</v>
      </c>
      <c r="BG118" s="88">
        <f>IF(N118="zákl. přenesená",J118,0)</f>
        <v>0</v>
      </c>
      <c r="BH118" s="88">
        <f>IF(N118="sníž. přenesená",J118,0)</f>
        <v>0</v>
      </c>
      <c r="BI118" s="88">
        <f>IF(N118="nulová",J118,0)</f>
        <v>0</v>
      </c>
      <c r="BJ118" s="19" t="s">
        <v>75</v>
      </c>
      <c r="BK118" s="88">
        <f>ROUND(I118*H118,2)</f>
        <v>0</v>
      </c>
      <c r="BL118" s="19" t="s">
        <v>223</v>
      </c>
      <c r="BM118" s="87" t="s">
        <v>224</v>
      </c>
    </row>
    <row r="119" spans="1:65" s="13" customFormat="1">
      <c r="A119" s="313"/>
      <c r="B119" s="314"/>
      <c r="C119" s="313"/>
      <c r="D119" s="315" t="s">
        <v>225</v>
      </c>
      <c r="E119" s="316" t="s">
        <v>3</v>
      </c>
      <c r="F119" s="317" t="s">
        <v>226</v>
      </c>
      <c r="G119" s="313"/>
      <c r="H119" s="316" t="s">
        <v>3</v>
      </c>
      <c r="I119" s="259"/>
      <c r="J119" s="259"/>
      <c r="K119" s="313"/>
      <c r="L119" s="89"/>
      <c r="M119" s="91"/>
      <c r="N119" s="92"/>
      <c r="O119" s="92"/>
      <c r="P119" s="92"/>
      <c r="Q119" s="92"/>
      <c r="R119" s="92"/>
      <c r="S119" s="92"/>
      <c r="T119" s="93"/>
      <c r="AT119" s="90" t="s">
        <v>225</v>
      </c>
      <c r="AU119" s="90" t="s">
        <v>77</v>
      </c>
      <c r="AV119" s="13" t="s">
        <v>75</v>
      </c>
      <c r="AW119" s="13" t="s">
        <v>30</v>
      </c>
      <c r="AX119" s="13" t="s">
        <v>68</v>
      </c>
      <c r="AY119" s="90" t="s">
        <v>216</v>
      </c>
    </row>
    <row r="120" spans="1:65" s="14" customFormat="1">
      <c r="A120" s="318"/>
      <c r="B120" s="319"/>
      <c r="C120" s="318"/>
      <c r="D120" s="315" t="s">
        <v>225</v>
      </c>
      <c r="E120" s="320" t="s">
        <v>3</v>
      </c>
      <c r="F120" s="321" t="s">
        <v>227</v>
      </c>
      <c r="G120" s="318"/>
      <c r="H120" s="322">
        <v>5.625</v>
      </c>
      <c r="I120" s="260"/>
      <c r="J120" s="260"/>
      <c r="K120" s="318"/>
      <c r="L120" s="94"/>
      <c r="M120" s="96"/>
      <c r="N120" s="97"/>
      <c r="O120" s="97"/>
      <c r="P120" s="97"/>
      <c r="Q120" s="97"/>
      <c r="R120" s="97"/>
      <c r="S120" s="97"/>
      <c r="T120" s="98"/>
      <c r="AT120" s="95" t="s">
        <v>225</v>
      </c>
      <c r="AU120" s="95" t="s">
        <v>77</v>
      </c>
      <c r="AV120" s="14" t="s">
        <v>77</v>
      </c>
      <c r="AW120" s="14" t="s">
        <v>30</v>
      </c>
      <c r="AX120" s="14" t="s">
        <v>75</v>
      </c>
      <c r="AY120" s="95" t="s">
        <v>216</v>
      </c>
    </row>
    <row r="121" spans="1:65" s="2" customFormat="1" ht="32.450000000000003" customHeight="1">
      <c r="A121" s="269"/>
      <c r="B121" s="270"/>
      <c r="C121" s="308" t="s">
        <v>77</v>
      </c>
      <c r="D121" s="308" t="s">
        <v>218</v>
      </c>
      <c r="E121" s="309" t="s">
        <v>228</v>
      </c>
      <c r="F121" s="310" t="s">
        <v>229</v>
      </c>
      <c r="G121" s="311" t="s">
        <v>221</v>
      </c>
      <c r="H121" s="312">
        <v>33.75</v>
      </c>
      <c r="I121" s="82">
        <v>0</v>
      </c>
      <c r="J121" s="82">
        <f>ROUND(I121*H121,2)</f>
        <v>0</v>
      </c>
      <c r="K121" s="310" t="s">
        <v>222</v>
      </c>
      <c r="L121" s="24"/>
      <c r="M121" s="83" t="s">
        <v>3</v>
      </c>
      <c r="N121" s="84" t="s">
        <v>39</v>
      </c>
      <c r="O121" s="85">
        <v>5.29</v>
      </c>
      <c r="P121" s="85">
        <f>O121*H121</f>
        <v>178.53749999999999</v>
      </c>
      <c r="Q121" s="85">
        <v>0</v>
      </c>
      <c r="R121" s="85">
        <f>Q121*H121</f>
        <v>0</v>
      </c>
      <c r="S121" s="85">
        <v>0</v>
      </c>
      <c r="T121" s="86">
        <f>S121*H121</f>
        <v>0</v>
      </c>
      <c r="U121" s="23"/>
      <c r="V121" s="23"/>
      <c r="W121" s="23"/>
      <c r="X121" s="23"/>
      <c r="Y121" s="23"/>
      <c r="Z121" s="23"/>
      <c r="AA121" s="23"/>
      <c r="AB121" s="23"/>
      <c r="AC121" s="23"/>
      <c r="AD121" s="23"/>
      <c r="AE121" s="23"/>
      <c r="AR121" s="87" t="s">
        <v>223</v>
      </c>
      <c r="AT121" s="87" t="s">
        <v>218</v>
      </c>
      <c r="AU121" s="87" t="s">
        <v>77</v>
      </c>
      <c r="AY121" s="19" t="s">
        <v>216</v>
      </c>
      <c r="BE121" s="88">
        <f>IF(N121="základní",J121,0)</f>
        <v>0</v>
      </c>
      <c r="BF121" s="88">
        <f>IF(N121="snížená",J121,0)</f>
        <v>0</v>
      </c>
      <c r="BG121" s="88">
        <f>IF(N121="zákl. přenesená",J121,0)</f>
        <v>0</v>
      </c>
      <c r="BH121" s="88">
        <f>IF(N121="sníž. přenesená",J121,0)</f>
        <v>0</v>
      </c>
      <c r="BI121" s="88">
        <f>IF(N121="nulová",J121,0)</f>
        <v>0</v>
      </c>
      <c r="BJ121" s="19" t="s">
        <v>75</v>
      </c>
      <c r="BK121" s="88">
        <f>ROUND(I121*H121,2)</f>
        <v>0</v>
      </c>
      <c r="BL121" s="19" t="s">
        <v>223</v>
      </c>
      <c r="BM121" s="87" t="s">
        <v>230</v>
      </c>
    </row>
    <row r="122" spans="1:65" s="2" customFormat="1" ht="48.75">
      <c r="A122" s="269"/>
      <c r="B122" s="270"/>
      <c r="C122" s="269"/>
      <c r="D122" s="315" t="s">
        <v>231</v>
      </c>
      <c r="E122" s="269"/>
      <c r="F122" s="323" t="s">
        <v>232</v>
      </c>
      <c r="G122" s="269"/>
      <c r="H122" s="269"/>
      <c r="I122" s="248"/>
      <c r="J122" s="248"/>
      <c r="K122" s="269"/>
      <c r="L122" s="24"/>
      <c r="M122" s="99"/>
      <c r="N122" s="100"/>
      <c r="O122" s="32"/>
      <c r="P122" s="32"/>
      <c r="Q122" s="32"/>
      <c r="R122" s="32"/>
      <c r="S122" s="32"/>
      <c r="T122" s="33"/>
      <c r="U122" s="23"/>
      <c r="V122" s="23"/>
      <c r="W122" s="23"/>
      <c r="X122" s="23"/>
      <c r="Y122" s="23"/>
      <c r="Z122" s="23"/>
      <c r="AA122" s="23"/>
      <c r="AB122" s="23"/>
      <c r="AC122" s="23"/>
      <c r="AD122" s="23"/>
      <c r="AE122" s="23"/>
      <c r="AT122" s="19" t="s">
        <v>231</v>
      </c>
      <c r="AU122" s="19" t="s">
        <v>77</v>
      </c>
    </row>
    <row r="123" spans="1:65" s="13" customFormat="1">
      <c r="A123" s="313"/>
      <c r="B123" s="314"/>
      <c r="C123" s="313"/>
      <c r="D123" s="315" t="s">
        <v>225</v>
      </c>
      <c r="E123" s="316" t="s">
        <v>3</v>
      </c>
      <c r="F123" s="317" t="s">
        <v>226</v>
      </c>
      <c r="G123" s="313"/>
      <c r="H123" s="316" t="s">
        <v>3</v>
      </c>
      <c r="I123" s="259"/>
      <c r="J123" s="259"/>
      <c r="K123" s="313"/>
      <c r="L123" s="89"/>
      <c r="M123" s="91"/>
      <c r="N123" s="92"/>
      <c r="O123" s="92"/>
      <c r="P123" s="92"/>
      <c r="Q123" s="92"/>
      <c r="R123" s="92"/>
      <c r="S123" s="92"/>
      <c r="T123" s="93"/>
      <c r="AT123" s="90" t="s">
        <v>225</v>
      </c>
      <c r="AU123" s="90" t="s">
        <v>77</v>
      </c>
      <c r="AV123" s="13" t="s">
        <v>75</v>
      </c>
      <c r="AW123" s="13" t="s">
        <v>30</v>
      </c>
      <c r="AX123" s="13" t="s">
        <v>68</v>
      </c>
      <c r="AY123" s="90" t="s">
        <v>216</v>
      </c>
    </row>
    <row r="124" spans="1:65" s="14" customFormat="1">
      <c r="A124" s="318"/>
      <c r="B124" s="319"/>
      <c r="C124" s="318"/>
      <c r="D124" s="315" t="s">
        <v>225</v>
      </c>
      <c r="E124" s="320" t="s">
        <v>3</v>
      </c>
      <c r="F124" s="321" t="s">
        <v>233</v>
      </c>
      <c r="G124" s="318"/>
      <c r="H124" s="322">
        <v>33.75</v>
      </c>
      <c r="I124" s="260"/>
      <c r="J124" s="260"/>
      <c r="K124" s="318"/>
      <c r="L124" s="94"/>
      <c r="M124" s="96"/>
      <c r="N124" s="97"/>
      <c r="O124" s="97"/>
      <c r="P124" s="97"/>
      <c r="Q124" s="97"/>
      <c r="R124" s="97"/>
      <c r="S124" s="97"/>
      <c r="T124" s="98"/>
      <c r="AT124" s="95" t="s">
        <v>225</v>
      </c>
      <c r="AU124" s="95" t="s">
        <v>77</v>
      </c>
      <c r="AV124" s="14" t="s">
        <v>77</v>
      </c>
      <c r="AW124" s="14" t="s">
        <v>30</v>
      </c>
      <c r="AX124" s="14" t="s">
        <v>75</v>
      </c>
      <c r="AY124" s="95" t="s">
        <v>216</v>
      </c>
    </row>
    <row r="125" spans="1:65" s="2" customFormat="1" ht="32.450000000000003" customHeight="1">
      <c r="A125" s="269"/>
      <c r="B125" s="270"/>
      <c r="C125" s="308" t="s">
        <v>100</v>
      </c>
      <c r="D125" s="308" t="s">
        <v>218</v>
      </c>
      <c r="E125" s="309" t="s">
        <v>234</v>
      </c>
      <c r="F125" s="310" t="s">
        <v>235</v>
      </c>
      <c r="G125" s="311" t="s">
        <v>221</v>
      </c>
      <c r="H125" s="312">
        <v>33.75</v>
      </c>
      <c r="I125" s="82">
        <v>0</v>
      </c>
      <c r="J125" s="82">
        <f>ROUND(I125*H125,2)</f>
        <v>0</v>
      </c>
      <c r="K125" s="310" t="s">
        <v>222</v>
      </c>
      <c r="L125" s="24"/>
      <c r="M125" s="83" t="s">
        <v>3</v>
      </c>
      <c r="N125" s="84" t="s">
        <v>39</v>
      </c>
      <c r="O125" s="85">
        <v>1.012</v>
      </c>
      <c r="P125" s="85">
        <f>O125*H125</f>
        <v>34.155000000000001</v>
      </c>
      <c r="Q125" s="85">
        <v>0</v>
      </c>
      <c r="R125" s="85">
        <f>Q125*H125</f>
        <v>0</v>
      </c>
      <c r="S125" s="85">
        <v>0</v>
      </c>
      <c r="T125" s="86">
        <f>S125*H125</f>
        <v>0</v>
      </c>
      <c r="U125" s="23"/>
      <c r="V125" s="23"/>
      <c r="W125" s="23"/>
      <c r="X125" s="23"/>
      <c r="Y125" s="23"/>
      <c r="Z125" s="23"/>
      <c r="AA125" s="23"/>
      <c r="AB125" s="23"/>
      <c r="AC125" s="23"/>
      <c r="AD125" s="23"/>
      <c r="AE125" s="23"/>
      <c r="AR125" s="87" t="s">
        <v>223</v>
      </c>
      <c r="AT125" s="87" t="s">
        <v>218</v>
      </c>
      <c r="AU125" s="87" t="s">
        <v>77</v>
      </c>
      <c r="AY125" s="19" t="s">
        <v>216</v>
      </c>
      <c r="BE125" s="88">
        <f>IF(N125="základní",J125,0)</f>
        <v>0</v>
      </c>
      <c r="BF125" s="88">
        <f>IF(N125="snížená",J125,0)</f>
        <v>0</v>
      </c>
      <c r="BG125" s="88">
        <f>IF(N125="zákl. přenesená",J125,0)</f>
        <v>0</v>
      </c>
      <c r="BH125" s="88">
        <f>IF(N125="sníž. přenesená",J125,0)</f>
        <v>0</v>
      </c>
      <c r="BI125" s="88">
        <f>IF(N125="nulová",J125,0)</f>
        <v>0</v>
      </c>
      <c r="BJ125" s="19" t="s">
        <v>75</v>
      </c>
      <c r="BK125" s="88">
        <f>ROUND(I125*H125,2)</f>
        <v>0</v>
      </c>
      <c r="BL125" s="19" t="s">
        <v>223</v>
      </c>
      <c r="BM125" s="87" t="s">
        <v>236</v>
      </c>
    </row>
    <row r="126" spans="1:65" s="2" customFormat="1" ht="48.75">
      <c r="A126" s="269"/>
      <c r="B126" s="270"/>
      <c r="C126" s="269"/>
      <c r="D126" s="315" t="s">
        <v>231</v>
      </c>
      <c r="E126" s="269"/>
      <c r="F126" s="323" t="s">
        <v>232</v>
      </c>
      <c r="G126" s="269"/>
      <c r="H126" s="269"/>
      <c r="I126" s="248"/>
      <c r="J126" s="248"/>
      <c r="K126" s="269"/>
      <c r="L126" s="24"/>
      <c r="M126" s="99"/>
      <c r="N126" s="100"/>
      <c r="O126" s="32"/>
      <c r="P126" s="32"/>
      <c r="Q126" s="32"/>
      <c r="R126" s="32"/>
      <c r="S126" s="32"/>
      <c r="T126" s="33"/>
      <c r="U126" s="23"/>
      <c r="V126" s="23"/>
      <c r="W126" s="23"/>
      <c r="X126" s="23"/>
      <c r="Y126" s="23"/>
      <c r="Z126" s="23"/>
      <c r="AA126" s="23"/>
      <c r="AB126" s="23"/>
      <c r="AC126" s="23"/>
      <c r="AD126" s="23"/>
      <c r="AE126" s="23"/>
      <c r="AT126" s="19" t="s">
        <v>231</v>
      </c>
      <c r="AU126" s="19" t="s">
        <v>77</v>
      </c>
    </row>
    <row r="127" spans="1:65" s="2" customFormat="1" ht="21.6" customHeight="1">
      <c r="A127" s="269"/>
      <c r="B127" s="270"/>
      <c r="C127" s="308" t="s">
        <v>223</v>
      </c>
      <c r="D127" s="308" t="s">
        <v>218</v>
      </c>
      <c r="E127" s="309" t="s">
        <v>237</v>
      </c>
      <c r="F127" s="310" t="s">
        <v>238</v>
      </c>
      <c r="G127" s="311" t="s">
        <v>221</v>
      </c>
      <c r="H127" s="312">
        <v>30.654</v>
      </c>
      <c r="I127" s="82">
        <v>0</v>
      </c>
      <c r="J127" s="82">
        <f>ROUND(I127*H127,2)</f>
        <v>0</v>
      </c>
      <c r="K127" s="310" t="s">
        <v>222</v>
      </c>
      <c r="L127" s="24"/>
      <c r="M127" s="83" t="s">
        <v>3</v>
      </c>
      <c r="N127" s="84" t="s">
        <v>39</v>
      </c>
      <c r="O127" s="85">
        <v>7.7039999999999997</v>
      </c>
      <c r="P127" s="85">
        <f>O127*H127</f>
        <v>236.15841599999999</v>
      </c>
      <c r="Q127" s="85">
        <v>0</v>
      </c>
      <c r="R127" s="85">
        <f>Q127*H127</f>
        <v>0</v>
      </c>
      <c r="S127" s="85">
        <v>0</v>
      </c>
      <c r="T127" s="86">
        <f>S127*H127</f>
        <v>0</v>
      </c>
      <c r="U127" s="23"/>
      <c r="V127" s="23"/>
      <c r="W127" s="23"/>
      <c r="X127" s="23"/>
      <c r="Y127" s="23"/>
      <c r="Z127" s="23"/>
      <c r="AA127" s="23"/>
      <c r="AB127" s="23"/>
      <c r="AC127" s="23"/>
      <c r="AD127" s="23"/>
      <c r="AE127" s="23"/>
      <c r="AR127" s="87" t="s">
        <v>223</v>
      </c>
      <c r="AT127" s="87" t="s">
        <v>218</v>
      </c>
      <c r="AU127" s="87" t="s">
        <v>77</v>
      </c>
      <c r="AY127" s="19" t="s">
        <v>216</v>
      </c>
      <c r="BE127" s="88">
        <f>IF(N127="základní",J127,0)</f>
        <v>0</v>
      </c>
      <c r="BF127" s="88">
        <f>IF(N127="snížená",J127,0)</f>
        <v>0</v>
      </c>
      <c r="BG127" s="88">
        <f>IF(N127="zákl. přenesená",J127,0)</f>
        <v>0</v>
      </c>
      <c r="BH127" s="88">
        <f>IF(N127="sníž. přenesená",J127,0)</f>
        <v>0</v>
      </c>
      <c r="BI127" s="88">
        <f>IF(N127="nulová",J127,0)</f>
        <v>0</v>
      </c>
      <c r="BJ127" s="19" t="s">
        <v>75</v>
      </c>
      <c r="BK127" s="88">
        <f>ROUND(I127*H127,2)</f>
        <v>0</v>
      </c>
      <c r="BL127" s="19" t="s">
        <v>223</v>
      </c>
      <c r="BM127" s="87" t="s">
        <v>239</v>
      </c>
    </row>
    <row r="128" spans="1:65" s="2" customFormat="1" ht="39">
      <c r="A128" s="269"/>
      <c r="B128" s="270"/>
      <c r="C128" s="269"/>
      <c r="D128" s="315" t="s">
        <v>231</v>
      </c>
      <c r="E128" s="269"/>
      <c r="F128" s="323" t="s">
        <v>240</v>
      </c>
      <c r="G128" s="269"/>
      <c r="H128" s="269"/>
      <c r="I128" s="248"/>
      <c r="J128" s="248"/>
      <c r="K128" s="269"/>
      <c r="L128" s="24"/>
      <c r="M128" s="99"/>
      <c r="N128" s="100"/>
      <c r="O128" s="32"/>
      <c r="P128" s="32"/>
      <c r="Q128" s="32"/>
      <c r="R128" s="32"/>
      <c r="S128" s="32"/>
      <c r="T128" s="33"/>
      <c r="U128" s="23"/>
      <c r="V128" s="23"/>
      <c r="W128" s="23"/>
      <c r="X128" s="23"/>
      <c r="Y128" s="23"/>
      <c r="Z128" s="23"/>
      <c r="AA128" s="23"/>
      <c r="AB128" s="23"/>
      <c r="AC128" s="23"/>
      <c r="AD128" s="23"/>
      <c r="AE128" s="23"/>
      <c r="AT128" s="19" t="s">
        <v>231</v>
      </c>
      <c r="AU128" s="19" t="s">
        <v>77</v>
      </c>
    </row>
    <row r="129" spans="1:65" s="13" customFormat="1">
      <c r="A129" s="313"/>
      <c r="B129" s="314"/>
      <c r="C129" s="313"/>
      <c r="D129" s="315" t="s">
        <v>225</v>
      </c>
      <c r="E129" s="316" t="s">
        <v>3</v>
      </c>
      <c r="F129" s="317" t="s">
        <v>241</v>
      </c>
      <c r="G129" s="313"/>
      <c r="H129" s="316" t="s">
        <v>3</v>
      </c>
      <c r="I129" s="259"/>
      <c r="J129" s="259"/>
      <c r="K129" s="313"/>
      <c r="L129" s="89"/>
      <c r="M129" s="91"/>
      <c r="N129" s="92"/>
      <c r="O129" s="92"/>
      <c r="P129" s="92"/>
      <c r="Q129" s="92"/>
      <c r="R129" s="92"/>
      <c r="S129" s="92"/>
      <c r="T129" s="93"/>
      <c r="AT129" s="90" t="s">
        <v>225</v>
      </c>
      <c r="AU129" s="90" t="s">
        <v>77</v>
      </c>
      <c r="AV129" s="13" t="s">
        <v>75</v>
      </c>
      <c r="AW129" s="13" t="s">
        <v>30</v>
      </c>
      <c r="AX129" s="13" t="s">
        <v>68</v>
      </c>
      <c r="AY129" s="90" t="s">
        <v>216</v>
      </c>
    </row>
    <row r="130" spans="1:65" s="13" customFormat="1">
      <c r="A130" s="313"/>
      <c r="B130" s="314"/>
      <c r="C130" s="313"/>
      <c r="D130" s="315" t="s">
        <v>225</v>
      </c>
      <c r="E130" s="316" t="s">
        <v>3</v>
      </c>
      <c r="F130" s="317" t="s">
        <v>242</v>
      </c>
      <c r="G130" s="313"/>
      <c r="H130" s="316" t="s">
        <v>3</v>
      </c>
      <c r="I130" s="259"/>
      <c r="J130" s="259"/>
      <c r="K130" s="313"/>
      <c r="L130" s="89"/>
      <c r="M130" s="91"/>
      <c r="N130" s="92"/>
      <c r="O130" s="92"/>
      <c r="P130" s="92"/>
      <c r="Q130" s="92"/>
      <c r="R130" s="92"/>
      <c r="S130" s="92"/>
      <c r="T130" s="93"/>
      <c r="AT130" s="90" t="s">
        <v>225</v>
      </c>
      <c r="AU130" s="90" t="s">
        <v>77</v>
      </c>
      <c r="AV130" s="13" t="s">
        <v>75</v>
      </c>
      <c r="AW130" s="13" t="s">
        <v>30</v>
      </c>
      <c r="AX130" s="13" t="s">
        <v>68</v>
      </c>
      <c r="AY130" s="90" t="s">
        <v>216</v>
      </c>
    </row>
    <row r="131" spans="1:65" s="14" customFormat="1">
      <c r="A131" s="318"/>
      <c r="B131" s="319"/>
      <c r="C131" s="318"/>
      <c r="D131" s="315" t="s">
        <v>225</v>
      </c>
      <c r="E131" s="320" t="s">
        <v>3</v>
      </c>
      <c r="F131" s="321" t="s">
        <v>243</v>
      </c>
      <c r="G131" s="318"/>
      <c r="H131" s="322">
        <v>30.654</v>
      </c>
      <c r="I131" s="260"/>
      <c r="J131" s="260"/>
      <c r="K131" s="318"/>
      <c r="L131" s="94"/>
      <c r="M131" s="96"/>
      <c r="N131" s="97"/>
      <c r="O131" s="97"/>
      <c r="P131" s="97"/>
      <c r="Q131" s="97"/>
      <c r="R131" s="97"/>
      <c r="S131" s="97"/>
      <c r="T131" s="98"/>
      <c r="AT131" s="95" t="s">
        <v>225</v>
      </c>
      <c r="AU131" s="95" t="s">
        <v>77</v>
      </c>
      <c r="AV131" s="14" t="s">
        <v>77</v>
      </c>
      <c r="AW131" s="14" t="s">
        <v>30</v>
      </c>
      <c r="AX131" s="14" t="s">
        <v>75</v>
      </c>
      <c r="AY131" s="95" t="s">
        <v>216</v>
      </c>
    </row>
    <row r="132" spans="1:65" s="2" customFormat="1" ht="32.450000000000003" customHeight="1">
      <c r="A132" s="269"/>
      <c r="B132" s="270"/>
      <c r="C132" s="308" t="s">
        <v>244</v>
      </c>
      <c r="D132" s="308" t="s">
        <v>218</v>
      </c>
      <c r="E132" s="309" t="s">
        <v>245</v>
      </c>
      <c r="F132" s="310" t="s">
        <v>246</v>
      </c>
      <c r="G132" s="311" t="s">
        <v>221</v>
      </c>
      <c r="H132" s="312">
        <v>30.654</v>
      </c>
      <c r="I132" s="82">
        <v>0</v>
      </c>
      <c r="J132" s="82">
        <f>ROUND(I132*H132,2)</f>
        <v>0</v>
      </c>
      <c r="K132" s="310" t="s">
        <v>222</v>
      </c>
      <c r="L132" s="24"/>
      <c r="M132" s="83" t="s">
        <v>3</v>
      </c>
      <c r="N132" s="84" t="s">
        <v>39</v>
      </c>
      <c r="O132" s="85">
        <v>3.81</v>
      </c>
      <c r="P132" s="85">
        <f>O132*H132</f>
        <v>116.79174</v>
      </c>
      <c r="Q132" s="85">
        <v>0</v>
      </c>
      <c r="R132" s="85">
        <f>Q132*H132</f>
        <v>0</v>
      </c>
      <c r="S132" s="85">
        <v>0</v>
      </c>
      <c r="T132" s="86">
        <f>S132*H132</f>
        <v>0</v>
      </c>
      <c r="U132" s="23"/>
      <c r="V132" s="23"/>
      <c r="W132" s="23"/>
      <c r="X132" s="23"/>
      <c r="Y132" s="23"/>
      <c r="Z132" s="23"/>
      <c r="AA132" s="23"/>
      <c r="AB132" s="23"/>
      <c r="AC132" s="23"/>
      <c r="AD132" s="23"/>
      <c r="AE132" s="23"/>
      <c r="AR132" s="87" t="s">
        <v>223</v>
      </c>
      <c r="AT132" s="87" t="s">
        <v>218</v>
      </c>
      <c r="AU132" s="87" t="s">
        <v>77</v>
      </c>
      <c r="AY132" s="19" t="s">
        <v>216</v>
      </c>
      <c r="BE132" s="88">
        <f>IF(N132="základní",J132,0)</f>
        <v>0</v>
      </c>
      <c r="BF132" s="88">
        <f>IF(N132="snížená",J132,0)</f>
        <v>0</v>
      </c>
      <c r="BG132" s="88">
        <f>IF(N132="zákl. přenesená",J132,0)</f>
        <v>0</v>
      </c>
      <c r="BH132" s="88">
        <f>IF(N132="sníž. přenesená",J132,0)</f>
        <v>0</v>
      </c>
      <c r="BI132" s="88">
        <f>IF(N132="nulová",J132,0)</f>
        <v>0</v>
      </c>
      <c r="BJ132" s="19" t="s">
        <v>75</v>
      </c>
      <c r="BK132" s="88">
        <f>ROUND(I132*H132,2)</f>
        <v>0</v>
      </c>
      <c r="BL132" s="19" t="s">
        <v>223</v>
      </c>
      <c r="BM132" s="87" t="s">
        <v>247</v>
      </c>
    </row>
    <row r="133" spans="1:65" s="2" customFormat="1" ht="21.6" customHeight="1">
      <c r="A133" s="269"/>
      <c r="B133" s="270"/>
      <c r="C133" s="308" t="s">
        <v>248</v>
      </c>
      <c r="D133" s="308" t="s">
        <v>218</v>
      </c>
      <c r="E133" s="309" t="s">
        <v>249</v>
      </c>
      <c r="F133" s="310" t="s">
        <v>250</v>
      </c>
      <c r="G133" s="311" t="s">
        <v>221</v>
      </c>
      <c r="H133" s="312">
        <v>57.654000000000003</v>
      </c>
      <c r="I133" s="82">
        <v>0</v>
      </c>
      <c r="J133" s="82">
        <f>ROUND(I133*H133,2)</f>
        <v>0</v>
      </c>
      <c r="K133" s="310" t="s">
        <v>222</v>
      </c>
      <c r="L133" s="24"/>
      <c r="M133" s="83" t="s">
        <v>3</v>
      </c>
      <c r="N133" s="84" t="s">
        <v>39</v>
      </c>
      <c r="O133" s="85">
        <v>0.86799999999999999</v>
      </c>
      <c r="P133" s="85">
        <f>O133*H133</f>
        <v>50.043672000000001</v>
      </c>
      <c r="Q133" s="85">
        <v>0</v>
      </c>
      <c r="R133" s="85">
        <f>Q133*H133</f>
        <v>0</v>
      </c>
      <c r="S133" s="85">
        <v>0</v>
      </c>
      <c r="T133" s="86">
        <f>S133*H133</f>
        <v>0</v>
      </c>
      <c r="U133" s="23"/>
      <c r="V133" s="23"/>
      <c r="W133" s="23"/>
      <c r="X133" s="23"/>
      <c r="Y133" s="23"/>
      <c r="Z133" s="23"/>
      <c r="AA133" s="23"/>
      <c r="AB133" s="23"/>
      <c r="AC133" s="23"/>
      <c r="AD133" s="23"/>
      <c r="AE133" s="23"/>
      <c r="AR133" s="87" t="s">
        <v>223</v>
      </c>
      <c r="AT133" s="87" t="s">
        <v>218</v>
      </c>
      <c r="AU133" s="87" t="s">
        <v>77</v>
      </c>
      <c r="AY133" s="19" t="s">
        <v>216</v>
      </c>
      <c r="BE133" s="88">
        <f>IF(N133="základní",J133,0)</f>
        <v>0</v>
      </c>
      <c r="BF133" s="88">
        <f>IF(N133="snížená",J133,0)</f>
        <v>0</v>
      </c>
      <c r="BG133" s="88">
        <f>IF(N133="zákl. přenesená",J133,0)</f>
        <v>0</v>
      </c>
      <c r="BH133" s="88">
        <f>IF(N133="sníž. přenesená",J133,0)</f>
        <v>0</v>
      </c>
      <c r="BI133" s="88">
        <f>IF(N133="nulová",J133,0)</f>
        <v>0</v>
      </c>
      <c r="BJ133" s="19" t="s">
        <v>75</v>
      </c>
      <c r="BK133" s="88">
        <f>ROUND(I133*H133,2)</f>
        <v>0</v>
      </c>
      <c r="BL133" s="19" t="s">
        <v>223</v>
      </c>
      <c r="BM133" s="87" t="s">
        <v>251</v>
      </c>
    </row>
    <row r="134" spans="1:65" s="13" customFormat="1">
      <c r="A134" s="313"/>
      <c r="B134" s="314"/>
      <c r="C134" s="313"/>
      <c r="D134" s="315" t="s">
        <v>225</v>
      </c>
      <c r="E134" s="316" t="s">
        <v>3</v>
      </c>
      <c r="F134" s="317" t="s">
        <v>241</v>
      </c>
      <c r="G134" s="313"/>
      <c r="H134" s="316" t="s">
        <v>3</v>
      </c>
      <c r="I134" s="259"/>
      <c r="J134" s="259"/>
      <c r="K134" s="313"/>
      <c r="L134" s="89"/>
      <c r="M134" s="91"/>
      <c r="N134" s="92"/>
      <c r="O134" s="92"/>
      <c r="P134" s="92"/>
      <c r="Q134" s="92"/>
      <c r="R134" s="92"/>
      <c r="S134" s="92"/>
      <c r="T134" s="93"/>
      <c r="AT134" s="90" t="s">
        <v>225</v>
      </c>
      <c r="AU134" s="90" t="s">
        <v>77</v>
      </c>
      <c r="AV134" s="13" t="s">
        <v>75</v>
      </c>
      <c r="AW134" s="13" t="s">
        <v>30</v>
      </c>
      <c r="AX134" s="13" t="s">
        <v>68</v>
      </c>
      <c r="AY134" s="90" t="s">
        <v>216</v>
      </c>
    </row>
    <row r="135" spans="1:65" s="13" customFormat="1">
      <c r="A135" s="313"/>
      <c r="B135" s="314"/>
      <c r="C135" s="313"/>
      <c r="D135" s="315" t="s">
        <v>225</v>
      </c>
      <c r="E135" s="316" t="s">
        <v>3</v>
      </c>
      <c r="F135" s="317" t="s">
        <v>242</v>
      </c>
      <c r="G135" s="313"/>
      <c r="H135" s="316" t="s">
        <v>3</v>
      </c>
      <c r="I135" s="259"/>
      <c r="J135" s="259"/>
      <c r="K135" s="313"/>
      <c r="L135" s="89"/>
      <c r="M135" s="91"/>
      <c r="N135" s="92"/>
      <c r="O135" s="92"/>
      <c r="P135" s="92"/>
      <c r="Q135" s="92"/>
      <c r="R135" s="92"/>
      <c r="S135" s="92"/>
      <c r="T135" s="93"/>
      <c r="AT135" s="90" t="s">
        <v>225</v>
      </c>
      <c r="AU135" s="90" t="s">
        <v>77</v>
      </c>
      <c r="AV135" s="13" t="s">
        <v>75</v>
      </c>
      <c r="AW135" s="13" t="s">
        <v>30</v>
      </c>
      <c r="AX135" s="13" t="s">
        <v>68</v>
      </c>
      <c r="AY135" s="90" t="s">
        <v>216</v>
      </c>
    </row>
    <row r="136" spans="1:65" s="14" customFormat="1">
      <c r="A136" s="318"/>
      <c r="B136" s="319"/>
      <c r="C136" s="318"/>
      <c r="D136" s="315" t="s">
        <v>225</v>
      </c>
      <c r="E136" s="320" t="s">
        <v>3</v>
      </c>
      <c r="F136" s="321" t="s">
        <v>243</v>
      </c>
      <c r="G136" s="318"/>
      <c r="H136" s="322">
        <v>30.654</v>
      </c>
      <c r="I136" s="260"/>
      <c r="J136" s="260"/>
      <c r="K136" s="318"/>
      <c r="L136" s="94"/>
      <c r="M136" s="96"/>
      <c r="N136" s="97"/>
      <c r="O136" s="97"/>
      <c r="P136" s="97"/>
      <c r="Q136" s="97"/>
      <c r="R136" s="97"/>
      <c r="S136" s="97"/>
      <c r="T136" s="98"/>
      <c r="AT136" s="95" t="s">
        <v>225</v>
      </c>
      <c r="AU136" s="95" t="s">
        <v>77</v>
      </c>
      <c r="AV136" s="14" t="s">
        <v>77</v>
      </c>
      <c r="AW136" s="14" t="s">
        <v>30</v>
      </c>
      <c r="AX136" s="14" t="s">
        <v>68</v>
      </c>
      <c r="AY136" s="95" t="s">
        <v>216</v>
      </c>
    </row>
    <row r="137" spans="1:65" s="15" customFormat="1">
      <c r="A137" s="324"/>
      <c r="B137" s="325"/>
      <c r="C137" s="324"/>
      <c r="D137" s="315" t="s">
        <v>225</v>
      </c>
      <c r="E137" s="326" t="s">
        <v>3</v>
      </c>
      <c r="F137" s="327" t="s">
        <v>252</v>
      </c>
      <c r="G137" s="324"/>
      <c r="H137" s="328">
        <v>30.654</v>
      </c>
      <c r="I137" s="261"/>
      <c r="J137" s="261"/>
      <c r="K137" s="324"/>
      <c r="L137" s="101"/>
      <c r="M137" s="103"/>
      <c r="N137" s="104"/>
      <c r="O137" s="104"/>
      <c r="P137" s="104"/>
      <c r="Q137" s="104"/>
      <c r="R137" s="104"/>
      <c r="S137" s="104"/>
      <c r="T137" s="105"/>
      <c r="AT137" s="102" t="s">
        <v>225</v>
      </c>
      <c r="AU137" s="102" t="s">
        <v>77</v>
      </c>
      <c r="AV137" s="15" t="s">
        <v>100</v>
      </c>
      <c r="AW137" s="15" t="s">
        <v>30</v>
      </c>
      <c r="AX137" s="15" t="s">
        <v>68</v>
      </c>
      <c r="AY137" s="102" t="s">
        <v>216</v>
      </c>
    </row>
    <row r="138" spans="1:65" s="13" customFormat="1">
      <c r="A138" s="313"/>
      <c r="B138" s="314"/>
      <c r="C138" s="313"/>
      <c r="D138" s="315" t="s">
        <v>225</v>
      </c>
      <c r="E138" s="316" t="s">
        <v>3</v>
      </c>
      <c r="F138" s="317" t="s">
        <v>226</v>
      </c>
      <c r="G138" s="313"/>
      <c r="H138" s="316" t="s">
        <v>3</v>
      </c>
      <c r="I138" s="259"/>
      <c r="J138" s="259"/>
      <c r="K138" s="313"/>
      <c r="L138" s="89"/>
      <c r="M138" s="91"/>
      <c r="N138" s="92"/>
      <c r="O138" s="92"/>
      <c r="P138" s="92"/>
      <c r="Q138" s="92"/>
      <c r="R138" s="92"/>
      <c r="S138" s="92"/>
      <c r="T138" s="93"/>
      <c r="AT138" s="90" t="s">
        <v>225</v>
      </c>
      <c r="AU138" s="90" t="s">
        <v>77</v>
      </c>
      <c r="AV138" s="13" t="s">
        <v>75</v>
      </c>
      <c r="AW138" s="13" t="s">
        <v>30</v>
      </c>
      <c r="AX138" s="13" t="s">
        <v>68</v>
      </c>
      <c r="AY138" s="90" t="s">
        <v>216</v>
      </c>
    </row>
    <row r="139" spans="1:65" s="14" customFormat="1">
      <c r="A139" s="318"/>
      <c r="B139" s="319"/>
      <c r="C139" s="318"/>
      <c r="D139" s="315" t="s">
        <v>225</v>
      </c>
      <c r="E139" s="320" t="s">
        <v>3</v>
      </c>
      <c r="F139" s="321" t="s">
        <v>253</v>
      </c>
      <c r="G139" s="318"/>
      <c r="H139" s="322">
        <v>27</v>
      </c>
      <c r="I139" s="260"/>
      <c r="J139" s="260"/>
      <c r="K139" s="318"/>
      <c r="L139" s="94"/>
      <c r="M139" s="96"/>
      <c r="N139" s="97"/>
      <c r="O139" s="97"/>
      <c r="P139" s="97"/>
      <c r="Q139" s="97"/>
      <c r="R139" s="97"/>
      <c r="S139" s="97"/>
      <c r="T139" s="98"/>
      <c r="AT139" s="95" t="s">
        <v>225</v>
      </c>
      <c r="AU139" s="95" t="s">
        <v>77</v>
      </c>
      <c r="AV139" s="14" t="s">
        <v>77</v>
      </c>
      <c r="AW139" s="14" t="s">
        <v>30</v>
      </c>
      <c r="AX139" s="14" t="s">
        <v>68</v>
      </c>
      <c r="AY139" s="95" t="s">
        <v>216</v>
      </c>
    </row>
    <row r="140" spans="1:65" s="15" customFormat="1">
      <c r="A140" s="324"/>
      <c r="B140" s="325"/>
      <c r="C140" s="324"/>
      <c r="D140" s="315" t="s">
        <v>225</v>
      </c>
      <c r="E140" s="326" t="s">
        <v>3</v>
      </c>
      <c r="F140" s="327" t="s">
        <v>252</v>
      </c>
      <c r="G140" s="324"/>
      <c r="H140" s="328">
        <v>27</v>
      </c>
      <c r="I140" s="261"/>
      <c r="J140" s="261"/>
      <c r="K140" s="324"/>
      <c r="L140" s="101"/>
      <c r="M140" s="103"/>
      <c r="N140" s="104"/>
      <c r="O140" s="104"/>
      <c r="P140" s="104"/>
      <c r="Q140" s="104"/>
      <c r="R140" s="104"/>
      <c r="S140" s="104"/>
      <c r="T140" s="105"/>
      <c r="AT140" s="102" t="s">
        <v>225</v>
      </c>
      <c r="AU140" s="102" t="s">
        <v>77</v>
      </c>
      <c r="AV140" s="15" t="s">
        <v>100</v>
      </c>
      <c r="AW140" s="15" t="s">
        <v>30</v>
      </c>
      <c r="AX140" s="15" t="s">
        <v>68</v>
      </c>
      <c r="AY140" s="102" t="s">
        <v>216</v>
      </c>
    </row>
    <row r="141" spans="1:65" s="16" customFormat="1">
      <c r="A141" s="329"/>
      <c r="B141" s="330"/>
      <c r="C141" s="329"/>
      <c r="D141" s="315" t="s">
        <v>225</v>
      </c>
      <c r="E141" s="331" t="s">
        <v>3</v>
      </c>
      <c r="F141" s="332" t="s">
        <v>254</v>
      </c>
      <c r="G141" s="329"/>
      <c r="H141" s="333">
        <v>57.653999999999996</v>
      </c>
      <c r="I141" s="262"/>
      <c r="J141" s="262"/>
      <c r="K141" s="329"/>
      <c r="L141" s="106"/>
      <c r="M141" s="108"/>
      <c r="N141" s="109"/>
      <c r="O141" s="109"/>
      <c r="P141" s="109"/>
      <c r="Q141" s="109"/>
      <c r="R141" s="109"/>
      <c r="S141" s="109"/>
      <c r="T141" s="110"/>
      <c r="AT141" s="107" t="s">
        <v>225</v>
      </c>
      <c r="AU141" s="107" t="s">
        <v>77</v>
      </c>
      <c r="AV141" s="16" t="s">
        <v>223</v>
      </c>
      <c r="AW141" s="16" t="s">
        <v>30</v>
      </c>
      <c r="AX141" s="16" t="s">
        <v>75</v>
      </c>
      <c r="AY141" s="107" t="s">
        <v>216</v>
      </c>
    </row>
    <row r="142" spans="1:65" s="2" customFormat="1" ht="32.450000000000003" customHeight="1">
      <c r="A142" s="269"/>
      <c r="B142" s="270"/>
      <c r="C142" s="308" t="s">
        <v>255</v>
      </c>
      <c r="D142" s="308" t="s">
        <v>218</v>
      </c>
      <c r="E142" s="309" t="s">
        <v>256</v>
      </c>
      <c r="F142" s="310" t="s">
        <v>257</v>
      </c>
      <c r="G142" s="311" t="s">
        <v>221</v>
      </c>
      <c r="H142" s="312">
        <v>57.654000000000003</v>
      </c>
      <c r="I142" s="82">
        <v>0</v>
      </c>
      <c r="J142" s="82">
        <f>ROUND(I142*H142,2)</f>
        <v>0</v>
      </c>
      <c r="K142" s="310" t="s">
        <v>222</v>
      </c>
      <c r="L142" s="24"/>
      <c r="M142" s="83" t="s">
        <v>3</v>
      </c>
      <c r="N142" s="84" t="s">
        <v>39</v>
      </c>
      <c r="O142" s="85">
        <v>8.3000000000000004E-2</v>
      </c>
      <c r="P142" s="85">
        <f>O142*H142</f>
        <v>4.7852820000000005</v>
      </c>
      <c r="Q142" s="85">
        <v>0</v>
      </c>
      <c r="R142" s="85">
        <f>Q142*H142</f>
        <v>0</v>
      </c>
      <c r="S142" s="85">
        <v>0</v>
      </c>
      <c r="T142" s="86">
        <f>S142*H142</f>
        <v>0</v>
      </c>
      <c r="U142" s="23"/>
      <c r="V142" s="23"/>
      <c r="W142" s="23"/>
      <c r="X142" s="23"/>
      <c r="Y142" s="23"/>
      <c r="Z142" s="23"/>
      <c r="AA142" s="23"/>
      <c r="AB142" s="23"/>
      <c r="AC142" s="23"/>
      <c r="AD142" s="23"/>
      <c r="AE142" s="23"/>
      <c r="AR142" s="87" t="s">
        <v>223</v>
      </c>
      <c r="AT142" s="87" t="s">
        <v>218</v>
      </c>
      <c r="AU142" s="87" t="s">
        <v>77</v>
      </c>
      <c r="AY142" s="19" t="s">
        <v>216</v>
      </c>
      <c r="BE142" s="88">
        <f>IF(N142="základní",J142,0)</f>
        <v>0</v>
      </c>
      <c r="BF142" s="88">
        <f>IF(N142="snížená",J142,0)</f>
        <v>0</v>
      </c>
      <c r="BG142" s="88">
        <f>IF(N142="zákl. přenesená",J142,0)</f>
        <v>0</v>
      </c>
      <c r="BH142" s="88">
        <f>IF(N142="sníž. přenesená",J142,0)</f>
        <v>0</v>
      </c>
      <c r="BI142" s="88">
        <f>IF(N142="nulová",J142,0)</f>
        <v>0</v>
      </c>
      <c r="BJ142" s="19" t="s">
        <v>75</v>
      </c>
      <c r="BK142" s="88">
        <f>ROUND(I142*H142,2)</f>
        <v>0</v>
      </c>
      <c r="BL142" s="19" t="s">
        <v>223</v>
      </c>
      <c r="BM142" s="87" t="s">
        <v>258</v>
      </c>
    </row>
    <row r="143" spans="1:65" s="2" customFormat="1" ht="146.25">
      <c r="A143" s="269"/>
      <c r="B143" s="270"/>
      <c r="C143" s="269"/>
      <c r="D143" s="315" t="s">
        <v>231</v>
      </c>
      <c r="E143" s="269"/>
      <c r="F143" s="323" t="s">
        <v>259</v>
      </c>
      <c r="G143" s="269"/>
      <c r="H143" s="269"/>
      <c r="I143" s="248"/>
      <c r="J143" s="248"/>
      <c r="K143" s="269"/>
      <c r="L143" s="24"/>
      <c r="M143" s="99"/>
      <c r="N143" s="100"/>
      <c r="O143" s="32"/>
      <c r="P143" s="32"/>
      <c r="Q143" s="32"/>
      <c r="R143" s="32"/>
      <c r="S143" s="32"/>
      <c r="T143" s="33"/>
      <c r="U143" s="23"/>
      <c r="V143" s="23"/>
      <c r="W143" s="23"/>
      <c r="X143" s="23"/>
      <c r="Y143" s="23"/>
      <c r="Z143" s="23"/>
      <c r="AA143" s="23"/>
      <c r="AB143" s="23"/>
      <c r="AC143" s="23"/>
      <c r="AD143" s="23"/>
      <c r="AE143" s="23"/>
      <c r="AT143" s="19" t="s">
        <v>231</v>
      </c>
      <c r="AU143" s="19" t="s">
        <v>77</v>
      </c>
    </row>
    <row r="144" spans="1:65" s="2" customFormat="1" ht="32.450000000000003" customHeight="1">
      <c r="A144" s="269"/>
      <c r="B144" s="270"/>
      <c r="C144" s="308" t="s">
        <v>260</v>
      </c>
      <c r="D144" s="308" t="s">
        <v>218</v>
      </c>
      <c r="E144" s="309" t="s">
        <v>261</v>
      </c>
      <c r="F144" s="310" t="s">
        <v>262</v>
      </c>
      <c r="G144" s="311" t="s">
        <v>221</v>
      </c>
      <c r="H144" s="312">
        <v>576.54</v>
      </c>
      <c r="I144" s="82">
        <v>0</v>
      </c>
      <c r="J144" s="82">
        <f>ROUND(I144*H144,2)</f>
        <v>0</v>
      </c>
      <c r="K144" s="310" t="s">
        <v>222</v>
      </c>
      <c r="L144" s="24"/>
      <c r="M144" s="83" t="s">
        <v>3</v>
      </c>
      <c r="N144" s="84" t="s">
        <v>39</v>
      </c>
      <c r="O144" s="85">
        <v>4.0000000000000001E-3</v>
      </c>
      <c r="P144" s="85">
        <f>O144*H144</f>
        <v>2.3061599999999998</v>
      </c>
      <c r="Q144" s="85">
        <v>0</v>
      </c>
      <c r="R144" s="85">
        <f>Q144*H144</f>
        <v>0</v>
      </c>
      <c r="S144" s="85">
        <v>0</v>
      </c>
      <c r="T144" s="86">
        <f>S144*H144</f>
        <v>0</v>
      </c>
      <c r="U144" s="23"/>
      <c r="V144" s="23"/>
      <c r="W144" s="23"/>
      <c r="X144" s="23"/>
      <c r="Y144" s="23"/>
      <c r="Z144" s="23"/>
      <c r="AA144" s="23"/>
      <c r="AB144" s="23"/>
      <c r="AC144" s="23"/>
      <c r="AD144" s="23"/>
      <c r="AE144" s="23"/>
      <c r="AR144" s="87" t="s">
        <v>223</v>
      </c>
      <c r="AT144" s="87" t="s">
        <v>218</v>
      </c>
      <c r="AU144" s="87" t="s">
        <v>77</v>
      </c>
      <c r="AY144" s="19" t="s">
        <v>216</v>
      </c>
      <c r="BE144" s="88">
        <f>IF(N144="základní",J144,0)</f>
        <v>0</v>
      </c>
      <c r="BF144" s="88">
        <f>IF(N144="snížená",J144,0)</f>
        <v>0</v>
      </c>
      <c r="BG144" s="88">
        <f>IF(N144="zákl. přenesená",J144,0)</f>
        <v>0</v>
      </c>
      <c r="BH144" s="88">
        <f>IF(N144="sníž. přenesená",J144,0)</f>
        <v>0</v>
      </c>
      <c r="BI144" s="88">
        <f>IF(N144="nulová",J144,0)</f>
        <v>0</v>
      </c>
      <c r="BJ144" s="19" t="s">
        <v>75</v>
      </c>
      <c r="BK144" s="88">
        <f>ROUND(I144*H144,2)</f>
        <v>0</v>
      </c>
      <c r="BL144" s="19" t="s">
        <v>223</v>
      </c>
      <c r="BM144" s="87" t="s">
        <v>263</v>
      </c>
    </row>
    <row r="145" spans="1:65" s="2" customFormat="1" ht="146.25">
      <c r="A145" s="269"/>
      <c r="B145" s="270"/>
      <c r="C145" s="269"/>
      <c r="D145" s="315" t="s">
        <v>231</v>
      </c>
      <c r="E145" s="269"/>
      <c r="F145" s="323" t="s">
        <v>259</v>
      </c>
      <c r="G145" s="269"/>
      <c r="H145" s="269"/>
      <c r="I145" s="248"/>
      <c r="J145" s="248"/>
      <c r="K145" s="269"/>
      <c r="L145" s="24"/>
      <c r="M145" s="99"/>
      <c r="N145" s="100"/>
      <c r="O145" s="32"/>
      <c r="P145" s="32"/>
      <c r="Q145" s="32"/>
      <c r="R145" s="32"/>
      <c r="S145" s="32"/>
      <c r="T145" s="33"/>
      <c r="U145" s="23"/>
      <c r="V145" s="23"/>
      <c r="W145" s="23"/>
      <c r="X145" s="23"/>
      <c r="Y145" s="23"/>
      <c r="Z145" s="23"/>
      <c r="AA145" s="23"/>
      <c r="AB145" s="23"/>
      <c r="AC145" s="23"/>
      <c r="AD145" s="23"/>
      <c r="AE145" s="23"/>
      <c r="AT145" s="19" t="s">
        <v>231</v>
      </c>
      <c r="AU145" s="19" t="s">
        <v>77</v>
      </c>
    </row>
    <row r="146" spans="1:65" s="14" customFormat="1">
      <c r="A146" s="318"/>
      <c r="B146" s="319"/>
      <c r="C146" s="318"/>
      <c r="D146" s="315" t="s">
        <v>225</v>
      </c>
      <c r="E146" s="318"/>
      <c r="F146" s="321" t="s">
        <v>264</v>
      </c>
      <c r="G146" s="318"/>
      <c r="H146" s="322">
        <v>576.54</v>
      </c>
      <c r="I146" s="260"/>
      <c r="J146" s="260"/>
      <c r="K146" s="318"/>
      <c r="L146" s="94"/>
      <c r="M146" s="96"/>
      <c r="N146" s="97"/>
      <c r="O146" s="97"/>
      <c r="P146" s="97"/>
      <c r="Q146" s="97"/>
      <c r="R146" s="97"/>
      <c r="S146" s="97"/>
      <c r="T146" s="98"/>
      <c r="AT146" s="95" t="s">
        <v>225</v>
      </c>
      <c r="AU146" s="95" t="s">
        <v>77</v>
      </c>
      <c r="AV146" s="14" t="s">
        <v>77</v>
      </c>
      <c r="AW146" s="14" t="s">
        <v>4</v>
      </c>
      <c r="AX146" s="14" t="s">
        <v>75</v>
      </c>
      <c r="AY146" s="95" t="s">
        <v>216</v>
      </c>
    </row>
    <row r="147" spans="1:65" s="2" customFormat="1" ht="21.6" customHeight="1">
      <c r="A147" s="269"/>
      <c r="B147" s="270"/>
      <c r="C147" s="308" t="s">
        <v>265</v>
      </c>
      <c r="D147" s="308" t="s">
        <v>218</v>
      </c>
      <c r="E147" s="309" t="s">
        <v>266</v>
      </c>
      <c r="F147" s="310" t="s">
        <v>267</v>
      </c>
      <c r="G147" s="311" t="s">
        <v>221</v>
      </c>
      <c r="H147" s="312">
        <v>57.654000000000003</v>
      </c>
      <c r="I147" s="82">
        <v>0</v>
      </c>
      <c r="J147" s="82">
        <f>ROUND(I147*H147,2)</f>
        <v>0</v>
      </c>
      <c r="K147" s="310" t="s">
        <v>222</v>
      </c>
      <c r="L147" s="24"/>
      <c r="M147" s="83" t="s">
        <v>3</v>
      </c>
      <c r="N147" s="84" t="s">
        <v>39</v>
      </c>
      <c r="O147" s="85">
        <v>0.05</v>
      </c>
      <c r="P147" s="85">
        <f>O147*H147</f>
        <v>2.8827000000000003</v>
      </c>
      <c r="Q147" s="85">
        <v>0</v>
      </c>
      <c r="R147" s="85">
        <f>Q147*H147</f>
        <v>0</v>
      </c>
      <c r="S147" s="85">
        <v>0</v>
      </c>
      <c r="T147" s="86">
        <f>S147*H147</f>
        <v>0</v>
      </c>
      <c r="U147" s="23"/>
      <c r="V147" s="23"/>
      <c r="W147" s="23"/>
      <c r="X147" s="23"/>
      <c r="Y147" s="23"/>
      <c r="Z147" s="23"/>
      <c r="AA147" s="23"/>
      <c r="AB147" s="23"/>
      <c r="AC147" s="23"/>
      <c r="AD147" s="23"/>
      <c r="AE147" s="23"/>
      <c r="AR147" s="87" t="s">
        <v>223</v>
      </c>
      <c r="AT147" s="87" t="s">
        <v>218</v>
      </c>
      <c r="AU147" s="87" t="s">
        <v>77</v>
      </c>
      <c r="AY147" s="19" t="s">
        <v>216</v>
      </c>
      <c r="BE147" s="88">
        <f>IF(N147="základní",J147,0)</f>
        <v>0</v>
      </c>
      <c r="BF147" s="88">
        <f>IF(N147="snížená",J147,0)</f>
        <v>0</v>
      </c>
      <c r="BG147" s="88">
        <f>IF(N147="zákl. přenesená",J147,0)</f>
        <v>0</v>
      </c>
      <c r="BH147" s="88">
        <f>IF(N147="sníž. přenesená",J147,0)</f>
        <v>0</v>
      </c>
      <c r="BI147" s="88">
        <f>IF(N147="nulová",J147,0)</f>
        <v>0</v>
      </c>
      <c r="BJ147" s="19" t="s">
        <v>75</v>
      </c>
      <c r="BK147" s="88">
        <f>ROUND(I147*H147,2)</f>
        <v>0</v>
      </c>
      <c r="BL147" s="19" t="s">
        <v>223</v>
      </c>
      <c r="BM147" s="87" t="s">
        <v>268</v>
      </c>
    </row>
    <row r="148" spans="1:65" s="2" customFormat="1" ht="380.25">
      <c r="A148" s="269"/>
      <c r="B148" s="270"/>
      <c r="C148" s="269"/>
      <c r="D148" s="315" t="s">
        <v>231</v>
      </c>
      <c r="E148" s="269"/>
      <c r="F148" s="323" t="s">
        <v>269</v>
      </c>
      <c r="G148" s="269"/>
      <c r="H148" s="269"/>
      <c r="I148" s="248"/>
      <c r="J148" s="248"/>
      <c r="K148" s="269"/>
      <c r="L148" s="24"/>
      <c r="M148" s="99"/>
      <c r="N148" s="100"/>
      <c r="O148" s="32"/>
      <c r="P148" s="32"/>
      <c r="Q148" s="32"/>
      <c r="R148" s="32"/>
      <c r="S148" s="32"/>
      <c r="T148" s="33"/>
      <c r="U148" s="23"/>
      <c r="V148" s="23"/>
      <c r="W148" s="23"/>
      <c r="X148" s="23"/>
      <c r="Y148" s="23"/>
      <c r="Z148" s="23"/>
      <c r="AA148" s="23"/>
      <c r="AB148" s="23"/>
      <c r="AC148" s="23"/>
      <c r="AD148" s="23"/>
      <c r="AE148" s="23"/>
      <c r="AT148" s="19" t="s">
        <v>231</v>
      </c>
      <c r="AU148" s="19" t="s">
        <v>77</v>
      </c>
    </row>
    <row r="149" spans="1:65" s="2" customFormat="1" ht="21.6" customHeight="1">
      <c r="A149" s="269"/>
      <c r="B149" s="270"/>
      <c r="C149" s="308" t="s">
        <v>270</v>
      </c>
      <c r="D149" s="308" t="s">
        <v>218</v>
      </c>
      <c r="E149" s="309" t="s">
        <v>271</v>
      </c>
      <c r="F149" s="310" t="s">
        <v>272</v>
      </c>
      <c r="G149" s="311" t="s">
        <v>273</v>
      </c>
      <c r="H149" s="312">
        <v>109.54300000000001</v>
      </c>
      <c r="I149" s="82">
        <v>0</v>
      </c>
      <c r="J149" s="82">
        <f>ROUND(I149*H149,2)</f>
        <v>0</v>
      </c>
      <c r="K149" s="310" t="s">
        <v>222</v>
      </c>
      <c r="L149" s="24"/>
      <c r="M149" s="83" t="s">
        <v>3</v>
      </c>
      <c r="N149" s="84" t="s">
        <v>39</v>
      </c>
      <c r="O149" s="85">
        <v>0</v>
      </c>
      <c r="P149" s="85">
        <f>O149*H149</f>
        <v>0</v>
      </c>
      <c r="Q149" s="85">
        <v>0</v>
      </c>
      <c r="R149" s="85">
        <f>Q149*H149</f>
        <v>0</v>
      </c>
      <c r="S149" s="85">
        <v>0</v>
      </c>
      <c r="T149" s="86">
        <f>S149*H149</f>
        <v>0</v>
      </c>
      <c r="U149" s="23"/>
      <c r="V149" s="23"/>
      <c r="W149" s="23"/>
      <c r="X149" s="23"/>
      <c r="Y149" s="23"/>
      <c r="Z149" s="23"/>
      <c r="AA149" s="23"/>
      <c r="AB149" s="23"/>
      <c r="AC149" s="23"/>
      <c r="AD149" s="23"/>
      <c r="AE149" s="23"/>
      <c r="AR149" s="87" t="s">
        <v>223</v>
      </c>
      <c r="AT149" s="87" t="s">
        <v>218</v>
      </c>
      <c r="AU149" s="87" t="s">
        <v>77</v>
      </c>
      <c r="AY149" s="19" t="s">
        <v>216</v>
      </c>
      <c r="BE149" s="88">
        <f>IF(N149="základní",J149,0)</f>
        <v>0</v>
      </c>
      <c r="BF149" s="88">
        <f>IF(N149="snížená",J149,0)</f>
        <v>0</v>
      </c>
      <c r="BG149" s="88">
        <f>IF(N149="zákl. přenesená",J149,0)</f>
        <v>0</v>
      </c>
      <c r="BH149" s="88">
        <f>IF(N149="sníž. přenesená",J149,0)</f>
        <v>0</v>
      </c>
      <c r="BI149" s="88">
        <f>IF(N149="nulová",J149,0)</f>
        <v>0</v>
      </c>
      <c r="BJ149" s="19" t="s">
        <v>75</v>
      </c>
      <c r="BK149" s="88">
        <f>ROUND(I149*H149,2)</f>
        <v>0</v>
      </c>
      <c r="BL149" s="19" t="s">
        <v>223</v>
      </c>
      <c r="BM149" s="87" t="s">
        <v>274</v>
      </c>
    </row>
    <row r="150" spans="1:65" s="2" customFormat="1" ht="29.25">
      <c r="A150" s="269"/>
      <c r="B150" s="270"/>
      <c r="C150" s="269"/>
      <c r="D150" s="315" t="s">
        <v>231</v>
      </c>
      <c r="E150" s="269"/>
      <c r="F150" s="323" t="s">
        <v>275</v>
      </c>
      <c r="G150" s="269"/>
      <c r="H150" s="269"/>
      <c r="I150" s="248"/>
      <c r="J150" s="248"/>
      <c r="K150" s="269"/>
      <c r="L150" s="24"/>
      <c r="M150" s="99"/>
      <c r="N150" s="100"/>
      <c r="O150" s="32"/>
      <c r="P150" s="32"/>
      <c r="Q150" s="32"/>
      <c r="R150" s="32"/>
      <c r="S150" s="32"/>
      <c r="T150" s="33"/>
      <c r="U150" s="23"/>
      <c r="V150" s="23"/>
      <c r="W150" s="23"/>
      <c r="X150" s="23"/>
      <c r="Y150" s="23"/>
      <c r="Z150" s="23"/>
      <c r="AA150" s="23"/>
      <c r="AB150" s="23"/>
      <c r="AC150" s="23"/>
      <c r="AD150" s="23"/>
      <c r="AE150" s="23"/>
      <c r="AT150" s="19" t="s">
        <v>231</v>
      </c>
      <c r="AU150" s="19" t="s">
        <v>77</v>
      </c>
    </row>
    <row r="151" spans="1:65" s="14" customFormat="1">
      <c r="A151" s="318"/>
      <c r="B151" s="319"/>
      <c r="C151" s="318"/>
      <c r="D151" s="315" t="s">
        <v>225</v>
      </c>
      <c r="E151" s="318"/>
      <c r="F151" s="321" t="s">
        <v>276</v>
      </c>
      <c r="G151" s="318"/>
      <c r="H151" s="322">
        <v>109.54300000000001</v>
      </c>
      <c r="I151" s="260"/>
      <c r="J151" s="260"/>
      <c r="K151" s="318"/>
      <c r="L151" s="94"/>
      <c r="M151" s="96"/>
      <c r="N151" s="97"/>
      <c r="O151" s="97"/>
      <c r="P151" s="97"/>
      <c r="Q151" s="97"/>
      <c r="R151" s="97"/>
      <c r="S151" s="97"/>
      <c r="T151" s="98"/>
      <c r="AT151" s="95" t="s">
        <v>225</v>
      </c>
      <c r="AU151" s="95" t="s">
        <v>77</v>
      </c>
      <c r="AV151" s="14" t="s">
        <v>77</v>
      </c>
      <c r="AW151" s="14" t="s">
        <v>4</v>
      </c>
      <c r="AX151" s="14" t="s">
        <v>75</v>
      </c>
      <c r="AY151" s="95" t="s">
        <v>216</v>
      </c>
    </row>
    <row r="152" spans="1:65" s="2" customFormat="1" ht="21.6" customHeight="1">
      <c r="A152" s="269"/>
      <c r="B152" s="270"/>
      <c r="C152" s="308" t="s">
        <v>277</v>
      </c>
      <c r="D152" s="308" t="s">
        <v>218</v>
      </c>
      <c r="E152" s="309" t="s">
        <v>278</v>
      </c>
      <c r="F152" s="310" t="s">
        <v>279</v>
      </c>
      <c r="G152" s="311" t="s">
        <v>221</v>
      </c>
      <c r="H152" s="312">
        <v>6.75</v>
      </c>
      <c r="I152" s="82">
        <v>0</v>
      </c>
      <c r="J152" s="82">
        <f>ROUND(I152*H152,2)</f>
        <v>0</v>
      </c>
      <c r="K152" s="310" t="s">
        <v>222</v>
      </c>
      <c r="L152" s="24"/>
      <c r="M152" s="83" t="s">
        <v>3</v>
      </c>
      <c r="N152" s="84" t="s">
        <v>39</v>
      </c>
      <c r="O152" s="85">
        <v>0.29899999999999999</v>
      </c>
      <c r="P152" s="85">
        <f>O152*H152</f>
        <v>2.0182500000000001</v>
      </c>
      <c r="Q152" s="85">
        <v>0</v>
      </c>
      <c r="R152" s="85">
        <f>Q152*H152</f>
        <v>0</v>
      </c>
      <c r="S152" s="85">
        <v>0</v>
      </c>
      <c r="T152" s="86">
        <f>S152*H152</f>
        <v>0</v>
      </c>
      <c r="U152" s="23"/>
      <c r="V152" s="23"/>
      <c r="W152" s="23"/>
      <c r="X152" s="23"/>
      <c r="Y152" s="23"/>
      <c r="Z152" s="23"/>
      <c r="AA152" s="23"/>
      <c r="AB152" s="23"/>
      <c r="AC152" s="23"/>
      <c r="AD152" s="23"/>
      <c r="AE152" s="23"/>
      <c r="AR152" s="87" t="s">
        <v>223</v>
      </c>
      <c r="AT152" s="87" t="s">
        <v>218</v>
      </c>
      <c r="AU152" s="87" t="s">
        <v>77</v>
      </c>
      <c r="AY152" s="19" t="s">
        <v>216</v>
      </c>
      <c r="BE152" s="88">
        <f>IF(N152="základní",J152,0)</f>
        <v>0</v>
      </c>
      <c r="BF152" s="88">
        <f>IF(N152="snížená",J152,0)</f>
        <v>0</v>
      </c>
      <c r="BG152" s="88">
        <f>IF(N152="zákl. přenesená",J152,0)</f>
        <v>0</v>
      </c>
      <c r="BH152" s="88">
        <f>IF(N152="sníž. přenesená",J152,0)</f>
        <v>0</v>
      </c>
      <c r="BI152" s="88">
        <f>IF(N152="nulová",J152,0)</f>
        <v>0</v>
      </c>
      <c r="BJ152" s="19" t="s">
        <v>75</v>
      </c>
      <c r="BK152" s="88">
        <f>ROUND(I152*H152,2)</f>
        <v>0</v>
      </c>
      <c r="BL152" s="19" t="s">
        <v>223</v>
      </c>
      <c r="BM152" s="87" t="s">
        <v>280</v>
      </c>
    </row>
    <row r="153" spans="1:65" s="2" customFormat="1" ht="351">
      <c r="A153" s="269"/>
      <c r="B153" s="270"/>
      <c r="C153" s="269"/>
      <c r="D153" s="315" t="s">
        <v>231</v>
      </c>
      <c r="E153" s="269"/>
      <c r="F153" s="323" t="s">
        <v>281</v>
      </c>
      <c r="G153" s="269"/>
      <c r="H153" s="269"/>
      <c r="I153" s="248"/>
      <c r="J153" s="248"/>
      <c r="K153" s="269"/>
      <c r="L153" s="24"/>
      <c r="M153" s="99"/>
      <c r="N153" s="100"/>
      <c r="O153" s="32"/>
      <c r="P153" s="32"/>
      <c r="Q153" s="32"/>
      <c r="R153" s="32"/>
      <c r="S153" s="32"/>
      <c r="T153" s="33"/>
      <c r="U153" s="23"/>
      <c r="V153" s="23"/>
      <c r="W153" s="23"/>
      <c r="X153" s="23"/>
      <c r="Y153" s="23"/>
      <c r="Z153" s="23"/>
      <c r="AA153" s="23"/>
      <c r="AB153" s="23"/>
      <c r="AC153" s="23"/>
      <c r="AD153" s="23"/>
      <c r="AE153" s="23"/>
      <c r="AT153" s="19" t="s">
        <v>231</v>
      </c>
      <c r="AU153" s="19" t="s">
        <v>77</v>
      </c>
    </row>
    <row r="154" spans="1:65" s="13" customFormat="1">
      <c r="A154" s="313"/>
      <c r="B154" s="314"/>
      <c r="C154" s="313"/>
      <c r="D154" s="315" t="s">
        <v>225</v>
      </c>
      <c r="E154" s="316" t="s">
        <v>3</v>
      </c>
      <c r="F154" s="317" t="s">
        <v>226</v>
      </c>
      <c r="G154" s="313"/>
      <c r="H154" s="316" t="s">
        <v>3</v>
      </c>
      <c r="I154" s="259"/>
      <c r="J154" s="259"/>
      <c r="K154" s="313"/>
      <c r="L154" s="89"/>
      <c r="M154" s="91"/>
      <c r="N154" s="92"/>
      <c r="O154" s="92"/>
      <c r="P154" s="92"/>
      <c r="Q154" s="92"/>
      <c r="R154" s="92"/>
      <c r="S154" s="92"/>
      <c r="T154" s="93"/>
      <c r="AT154" s="90" t="s">
        <v>225</v>
      </c>
      <c r="AU154" s="90" t="s">
        <v>77</v>
      </c>
      <c r="AV154" s="13" t="s">
        <v>75</v>
      </c>
      <c r="AW154" s="13" t="s">
        <v>30</v>
      </c>
      <c r="AX154" s="13" t="s">
        <v>68</v>
      </c>
      <c r="AY154" s="90" t="s">
        <v>216</v>
      </c>
    </row>
    <row r="155" spans="1:65" s="14" customFormat="1">
      <c r="A155" s="318"/>
      <c r="B155" s="319"/>
      <c r="C155" s="318"/>
      <c r="D155" s="315" t="s">
        <v>225</v>
      </c>
      <c r="E155" s="320" t="s">
        <v>3</v>
      </c>
      <c r="F155" s="321" t="s">
        <v>233</v>
      </c>
      <c r="G155" s="318"/>
      <c r="H155" s="322">
        <v>33.75</v>
      </c>
      <c r="I155" s="260"/>
      <c r="J155" s="260"/>
      <c r="K155" s="318"/>
      <c r="L155" s="94"/>
      <c r="M155" s="96"/>
      <c r="N155" s="97"/>
      <c r="O155" s="97"/>
      <c r="P155" s="97"/>
      <c r="Q155" s="97"/>
      <c r="R155" s="97"/>
      <c r="S155" s="97"/>
      <c r="T155" s="98"/>
      <c r="AT155" s="95" t="s">
        <v>225</v>
      </c>
      <c r="AU155" s="95" t="s">
        <v>77</v>
      </c>
      <c r="AV155" s="14" t="s">
        <v>77</v>
      </c>
      <c r="AW155" s="14" t="s">
        <v>30</v>
      </c>
      <c r="AX155" s="14" t="s">
        <v>68</v>
      </c>
      <c r="AY155" s="95" t="s">
        <v>216</v>
      </c>
    </row>
    <row r="156" spans="1:65" s="14" customFormat="1">
      <c r="A156" s="318"/>
      <c r="B156" s="319"/>
      <c r="C156" s="318"/>
      <c r="D156" s="315" t="s">
        <v>225</v>
      </c>
      <c r="E156" s="320" t="s">
        <v>3</v>
      </c>
      <c r="F156" s="321" t="s">
        <v>282</v>
      </c>
      <c r="G156" s="318"/>
      <c r="H156" s="322">
        <v>-27</v>
      </c>
      <c r="I156" s="260"/>
      <c r="J156" s="260"/>
      <c r="K156" s="318"/>
      <c r="L156" s="94"/>
      <c r="M156" s="96"/>
      <c r="N156" s="97"/>
      <c r="O156" s="97"/>
      <c r="P156" s="97"/>
      <c r="Q156" s="97"/>
      <c r="R156" s="97"/>
      <c r="S156" s="97"/>
      <c r="T156" s="98"/>
      <c r="AT156" s="95" t="s">
        <v>225</v>
      </c>
      <c r="AU156" s="95" t="s">
        <v>77</v>
      </c>
      <c r="AV156" s="14" t="s">
        <v>77</v>
      </c>
      <c r="AW156" s="14" t="s">
        <v>30</v>
      </c>
      <c r="AX156" s="14" t="s">
        <v>68</v>
      </c>
      <c r="AY156" s="95" t="s">
        <v>216</v>
      </c>
    </row>
    <row r="157" spans="1:65" s="16" customFormat="1">
      <c r="A157" s="329"/>
      <c r="B157" s="330"/>
      <c r="C157" s="329"/>
      <c r="D157" s="315" t="s">
        <v>225</v>
      </c>
      <c r="E157" s="331" t="s">
        <v>3</v>
      </c>
      <c r="F157" s="332" t="s">
        <v>254</v>
      </c>
      <c r="G157" s="329"/>
      <c r="H157" s="333">
        <v>6.75</v>
      </c>
      <c r="I157" s="262"/>
      <c r="J157" s="262"/>
      <c r="K157" s="329"/>
      <c r="L157" s="106"/>
      <c r="M157" s="108"/>
      <c r="N157" s="109"/>
      <c r="O157" s="109"/>
      <c r="P157" s="109"/>
      <c r="Q157" s="109"/>
      <c r="R157" s="109"/>
      <c r="S157" s="109"/>
      <c r="T157" s="110"/>
      <c r="AT157" s="107" t="s">
        <v>225</v>
      </c>
      <c r="AU157" s="107" t="s">
        <v>77</v>
      </c>
      <c r="AV157" s="16" t="s">
        <v>223</v>
      </c>
      <c r="AW157" s="16" t="s">
        <v>30</v>
      </c>
      <c r="AX157" s="16" t="s">
        <v>75</v>
      </c>
      <c r="AY157" s="107" t="s">
        <v>216</v>
      </c>
    </row>
    <row r="158" spans="1:65" s="2" customFormat="1" ht="21.6" customHeight="1">
      <c r="A158" s="269"/>
      <c r="B158" s="270"/>
      <c r="C158" s="308" t="s">
        <v>283</v>
      </c>
      <c r="D158" s="308" t="s">
        <v>218</v>
      </c>
      <c r="E158" s="309" t="s">
        <v>284</v>
      </c>
      <c r="F158" s="310" t="s">
        <v>285</v>
      </c>
      <c r="G158" s="311" t="s">
        <v>286</v>
      </c>
      <c r="H158" s="312">
        <v>50</v>
      </c>
      <c r="I158" s="82">
        <v>0</v>
      </c>
      <c r="J158" s="82">
        <f>ROUND(I158*H158,2)</f>
        <v>0</v>
      </c>
      <c r="K158" s="310" t="s">
        <v>3</v>
      </c>
      <c r="L158" s="24"/>
      <c r="M158" s="83" t="s">
        <v>3</v>
      </c>
      <c r="N158" s="84" t="s">
        <v>39</v>
      </c>
      <c r="O158" s="85">
        <v>0</v>
      </c>
      <c r="P158" s="85">
        <f>O158*H158</f>
        <v>0</v>
      </c>
      <c r="Q158" s="85">
        <v>0</v>
      </c>
      <c r="R158" s="85">
        <f>Q158*H158</f>
        <v>0</v>
      </c>
      <c r="S158" s="85">
        <v>0</v>
      </c>
      <c r="T158" s="86">
        <f>S158*H158</f>
        <v>0</v>
      </c>
      <c r="U158" s="23"/>
      <c r="V158" s="23"/>
      <c r="W158" s="23"/>
      <c r="X158" s="23"/>
      <c r="Y158" s="23"/>
      <c r="Z158" s="23"/>
      <c r="AA158" s="23"/>
      <c r="AB158" s="23"/>
      <c r="AC158" s="23"/>
      <c r="AD158" s="23"/>
      <c r="AE158" s="23"/>
      <c r="AR158" s="87" t="s">
        <v>223</v>
      </c>
      <c r="AT158" s="87" t="s">
        <v>218</v>
      </c>
      <c r="AU158" s="87" t="s">
        <v>77</v>
      </c>
      <c r="AY158" s="19" t="s">
        <v>216</v>
      </c>
      <c r="BE158" s="88">
        <f>IF(N158="základní",J158,0)</f>
        <v>0</v>
      </c>
      <c r="BF158" s="88">
        <f>IF(N158="snížená",J158,0)</f>
        <v>0</v>
      </c>
      <c r="BG158" s="88">
        <f>IF(N158="zákl. přenesená",J158,0)</f>
        <v>0</v>
      </c>
      <c r="BH158" s="88">
        <f>IF(N158="sníž. přenesená",J158,0)</f>
        <v>0</v>
      </c>
      <c r="BI158" s="88">
        <f>IF(N158="nulová",J158,0)</f>
        <v>0</v>
      </c>
      <c r="BJ158" s="19" t="s">
        <v>75</v>
      </c>
      <c r="BK158" s="88">
        <f>ROUND(I158*H158,2)</f>
        <v>0</v>
      </c>
      <c r="BL158" s="19" t="s">
        <v>223</v>
      </c>
      <c r="BM158" s="87" t="s">
        <v>287</v>
      </c>
    </row>
    <row r="159" spans="1:65" s="2" customFormat="1" ht="14.45" customHeight="1">
      <c r="A159" s="269"/>
      <c r="B159" s="270"/>
      <c r="C159" s="308" t="s">
        <v>288</v>
      </c>
      <c r="D159" s="308" t="s">
        <v>218</v>
      </c>
      <c r="E159" s="309" t="s">
        <v>289</v>
      </c>
      <c r="F159" s="310" t="s">
        <v>290</v>
      </c>
      <c r="G159" s="311" t="s">
        <v>291</v>
      </c>
      <c r="H159" s="312">
        <v>1</v>
      </c>
      <c r="I159" s="82">
        <v>0</v>
      </c>
      <c r="J159" s="82">
        <f>ROUND(I159*H159,2)</f>
        <v>0</v>
      </c>
      <c r="K159" s="310" t="s">
        <v>3</v>
      </c>
      <c r="L159" s="24"/>
      <c r="M159" s="83" t="s">
        <v>3</v>
      </c>
      <c r="N159" s="84" t="s">
        <v>39</v>
      </c>
      <c r="O159" s="85">
        <v>0</v>
      </c>
      <c r="P159" s="85">
        <f>O159*H159</f>
        <v>0</v>
      </c>
      <c r="Q159" s="85">
        <v>0</v>
      </c>
      <c r="R159" s="85">
        <f>Q159*H159</f>
        <v>0</v>
      </c>
      <c r="S159" s="85">
        <v>0</v>
      </c>
      <c r="T159" s="86">
        <f>S159*H159</f>
        <v>0</v>
      </c>
      <c r="U159" s="23"/>
      <c r="V159" s="23"/>
      <c r="W159" s="23"/>
      <c r="X159" s="23"/>
      <c r="Y159" s="23"/>
      <c r="Z159" s="23"/>
      <c r="AA159" s="23"/>
      <c r="AB159" s="23"/>
      <c r="AC159" s="23"/>
      <c r="AD159" s="23"/>
      <c r="AE159" s="23"/>
      <c r="AR159" s="87" t="s">
        <v>223</v>
      </c>
      <c r="AT159" s="87" t="s">
        <v>218</v>
      </c>
      <c r="AU159" s="87" t="s">
        <v>77</v>
      </c>
      <c r="AY159" s="19" t="s">
        <v>216</v>
      </c>
      <c r="BE159" s="88">
        <f>IF(N159="základní",J159,0)</f>
        <v>0</v>
      </c>
      <c r="BF159" s="88">
        <f>IF(N159="snížená",J159,0)</f>
        <v>0</v>
      </c>
      <c r="BG159" s="88">
        <f>IF(N159="zákl. přenesená",J159,0)</f>
        <v>0</v>
      </c>
      <c r="BH159" s="88">
        <f>IF(N159="sníž. přenesená",J159,0)</f>
        <v>0</v>
      </c>
      <c r="BI159" s="88">
        <f>IF(N159="nulová",J159,0)</f>
        <v>0</v>
      </c>
      <c r="BJ159" s="19" t="s">
        <v>75</v>
      </c>
      <c r="BK159" s="88">
        <f>ROUND(I159*H159,2)</f>
        <v>0</v>
      </c>
      <c r="BL159" s="19" t="s">
        <v>223</v>
      </c>
      <c r="BM159" s="87" t="s">
        <v>292</v>
      </c>
    </row>
    <row r="160" spans="1:65" s="12" customFormat="1" ht="22.9" customHeight="1">
      <c r="A160" s="303"/>
      <c r="B160" s="304"/>
      <c r="C160" s="303"/>
      <c r="D160" s="305" t="s">
        <v>67</v>
      </c>
      <c r="E160" s="307" t="s">
        <v>77</v>
      </c>
      <c r="F160" s="307" t="s">
        <v>293</v>
      </c>
      <c r="G160" s="303"/>
      <c r="H160" s="303"/>
      <c r="I160" s="256"/>
      <c r="J160" s="258">
        <f>BK160</f>
        <v>0</v>
      </c>
      <c r="K160" s="303"/>
      <c r="L160" s="74"/>
      <c r="M160" s="76"/>
      <c r="N160" s="77"/>
      <c r="O160" s="77"/>
      <c r="P160" s="78">
        <f>SUM(P161:P164)</f>
        <v>29.55</v>
      </c>
      <c r="Q160" s="77"/>
      <c r="R160" s="78">
        <f>SUM(R161:R164)</f>
        <v>59.4</v>
      </c>
      <c r="S160" s="77"/>
      <c r="T160" s="79">
        <f>SUM(T161:T164)</f>
        <v>0</v>
      </c>
      <c r="AR160" s="75" t="s">
        <v>75</v>
      </c>
      <c r="AT160" s="80" t="s">
        <v>67</v>
      </c>
      <c r="AU160" s="80" t="s">
        <v>75</v>
      </c>
      <c r="AY160" s="75" t="s">
        <v>216</v>
      </c>
      <c r="BK160" s="81">
        <f>SUM(BK161:BK164)</f>
        <v>0</v>
      </c>
    </row>
    <row r="161" spans="1:65" s="2" customFormat="1" ht="21.6" customHeight="1">
      <c r="A161" s="269"/>
      <c r="B161" s="270"/>
      <c r="C161" s="308" t="s">
        <v>294</v>
      </c>
      <c r="D161" s="308" t="s">
        <v>218</v>
      </c>
      <c r="E161" s="309" t="s">
        <v>295</v>
      </c>
      <c r="F161" s="310" t="s">
        <v>296</v>
      </c>
      <c r="G161" s="311" t="s">
        <v>221</v>
      </c>
      <c r="H161" s="312">
        <v>30</v>
      </c>
      <c r="I161" s="82">
        <v>0</v>
      </c>
      <c r="J161" s="82">
        <f>ROUND(I161*H161,2)</f>
        <v>0</v>
      </c>
      <c r="K161" s="310" t="s">
        <v>222</v>
      </c>
      <c r="L161" s="24"/>
      <c r="M161" s="83" t="s">
        <v>3</v>
      </c>
      <c r="N161" s="84" t="s">
        <v>39</v>
      </c>
      <c r="O161" s="85">
        <v>0.98499999999999999</v>
      </c>
      <c r="P161" s="85">
        <f>O161*H161</f>
        <v>29.55</v>
      </c>
      <c r="Q161" s="85">
        <v>1.98</v>
      </c>
      <c r="R161" s="85">
        <f>Q161*H161</f>
        <v>59.4</v>
      </c>
      <c r="S161" s="85">
        <v>0</v>
      </c>
      <c r="T161" s="86">
        <f>S161*H161</f>
        <v>0</v>
      </c>
      <c r="U161" s="23"/>
      <c r="V161" s="23"/>
      <c r="W161" s="23"/>
      <c r="X161" s="23"/>
      <c r="Y161" s="23"/>
      <c r="Z161" s="23"/>
      <c r="AA161" s="23"/>
      <c r="AB161" s="23"/>
      <c r="AC161" s="23"/>
      <c r="AD161" s="23"/>
      <c r="AE161" s="23"/>
      <c r="AR161" s="87" t="s">
        <v>223</v>
      </c>
      <c r="AT161" s="87" t="s">
        <v>218</v>
      </c>
      <c r="AU161" s="87" t="s">
        <v>77</v>
      </c>
      <c r="AY161" s="19" t="s">
        <v>216</v>
      </c>
      <c r="BE161" s="88">
        <f>IF(N161="základní",J161,0)</f>
        <v>0</v>
      </c>
      <c r="BF161" s="88">
        <f>IF(N161="snížená",J161,0)</f>
        <v>0</v>
      </c>
      <c r="BG161" s="88">
        <f>IF(N161="zákl. přenesená",J161,0)</f>
        <v>0</v>
      </c>
      <c r="BH161" s="88">
        <f>IF(N161="sníž. přenesená",J161,0)</f>
        <v>0</v>
      </c>
      <c r="BI161" s="88">
        <f>IF(N161="nulová",J161,0)</f>
        <v>0</v>
      </c>
      <c r="BJ161" s="19" t="s">
        <v>75</v>
      </c>
      <c r="BK161" s="88">
        <f>ROUND(I161*H161,2)</f>
        <v>0</v>
      </c>
      <c r="BL161" s="19" t="s">
        <v>223</v>
      </c>
      <c r="BM161" s="87" t="s">
        <v>297</v>
      </c>
    </row>
    <row r="162" spans="1:65" s="2" customFormat="1" ht="48.75">
      <c r="A162" s="269"/>
      <c r="B162" s="270"/>
      <c r="C162" s="269"/>
      <c r="D162" s="315" t="s">
        <v>231</v>
      </c>
      <c r="E162" s="269"/>
      <c r="F162" s="323" t="s">
        <v>298</v>
      </c>
      <c r="G162" s="269"/>
      <c r="H162" s="269"/>
      <c r="I162" s="248"/>
      <c r="J162" s="248"/>
      <c r="K162" s="269"/>
      <c r="L162" s="24"/>
      <c r="M162" s="99"/>
      <c r="N162" s="100"/>
      <c r="O162" s="32"/>
      <c r="P162" s="32"/>
      <c r="Q162" s="32"/>
      <c r="R162" s="32"/>
      <c r="S162" s="32"/>
      <c r="T162" s="33"/>
      <c r="U162" s="23"/>
      <c r="V162" s="23"/>
      <c r="W162" s="23"/>
      <c r="X162" s="23"/>
      <c r="Y162" s="23"/>
      <c r="Z162" s="23"/>
      <c r="AA162" s="23"/>
      <c r="AB162" s="23"/>
      <c r="AC162" s="23"/>
      <c r="AD162" s="23"/>
      <c r="AE162" s="23"/>
      <c r="AT162" s="19" t="s">
        <v>231</v>
      </c>
      <c r="AU162" s="19" t="s">
        <v>77</v>
      </c>
    </row>
    <row r="163" spans="1:65" s="13" customFormat="1">
      <c r="A163" s="313"/>
      <c r="B163" s="314"/>
      <c r="C163" s="313"/>
      <c r="D163" s="315" t="s">
        <v>225</v>
      </c>
      <c r="E163" s="316" t="s">
        <v>3</v>
      </c>
      <c r="F163" s="317" t="s">
        <v>226</v>
      </c>
      <c r="G163" s="313"/>
      <c r="H163" s="316" t="s">
        <v>3</v>
      </c>
      <c r="I163" s="259"/>
      <c r="J163" s="259"/>
      <c r="K163" s="313"/>
      <c r="L163" s="89"/>
      <c r="M163" s="91"/>
      <c r="N163" s="92"/>
      <c r="O163" s="92"/>
      <c r="P163" s="92"/>
      <c r="Q163" s="92"/>
      <c r="R163" s="92"/>
      <c r="S163" s="92"/>
      <c r="T163" s="93"/>
      <c r="AT163" s="90" t="s">
        <v>225</v>
      </c>
      <c r="AU163" s="90" t="s">
        <v>77</v>
      </c>
      <c r="AV163" s="13" t="s">
        <v>75</v>
      </c>
      <c r="AW163" s="13" t="s">
        <v>30</v>
      </c>
      <c r="AX163" s="13" t="s">
        <v>68</v>
      </c>
      <c r="AY163" s="90" t="s">
        <v>216</v>
      </c>
    </row>
    <row r="164" spans="1:65" s="14" customFormat="1">
      <c r="A164" s="318"/>
      <c r="B164" s="319"/>
      <c r="C164" s="318"/>
      <c r="D164" s="315" t="s">
        <v>225</v>
      </c>
      <c r="E164" s="320" t="s">
        <v>3</v>
      </c>
      <c r="F164" s="321" t="s">
        <v>299</v>
      </c>
      <c r="G164" s="318"/>
      <c r="H164" s="322">
        <v>30</v>
      </c>
      <c r="I164" s="260"/>
      <c r="J164" s="260"/>
      <c r="K164" s="318"/>
      <c r="L164" s="94"/>
      <c r="M164" s="96"/>
      <c r="N164" s="97"/>
      <c r="O164" s="97"/>
      <c r="P164" s="97"/>
      <c r="Q164" s="97"/>
      <c r="R164" s="97"/>
      <c r="S164" s="97"/>
      <c r="T164" s="98"/>
      <c r="AT164" s="95" t="s">
        <v>225</v>
      </c>
      <c r="AU164" s="95" t="s">
        <v>77</v>
      </c>
      <c r="AV164" s="14" t="s">
        <v>77</v>
      </c>
      <c r="AW164" s="14" t="s">
        <v>30</v>
      </c>
      <c r="AX164" s="14" t="s">
        <v>75</v>
      </c>
      <c r="AY164" s="95" t="s">
        <v>216</v>
      </c>
    </row>
    <row r="165" spans="1:65" s="12" customFormat="1" ht="22.9" customHeight="1">
      <c r="A165" s="303"/>
      <c r="B165" s="304"/>
      <c r="C165" s="303"/>
      <c r="D165" s="305" t="s">
        <v>67</v>
      </c>
      <c r="E165" s="307" t="s">
        <v>100</v>
      </c>
      <c r="F165" s="307" t="s">
        <v>300</v>
      </c>
      <c r="G165" s="303"/>
      <c r="H165" s="303"/>
      <c r="I165" s="256"/>
      <c r="J165" s="258">
        <f>BK165</f>
        <v>0</v>
      </c>
      <c r="K165" s="303"/>
      <c r="L165" s="74"/>
      <c r="M165" s="76"/>
      <c r="N165" s="77"/>
      <c r="O165" s="77"/>
      <c r="P165" s="78">
        <f>SUM(P166:P240)</f>
        <v>239.47540199999997</v>
      </c>
      <c r="Q165" s="77"/>
      <c r="R165" s="78">
        <f>SUM(R166:R240)</f>
        <v>40.337947069999998</v>
      </c>
      <c r="S165" s="77"/>
      <c r="T165" s="79">
        <f>SUM(T166:T240)</f>
        <v>0</v>
      </c>
      <c r="AR165" s="75" t="s">
        <v>75</v>
      </c>
      <c r="AT165" s="80" t="s">
        <v>67</v>
      </c>
      <c r="AU165" s="80" t="s">
        <v>75</v>
      </c>
      <c r="AY165" s="75" t="s">
        <v>216</v>
      </c>
      <c r="BK165" s="81">
        <f>SUM(BK166:BK240)</f>
        <v>0</v>
      </c>
    </row>
    <row r="166" spans="1:65" s="2" customFormat="1" ht="21.6" customHeight="1">
      <c r="A166" s="269"/>
      <c r="B166" s="270"/>
      <c r="C166" s="308" t="s">
        <v>9</v>
      </c>
      <c r="D166" s="308" t="s">
        <v>218</v>
      </c>
      <c r="E166" s="309" t="s">
        <v>301</v>
      </c>
      <c r="F166" s="310" t="s">
        <v>302</v>
      </c>
      <c r="G166" s="311" t="s">
        <v>291</v>
      </c>
      <c r="H166" s="312">
        <v>1</v>
      </c>
      <c r="I166" s="82">
        <v>0</v>
      </c>
      <c r="J166" s="82">
        <f>ROUND(I166*H166,2)</f>
        <v>0</v>
      </c>
      <c r="K166" s="310" t="s">
        <v>222</v>
      </c>
      <c r="L166" s="24"/>
      <c r="M166" s="83" t="s">
        <v>3</v>
      </c>
      <c r="N166" s="84" t="s">
        <v>39</v>
      </c>
      <c r="O166" s="85">
        <v>1.3120000000000001</v>
      </c>
      <c r="P166" s="85">
        <f>O166*H166</f>
        <v>1.3120000000000001</v>
      </c>
      <c r="Q166" s="85">
        <v>0.39563999999999999</v>
      </c>
      <c r="R166" s="85">
        <f>Q166*H166</f>
        <v>0.39563999999999999</v>
      </c>
      <c r="S166" s="85">
        <v>0</v>
      </c>
      <c r="T166" s="86">
        <f>S166*H166</f>
        <v>0</v>
      </c>
      <c r="U166" s="23"/>
      <c r="V166" s="23"/>
      <c r="W166" s="23"/>
      <c r="X166" s="23"/>
      <c r="Y166" s="23"/>
      <c r="Z166" s="23"/>
      <c r="AA166" s="23"/>
      <c r="AB166" s="23"/>
      <c r="AC166" s="23"/>
      <c r="AD166" s="23"/>
      <c r="AE166" s="23"/>
      <c r="AR166" s="87" t="s">
        <v>223</v>
      </c>
      <c r="AT166" s="87" t="s">
        <v>218</v>
      </c>
      <c r="AU166" s="87" t="s">
        <v>77</v>
      </c>
      <c r="AY166" s="19" t="s">
        <v>216</v>
      </c>
      <c r="BE166" s="88">
        <f>IF(N166="základní",J166,0)</f>
        <v>0</v>
      </c>
      <c r="BF166" s="88">
        <f>IF(N166="snížená",J166,0)</f>
        <v>0</v>
      </c>
      <c r="BG166" s="88">
        <f>IF(N166="zákl. přenesená",J166,0)</f>
        <v>0</v>
      </c>
      <c r="BH166" s="88">
        <f>IF(N166="sníž. přenesená",J166,0)</f>
        <v>0</v>
      </c>
      <c r="BI166" s="88">
        <f>IF(N166="nulová",J166,0)</f>
        <v>0</v>
      </c>
      <c r="BJ166" s="19" t="s">
        <v>75</v>
      </c>
      <c r="BK166" s="88">
        <f>ROUND(I166*H166,2)</f>
        <v>0</v>
      </c>
      <c r="BL166" s="19" t="s">
        <v>223</v>
      </c>
      <c r="BM166" s="87" t="s">
        <v>303</v>
      </c>
    </row>
    <row r="167" spans="1:65" s="13" customFormat="1">
      <c r="A167" s="313"/>
      <c r="B167" s="314"/>
      <c r="C167" s="313"/>
      <c r="D167" s="315" t="s">
        <v>225</v>
      </c>
      <c r="E167" s="316" t="s">
        <v>3</v>
      </c>
      <c r="F167" s="317" t="s">
        <v>304</v>
      </c>
      <c r="G167" s="313"/>
      <c r="H167" s="316" t="s">
        <v>3</v>
      </c>
      <c r="I167" s="259"/>
      <c r="J167" s="259"/>
      <c r="K167" s="313"/>
      <c r="L167" s="89"/>
      <c r="M167" s="91"/>
      <c r="N167" s="92"/>
      <c r="O167" s="92"/>
      <c r="P167" s="92"/>
      <c r="Q167" s="92"/>
      <c r="R167" s="92"/>
      <c r="S167" s="92"/>
      <c r="T167" s="93"/>
      <c r="AT167" s="90" t="s">
        <v>225</v>
      </c>
      <c r="AU167" s="90" t="s">
        <v>77</v>
      </c>
      <c r="AV167" s="13" t="s">
        <v>75</v>
      </c>
      <c r="AW167" s="13" t="s">
        <v>30</v>
      </c>
      <c r="AX167" s="13" t="s">
        <v>68</v>
      </c>
      <c r="AY167" s="90" t="s">
        <v>216</v>
      </c>
    </row>
    <row r="168" spans="1:65" s="14" customFormat="1">
      <c r="A168" s="318"/>
      <c r="B168" s="319"/>
      <c r="C168" s="318"/>
      <c r="D168" s="315" t="s">
        <v>225</v>
      </c>
      <c r="E168" s="320" t="s">
        <v>3</v>
      </c>
      <c r="F168" s="321" t="s">
        <v>75</v>
      </c>
      <c r="G168" s="318"/>
      <c r="H168" s="322">
        <v>1</v>
      </c>
      <c r="I168" s="260"/>
      <c r="J168" s="260"/>
      <c r="K168" s="318"/>
      <c r="L168" s="94"/>
      <c r="M168" s="96"/>
      <c r="N168" s="97"/>
      <c r="O168" s="97"/>
      <c r="P168" s="97"/>
      <c r="Q168" s="97"/>
      <c r="R168" s="97"/>
      <c r="S168" s="97"/>
      <c r="T168" s="98"/>
      <c r="AT168" s="95" t="s">
        <v>225</v>
      </c>
      <c r="AU168" s="95" t="s">
        <v>77</v>
      </c>
      <c r="AV168" s="14" t="s">
        <v>77</v>
      </c>
      <c r="AW168" s="14" t="s">
        <v>30</v>
      </c>
      <c r="AX168" s="14" t="s">
        <v>75</v>
      </c>
      <c r="AY168" s="95" t="s">
        <v>216</v>
      </c>
    </row>
    <row r="169" spans="1:65" s="2" customFormat="1" ht="21.6" customHeight="1">
      <c r="A169" s="269"/>
      <c r="B169" s="270"/>
      <c r="C169" s="308" t="s">
        <v>305</v>
      </c>
      <c r="D169" s="308" t="s">
        <v>218</v>
      </c>
      <c r="E169" s="309" t="s">
        <v>306</v>
      </c>
      <c r="F169" s="310" t="s">
        <v>307</v>
      </c>
      <c r="G169" s="311" t="s">
        <v>291</v>
      </c>
      <c r="H169" s="312">
        <v>1</v>
      </c>
      <c r="I169" s="82">
        <v>0</v>
      </c>
      <c r="J169" s="82">
        <f>ROUND(I169*H169,2)</f>
        <v>0</v>
      </c>
      <c r="K169" s="310" t="s">
        <v>222</v>
      </c>
      <c r="L169" s="24"/>
      <c r="M169" s="83" t="s">
        <v>3</v>
      </c>
      <c r="N169" s="84" t="s">
        <v>39</v>
      </c>
      <c r="O169" s="85">
        <v>1.552</v>
      </c>
      <c r="P169" s="85">
        <f>O169*H169</f>
        <v>1.552</v>
      </c>
      <c r="Q169" s="85">
        <v>0.46505000000000002</v>
      </c>
      <c r="R169" s="85">
        <f>Q169*H169</f>
        <v>0.46505000000000002</v>
      </c>
      <c r="S169" s="85">
        <v>0</v>
      </c>
      <c r="T169" s="86">
        <f>S169*H169</f>
        <v>0</v>
      </c>
      <c r="U169" s="23"/>
      <c r="V169" s="23"/>
      <c r="W169" s="23"/>
      <c r="X169" s="23"/>
      <c r="Y169" s="23"/>
      <c r="Z169" s="23"/>
      <c r="AA169" s="23"/>
      <c r="AB169" s="23"/>
      <c r="AC169" s="23"/>
      <c r="AD169" s="23"/>
      <c r="AE169" s="23"/>
      <c r="AR169" s="87" t="s">
        <v>223</v>
      </c>
      <c r="AT169" s="87" t="s">
        <v>218</v>
      </c>
      <c r="AU169" s="87" t="s">
        <v>77</v>
      </c>
      <c r="AY169" s="19" t="s">
        <v>216</v>
      </c>
      <c r="BE169" s="88">
        <f>IF(N169="základní",J169,0)</f>
        <v>0</v>
      </c>
      <c r="BF169" s="88">
        <f>IF(N169="snížená",J169,0)</f>
        <v>0</v>
      </c>
      <c r="BG169" s="88">
        <f>IF(N169="zákl. přenesená",J169,0)</f>
        <v>0</v>
      </c>
      <c r="BH169" s="88">
        <f>IF(N169="sníž. přenesená",J169,0)</f>
        <v>0</v>
      </c>
      <c r="BI169" s="88">
        <f>IF(N169="nulová",J169,0)</f>
        <v>0</v>
      </c>
      <c r="BJ169" s="19" t="s">
        <v>75</v>
      </c>
      <c r="BK169" s="88">
        <f>ROUND(I169*H169,2)</f>
        <v>0</v>
      </c>
      <c r="BL169" s="19" t="s">
        <v>223</v>
      </c>
      <c r="BM169" s="87" t="s">
        <v>308</v>
      </c>
    </row>
    <row r="170" spans="1:65" s="13" customFormat="1">
      <c r="A170" s="313"/>
      <c r="B170" s="314"/>
      <c r="C170" s="313"/>
      <c r="D170" s="315" t="s">
        <v>225</v>
      </c>
      <c r="E170" s="316" t="s">
        <v>3</v>
      </c>
      <c r="F170" s="317" t="s">
        <v>304</v>
      </c>
      <c r="G170" s="313"/>
      <c r="H170" s="316" t="s">
        <v>3</v>
      </c>
      <c r="I170" s="259"/>
      <c r="J170" s="259"/>
      <c r="K170" s="313"/>
      <c r="L170" s="89"/>
      <c r="M170" s="91"/>
      <c r="N170" s="92"/>
      <c r="O170" s="92"/>
      <c r="P170" s="92"/>
      <c r="Q170" s="92"/>
      <c r="R170" s="92"/>
      <c r="S170" s="92"/>
      <c r="T170" s="93"/>
      <c r="AT170" s="90" t="s">
        <v>225</v>
      </c>
      <c r="AU170" s="90" t="s">
        <v>77</v>
      </c>
      <c r="AV170" s="13" t="s">
        <v>75</v>
      </c>
      <c r="AW170" s="13" t="s">
        <v>30</v>
      </c>
      <c r="AX170" s="13" t="s">
        <v>68</v>
      </c>
      <c r="AY170" s="90" t="s">
        <v>216</v>
      </c>
    </row>
    <row r="171" spans="1:65" s="14" customFormat="1">
      <c r="A171" s="318"/>
      <c r="B171" s="319"/>
      <c r="C171" s="318"/>
      <c r="D171" s="315" t="s">
        <v>225</v>
      </c>
      <c r="E171" s="320" t="s">
        <v>3</v>
      </c>
      <c r="F171" s="321" t="s">
        <v>75</v>
      </c>
      <c r="G171" s="318"/>
      <c r="H171" s="322">
        <v>1</v>
      </c>
      <c r="I171" s="260"/>
      <c r="J171" s="260"/>
      <c r="K171" s="318"/>
      <c r="L171" s="94"/>
      <c r="M171" s="96"/>
      <c r="N171" s="97"/>
      <c r="O171" s="97"/>
      <c r="P171" s="97"/>
      <c r="Q171" s="97"/>
      <c r="R171" s="97"/>
      <c r="S171" s="97"/>
      <c r="T171" s="98"/>
      <c r="AT171" s="95" t="s">
        <v>225</v>
      </c>
      <c r="AU171" s="95" t="s">
        <v>77</v>
      </c>
      <c r="AV171" s="14" t="s">
        <v>77</v>
      </c>
      <c r="AW171" s="14" t="s">
        <v>30</v>
      </c>
      <c r="AX171" s="14" t="s">
        <v>75</v>
      </c>
      <c r="AY171" s="95" t="s">
        <v>216</v>
      </c>
    </row>
    <row r="172" spans="1:65" s="2" customFormat="1" ht="21.6" customHeight="1">
      <c r="A172" s="269"/>
      <c r="B172" s="270"/>
      <c r="C172" s="308" t="s">
        <v>309</v>
      </c>
      <c r="D172" s="308" t="s">
        <v>218</v>
      </c>
      <c r="E172" s="309" t="s">
        <v>310</v>
      </c>
      <c r="F172" s="310" t="s">
        <v>311</v>
      </c>
      <c r="G172" s="311" t="s">
        <v>291</v>
      </c>
      <c r="H172" s="312">
        <v>2</v>
      </c>
      <c r="I172" s="82">
        <v>0</v>
      </c>
      <c r="J172" s="82">
        <f>ROUND(I172*H172,2)</f>
        <v>0</v>
      </c>
      <c r="K172" s="310" t="s">
        <v>222</v>
      </c>
      <c r="L172" s="24"/>
      <c r="M172" s="83" t="s">
        <v>3</v>
      </c>
      <c r="N172" s="84" t="s">
        <v>39</v>
      </c>
      <c r="O172" s="85">
        <v>0.192</v>
      </c>
      <c r="P172" s="85">
        <f>O172*H172</f>
        <v>0.38400000000000001</v>
      </c>
      <c r="Q172" s="85">
        <v>2.6280000000000001E-2</v>
      </c>
      <c r="R172" s="85">
        <f>Q172*H172</f>
        <v>5.2560000000000003E-2</v>
      </c>
      <c r="S172" s="85">
        <v>0</v>
      </c>
      <c r="T172" s="86">
        <f>S172*H172</f>
        <v>0</v>
      </c>
      <c r="U172" s="23"/>
      <c r="V172" s="23"/>
      <c r="W172" s="23"/>
      <c r="X172" s="23"/>
      <c r="Y172" s="23"/>
      <c r="Z172" s="23"/>
      <c r="AA172" s="23"/>
      <c r="AB172" s="23"/>
      <c r="AC172" s="23"/>
      <c r="AD172" s="23"/>
      <c r="AE172" s="23"/>
      <c r="AR172" s="87" t="s">
        <v>223</v>
      </c>
      <c r="AT172" s="87" t="s">
        <v>218</v>
      </c>
      <c r="AU172" s="87" t="s">
        <v>77</v>
      </c>
      <c r="AY172" s="19" t="s">
        <v>216</v>
      </c>
      <c r="BE172" s="88">
        <f>IF(N172="základní",J172,0)</f>
        <v>0</v>
      </c>
      <c r="BF172" s="88">
        <f>IF(N172="snížená",J172,0)</f>
        <v>0</v>
      </c>
      <c r="BG172" s="88">
        <f>IF(N172="zákl. přenesená",J172,0)</f>
        <v>0</v>
      </c>
      <c r="BH172" s="88">
        <f>IF(N172="sníž. přenesená",J172,0)</f>
        <v>0</v>
      </c>
      <c r="BI172" s="88">
        <f>IF(N172="nulová",J172,0)</f>
        <v>0</v>
      </c>
      <c r="BJ172" s="19" t="s">
        <v>75</v>
      </c>
      <c r="BK172" s="88">
        <f>ROUND(I172*H172,2)</f>
        <v>0</v>
      </c>
      <c r="BL172" s="19" t="s">
        <v>223</v>
      </c>
      <c r="BM172" s="87" t="s">
        <v>312</v>
      </c>
    </row>
    <row r="173" spans="1:65" s="2" customFormat="1" ht="39">
      <c r="A173" s="269"/>
      <c r="B173" s="270"/>
      <c r="C173" s="269"/>
      <c r="D173" s="315" t="s">
        <v>231</v>
      </c>
      <c r="E173" s="269"/>
      <c r="F173" s="323" t="s">
        <v>313</v>
      </c>
      <c r="G173" s="269"/>
      <c r="H173" s="269"/>
      <c r="I173" s="248"/>
      <c r="J173" s="248"/>
      <c r="K173" s="269"/>
      <c r="L173" s="24"/>
      <c r="M173" s="99"/>
      <c r="N173" s="100"/>
      <c r="O173" s="32"/>
      <c r="P173" s="32"/>
      <c r="Q173" s="32"/>
      <c r="R173" s="32"/>
      <c r="S173" s="32"/>
      <c r="T173" s="33"/>
      <c r="U173" s="23"/>
      <c r="V173" s="23"/>
      <c r="W173" s="23"/>
      <c r="X173" s="23"/>
      <c r="Y173" s="23"/>
      <c r="Z173" s="23"/>
      <c r="AA173" s="23"/>
      <c r="AB173" s="23"/>
      <c r="AC173" s="23"/>
      <c r="AD173" s="23"/>
      <c r="AE173" s="23"/>
      <c r="AT173" s="19" t="s">
        <v>231</v>
      </c>
      <c r="AU173" s="19" t="s">
        <v>77</v>
      </c>
    </row>
    <row r="174" spans="1:65" s="13" customFormat="1">
      <c r="A174" s="313"/>
      <c r="B174" s="314"/>
      <c r="C174" s="313"/>
      <c r="D174" s="315" t="s">
        <v>225</v>
      </c>
      <c r="E174" s="316" t="s">
        <v>3</v>
      </c>
      <c r="F174" s="317" t="s">
        <v>304</v>
      </c>
      <c r="G174" s="313"/>
      <c r="H174" s="316" t="s">
        <v>3</v>
      </c>
      <c r="I174" s="259"/>
      <c r="J174" s="259"/>
      <c r="K174" s="313"/>
      <c r="L174" s="89"/>
      <c r="M174" s="91"/>
      <c r="N174" s="92"/>
      <c r="O174" s="92"/>
      <c r="P174" s="92"/>
      <c r="Q174" s="92"/>
      <c r="R174" s="92"/>
      <c r="S174" s="92"/>
      <c r="T174" s="93"/>
      <c r="AT174" s="90" t="s">
        <v>225</v>
      </c>
      <c r="AU174" s="90" t="s">
        <v>77</v>
      </c>
      <c r="AV174" s="13" t="s">
        <v>75</v>
      </c>
      <c r="AW174" s="13" t="s">
        <v>30</v>
      </c>
      <c r="AX174" s="13" t="s">
        <v>68</v>
      </c>
      <c r="AY174" s="90" t="s">
        <v>216</v>
      </c>
    </row>
    <row r="175" spans="1:65" s="13" customFormat="1">
      <c r="A175" s="313"/>
      <c r="B175" s="314"/>
      <c r="C175" s="313"/>
      <c r="D175" s="315" t="s">
        <v>225</v>
      </c>
      <c r="E175" s="316" t="s">
        <v>3</v>
      </c>
      <c r="F175" s="317" t="s">
        <v>314</v>
      </c>
      <c r="G175" s="313"/>
      <c r="H175" s="316" t="s">
        <v>3</v>
      </c>
      <c r="I175" s="259"/>
      <c r="J175" s="259"/>
      <c r="K175" s="313"/>
      <c r="L175" s="89"/>
      <c r="M175" s="91"/>
      <c r="N175" s="92"/>
      <c r="O175" s="92"/>
      <c r="P175" s="92"/>
      <c r="Q175" s="92"/>
      <c r="R175" s="92"/>
      <c r="S175" s="92"/>
      <c r="T175" s="93"/>
      <c r="AT175" s="90" t="s">
        <v>225</v>
      </c>
      <c r="AU175" s="90" t="s">
        <v>77</v>
      </c>
      <c r="AV175" s="13" t="s">
        <v>75</v>
      </c>
      <c r="AW175" s="13" t="s">
        <v>30</v>
      </c>
      <c r="AX175" s="13" t="s">
        <v>68</v>
      </c>
      <c r="AY175" s="90" t="s">
        <v>216</v>
      </c>
    </row>
    <row r="176" spans="1:65" s="14" customFormat="1">
      <c r="A176" s="318"/>
      <c r="B176" s="319"/>
      <c r="C176" s="318"/>
      <c r="D176" s="315" t="s">
        <v>225</v>
      </c>
      <c r="E176" s="320" t="s">
        <v>3</v>
      </c>
      <c r="F176" s="321" t="s">
        <v>77</v>
      </c>
      <c r="G176" s="318"/>
      <c r="H176" s="322">
        <v>2</v>
      </c>
      <c r="I176" s="260"/>
      <c r="J176" s="260"/>
      <c r="K176" s="318"/>
      <c r="L176" s="94"/>
      <c r="M176" s="96"/>
      <c r="N176" s="97"/>
      <c r="O176" s="97"/>
      <c r="P176" s="97"/>
      <c r="Q176" s="97"/>
      <c r="R176" s="97"/>
      <c r="S176" s="97"/>
      <c r="T176" s="98"/>
      <c r="AT176" s="95" t="s">
        <v>225</v>
      </c>
      <c r="AU176" s="95" t="s">
        <v>77</v>
      </c>
      <c r="AV176" s="14" t="s">
        <v>77</v>
      </c>
      <c r="AW176" s="14" t="s">
        <v>30</v>
      </c>
      <c r="AX176" s="14" t="s">
        <v>75</v>
      </c>
      <c r="AY176" s="95" t="s">
        <v>216</v>
      </c>
    </row>
    <row r="177" spans="1:65" s="2" customFormat="1" ht="21.6" customHeight="1">
      <c r="A177" s="269"/>
      <c r="B177" s="270"/>
      <c r="C177" s="308" t="s">
        <v>315</v>
      </c>
      <c r="D177" s="308" t="s">
        <v>218</v>
      </c>
      <c r="E177" s="309" t="s">
        <v>316</v>
      </c>
      <c r="F177" s="310" t="s">
        <v>317</v>
      </c>
      <c r="G177" s="311" t="s">
        <v>291</v>
      </c>
      <c r="H177" s="312">
        <v>6</v>
      </c>
      <c r="I177" s="82">
        <v>0</v>
      </c>
      <c r="J177" s="82">
        <f>ROUND(I177*H177,2)</f>
        <v>0</v>
      </c>
      <c r="K177" s="310" t="s">
        <v>222</v>
      </c>
      <c r="L177" s="24"/>
      <c r="M177" s="83" t="s">
        <v>3</v>
      </c>
      <c r="N177" s="84" t="s">
        <v>39</v>
      </c>
      <c r="O177" s="85">
        <v>0.28999999999999998</v>
      </c>
      <c r="P177" s="85">
        <f>O177*H177</f>
        <v>1.7399999999999998</v>
      </c>
      <c r="Q177" s="85">
        <v>5.5280000000000003E-2</v>
      </c>
      <c r="R177" s="85">
        <f>Q177*H177</f>
        <v>0.33168000000000003</v>
      </c>
      <c r="S177" s="85">
        <v>0</v>
      </c>
      <c r="T177" s="86">
        <f>S177*H177</f>
        <v>0</v>
      </c>
      <c r="U177" s="23"/>
      <c r="V177" s="23"/>
      <c r="W177" s="23"/>
      <c r="X177" s="23"/>
      <c r="Y177" s="23"/>
      <c r="Z177" s="23"/>
      <c r="AA177" s="23"/>
      <c r="AB177" s="23"/>
      <c r="AC177" s="23"/>
      <c r="AD177" s="23"/>
      <c r="AE177" s="23"/>
      <c r="AR177" s="87" t="s">
        <v>223</v>
      </c>
      <c r="AT177" s="87" t="s">
        <v>218</v>
      </c>
      <c r="AU177" s="87" t="s">
        <v>77</v>
      </c>
      <c r="AY177" s="19" t="s">
        <v>216</v>
      </c>
      <c r="BE177" s="88">
        <f>IF(N177="základní",J177,0)</f>
        <v>0</v>
      </c>
      <c r="BF177" s="88">
        <f>IF(N177="snížená",J177,0)</f>
        <v>0</v>
      </c>
      <c r="BG177" s="88">
        <f>IF(N177="zákl. přenesená",J177,0)</f>
        <v>0</v>
      </c>
      <c r="BH177" s="88">
        <f>IF(N177="sníž. přenesená",J177,0)</f>
        <v>0</v>
      </c>
      <c r="BI177" s="88">
        <f>IF(N177="nulová",J177,0)</f>
        <v>0</v>
      </c>
      <c r="BJ177" s="19" t="s">
        <v>75</v>
      </c>
      <c r="BK177" s="88">
        <f>ROUND(I177*H177,2)</f>
        <v>0</v>
      </c>
      <c r="BL177" s="19" t="s">
        <v>223</v>
      </c>
      <c r="BM177" s="87" t="s">
        <v>318</v>
      </c>
    </row>
    <row r="178" spans="1:65" s="2" customFormat="1" ht="39">
      <c r="A178" s="269"/>
      <c r="B178" s="270"/>
      <c r="C178" s="269"/>
      <c r="D178" s="315" t="s">
        <v>231</v>
      </c>
      <c r="E178" s="269"/>
      <c r="F178" s="323" t="s">
        <v>313</v>
      </c>
      <c r="G178" s="269"/>
      <c r="H178" s="269"/>
      <c r="I178" s="248"/>
      <c r="J178" s="248"/>
      <c r="K178" s="269"/>
      <c r="L178" s="24"/>
      <c r="M178" s="99"/>
      <c r="N178" s="100"/>
      <c r="O178" s="32"/>
      <c r="P178" s="32"/>
      <c r="Q178" s="32"/>
      <c r="R178" s="32"/>
      <c r="S178" s="32"/>
      <c r="T178" s="33"/>
      <c r="U178" s="23"/>
      <c r="V178" s="23"/>
      <c r="W178" s="23"/>
      <c r="X178" s="23"/>
      <c r="Y178" s="23"/>
      <c r="Z178" s="23"/>
      <c r="AA178" s="23"/>
      <c r="AB178" s="23"/>
      <c r="AC178" s="23"/>
      <c r="AD178" s="23"/>
      <c r="AE178" s="23"/>
      <c r="AT178" s="19" t="s">
        <v>231</v>
      </c>
      <c r="AU178" s="19" t="s">
        <v>77</v>
      </c>
    </row>
    <row r="179" spans="1:65" s="13" customFormat="1">
      <c r="A179" s="313"/>
      <c r="B179" s="314"/>
      <c r="C179" s="313"/>
      <c r="D179" s="315" t="s">
        <v>225</v>
      </c>
      <c r="E179" s="316" t="s">
        <v>3</v>
      </c>
      <c r="F179" s="317" t="s">
        <v>304</v>
      </c>
      <c r="G179" s="313"/>
      <c r="H179" s="316" t="s">
        <v>3</v>
      </c>
      <c r="I179" s="259"/>
      <c r="J179" s="259"/>
      <c r="K179" s="313"/>
      <c r="L179" s="89"/>
      <c r="M179" s="91"/>
      <c r="N179" s="92"/>
      <c r="O179" s="92"/>
      <c r="P179" s="92"/>
      <c r="Q179" s="92"/>
      <c r="R179" s="92"/>
      <c r="S179" s="92"/>
      <c r="T179" s="93"/>
      <c r="AT179" s="90" t="s">
        <v>225</v>
      </c>
      <c r="AU179" s="90" t="s">
        <v>77</v>
      </c>
      <c r="AV179" s="13" t="s">
        <v>75</v>
      </c>
      <c r="AW179" s="13" t="s">
        <v>30</v>
      </c>
      <c r="AX179" s="13" t="s">
        <v>68</v>
      </c>
      <c r="AY179" s="90" t="s">
        <v>216</v>
      </c>
    </row>
    <row r="180" spans="1:65" s="13" customFormat="1">
      <c r="A180" s="313"/>
      <c r="B180" s="314"/>
      <c r="C180" s="313"/>
      <c r="D180" s="315" t="s">
        <v>225</v>
      </c>
      <c r="E180" s="316" t="s">
        <v>3</v>
      </c>
      <c r="F180" s="317" t="s">
        <v>319</v>
      </c>
      <c r="G180" s="313"/>
      <c r="H180" s="316" t="s">
        <v>3</v>
      </c>
      <c r="I180" s="259"/>
      <c r="J180" s="259"/>
      <c r="K180" s="313"/>
      <c r="L180" s="89"/>
      <c r="M180" s="91"/>
      <c r="N180" s="92"/>
      <c r="O180" s="92"/>
      <c r="P180" s="92"/>
      <c r="Q180" s="92"/>
      <c r="R180" s="92"/>
      <c r="S180" s="92"/>
      <c r="T180" s="93"/>
      <c r="AT180" s="90" t="s">
        <v>225</v>
      </c>
      <c r="AU180" s="90" t="s">
        <v>77</v>
      </c>
      <c r="AV180" s="13" t="s">
        <v>75</v>
      </c>
      <c r="AW180" s="13" t="s">
        <v>30</v>
      </c>
      <c r="AX180" s="13" t="s">
        <v>68</v>
      </c>
      <c r="AY180" s="90" t="s">
        <v>216</v>
      </c>
    </row>
    <row r="181" spans="1:65" s="14" customFormat="1">
      <c r="A181" s="318"/>
      <c r="B181" s="319"/>
      <c r="C181" s="318"/>
      <c r="D181" s="315" t="s">
        <v>225</v>
      </c>
      <c r="E181" s="320" t="s">
        <v>3</v>
      </c>
      <c r="F181" s="321" t="s">
        <v>248</v>
      </c>
      <c r="G181" s="318"/>
      <c r="H181" s="322">
        <v>6</v>
      </c>
      <c r="I181" s="260"/>
      <c r="J181" s="260"/>
      <c r="K181" s="318"/>
      <c r="L181" s="94"/>
      <c r="M181" s="96"/>
      <c r="N181" s="97"/>
      <c r="O181" s="97"/>
      <c r="P181" s="97"/>
      <c r="Q181" s="97"/>
      <c r="R181" s="97"/>
      <c r="S181" s="97"/>
      <c r="T181" s="98"/>
      <c r="AT181" s="95" t="s">
        <v>225</v>
      </c>
      <c r="AU181" s="95" t="s">
        <v>77</v>
      </c>
      <c r="AV181" s="14" t="s">
        <v>77</v>
      </c>
      <c r="AW181" s="14" t="s">
        <v>30</v>
      </c>
      <c r="AX181" s="14" t="s">
        <v>75</v>
      </c>
      <c r="AY181" s="95" t="s">
        <v>216</v>
      </c>
    </row>
    <row r="182" spans="1:65" s="2" customFormat="1" ht="14.45" customHeight="1">
      <c r="A182" s="269"/>
      <c r="B182" s="270"/>
      <c r="C182" s="308" t="s">
        <v>320</v>
      </c>
      <c r="D182" s="308" t="s">
        <v>218</v>
      </c>
      <c r="E182" s="309" t="s">
        <v>321</v>
      </c>
      <c r="F182" s="310" t="s">
        <v>322</v>
      </c>
      <c r="G182" s="311" t="s">
        <v>273</v>
      </c>
      <c r="H182" s="312">
        <v>0.39700000000000002</v>
      </c>
      <c r="I182" s="82">
        <v>0</v>
      </c>
      <c r="J182" s="82">
        <f>ROUND(I182*H182,2)</f>
        <v>0</v>
      </c>
      <c r="K182" s="310" t="s">
        <v>222</v>
      </c>
      <c r="L182" s="24"/>
      <c r="M182" s="83" t="s">
        <v>3</v>
      </c>
      <c r="N182" s="84" t="s">
        <v>39</v>
      </c>
      <c r="O182" s="85">
        <v>40.5</v>
      </c>
      <c r="P182" s="85">
        <f>O182*H182</f>
        <v>16.078500000000002</v>
      </c>
      <c r="Q182" s="85">
        <v>1.0900000000000001</v>
      </c>
      <c r="R182" s="85">
        <f>Q182*H182</f>
        <v>0.43273000000000006</v>
      </c>
      <c r="S182" s="85">
        <v>0</v>
      </c>
      <c r="T182" s="86">
        <f>S182*H182</f>
        <v>0</v>
      </c>
      <c r="U182" s="23"/>
      <c r="V182" s="23"/>
      <c r="W182" s="23"/>
      <c r="X182" s="23"/>
      <c r="Y182" s="23"/>
      <c r="Z182" s="23"/>
      <c r="AA182" s="23"/>
      <c r="AB182" s="23"/>
      <c r="AC182" s="23"/>
      <c r="AD182" s="23"/>
      <c r="AE182" s="23"/>
      <c r="AR182" s="87" t="s">
        <v>223</v>
      </c>
      <c r="AT182" s="87" t="s">
        <v>218</v>
      </c>
      <c r="AU182" s="87" t="s">
        <v>77</v>
      </c>
      <c r="AY182" s="19" t="s">
        <v>216</v>
      </c>
      <c r="BE182" s="88">
        <f>IF(N182="základní",J182,0)</f>
        <v>0</v>
      </c>
      <c r="BF182" s="88">
        <f>IF(N182="snížená",J182,0)</f>
        <v>0</v>
      </c>
      <c r="BG182" s="88">
        <f>IF(N182="zákl. přenesená",J182,0)</f>
        <v>0</v>
      </c>
      <c r="BH182" s="88">
        <f>IF(N182="sníž. přenesená",J182,0)</f>
        <v>0</v>
      </c>
      <c r="BI182" s="88">
        <f>IF(N182="nulová",J182,0)</f>
        <v>0</v>
      </c>
      <c r="BJ182" s="19" t="s">
        <v>75</v>
      </c>
      <c r="BK182" s="88">
        <f>ROUND(I182*H182,2)</f>
        <v>0</v>
      </c>
      <c r="BL182" s="19" t="s">
        <v>223</v>
      </c>
      <c r="BM182" s="87" t="s">
        <v>323</v>
      </c>
    </row>
    <row r="183" spans="1:65" s="2" customFormat="1" ht="39">
      <c r="A183" s="269"/>
      <c r="B183" s="270"/>
      <c r="C183" s="269"/>
      <c r="D183" s="315" t="s">
        <v>231</v>
      </c>
      <c r="E183" s="269"/>
      <c r="F183" s="323" t="s">
        <v>324</v>
      </c>
      <c r="G183" s="269"/>
      <c r="H183" s="269"/>
      <c r="I183" s="248"/>
      <c r="J183" s="248"/>
      <c r="K183" s="269"/>
      <c r="L183" s="24"/>
      <c r="M183" s="99"/>
      <c r="N183" s="100"/>
      <c r="O183" s="32"/>
      <c r="P183" s="32"/>
      <c r="Q183" s="32"/>
      <c r="R183" s="32"/>
      <c r="S183" s="32"/>
      <c r="T183" s="33"/>
      <c r="U183" s="23"/>
      <c r="V183" s="23"/>
      <c r="W183" s="23"/>
      <c r="X183" s="23"/>
      <c r="Y183" s="23"/>
      <c r="Z183" s="23"/>
      <c r="AA183" s="23"/>
      <c r="AB183" s="23"/>
      <c r="AC183" s="23"/>
      <c r="AD183" s="23"/>
      <c r="AE183" s="23"/>
      <c r="AT183" s="19" t="s">
        <v>231</v>
      </c>
      <c r="AU183" s="19" t="s">
        <v>77</v>
      </c>
    </row>
    <row r="184" spans="1:65" s="13" customFormat="1">
      <c r="A184" s="313"/>
      <c r="B184" s="314"/>
      <c r="C184" s="313"/>
      <c r="D184" s="315" t="s">
        <v>225</v>
      </c>
      <c r="E184" s="316" t="s">
        <v>3</v>
      </c>
      <c r="F184" s="317" t="s">
        <v>325</v>
      </c>
      <c r="G184" s="313"/>
      <c r="H184" s="316" t="s">
        <v>3</v>
      </c>
      <c r="I184" s="259"/>
      <c r="J184" s="259"/>
      <c r="K184" s="313"/>
      <c r="L184" s="89"/>
      <c r="M184" s="91"/>
      <c r="N184" s="92"/>
      <c r="O184" s="92"/>
      <c r="P184" s="92"/>
      <c r="Q184" s="92"/>
      <c r="R184" s="92"/>
      <c r="S184" s="92"/>
      <c r="T184" s="93"/>
      <c r="AT184" s="90" t="s">
        <v>225</v>
      </c>
      <c r="AU184" s="90" t="s">
        <v>77</v>
      </c>
      <c r="AV184" s="13" t="s">
        <v>75</v>
      </c>
      <c r="AW184" s="13" t="s">
        <v>30</v>
      </c>
      <c r="AX184" s="13" t="s">
        <v>68</v>
      </c>
      <c r="AY184" s="90" t="s">
        <v>216</v>
      </c>
    </row>
    <row r="185" spans="1:65" s="13" customFormat="1">
      <c r="A185" s="313"/>
      <c r="B185" s="314"/>
      <c r="C185" s="313"/>
      <c r="D185" s="315" t="s">
        <v>225</v>
      </c>
      <c r="E185" s="316" t="s">
        <v>3</v>
      </c>
      <c r="F185" s="317" t="s">
        <v>326</v>
      </c>
      <c r="G185" s="313"/>
      <c r="H185" s="316" t="s">
        <v>3</v>
      </c>
      <c r="I185" s="259"/>
      <c r="J185" s="259"/>
      <c r="K185" s="313"/>
      <c r="L185" s="89"/>
      <c r="M185" s="91"/>
      <c r="N185" s="92"/>
      <c r="O185" s="92"/>
      <c r="P185" s="92"/>
      <c r="Q185" s="92"/>
      <c r="R185" s="92"/>
      <c r="S185" s="92"/>
      <c r="T185" s="93"/>
      <c r="AT185" s="90" t="s">
        <v>225</v>
      </c>
      <c r="AU185" s="90" t="s">
        <v>77</v>
      </c>
      <c r="AV185" s="13" t="s">
        <v>75</v>
      </c>
      <c r="AW185" s="13" t="s">
        <v>30</v>
      </c>
      <c r="AX185" s="13" t="s">
        <v>68</v>
      </c>
      <c r="AY185" s="90" t="s">
        <v>216</v>
      </c>
    </row>
    <row r="186" spans="1:65" s="14" customFormat="1">
      <c r="A186" s="318"/>
      <c r="B186" s="319"/>
      <c r="C186" s="318"/>
      <c r="D186" s="315" t="s">
        <v>225</v>
      </c>
      <c r="E186" s="320" t="s">
        <v>3</v>
      </c>
      <c r="F186" s="321" t="s">
        <v>327</v>
      </c>
      <c r="G186" s="318"/>
      <c r="H186" s="322">
        <v>0.39700000000000002</v>
      </c>
      <c r="I186" s="260"/>
      <c r="J186" s="260"/>
      <c r="K186" s="318"/>
      <c r="L186" s="94"/>
      <c r="M186" s="96"/>
      <c r="N186" s="97"/>
      <c r="O186" s="97"/>
      <c r="P186" s="97"/>
      <c r="Q186" s="97"/>
      <c r="R186" s="97"/>
      <c r="S186" s="97"/>
      <c r="T186" s="98"/>
      <c r="AT186" s="95" t="s">
        <v>225</v>
      </c>
      <c r="AU186" s="95" t="s">
        <v>77</v>
      </c>
      <c r="AV186" s="14" t="s">
        <v>77</v>
      </c>
      <c r="AW186" s="14" t="s">
        <v>30</v>
      </c>
      <c r="AX186" s="14" t="s">
        <v>75</v>
      </c>
      <c r="AY186" s="95" t="s">
        <v>216</v>
      </c>
    </row>
    <row r="187" spans="1:65" s="2" customFormat="1" ht="21.6" customHeight="1">
      <c r="A187" s="269"/>
      <c r="B187" s="270"/>
      <c r="C187" s="308" t="s">
        <v>328</v>
      </c>
      <c r="D187" s="308" t="s">
        <v>218</v>
      </c>
      <c r="E187" s="309" t="s">
        <v>329</v>
      </c>
      <c r="F187" s="310" t="s">
        <v>330</v>
      </c>
      <c r="G187" s="311" t="s">
        <v>273</v>
      </c>
      <c r="H187" s="312">
        <v>2.5999999999999999E-2</v>
      </c>
      <c r="I187" s="82">
        <v>0</v>
      </c>
      <c r="J187" s="82">
        <f>ROUND(I187*H187,2)</f>
        <v>0</v>
      </c>
      <c r="K187" s="310" t="s">
        <v>222</v>
      </c>
      <c r="L187" s="24"/>
      <c r="M187" s="83" t="s">
        <v>3</v>
      </c>
      <c r="N187" s="84" t="s">
        <v>39</v>
      </c>
      <c r="O187" s="85">
        <v>34.5</v>
      </c>
      <c r="P187" s="85">
        <f>O187*H187</f>
        <v>0.89699999999999991</v>
      </c>
      <c r="Q187" s="85">
        <v>1.0900000000000001</v>
      </c>
      <c r="R187" s="85">
        <f>Q187*H187</f>
        <v>2.8340000000000001E-2</v>
      </c>
      <c r="S187" s="85">
        <v>0</v>
      </c>
      <c r="T187" s="86">
        <f>S187*H187</f>
        <v>0</v>
      </c>
      <c r="U187" s="23"/>
      <c r="V187" s="23"/>
      <c r="W187" s="23"/>
      <c r="X187" s="23"/>
      <c r="Y187" s="23"/>
      <c r="Z187" s="23"/>
      <c r="AA187" s="23"/>
      <c r="AB187" s="23"/>
      <c r="AC187" s="23"/>
      <c r="AD187" s="23"/>
      <c r="AE187" s="23"/>
      <c r="AR187" s="87" t="s">
        <v>223</v>
      </c>
      <c r="AT187" s="87" t="s">
        <v>218</v>
      </c>
      <c r="AU187" s="87" t="s">
        <v>77</v>
      </c>
      <c r="AY187" s="19" t="s">
        <v>216</v>
      </c>
      <c r="BE187" s="88">
        <f>IF(N187="základní",J187,0)</f>
        <v>0</v>
      </c>
      <c r="BF187" s="88">
        <f>IF(N187="snížená",J187,0)</f>
        <v>0</v>
      </c>
      <c r="BG187" s="88">
        <f>IF(N187="zákl. přenesená",J187,0)</f>
        <v>0</v>
      </c>
      <c r="BH187" s="88">
        <f>IF(N187="sníž. přenesená",J187,0)</f>
        <v>0</v>
      </c>
      <c r="BI187" s="88">
        <f>IF(N187="nulová",J187,0)</f>
        <v>0</v>
      </c>
      <c r="BJ187" s="19" t="s">
        <v>75</v>
      </c>
      <c r="BK187" s="88">
        <f>ROUND(I187*H187,2)</f>
        <v>0</v>
      </c>
      <c r="BL187" s="19" t="s">
        <v>223</v>
      </c>
      <c r="BM187" s="87" t="s">
        <v>331</v>
      </c>
    </row>
    <row r="188" spans="1:65" s="2" customFormat="1" ht="39">
      <c r="A188" s="269"/>
      <c r="B188" s="270"/>
      <c r="C188" s="269"/>
      <c r="D188" s="315" t="s">
        <v>231</v>
      </c>
      <c r="E188" s="269"/>
      <c r="F188" s="323" t="s">
        <v>324</v>
      </c>
      <c r="G188" s="269"/>
      <c r="H188" s="269"/>
      <c r="I188" s="248"/>
      <c r="J188" s="248"/>
      <c r="K188" s="269"/>
      <c r="L188" s="24"/>
      <c r="M188" s="99"/>
      <c r="N188" s="100"/>
      <c r="O188" s="32"/>
      <c r="P188" s="32"/>
      <c r="Q188" s="32"/>
      <c r="R188" s="32"/>
      <c r="S188" s="32"/>
      <c r="T188" s="33"/>
      <c r="U188" s="23"/>
      <c r="V188" s="23"/>
      <c r="W188" s="23"/>
      <c r="X188" s="23"/>
      <c r="Y188" s="23"/>
      <c r="Z188" s="23"/>
      <c r="AA188" s="23"/>
      <c r="AB188" s="23"/>
      <c r="AC188" s="23"/>
      <c r="AD188" s="23"/>
      <c r="AE188" s="23"/>
      <c r="AT188" s="19" t="s">
        <v>231</v>
      </c>
      <c r="AU188" s="19" t="s">
        <v>77</v>
      </c>
    </row>
    <row r="189" spans="1:65" s="13" customFormat="1">
      <c r="A189" s="313"/>
      <c r="B189" s="314"/>
      <c r="C189" s="313"/>
      <c r="D189" s="315" t="s">
        <v>225</v>
      </c>
      <c r="E189" s="316" t="s">
        <v>3</v>
      </c>
      <c r="F189" s="317" t="s">
        <v>325</v>
      </c>
      <c r="G189" s="313"/>
      <c r="H189" s="316" t="s">
        <v>3</v>
      </c>
      <c r="I189" s="259"/>
      <c r="J189" s="259"/>
      <c r="K189" s="313"/>
      <c r="L189" s="89"/>
      <c r="M189" s="91"/>
      <c r="N189" s="92"/>
      <c r="O189" s="92"/>
      <c r="P189" s="92"/>
      <c r="Q189" s="92"/>
      <c r="R189" s="92"/>
      <c r="S189" s="92"/>
      <c r="T189" s="93"/>
      <c r="AT189" s="90" t="s">
        <v>225</v>
      </c>
      <c r="AU189" s="90" t="s">
        <v>77</v>
      </c>
      <c r="AV189" s="13" t="s">
        <v>75</v>
      </c>
      <c r="AW189" s="13" t="s">
        <v>30</v>
      </c>
      <c r="AX189" s="13" t="s">
        <v>68</v>
      </c>
      <c r="AY189" s="90" t="s">
        <v>216</v>
      </c>
    </row>
    <row r="190" spans="1:65" s="13" customFormat="1">
      <c r="A190" s="313"/>
      <c r="B190" s="314"/>
      <c r="C190" s="313"/>
      <c r="D190" s="315" t="s">
        <v>225</v>
      </c>
      <c r="E190" s="316" t="s">
        <v>3</v>
      </c>
      <c r="F190" s="317" t="s">
        <v>326</v>
      </c>
      <c r="G190" s="313"/>
      <c r="H190" s="316" t="s">
        <v>3</v>
      </c>
      <c r="I190" s="259"/>
      <c r="J190" s="259"/>
      <c r="K190" s="313"/>
      <c r="L190" s="89"/>
      <c r="M190" s="91"/>
      <c r="N190" s="92"/>
      <c r="O190" s="92"/>
      <c r="P190" s="92"/>
      <c r="Q190" s="92"/>
      <c r="R190" s="92"/>
      <c r="S190" s="92"/>
      <c r="T190" s="93"/>
      <c r="AT190" s="90" t="s">
        <v>225</v>
      </c>
      <c r="AU190" s="90" t="s">
        <v>77</v>
      </c>
      <c r="AV190" s="13" t="s">
        <v>75</v>
      </c>
      <c r="AW190" s="13" t="s">
        <v>30</v>
      </c>
      <c r="AX190" s="13" t="s">
        <v>68</v>
      </c>
      <c r="AY190" s="90" t="s">
        <v>216</v>
      </c>
    </row>
    <row r="191" spans="1:65" s="14" customFormat="1">
      <c r="A191" s="318"/>
      <c r="B191" s="319"/>
      <c r="C191" s="318"/>
      <c r="D191" s="315" t="s">
        <v>225</v>
      </c>
      <c r="E191" s="320" t="s">
        <v>3</v>
      </c>
      <c r="F191" s="321" t="s">
        <v>332</v>
      </c>
      <c r="G191" s="318"/>
      <c r="H191" s="322">
        <v>2.5999999999999999E-2</v>
      </c>
      <c r="I191" s="260"/>
      <c r="J191" s="260"/>
      <c r="K191" s="318"/>
      <c r="L191" s="94"/>
      <c r="M191" s="96"/>
      <c r="N191" s="97"/>
      <c r="O191" s="97"/>
      <c r="P191" s="97"/>
      <c r="Q191" s="97"/>
      <c r="R191" s="97"/>
      <c r="S191" s="97"/>
      <c r="T191" s="98"/>
      <c r="AT191" s="95" t="s">
        <v>225</v>
      </c>
      <c r="AU191" s="95" t="s">
        <v>77</v>
      </c>
      <c r="AV191" s="14" t="s">
        <v>77</v>
      </c>
      <c r="AW191" s="14" t="s">
        <v>30</v>
      </c>
      <c r="AX191" s="14" t="s">
        <v>75</v>
      </c>
      <c r="AY191" s="95" t="s">
        <v>216</v>
      </c>
    </row>
    <row r="192" spans="1:65" s="2" customFormat="1" ht="21.6" customHeight="1">
      <c r="A192" s="269"/>
      <c r="B192" s="270"/>
      <c r="C192" s="308" t="s">
        <v>8</v>
      </c>
      <c r="D192" s="308" t="s">
        <v>218</v>
      </c>
      <c r="E192" s="309" t="s">
        <v>333</v>
      </c>
      <c r="F192" s="310" t="s">
        <v>334</v>
      </c>
      <c r="G192" s="311" t="s">
        <v>286</v>
      </c>
      <c r="H192" s="312">
        <v>2.25</v>
      </c>
      <c r="I192" s="82">
        <v>0</v>
      </c>
      <c r="J192" s="82">
        <f>ROUND(I192*H192,2)</f>
        <v>0</v>
      </c>
      <c r="K192" s="310" t="s">
        <v>222</v>
      </c>
      <c r="L192" s="24"/>
      <c r="M192" s="83" t="s">
        <v>3</v>
      </c>
      <c r="N192" s="84" t="s">
        <v>39</v>
      </c>
      <c r="O192" s="85">
        <v>0.56699999999999995</v>
      </c>
      <c r="P192" s="85">
        <f>O192*H192</f>
        <v>1.2757499999999999</v>
      </c>
      <c r="Q192" s="85">
        <v>7.2969999999999993E-2</v>
      </c>
      <c r="R192" s="85">
        <f>Q192*H192</f>
        <v>0.16418249999999998</v>
      </c>
      <c r="S192" s="85">
        <v>0</v>
      </c>
      <c r="T192" s="86">
        <f>S192*H192</f>
        <v>0</v>
      </c>
      <c r="U192" s="23"/>
      <c r="V192" s="23"/>
      <c r="W192" s="23"/>
      <c r="X192" s="23"/>
      <c r="Y192" s="23"/>
      <c r="Z192" s="23"/>
      <c r="AA192" s="23"/>
      <c r="AB192" s="23"/>
      <c r="AC192" s="23"/>
      <c r="AD192" s="23"/>
      <c r="AE192" s="23"/>
      <c r="AR192" s="87" t="s">
        <v>223</v>
      </c>
      <c r="AT192" s="87" t="s">
        <v>218</v>
      </c>
      <c r="AU192" s="87" t="s">
        <v>77</v>
      </c>
      <c r="AY192" s="19" t="s">
        <v>216</v>
      </c>
      <c r="BE192" s="88">
        <f>IF(N192="základní",J192,0)</f>
        <v>0</v>
      </c>
      <c r="BF192" s="88">
        <f>IF(N192="snížená",J192,0)</f>
        <v>0</v>
      </c>
      <c r="BG192" s="88">
        <f>IF(N192="zákl. přenesená",J192,0)</f>
        <v>0</v>
      </c>
      <c r="BH192" s="88">
        <f>IF(N192="sníž. přenesená",J192,0)</f>
        <v>0</v>
      </c>
      <c r="BI192" s="88">
        <f>IF(N192="nulová",J192,0)</f>
        <v>0</v>
      </c>
      <c r="BJ192" s="19" t="s">
        <v>75</v>
      </c>
      <c r="BK192" s="88">
        <f>ROUND(I192*H192,2)</f>
        <v>0</v>
      </c>
      <c r="BL192" s="19" t="s">
        <v>223</v>
      </c>
      <c r="BM192" s="87" t="s">
        <v>335</v>
      </c>
    </row>
    <row r="193" spans="1:65" s="13" customFormat="1">
      <c r="A193" s="313"/>
      <c r="B193" s="314"/>
      <c r="C193" s="313"/>
      <c r="D193" s="315" t="s">
        <v>225</v>
      </c>
      <c r="E193" s="316" t="s">
        <v>3</v>
      </c>
      <c r="F193" s="317" t="s">
        <v>304</v>
      </c>
      <c r="G193" s="313"/>
      <c r="H193" s="316" t="s">
        <v>3</v>
      </c>
      <c r="I193" s="259"/>
      <c r="J193" s="259"/>
      <c r="K193" s="313"/>
      <c r="L193" s="89"/>
      <c r="M193" s="91"/>
      <c r="N193" s="92"/>
      <c r="O193" s="92"/>
      <c r="P193" s="92"/>
      <c r="Q193" s="92"/>
      <c r="R193" s="92"/>
      <c r="S193" s="92"/>
      <c r="T193" s="93"/>
      <c r="AT193" s="90" t="s">
        <v>225</v>
      </c>
      <c r="AU193" s="90" t="s">
        <v>77</v>
      </c>
      <c r="AV193" s="13" t="s">
        <v>75</v>
      </c>
      <c r="AW193" s="13" t="s">
        <v>30</v>
      </c>
      <c r="AX193" s="13" t="s">
        <v>68</v>
      </c>
      <c r="AY193" s="90" t="s">
        <v>216</v>
      </c>
    </row>
    <row r="194" spans="1:65" s="14" customFormat="1">
      <c r="A194" s="318"/>
      <c r="B194" s="319"/>
      <c r="C194" s="318"/>
      <c r="D194" s="315" t="s">
        <v>225</v>
      </c>
      <c r="E194" s="320" t="s">
        <v>3</v>
      </c>
      <c r="F194" s="321" t="s">
        <v>336</v>
      </c>
      <c r="G194" s="318"/>
      <c r="H194" s="322">
        <v>2.25</v>
      </c>
      <c r="I194" s="260"/>
      <c r="J194" s="260"/>
      <c r="K194" s="318"/>
      <c r="L194" s="94"/>
      <c r="M194" s="96"/>
      <c r="N194" s="97"/>
      <c r="O194" s="97"/>
      <c r="P194" s="97"/>
      <c r="Q194" s="97"/>
      <c r="R194" s="97"/>
      <c r="S194" s="97"/>
      <c r="T194" s="98"/>
      <c r="AT194" s="95" t="s">
        <v>225</v>
      </c>
      <c r="AU194" s="95" t="s">
        <v>77</v>
      </c>
      <c r="AV194" s="14" t="s">
        <v>77</v>
      </c>
      <c r="AW194" s="14" t="s">
        <v>30</v>
      </c>
      <c r="AX194" s="14" t="s">
        <v>75</v>
      </c>
      <c r="AY194" s="95" t="s">
        <v>216</v>
      </c>
    </row>
    <row r="195" spans="1:65" s="2" customFormat="1" ht="21.6" customHeight="1">
      <c r="A195" s="269"/>
      <c r="B195" s="270"/>
      <c r="C195" s="308" t="s">
        <v>337</v>
      </c>
      <c r="D195" s="308" t="s">
        <v>218</v>
      </c>
      <c r="E195" s="309" t="s">
        <v>338</v>
      </c>
      <c r="F195" s="310" t="s">
        <v>339</v>
      </c>
      <c r="G195" s="311" t="s">
        <v>286</v>
      </c>
      <c r="H195" s="312">
        <v>7.3339999999999996</v>
      </c>
      <c r="I195" s="82">
        <v>0</v>
      </c>
      <c r="J195" s="82">
        <f>ROUND(I195*H195,2)</f>
        <v>0</v>
      </c>
      <c r="K195" s="310" t="s">
        <v>222</v>
      </c>
      <c r="L195" s="24"/>
      <c r="M195" s="83" t="s">
        <v>3</v>
      </c>
      <c r="N195" s="84" t="s">
        <v>39</v>
      </c>
      <c r="O195" s="85">
        <v>0.60699999999999998</v>
      </c>
      <c r="P195" s="85">
        <f>O195*H195</f>
        <v>4.4517379999999998</v>
      </c>
      <c r="Q195" s="85">
        <v>0.10891000000000001</v>
      </c>
      <c r="R195" s="85">
        <f>Q195*H195</f>
        <v>0.79874593999999999</v>
      </c>
      <c r="S195" s="85">
        <v>0</v>
      </c>
      <c r="T195" s="86">
        <f>S195*H195</f>
        <v>0</v>
      </c>
      <c r="U195" s="23"/>
      <c r="V195" s="23"/>
      <c r="W195" s="23"/>
      <c r="X195" s="23"/>
      <c r="Y195" s="23"/>
      <c r="Z195" s="23"/>
      <c r="AA195" s="23"/>
      <c r="AB195" s="23"/>
      <c r="AC195" s="23"/>
      <c r="AD195" s="23"/>
      <c r="AE195" s="23"/>
      <c r="AR195" s="87" t="s">
        <v>223</v>
      </c>
      <c r="AT195" s="87" t="s">
        <v>218</v>
      </c>
      <c r="AU195" s="87" t="s">
        <v>77</v>
      </c>
      <c r="AY195" s="19" t="s">
        <v>216</v>
      </c>
      <c r="BE195" s="88">
        <f>IF(N195="základní",J195,0)</f>
        <v>0</v>
      </c>
      <c r="BF195" s="88">
        <f>IF(N195="snížená",J195,0)</f>
        <v>0</v>
      </c>
      <c r="BG195" s="88">
        <f>IF(N195="zákl. přenesená",J195,0)</f>
        <v>0</v>
      </c>
      <c r="BH195" s="88">
        <f>IF(N195="sníž. přenesená",J195,0)</f>
        <v>0</v>
      </c>
      <c r="BI195" s="88">
        <f>IF(N195="nulová",J195,0)</f>
        <v>0</v>
      </c>
      <c r="BJ195" s="19" t="s">
        <v>75</v>
      </c>
      <c r="BK195" s="88">
        <f>ROUND(I195*H195,2)</f>
        <v>0</v>
      </c>
      <c r="BL195" s="19" t="s">
        <v>223</v>
      </c>
      <c r="BM195" s="87" t="s">
        <v>340</v>
      </c>
    </row>
    <row r="196" spans="1:65" s="13" customFormat="1">
      <c r="A196" s="313"/>
      <c r="B196" s="314"/>
      <c r="C196" s="313"/>
      <c r="D196" s="315" t="s">
        <v>225</v>
      </c>
      <c r="E196" s="316" t="s">
        <v>3</v>
      </c>
      <c r="F196" s="317" t="s">
        <v>304</v>
      </c>
      <c r="G196" s="313"/>
      <c r="H196" s="316" t="s">
        <v>3</v>
      </c>
      <c r="I196" s="259"/>
      <c r="J196" s="259"/>
      <c r="K196" s="313"/>
      <c r="L196" s="89"/>
      <c r="M196" s="91"/>
      <c r="N196" s="92"/>
      <c r="O196" s="92"/>
      <c r="P196" s="92"/>
      <c r="Q196" s="92"/>
      <c r="R196" s="92"/>
      <c r="S196" s="92"/>
      <c r="T196" s="93"/>
      <c r="AT196" s="90" t="s">
        <v>225</v>
      </c>
      <c r="AU196" s="90" t="s">
        <v>77</v>
      </c>
      <c r="AV196" s="13" t="s">
        <v>75</v>
      </c>
      <c r="AW196" s="13" t="s">
        <v>30</v>
      </c>
      <c r="AX196" s="13" t="s">
        <v>68</v>
      </c>
      <c r="AY196" s="90" t="s">
        <v>216</v>
      </c>
    </row>
    <row r="197" spans="1:65" s="14" customFormat="1">
      <c r="A197" s="318"/>
      <c r="B197" s="319"/>
      <c r="C197" s="318"/>
      <c r="D197" s="315" t="s">
        <v>225</v>
      </c>
      <c r="E197" s="320" t="s">
        <v>3</v>
      </c>
      <c r="F197" s="321" t="s">
        <v>341</v>
      </c>
      <c r="G197" s="318"/>
      <c r="H197" s="322">
        <v>3.8559999999999999</v>
      </c>
      <c r="I197" s="260"/>
      <c r="J197" s="260"/>
      <c r="K197" s="318"/>
      <c r="L197" s="94"/>
      <c r="M197" s="96"/>
      <c r="N197" s="97"/>
      <c r="O197" s="97"/>
      <c r="P197" s="97"/>
      <c r="Q197" s="97"/>
      <c r="R197" s="97"/>
      <c r="S197" s="97"/>
      <c r="T197" s="98"/>
      <c r="AT197" s="95" t="s">
        <v>225</v>
      </c>
      <c r="AU197" s="95" t="s">
        <v>77</v>
      </c>
      <c r="AV197" s="14" t="s">
        <v>77</v>
      </c>
      <c r="AW197" s="14" t="s">
        <v>30</v>
      </c>
      <c r="AX197" s="14" t="s">
        <v>68</v>
      </c>
      <c r="AY197" s="95" t="s">
        <v>216</v>
      </c>
    </row>
    <row r="198" spans="1:65" s="14" customFormat="1">
      <c r="A198" s="318"/>
      <c r="B198" s="319"/>
      <c r="C198" s="318"/>
      <c r="D198" s="315" t="s">
        <v>225</v>
      </c>
      <c r="E198" s="320" t="s">
        <v>3</v>
      </c>
      <c r="F198" s="321" t="s">
        <v>342</v>
      </c>
      <c r="G198" s="318"/>
      <c r="H198" s="322">
        <v>3.4780000000000002</v>
      </c>
      <c r="I198" s="260"/>
      <c r="J198" s="260"/>
      <c r="K198" s="318"/>
      <c r="L198" s="94"/>
      <c r="M198" s="96"/>
      <c r="N198" s="97"/>
      <c r="O198" s="97"/>
      <c r="P198" s="97"/>
      <c r="Q198" s="97"/>
      <c r="R198" s="97"/>
      <c r="S198" s="97"/>
      <c r="T198" s="98"/>
      <c r="AT198" s="95" t="s">
        <v>225</v>
      </c>
      <c r="AU198" s="95" t="s">
        <v>77</v>
      </c>
      <c r="AV198" s="14" t="s">
        <v>77</v>
      </c>
      <c r="AW198" s="14" t="s">
        <v>30</v>
      </c>
      <c r="AX198" s="14" t="s">
        <v>68</v>
      </c>
      <c r="AY198" s="95" t="s">
        <v>216</v>
      </c>
    </row>
    <row r="199" spans="1:65" s="16" customFormat="1">
      <c r="A199" s="329"/>
      <c r="B199" s="330"/>
      <c r="C199" s="329"/>
      <c r="D199" s="315" t="s">
        <v>225</v>
      </c>
      <c r="E199" s="331" t="s">
        <v>3</v>
      </c>
      <c r="F199" s="332" t="s">
        <v>254</v>
      </c>
      <c r="G199" s="329"/>
      <c r="H199" s="333">
        <v>7.3339999999999996</v>
      </c>
      <c r="I199" s="262"/>
      <c r="J199" s="262"/>
      <c r="K199" s="329"/>
      <c r="L199" s="106"/>
      <c r="M199" s="108"/>
      <c r="N199" s="109"/>
      <c r="O199" s="109"/>
      <c r="P199" s="109"/>
      <c r="Q199" s="109"/>
      <c r="R199" s="109"/>
      <c r="S199" s="109"/>
      <c r="T199" s="110"/>
      <c r="AT199" s="107" t="s">
        <v>225</v>
      </c>
      <c r="AU199" s="107" t="s">
        <v>77</v>
      </c>
      <c r="AV199" s="16" t="s">
        <v>223</v>
      </c>
      <c r="AW199" s="16" t="s">
        <v>30</v>
      </c>
      <c r="AX199" s="16" t="s">
        <v>75</v>
      </c>
      <c r="AY199" s="107" t="s">
        <v>216</v>
      </c>
    </row>
    <row r="200" spans="1:65" s="2" customFormat="1" ht="21.6" customHeight="1">
      <c r="A200" s="269"/>
      <c r="B200" s="270"/>
      <c r="C200" s="308" t="s">
        <v>343</v>
      </c>
      <c r="D200" s="308" t="s">
        <v>218</v>
      </c>
      <c r="E200" s="309" t="s">
        <v>344</v>
      </c>
      <c r="F200" s="310" t="s">
        <v>345</v>
      </c>
      <c r="G200" s="311" t="s">
        <v>286</v>
      </c>
      <c r="H200" s="312">
        <v>82.445999999999998</v>
      </c>
      <c r="I200" s="82">
        <v>0</v>
      </c>
      <c r="J200" s="82">
        <f>ROUND(I200*H200,2)</f>
        <v>0</v>
      </c>
      <c r="K200" s="310" t="s">
        <v>222</v>
      </c>
      <c r="L200" s="24"/>
      <c r="M200" s="83" t="s">
        <v>3</v>
      </c>
      <c r="N200" s="84" t="s">
        <v>39</v>
      </c>
      <c r="O200" s="85">
        <v>0.52500000000000002</v>
      </c>
      <c r="P200" s="85">
        <f>O200*H200</f>
        <v>43.284150000000004</v>
      </c>
      <c r="Q200" s="85">
        <v>6.9169999999999995E-2</v>
      </c>
      <c r="R200" s="85">
        <f>Q200*H200</f>
        <v>5.7027898199999996</v>
      </c>
      <c r="S200" s="85">
        <v>0</v>
      </c>
      <c r="T200" s="86">
        <f>S200*H200</f>
        <v>0</v>
      </c>
      <c r="U200" s="23"/>
      <c r="V200" s="23"/>
      <c r="W200" s="23"/>
      <c r="X200" s="23"/>
      <c r="Y200" s="23"/>
      <c r="Z200" s="23"/>
      <c r="AA200" s="23"/>
      <c r="AB200" s="23"/>
      <c r="AC200" s="23"/>
      <c r="AD200" s="23"/>
      <c r="AE200" s="23"/>
      <c r="AR200" s="87" t="s">
        <v>223</v>
      </c>
      <c r="AT200" s="87" t="s">
        <v>218</v>
      </c>
      <c r="AU200" s="87" t="s">
        <v>77</v>
      </c>
      <c r="AY200" s="19" t="s">
        <v>216</v>
      </c>
      <c r="BE200" s="88">
        <f>IF(N200="základní",J200,0)</f>
        <v>0</v>
      </c>
      <c r="BF200" s="88">
        <f>IF(N200="snížená",J200,0)</f>
        <v>0</v>
      </c>
      <c r="BG200" s="88">
        <f>IF(N200="zákl. přenesená",J200,0)</f>
        <v>0</v>
      </c>
      <c r="BH200" s="88">
        <f>IF(N200="sníž. přenesená",J200,0)</f>
        <v>0</v>
      </c>
      <c r="BI200" s="88">
        <f>IF(N200="nulová",J200,0)</f>
        <v>0</v>
      </c>
      <c r="BJ200" s="19" t="s">
        <v>75</v>
      </c>
      <c r="BK200" s="88">
        <f>ROUND(I200*H200,2)</f>
        <v>0</v>
      </c>
      <c r="BL200" s="19" t="s">
        <v>223</v>
      </c>
      <c r="BM200" s="87" t="s">
        <v>346</v>
      </c>
    </row>
    <row r="201" spans="1:65" s="13" customFormat="1">
      <c r="A201" s="313"/>
      <c r="B201" s="314"/>
      <c r="C201" s="313"/>
      <c r="D201" s="315" t="s">
        <v>225</v>
      </c>
      <c r="E201" s="316" t="s">
        <v>3</v>
      </c>
      <c r="F201" s="317" t="s">
        <v>304</v>
      </c>
      <c r="G201" s="313"/>
      <c r="H201" s="316" t="s">
        <v>3</v>
      </c>
      <c r="I201" s="259"/>
      <c r="J201" s="259"/>
      <c r="K201" s="313"/>
      <c r="L201" s="89"/>
      <c r="M201" s="91"/>
      <c r="N201" s="92"/>
      <c r="O201" s="92"/>
      <c r="P201" s="92"/>
      <c r="Q201" s="92"/>
      <c r="R201" s="92"/>
      <c r="S201" s="92"/>
      <c r="T201" s="93"/>
      <c r="AT201" s="90" t="s">
        <v>225</v>
      </c>
      <c r="AU201" s="90" t="s">
        <v>77</v>
      </c>
      <c r="AV201" s="13" t="s">
        <v>75</v>
      </c>
      <c r="AW201" s="13" t="s">
        <v>30</v>
      </c>
      <c r="AX201" s="13" t="s">
        <v>68</v>
      </c>
      <c r="AY201" s="90" t="s">
        <v>216</v>
      </c>
    </row>
    <row r="202" spans="1:65" s="14" customFormat="1">
      <c r="A202" s="318"/>
      <c r="B202" s="319"/>
      <c r="C202" s="318"/>
      <c r="D202" s="315" t="s">
        <v>225</v>
      </c>
      <c r="E202" s="320" t="s">
        <v>3</v>
      </c>
      <c r="F202" s="321" t="s">
        <v>347</v>
      </c>
      <c r="G202" s="318"/>
      <c r="H202" s="322">
        <v>11.414999999999999</v>
      </c>
      <c r="I202" s="260"/>
      <c r="J202" s="260"/>
      <c r="K202" s="318"/>
      <c r="L202" s="94"/>
      <c r="M202" s="96"/>
      <c r="N202" s="97"/>
      <c r="O202" s="97"/>
      <c r="P202" s="97"/>
      <c r="Q202" s="97"/>
      <c r="R202" s="97"/>
      <c r="S202" s="97"/>
      <c r="T202" s="98"/>
      <c r="AT202" s="95" t="s">
        <v>225</v>
      </c>
      <c r="AU202" s="95" t="s">
        <v>77</v>
      </c>
      <c r="AV202" s="14" t="s">
        <v>77</v>
      </c>
      <c r="AW202" s="14" t="s">
        <v>30</v>
      </c>
      <c r="AX202" s="14" t="s">
        <v>68</v>
      </c>
      <c r="AY202" s="95" t="s">
        <v>216</v>
      </c>
    </row>
    <row r="203" spans="1:65" s="14" customFormat="1">
      <c r="A203" s="318"/>
      <c r="B203" s="319"/>
      <c r="C203" s="318"/>
      <c r="D203" s="315" t="s">
        <v>225</v>
      </c>
      <c r="E203" s="320" t="s">
        <v>3</v>
      </c>
      <c r="F203" s="321" t="s">
        <v>348</v>
      </c>
      <c r="G203" s="318"/>
      <c r="H203" s="322">
        <v>-1.5760000000000001</v>
      </c>
      <c r="I203" s="260"/>
      <c r="J203" s="260"/>
      <c r="K203" s="318"/>
      <c r="L203" s="94"/>
      <c r="M203" s="96"/>
      <c r="N203" s="97"/>
      <c r="O203" s="97"/>
      <c r="P203" s="97"/>
      <c r="Q203" s="97"/>
      <c r="R203" s="97"/>
      <c r="S203" s="97"/>
      <c r="T203" s="98"/>
      <c r="AT203" s="95" t="s">
        <v>225</v>
      </c>
      <c r="AU203" s="95" t="s">
        <v>77</v>
      </c>
      <c r="AV203" s="14" t="s">
        <v>77</v>
      </c>
      <c r="AW203" s="14" t="s">
        <v>30</v>
      </c>
      <c r="AX203" s="14" t="s">
        <v>68</v>
      </c>
      <c r="AY203" s="95" t="s">
        <v>216</v>
      </c>
    </row>
    <row r="204" spans="1:65" s="14" customFormat="1">
      <c r="A204" s="318"/>
      <c r="B204" s="319"/>
      <c r="C204" s="318"/>
      <c r="D204" s="315" t="s">
        <v>225</v>
      </c>
      <c r="E204" s="320" t="s">
        <v>3</v>
      </c>
      <c r="F204" s="321" t="s">
        <v>349</v>
      </c>
      <c r="G204" s="318"/>
      <c r="H204" s="322">
        <v>26.053000000000001</v>
      </c>
      <c r="I204" s="260"/>
      <c r="J204" s="260"/>
      <c r="K204" s="318"/>
      <c r="L204" s="94"/>
      <c r="M204" s="96"/>
      <c r="N204" s="97"/>
      <c r="O204" s="97"/>
      <c r="P204" s="97"/>
      <c r="Q204" s="97"/>
      <c r="R204" s="97"/>
      <c r="S204" s="97"/>
      <c r="T204" s="98"/>
      <c r="AT204" s="95" t="s">
        <v>225</v>
      </c>
      <c r="AU204" s="95" t="s">
        <v>77</v>
      </c>
      <c r="AV204" s="14" t="s">
        <v>77</v>
      </c>
      <c r="AW204" s="14" t="s">
        <v>30</v>
      </c>
      <c r="AX204" s="14" t="s">
        <v>68</v>
      </c>
      <c r="AY204" s="95" t="s">
        <v>216</v>
      </c>
    </row>
    <row r="205" spans="1:65" s="14" customFormat="1">
      <c r="A205" s="318"/>
      <c r="B205" s="319"/>
      <c r="C205" s="318"/>
      <c r="D205" s="315" t="s">
        <v>225</v>
      </c>
      <c r="E205" s="320" t="s">
        <v>3</v>
      </c>
      <c r="F205" s="321" t="s">
        <v>350</v>
      </c>
      <c r="G205" s="318"/>
      <c r="H205" s="322">
        <v>-1.7729999999999999</v>
      </c>
      <c r="I205" s="260"/>
      <c r="J205" s="260"/>
      <c r="K205" s="318"/>
      <c r="L205" s="94"/>
      <c r="M205" s="96"/>
      <c r="N205" s="97"/>
      <c r="O205" s="97"/>
      <c r="P205" s="97"/>
      <c r="Q205" s="97"/>
      <c r="R205" s="97"/>
      <c r="S205" s="97"/>
      <c r="T205" s="98"/>
      <c r="AT205" s="95" t="s">
        <v>225</v>
      </c>
      <c r="AU205" s="95" t="s">
        <v>77</v>
      </c>
      <c r="AV205" s="14" t="s">
        <v>77</v>
      </c>
      <c r="AW205" s="14" t="s">
        <v>30</v>
      </c>
      <c r="AX205" s="14" t="s">
        <v>68</v>
      </c>
      <c r="AY205" s="95" t="s">
        <v>216</v>
      </c>
    </row>
    <row r="206" spans="1:65" s="14" customFormat="1">
      <c r="A206" s="318"/>
      <c r="B206" s="319"/>
      <c r="C206" s="318"/>
      <c r="D206" s="315" t="s">
        <v>225</v>
      </c>
      <c r="E206" s="320" t="s">
        <v>3</v>
      </c>
      <c r="F206" s="321" t="s">
        <v>348</v>
      </c>
      <c r="G206" s="318"/>
      <c r="H206" s="322">
        <v>-1.5760000000000001</v>
      </c>
      <c r="I206" s="260"/>
      <c r="J206" s="260"/>
      <c r="K206" s="318"/>
      <c r="L206" s="94"/>
      <c r="M206" s="96"/>
      <c r="N206" s="97"/>
      <c r="O206" s="97"/>
      <c r="P206" s="97"/>
      <c r="Q206" s="97"/>
      <c r="R206" s="97"/>
      <c r="S206" s="97"/>
      <c r="T206" s="98"/>
      <c r="AT206" s="95" t="s">
        <v>225</v>
      </c>
      <c r="AU206" s="95" t="s">
        <v>77</v>
      </c>
      <c r="AV206" s="14" t="s">
        <v>77</v>
      </c>
      <c r="AW206" s="14" t="s">
        <v>30</v>
      </c>
      <c r="AX206" s="14" t="s">
        <v>68</v>
      </c>
      <c r="AY206" s="95" t="s">
        <v>216</v>
      </c>
    </row>
    <row r="207" spans="1:65" s="14" customFormat="1">
      <c r="A207" s="318"/>
      <c r="B207" s="319"/>
      <c r="C207" s="318"/>
      <c r="D207" s="315" t="s">
        <v>225</v>
      </c>
      <c r="E207" s="320" t="s">
        <v>3</v>
      </c>
      <c r="F207" s="321" t="s">
        <v>351</v>
      </c>
      <c r="G207" s="318"/>
      <c r="H207" s="322">
        <v>21.024000000000001</v>
      </c>
      <c r="I207" s="260"/>
      <c r="J207" s="260"/>
      <c r="K207" s="318"/>
      <c r="L207" s="94"/>
      <c r="M207" s="96"/>
      <c r="N207" s="97"/>
      <c r="O207" s="97"/>
      <c r="P207" s="97"/>
      <c r="Q207" s="97"/>
      <c r="R207" s="97"/>
      <c r="S207" s="97"/>
      <c r="T207" s="98"/>
      <c r="AT207" s="95" t="s">
        <v>225</v>
      </c>
      <c r="AU207" s="95" t="s">
        <v>77</v>
      </c>
      <c r="AV207" s="14" t="s">
        <v>77</v>
      </c>
      <c r="AW207" s="14" t="s">
        <v>30</v>
      </c>
      <c r="AX207" s="14" t="s">
        <v>68</v>
      </c>
      <c r="AY207" s="95" t="s">
        <v>216</v>
      </c>
    </row>
    <row r="208" spans="1:65" s="14" customFormat="1">
      <c r="A208" s="318"/>
      <c r="B208" s="319"/>
      <c r="C208" s="318"/>
      <c r="D208" s="315" t="s">
        <v>225</v>
      </c>
      <c r="E208" s="320" t="s">
        <v>3</v>
      </c>
      <c r="F208" s="321" t="s">
        <v>350</v>
      </c>
      <c r="G208" s="318"/>
      <c r="H208" s="322">
        <v>-1.7729999999999999</v>
      </c>
      <c r="I208" s="260"/>
      <c r="J208" s="260"/>
      <c r="K208" s="318"/>
      <c r="L208" s="94"/>
      <c r="M208" s="96"/>
      <c r="N208" s="97"/>
      <c r="O208" s="97"/>
      <c r="P208" s="97"/>
      <c r="Q208" s="97"/>
      <c r="R208" s="97"/>
      <c r="S208" s="97"/>
      <c r="T208" s="98"/>
      <c r="AT208" s="95" t="s">
        <v>225</v>
      </c>
      <c r="AU208" s="95" t="s">
        <v>77</v>
      </c>
      <c r="AV208" s="14" t="s">
        <v>77</v>
      </c>
      <c r="AW208" s="14" t="s">
        <v>30</v>
      </c>
      <c r="AX208" s="14" t="s">
        <v>68</v>
      </c>
      <c r="AY208" s="95" t="s">
        <v>216</v>
      </c>
    </row>
    <row r="209" spans="1:65" s="14" customFormat="1">
      <c r="A209" s="318"/>
      <c r="B209" s="319"/>
      <c r="C209" s="318"/>
      <c r="D209" s="315" t="s">
        <v>225</v>
      </c>
      <c r="E209" s="320" t="s">
        <v>3</v>
      </c>
      <c r="F209" s="321" t="s">
        <v>352</v>
      </c>
      <c r="G209" s="318"/>
      <c r="H209" s="322">
        <v>19.867000000000001</v>
      </c>
      <c r="I209" s="260"/>
      <c r="J209" s="260"/>
      <c r="K209" s="318"/>
      <c r="L209" s="94"/>
      <c r="M209" s="96"/>
      <c r="N209" s="97"/>
      <c r="O209" s="97"/>
      <c r="P209" s="97"/>
      <c r="Q209" s="97"/>
      <c r="R209" s="97"/>
      <c r="S209" s="97"/>
      <c r="T209" s="98"/>
      <c r="AT209" s="95" t="s">
        <v>225</v>
      </c>
      <c r="AU209" s="95" t="s">
        <v>77</v>
      </c>
      <c r="AV209" s="14" t="s">
        <v>77</v>
      </c>
      <c r="AW209" s="14" t="s">
        <v>30</v>
      </c>
      <c r="AX209" s="14" t="s">
        <v>68</v>
      </c>
      <c r="AY209" s="95" t="s">
        <v>216</v>
      </c>
    </row>
    <row r="210" spans="1:65" s="14" customFormat="1">
      <c r="A210" s="318"/>
      <c r="B210" s="319"/>
      <c r="C210" s="318"/>
      <c r="D210" s="315" t="s">
        <v>225</v>
      </c>
      <c r="E210" s="320" t="s">
        <v>3</v>
      </c>
      <c r="F210" s="321" t="s">
        <v>353</v>
      </c>
      <c r="G210" s="318"/>
      <c r="H210" s="322">
        <v>-3.5459999999999998</v>
      </c>
      <c r="I210" s="260"/>
      <c r="J210" s="260"/>
      <c r="K210" s="318"/>
      <c r="L210" s="94"/>
      <c r="M210" s="96"/>
      <c r="N210" s="97"/>
      <c r="O210" s="97"/>
      <c r="P210" s="97"/>
      <c r="Q210" s="97"/>
      <c r="R210" s="97"/>
      <c r="S210" s="97"/>
      <c r="T210" s="98"/>
      <c r="AT210" s="95" t="s">
        <v>225</v>
      </c>
      <c r="AU210" s="95" t="s">
        <v>77</v>
      </c>
      <c r="AV210" s="14" t="s">
        <v>77</v>
      </c>
      <c r="AW210" s="14" t="s">
        <v>30</v>
      </c>
      <c r="AX210" s="14" t="s">
        <v>68</v>
      </c>
      <c r="AY210" s="95" t="s">
        <v>216</v>
      </c>
    </row>
    <row r="211" spans="1:65" s="14" customFormat="1">
      <c r="A211" s="318"/>
      <c r="B211" s="319"/>
      <c r="C211" s="318"/>
      <c r="D211" s="315" t="s">
        <v>225</v>
      </c>
      <c r="E211" s="320" t="s">
        <v>3</v>
      </c>
      <c r="F211" s="321" t="s">
        <v>354</v>
      </c>
      <c r="G211" s="318"/>
      <c r="H211" s="322">
        <v>7.0030000000000001</v>
      </c>
      <c r="I211" s="260"/>
      <c r="J211" s="260"/>
      <c r="K211" s="318"/>
      <c r="L211" s="94"/>
      <c r="M211" s="96"/>
      <c r="N211" s="97"/>
      <c r="O211" s="97"/>
      <c r="P211" s="97"/>
      <c r="Q211" s="97"/>
      <c r="R211" s="97"/>
      <c r="S211" s="97"/>
      <c r="T211" s="98"/>
      <c r="AT211" s="95" t="s">
        <v>225</v>
      </c>
      <c r="AU211" s="95" t="s">
        <v>77</v>
      </c>
      <c r="AV211" s="14" t="s">
        <v>77</v>
      </c>
      <c r="AW211" s="14" t="s">
        <v>30</v>
      </c>
      <c r="AX211" s="14" t="s">
        <v>68</v>
      </c>
      <c r="AY211" s="95" t="s">
        <v>216</v>
      </c>
    </row>
    <row r="212" spans="1:65" s="14" customFormat="1">
      <c r="A212" s="318"/>
      <c r="B212" s="319"/>
      <c r="C212" s="318"/>
      <c r="D212" s="315" t="s">
        <v>225</v>
      </c>
      <c r="E212" s="320" t="s">
        <v>3</v>
      </c>
      <c r="F212" s="321" t="s">
        <v>355</v>
      </c>
      <c r="G212" s="318"/>
      <c r="H212" s="322">
        <v>9.1010000000000009</v>
      </c>
      <c r="I212" s="260"/>
      <c r="J212" s="260"/>
      <c r="K212" s="318"/>
      <c r="L212" s="94"/>
      <c r="M212" s="96"/>
      <c r="N212" s="97"/>
      <c r="O212" s="97"/>
      <c r="P212" s="97"/>
      <c r="Q212" s="97"/>
      <c r="R212" s="97"/>
      <c r="S212" s="97"/>
      <c r="T212" s="98"/>
      <c r="AT212" s="95" t="s">
        <v>225</v>
      </c>
      <c r="AU212" s="95" t="s">
        <v>77</v>
      </c>
      <c r="AV212" s="14" t="s">
        <v>77</v>
      </c>
      <c r="AW212" s="14" t="s">
        <v>30</v>
      </c>
      <c r="AX212" s="14" t="s">
        <v>68</v>
      </c>
      <c r="AY212" s="95" t="s">
        <v>216</v>
      </c>
    </row>
    <row r="213" spans="1:65" s="14" customFormat="1">
      <c r="A213" s="318"/>
      <c r="B213" s="319"/>
      <c r="C213" s="318"/>
      <c r="D213" s="315" t="s">
        <v>225</v>
      </c>
      <c r="E213" s="320" t="s">
        <v>3</v>
      </c>
      <c r="F213" s="321" t="s">
        <v>350</v>
      </c>
      <c r="G213" s="318"/>
      <c r="H213" s="322">
        <v>-1.7729999999999999</v>
      </c>
      <c r="I213" s="260"/>
      <c r="J213" s="260"/>
      <c r="K213" s="318"/>
      <c r="L213" s="94"/>
      <c r="M213" s="96"/>
      <c r="N213" s="97"/>
      <c r="O213" s="97"/>
      <c r="P213" s="97"/>
      <c r="Q213" s="97"/>
      <c r="R213" s="97"/>
      <c r="S213" s="97"/>
      <c r="T213" s="98"/>
      <c r="AT213" s="95" t="s">
        <v>225</v>
      </c>
      <c r="AU213" s="95" t="s">
        <v>77</v>
      </c>
      <c r="AV213" s="14" t="s">
        <v>77</v>
      </c>
      <c r="AW213" s="14" t="s">
        <v>30</v>
      </c>
      <c r="AX213" s="14" t="s">
        <v>68</v>
      </c>
      <c r="AY213" s="95" t="s">
        <v>216</v>
      </c>
    </row>
    <row r="214" spans="1:65" s="16" customFormat="1">
      <c r="A214" s="329"/>
      <c r="B214" s="330"/>
      <c r="C214" s="329"/>
      <c r="D214" s="315" t="s">
        <v>225</v>
      </c>
      <c r="E214" s="331" t="s">
        <v>3</v>
      </c>
      <c r="F214" s="332" t="s">
        <v>254</v>
      </c>
      <c r="G214" s="329"/>
      <c r="H214" s="333">
        <v>82.445999999999998</v>
      </c>
      <c r="I214" s="262"/>
      <c r="J214" s="262"/>
      <c r="K214" s="329"/>
      <c r="L214" s="106"/>
      <c r="M214" s="108"/>
      <c r="N214" s="109"/>
      <c r="O214" s="109"/>
      <c r="P214" s="109"/>
      <c r="Q214" s="109"/>
      <c r="R214" s="109"/>
      <c r="S214" s="109"/>
      <c r="T214" s="110"/>
      <c r="AT214" s="107" t="s">
        <v>225</v>
      </c>
      <c r="AU214" s="107" t="s">
        <v>77</v>
      </c>
      <c r="AV214" s="16" t="s">
        <v>223</v>
      </c>
      <c r="AW214" s="16" t="s">
        <v>30</v>
      </c>
      <c r="AX214" s="16" t="s">
        <v>75</v>
      </c>
      <c r="AY214" s="107" t="s">
        <v>216</v>
      </c>
    </row>
    <row r="215" spans="1:65" s="2" customFormat="1" ht="21.6" customHeight="1">
      <c r="A215" s="269"/>
      <c r="B215" s="270"/>
      <c r="C215" s="308" t="s">
        <v>356</v>
      </c>
      <c r="D215" s="308" t="s">
        <v>218</v>
      </c>
      <c r="E215" s="309" t="s">
        <v>357</v>
      </c>
      <c r="F215" s="310" t="s">
        <v>358</v>
      </c>
      <c r="G215" s="311" t="s">
        <v>286</v>
      </c>
      <c r="H215" s="312">
        <v>15.148999999999999</v>
      </c>
      <c r="I215" s="82">
        <v>0</v>
      </c>
      <c r="J215" s="82">
        <f>ROUND(I215*H215,2)</f>
        <v>0</v>
      </c>
      <c r="K215" s="310" t="s">
        <v>222</v>
      </c>
      <c r="L215" s="24"/>
      <c r="M215" s="83" t="s">
        <v>3</v>
      </c>
      <c r="N215" s="84" t="s">
        <v>39</v>
      </c>
      <c r="O215" s="85">
        <v>0.55600000000000005</v>
      </c>
      <c r="P215" s="85">
        <f>O215*H215</f>
        <v>8.4228439999999996</v>
      </c>
      <c r="Q215" s="85">
        <v>0.10324999999999999</v>
      </c>
      <c r="R215" s="85">
        <f>Q215*H215</f>
        <v>1.5641342499999997</v>
      </c>
      <c r="S215" s="85">
        <v>0</v>
      </c>
      <c r="T215" s="86">
        <f>S215*H215</f>
        <v>0</v>
      </c>
      <c r="U215" s="23"/>
      <c r="V215" s="23"/>
      <c r="W215" s="23"/>
      <c r="X215" s="23"/>
      <c r="Y215" s="23"/>
      <c r="Z215" s="23"/>
      <c r="AA215" s="23"/>
      <c r="AB215" s="23"/>
      <c r="AC215" s="23"/>
      <c r="AD215" s="23"/>
      <c r="AE215" s="23"/>
      <c r="AR215" s="87" t="s">
        <v>223</v>
      </c>
      <c r="AT215" s="87" t="s">
        <v>218</v>
      </c>
      <c r="AU215" s="87" t="s">
        <v>77</v>
      </c>
      <c r="AY215" s="19" t="s">
        <v>216</v>
      </c>
      <c r="BE215" s="88">
        <f>IF(N215="základní",J215,0)</f>
        <v>0</v>
      </c>
      <c r="BF215" s="88">
        <f>IF(N215="snížená",J215,0)</f>
        <v>0</v>
      </c>
      <c r="BG215" s="88">
        <f>IF(N215="zákl. přenesená",J215,0)</f>
        <v>0</v>
      </c>
      <c r="BH215" s="88">
        <f>IF(N215="sníž. přenesená",J215,0)</f>
        <v>0</v>
      </c>
      <c r="BI215" s="88">
        <f>IF(N215="nulová",J215,0)</f>
        <v>0</v>
      </c>
      <c r="BJ215" s="19" t="s">
        <v>75</v>
      </c>
      <c r="BK215" s="88">
        <f>ROUND(I215*H215,2)</f>
        <v>0</v>
      </c>
      <c r="BL215" s="19" t="s">
        <v>223</v>
      </c>
      <c r="BM215" s="87" t="s">
        <v>359</v>
      </c>
    </row>
    <row r="216" spans="1:65" s="13" customFormat="1">
      <c r="A216" s="313"/>
      <c r="B216" s="314"/>
      <c r="C216" s="313"/>
      <c r="D216" s="315" t="s">
        <v>225</v>
      </c>
      <c r="E216" s="316" t="s">
        <v>3</v>
      </c>
      <c r="F216" s="317" t="s">
        <v>304</v>
      </c>
      <c r="G216" s="313"/>
      <c r="H216" s="316" t="s">
        <v>3</v>
      </c>
      <c r="I216" s="259"/>
      <c r="J216" s="259"/>
      <c r="K216" s="313"/>
      <c r="L216" s="89"/>
      <c r="M216" s="91"/>
      <c r="N216" s="92"/>
      <c r="O216" s="92"/>
      <c r="P216" s="92"/>
      <c r="Q216" s="92"/>
      <c r="R216" s="92"/>
      <c r="S216" s="92"/>
      <c r="T216" s="93"/>
      <c r="AT216" s="90" t="s">
        <v>225</v>
      </c>
      <c r="AU216" s="90" t="s">
        <v>77</v>
      </c>
      <c r="AV216" s="13" t="s">
        <v>75</v>
      </c>
      <c r="AW216" s="13" t="s">
        <v>30</v>
      </c>
      <c r="AX216" s="13" t="s">
        <v>68</v>
      </c>
      <c r="AY216" s="90" t="s">
        <v>216</v>
      </c>
    </row>
    <row r="217" spans="1:65" s="14" customFormat="1">
      <c r="A217" s="318"/>
      <c r="B217" s="319"/>
      <c r="C217" s="318"/>
      <c r="D217" s="315" t="s">
        <v>225</v>
      </c>
      <c r="E217" s="320" t="s">
        <v>3</v>
      </c>
      <c r="F217" s="321" t="s">
        <v>360</v>
      </c>
      <c r="G217" s="318"/>
      <c r="H217" s="322">
        <v>18.695</v>
      </c>
      <c r="I217" s="260"/>
      <c r="J217" s="260"/>
      <c r="K217" s="318"/>
      <c r="L217" s="94"/>
      <c r="M217" s="96"/>
      <c r="N217" s="97"/>
      <c r="O217" s="97"/>
      <c r="P217" s="97"/>
      <c r="Q217" s="97"/>
      <c r="R217" s="97"/>
      <c r="S217" s="97"/>
      <c r="T217" s="98"/>
      <c r="AT217" s="95" t="s">
        <v>225</v>
      </c>
      <c r="AU217" s="95" t="s">
        <v>77</v>
      </c>
      <c r="AV217" s="14" t="s">
        <v>77</v>
      </c>
      <c r="AW217" s="14" t="s">
        <v>30</v>
      </c>
      <c r="AX217" s="14" t="s">
        <v>68</v>
      </c>
      <c r="AY217" s="95" t="s">
        <v>216</v>
      </c>
    </row>
    <row r="218" spans="1:65" s="14" customFormat="1">
      <c r="A218" s="318"/>
      <c r="B218" s="319"/>
      <c r="C218" s="318"/>
      <c r="D218" s="315" t="s">
        <v>225</v>
      </c>
      <c r="E218" s="320" t="s">
        <v>3</v>
      </c>
      <c r="F218" s="321" t="s">
        <v>353</v>
      </c>
      <c r="G218" s="318"/>
      <c r="H218" s="322">
        <v>-3.5459999999999998</v>
      </c>
      <c r="I218" s="260"/>
      <c r="J218" s="260"/>
      <c r="K218" s="318"/>
      <c r="L218" s="94"/>
      <c r="M218" s="96"/>
      <c r="N218" s="97"/>
      <c r="O218" s="97"/>
      <c r="P218" s="97"/>
      <c r="Q218" s="97"/>
      <c r="R218" s="97"/>
      <c r="S218" s="97"/>
      <c r="T218" s="98"/>
      <c r="AT218" s="95" t="s">
        <v>225</v>
      </c>
      <c r="AU218" s="95" t="s">
        <v>77</v>
      </c>
      <c r="AV218" s="14" t="s">
        <v>77</v>
      </c>
      <c r="AW218" s="14" t="s">
        <v>30</v>
      </c>
      <c r="AX218" s="14" t="s">
        <v>68</v>
      </c>
      <c r="AY218" s="95" t="s">
        <v>216</v>
      </c>
    </row>
    <row r="219" spans="1:65" s="16" customFormat="1">
      <c r="A219" s="329"/>
      <c r="B219" s="330"/>
      <c r="C219" s="329"/>
      <c r="D219" s="315" t="s">
        <v>225</v>
      </c>
      <c r="E219" s="331" t="s">
        <v>3</v>
      </c>
      <c r="F219" s="332" t="s">
        <v>254</v>
      </c>
      <c r="G219" s="329"/>
      <c r="H219" s="333">
        <v>15.148999999999999</v>
      </c>
      <c r="I219" s="262"/>
      <c r="J219" s="262"/>
      <c r="K219" s="329"/>
      <c r="L219" s="106"/>
      <c r="M219" s="108"/>
      <c r="N219" s="109"/>
      <c r="O219" s="109"/>
      <c r="P219" s="109"/>
      <c r="Q219" s="109"/>
      <c r="R219" s="109"/>
      <c r="S219" s="109"/>
      <c r="T219" s="110"/>
      <c r="AT219" s="107" t="s">
        <v>225</v>
      </c>
      <c r="AU219" s="107" t="s">
        <v>77</v>
      </c>
      <c r="AV219" s="16" t="s">
        <v>223</v>
      </c>
      <c r="AW219" s="16" t="s">
        <v>30</v>
      </c>
      <c r="AX219" s="16" t="s">
        <v>75</v>
      </c>
      <c r="AY219" s="107" t="s">
        <v>216</v>
      </c>
    </row>
    <row r="220" spans="1:65" s="2" customFormat="1" ht="14.45" customHeight="1">
      <c r="A220" s="269"/>
      <c r="B220" s="270"/>
      <c r="C220" s="308" t="s">
        <v>361</v>
      </c>
      <c r="D220" s="308" t="s">
        <v>218</v>
      </c>
      <c r="E220" s="309" t="s">
        <v>362</v>
      </c>
      <c r="F220" s="310" t="s">
        <v>363</v>
      </c>
      <c r="G220" s="311" t="s">
        <v>364</v>
      </c>
      <c r="H220" s="312">
        <v>67.87</v>
      </c>
      <c r="I220" s="82">
        <v>0</v>
      </c>
      <c r="J220" s="82">
        <f>ROUND(I220*H220,2)</f>
        <v>0</v>
      </c>
      <c r="K220" s="310" t="s">
        <v>222</v>
      </c>
      <c r="L220" s="24"/>
      <c r="M220" s="83" t="s">
        <v>3</v>
      </c>
      <c r="N220" s="84" t="s">
        <v>39</v>
      </c>
      <c r="O220" s="85">
        <v>0.2</v>
      </c>
      <c r="P220" s="85">
        <f>O220*H220</f>
        <v>13.574000000000002</v>
      </c>
      <c r="Q220" s="85">
        <v>1.2E-4</v>
      </c>
      <c r="R220" s="85">
        <f>Q220*H220</f>
        <v>8.1444000000000013E-3</v>
      </c>
      <c r="S220" s="85">
        <v>0</v>
      </c>
      <c r="T220" s="86">
        <f>S220*H220</f>
        <v>0</v>
      </c>
      <c r="U220" s="23"/>
      <c r="V220" s="23"/>
      <c r="W220" s="23"/>
      <c r="X220" s="23"/>
      <c r="Y220" s="23"/>
      <c r="Z220" s="23"/>
      <c r="AA220" s="23"/>
      <c r="AB220" s="23"/>
      <c r="AC220" s="23"/>
      <c r="AD220" s="23"/>
      <c r="AE220" s="23"/>
      <c r="AR220" s="87" t="s">
        <v>223</v>
      </c>
      <c r="AT220" s="87" t="s">
        <v>218</v>
      </c>
      <c r="AU220" s="87" t="s">
        <v>77</v>
      </c>
      <c r="AY220" s="19" t="s">
        <v>216</v>
      </c>
      <c r="BE220" s="88">
        <f>IF(N220="základní",J220,0)</f>
        <v>0</v>
      </c>
      <c r="BF220" s="88">
        <f>IF(N220="snížená",J220,0)</f>
        <v>0</v>
      </c>
      <c r="BG220" s="88">
        <f>IF(N220="zákl. přenesená",J220,0)</f>
        <v>0</v>
      </c>
      <c r="BH220" s="88">
        <f>IF(N220="sníž. přenesená",J220,0)</f>
        <v>0</v>
      </c>
      <c r="BI220" s="88">
        <f>IF(N220="nulová",J220,0)</f>
        <v>0</v>
      </c>
      <c r="BJ220" s="19" t="s">
        <v>75</v>
      </c>
      <c r="BK220" s="88">
        <f>ROUND(I220*H220,2)</f>
        <v>0</v>
      </c>
      <c r="BL220" s="19" t="s">
        <v>223</v>
      </c>
      <c r="BM220" s="87" t="s">
        <v>365</v>
      </c>
    </row>
    <row r="221" spans="1:65" s="2" customFormat="1" ht="68.25">
      <c r="A221" s="269"/>
      <c r="B221" s="270"/>
      <c r="C221" s="269"/>
      <c r="D221" s="315" t="s">
        <v>231</v>
      </c>
      <c r="E221" s="269"/>
      <c r="F221" s="323" t="s">
        <v>366</v>
      </c>
      <c r="G221" s="269"/>
      <c r="H221" s="269"/>
      <c r="I221" s="248"/>
      <c r="J221" s="248"/>
      <c r="K221" s="269"/>
      <c r="L221" s="24"/>
      <c r="M221" s="99"/>
      <c r="N221" s="100"/>
      <c r="O221" s="32"/>
      <c r="P221" s="32"/>
      <c r="Q221" s="32"/>
      <c r="R221" s="32"/>
      <c r="S221" s="32"/>
      <c r="T221" s="33"/>
      <c r="U221" s="23"/>
      <c r="V221" s="23"/>
      <c r="W221" s="23"/>
      <c r="X221" s="23"/>
      <c r="Y221" s="23"/>
      <c r="Z221" s="23"/>
      <c r="AA221" s="23"/>
      <c r="AB221" s="23"/>
      <c r="AC221" s="23"/>
      <c r="AD221" s="23"/>
      <c r="AE221" s="23"/>
      <c r="AT221" s="19" t="s">
        <v>231</v>
      </c>
      <c r="AU221" s="19" t="s">
        <v>77</v>
      </c>
    </row>
    <row r="222" spans="1:65" s="13" customFormat="1">
      <c r="A222" s="313"/>
      <c r="B222" s="314"/>
      <c r="C222" s="313"/>
      <c r="D222" s="315" t="s">
        <v>225</v>
      </c>
      <c r="E222" s="316" t="s">
        <v>3</v>
      </c>
      <c r="F222" s="317" t="s">
        <v>304</v>
      </c>
      <c r="G222" s="313"/>
      <c r="H222" s="316" t="s">
        <v>3</v>
      </c>
      <c r="I222" s="259"/>
      <c r="J222" s="259"/>
      <c r="K222" s="313"/>
      <c r="L222" s="89"/>
      <c r="M222" s="91"/>
      <c r="N222" s="92"/>
      <c r="O222" s="92"/>
      <c r="P222" s="92"/>
      <c r="Q222" s="92"/>
      <c r="R222" s="92"/>
      <c r="S222" s="92"/>
      <c r="T222" s="93"/>
      <c r="AT222" s="90" t="s">
        <v>225</v>
      </c>
      <c r="AU222" s="90" t="s">
        <v>77</v>
      </c>
      <c r="AV222" s="13" t="s">
        <v>75</v>
      </c>
      <c r="AW222" s="13" t="s">
        <v>30</v>
      </c>
      <c r="AX222" s="13" t="s">
        <v>68</v>
      </c>
      <c r="AY222" s="90" t="s">
        <v>216</v>
      </c>
    </row>
    <row r="223" spans="1:65" s="14" customFormat="1">
      <c r="A223" s="318"/>
      <c r="B223" s="319"/>
      <c r="C223" s="318"/>
      <c r="D223" s="315" t="s">
        <v>225</v>
      </c>
      <c r="E223" s="320" t="s">
        <v>3</v>
      </c>
      <c r="F223" s="321" t="s">
        <v>367</v>
      </c>
      <c r="G223" s="318"/>
      <c r="H223" s="322">
        <v>67.87</v>
      </c>
      <c r="I223" s="260"/>
      <c r="J223" s="260"/>
      <c r="K223" s="318"/>
      <c r="L223" s="94"/>
      <c r="M223" s="96"/>
      <c r="N223" s="97"/>
      <c r="O223" s="97"/>
      <c r="P223" s="97"/>
      <c r="Q223" s="97"/>
      <c r="R223" s="97"/>
      <c r="S223" s="97"/>
      <c r="T223" s="98"/>
      <c r="AT223" s="95" t="s">
        <v>225</v>
      </c>
      <c r="AU223" s="95" t="s">
        <v>77</v>
      </c>
      <c r="AV223" s="14" t="s">
        <v>77</v>
      </c>
      <c r="AW223" s="14" t="s">
        <v>30</v>
      </c>
      <c r="AX223" s="14" t="s">
        <v>75</v>
      </c>
      <c r="AY223" s="95" t="s">
        <v>216</v>
      </c>
    </row>
    <row r="224" spans="1:65" s="2" customFormat="1" ht="21.6" customHeight="1">
      <c r="A224" s="269"/>
      <c r="B224" s="270"/>
      <c r="C224" s="308" t="s">
        <v>368</v>
      </c>
      <c r="D224" s="308" t="s">
        <v>218</v>
      </c>
      <c r="E224" s="309" t="s">
        <v>369</v>
      </c>
      <c r="F224" s="310" t="s">
        <v>370</v>
      </c>
      <c r="G224" s="311" t="s">
        <v>286</v>
      </c>
      <c r="H224" s="312">
        <v>1.8120000000000001</v>
      </c>
      <c r="I224" s="82">
        <v>0</v>
      </c>
      <c r="J224" s="82">
        <f>ROUND(I224*H224,2)</f>
        <v>0</v>
      </c>
      <c r="K224" s="310" t="s">
        <v>222</v>
      </c>
      <c r="L224" s="24"/>
      <c r="M224" s="83" t="s">
        <v>3</v>
      </c>
      <c r="N224" s="84" t="s">
        <v>39</v>
      </c>
      <c r="O224" s="85">
        <v>1.21</v>
      </c>
      <c r="P224" s="85">
        <f>O224*H224</f>
        <v>2.19252</v>
      </c>
      <c r="Q224" s="85">
        <v>0.17818000000000001</v>
      </c>
      <c r="R224" s="85">
        <f>Q224*H224</f>
        <v>0.32286216000000001</v>
      </c>
      <c r="S224" s="85">
        <v>0</v>
      </c>
      <c r="T224" s="86">
        <f>S224*H224</f>
        <v>0</v>
      </c>
      <c r="U224" s="23"/>
      <c r="V224" s="23"/>
      <c r="W224" s="23"/>
      <c r="X224" s="23"/>
      <c r="Y224" s="23"/>
      <c r="Z224" s="23"/>
      <c r="AA224" s="23"/>
      <c r="AB224" s="23"/>
      <c r="AC224" s="23"/>
      <c r="AD224" s="23"/>
      <c r="AE224" s="23"/>
      <c r="AR224" s="87" t="s">
        <v>223</v>
      </c>
      <c r="AT224" s="87" t="s">
        <v>218</v>
      </c>
      <c r="AU224" s="87" t="s">
        <v>77</v>
      </c>
      <c r="AY224" s="19" t="s">
        <v>216</v>
      </c>
      <c r="BE224" s="88">
        <f>IF(N224="základní",J224,0)</f>
        <v>0</v>
      </c>
      <c r="BF224" s="88">
        <f>IF(N224="snížená",J224,0)</f>
        <v>0</v>
      </c>
      <c r="BG224" s="88">
        <f>IF(N224="zákl. přenesená",J224,0)</f>
        <v>0</v>
      </c>
      <c r="BH224" s="88">
        <f>IF(N224="sníž. přenesená",J224,0)</f>
        <v>0</v>
      </c>
      <c r="BI224" s="88">
        <f>IF(N224="nulová",J224,0)</f>
        <v>0</v>
      </c>
      <c r="BJ224" s="19" t="s">
        <v>75</v>
      </c>
      <c r="BK224" s="88">
        <f>ROUND(I224*H224,2)</f>
        <v>0</v>
      </c>
      <c r="BL224" s="19" t="s">
        <v>223</v>
      </c>
      <c r="BM224" s="87" t="s">
        <v>371</v>
      </c>
    </row>
    <row r="225" spans="1:65" s="13" customFormat="1">
      <c r="A225" s="313"/>
      <c r="B225" s="314"/>
      <c r="C225" s="313"/>
      <c r="D225" s="315" t="s">
        <v>225</v>
      </c>
      <c r="E225" s="316" t="s">
        <v>3</v>
      </c>
      <c r="F225" s="317" t="s">
        <v>372</v>
      </c>
      <c r="G225" s="313"/>
      <c r="H225" s="316" t="s">
        <v>3</v>
      </c>
      <c r="I225" s="259"/>
      <c r="J225" s="259"/>
      <c r="K225" s="313"/>
      <c r="L225" s="89"/>
      <c r="M225" s="91"/>
      <c r="N225" s="92"/>
      <c r="O225" s="92"/>
      <c r="P225" s="92"/>
      <c r="Q225" s="92"/>
      <c r="R225" s="92"/>
      <c r="S225" s="92"/>
      <c r="T225" s="93"/>
      <c r="AT225" s="90" t="s">
        <v>225</v>
      </c>
      <c r="AU225" s="90" t="s">
        <v>77</v>
      </c>
      <c r="AV225" s="13" t="s">
        <v>75</v>
      </c>
      <c r="AW225" s="13" t="s">
        <v>30</v>
      </c>
      <c r="AX225" s="13" t="s">
        <v>68</v>
      </c>
      <c r="AY225" s="90" t="s">
        <v>216</v>
      </c>
    </row>
    <row r="226" spans="1:65" s="14" customFormat="1">
      <c r="A226" s="318"/>
      <c r="B226" s="319"/>
      <c r="C226" s="318"/>
      <c r="D226" s="315" t="s">
        <v>225</v>
      </c>
      <c r="E226" s="320" t="s">
        <v>3</v>
      </c>
      <c r="F226" s="321" t="s">
        <v>373</v>
      </c>
      <c r="G226" s="318"/>
      <c r="H226" s="322">
        <v>0.12</v>
      </c>
      <c r="I226" s="260"/>
      <c r="J226" s="260"/>
      <c r="K226" s="318"/>
      <c r="L226" s="94"/>
      <c r="M226" s="96"/>
      <c r="N226" s="97"/>
      <c r="O226" s="97"/>
      <c r="P226" s="97"/>
      <c r="Q226" s="97"/>
      <c r="R226" s="97"/>
      <c r="S226" s="97"/>
      <c r="T226" s="98"/>
      <c r="AT226" s="95" t="s">
        <v>225</v>
      </c>
      <c r="AU226" s="95" t="s">
        <v>77</v>
      </c>
      <c r="AV226" s="14" t="s">
        <v>77</v>
      </c>
      <c r="AW226" s="14" t="s">
        <v>30</v>
      </c>
      <c r="AX226" s="14" t="s">
        <v>68</v>
      </c>
      <c r="AY226" s="95" t="s">
        <v>216</v>
      </c>
    </row>
    <row r="227" spans="1:65" s="14" customFormat="1">
      <c r="A227" s="318"/>
      <c r="B227" s="319"/>
      <c r="C227" s="318"/>
      <c r="D227" s="315" t="s">
        <v>225</v>
      </c>
      <c r="E227" s="320" t="s">
        <v>3</v>
      </c>
      <c r="F227" s="321" t="s">
        <v>374</v>
      </c>
      <c r="G227" s="318"/>
      <c r="H227" s="322">
        <v>0.22</v>
      </c>
      <c r="I227" s="260"/>
      <c r="J227" s="260"/>
      <c r="K227" s="318"/>
      <c r="L227" s="94"/>
      <c r="M227" s="96"/>
      <c r="N227" s="97"/>
      <c r="O227" s="97"/>
      <c r="P227" s="97"/>
      <c r="Q227" s="97"/>
      <c r="R227" s="97"/>
      <c r="S227" s="97"/>
      <c r="T227" s="98"/>
      <c r="AT227" s="95" t="s">
        <v>225</v>
      </c>
      <c r="AU227" s="95" t="s">
        <v>77</v>
      </c>
      <c r="AV227" s="14" t="s">
        <v>77</v>
      </c>
      <c r="AW227" s="14" t="s">
        <v>30</v>
      </c>
      <c r="AX227" s="14" t="s">
        <v>68</v>
      </c>
      <c r="AY227" s="95" t="s">
        <v>216</v>
      </c>
    </row>
    <row r="228" spans="1:65" s="14" customFormat="1">
      <c r="A228" s="318"/>
      <c r="B228" s="319"/>
      <c r="C228" s="318"/>
      <c r="D228" s="315" t="s">
        <v>225</v>
      </c>
      <c r="E228" s="320" t="s">
        <v>3</v>
      </c>
      <c r="F228" s="321" t="s">
        <v>375</v>
      </c>
      <c r="G228" s="318"/>
      <c r="H228" s="322">
        <v>0.44</v>
      </c>
      <c r="I228" s="260"/>
      <c r="J228" s="260"/>
      <c r="K228" s="318"/>
      <c r="L228" s="94"/>
      <c r="M228" s="96"/>
      <c r="N228" s="97"/>
      <c r="O228" s="97"/>
      <c r="P228" s="97"/>
      <c r="Q228" s="97"/>
      <c r="R228" s="97"/>
      <c r="S228" s="97"/>
      <c r="T228" s="98"/>
      <c r="AT228" s="95" t="s">
        <v>225</v>
      </c>
      <c r="AU228" s="95" t="s">
        <v>77</v>
      </c>
      <c r="AV228" s="14" t="s">
        <v>77</v>
      </c>
      <c r="AW228" s="14" t="s">
        <v>30</v>
      </c>
      <c r="AX228" s="14" t="s">
        <v>68</v>
      </c>
      <c r="AY228" s="95" t="s">
        <v>216</v>
      </c>
    </row>
    <row r="229" spans="1:65" s="14" customFormat="1">
      <c r="A229" s="318"/>
      <c r="B229" s="319"/>
      <c r="C229" s="318"/>
      <c r="D229" s="315" t="s">
        <v>225</v>
      </c>
      <c r="E229" s="320" t="s">
        <v>3</v>
      </c>
      <c r="F229" s="321" t="s">
        <v>376</v>
      </c>
      <c r="G229" s="318"/>
      <c r="H229" s="322">
        <v>0.128</v>
      </c>
      <c r="I229" s="260"/>
      <c r="J229" s="260"/>
      <c r="K229" s="318"/>
      <c r="L229" s="94"/>
      <c r="M229" s="96"/>
      <c r="N229" s="97"/>
      <c r="O229" s="97"/>
      <c r="P229" s="97"/>
      <c r="Q229" s="97"/>
      <c r="R229" s="97"/>
      <c r="S229" s="97"/>
      <c r="T229" s="98"/>
      <c r="AT229" s="95" t="s">
        <v>225</v>
      </c>
      <c r="AU229" s="95" t="s">
        <v>77</v>
      </c>
      <c r="AV229" s="14" t="s">
        <v>77</v>
      </c>
      <c r="AW229" s="14" t="s">
        <v>30</v>
      </c>
      <c r="AX229" s="14" t="s">
        <v>68</v>
      </c>
      <c r="AY229" s="95" t="s">
        <v>216</v>
      </c>
    </row>
    <row r="230" spans="1:65" s="14" customFormat="1">
      <c r="A230" s="318"/>
      <c r="B230" s="319"/>
      <c r="C230" s="318"/>
      <c r="D230" s="315" t="s">
        <v>225</v>
      </c>
      <c r="E230" s="320" t="s">
        <v>3</v>
      </c>
      <c r="F230" s="321" t="s">
        <v>377</v>
      </c>
      <c r="G230" s="318"/>
      <c r="H230" s="322">
        <v>0.13600000000000001</v>
      </c>
      <c r="I230" s="260"/>
      <c r="J230" s="260"/>
      <c r="K230" s="318"/>
      <c r="L230" s="94"/>
      <c r="M230" s="96"/>
      <c r="N230" s="97"/>
      <c r="O230" s="97"/>
      <c r="P230" s="97"/>
      <c r="Q230" s="97"/>
      <c r="R230" s="97"/>
      <c r="S230" s="97"/>
      <c r="T230" s="98"/>
      <c r="AT230" s="95" t="s">
        <v>225</v>
      </c>
      <c r="AU230" s="95" t="s">
        <v>77</v>
      </c>
      <c r="AV230" s="14" t="s">
        <v>77</v>
      </c>
      <c r="AW230" s="14" t="s">
        <v>30</v>
      </c>
      <c r="AX230" s="14" t="s">
        <v>68</v>
      </c>
      <c r="AY230" s="95" t="s">
        <v>216</v>
      </c>
    </row>
    <row r="231" spans="1:65" s="14" customFormat="1">
      <c r="A231" s="318"/>
      <c r="B231" s="319"/>
      <c r="C231" s="318"/>
      <c r="D231" s="315" t="s">
        <v>225</v>
      </c>
      <c r="E231" s="320" t="s">
        <v>3</v>
      </c>
      <c r="F231" s="321" t="s">
        <v>378</v>
      </c>
      <c r="G231" s="318"/>
      <c r="H231" s="322">
        <v>0.33600000000000002</v>
      </c>
      <c r="I231" s="260"/>
      <c r="J231" s="260"/>
      <c r="K231" s="318"/>
      <c r="L231" s="94"/>
      <c r="M231" s="96"/>
      <c r="N231" s="97"/>
      <c r="O231" s="97"/>
      <c r="P231" s="97"/>
      <c r="Q231" s="97"/>
      <c r="R231" s="97"/>
      <c r="S231" s="97"/>
      <c r="T231" s="98"/>
      <c r="AT231" s="95" t="s">
        <v>225</v>
      </c>
      <c r="AU231" s="95" t="s">
        <v>77</v>
      </c>
      <c r="AV231" s="14" t="s">
        <v>77</v>
      </c>
      <c r="AW231" s="14" t="s">
        <v>30</v>
      </c>
      <c r="AX231" s="14" t="s">
        <v>68</v>
      </c>
      <c r="AY231" s="95" t="s">
        <v>216</v>
      </c>
    </row>
    <row r="232" spans="1:65" s="14" customFormat="1">
      <c r="A232" s="318"/>
      <c r="B232" s="319"/>
      <c r="C232" s="318"/>
      <c r="D232" s="315" t="s">
        <v>225</v>
      </c>
      <c r="E232" s="320" t="s">
        <v>3</v>
      </c>
      <c r="F232" s="321" t="s">
        <v>379</v>
      </c>
      <c r="G232" s="318"/>
      <c r="H232" s="322">
        <v>0.432</v>
      </c>
      <c r="I232" s="260"/>
      <c r="J232" s="260"/>
      <c r="K232" s="318"/>
      <c r="L232" s="94"/>
      <c r="M232" s="96"/>
      <c r="N232" s="97"/>
      <c r="O232" s="97"/>
      <c r="P232" s="97"/>
      <c r="Q232" s="97"/>
      <c r="R232" s="97"/>
      <c r="S232" s="97"/>
      <c r="T232" s="98"/>
      <c r="AT232" s="95" t="s">
        <v>225</v>
      </c>
      <c r="AU232" s="95" t="s">
        <v>77</v>
      </c>
      <c r="AV232" s="14" t="s">
        <v>77</v>
      </c>
      <c r="AW232" s="14" t="s">
        <v>30</v>
      </c>
      <c r="AX232" s="14" t="s">
        <v>68</v>
      </c>
      <c r="AY232" s="95" t="s">
        <v>216</v>
      </c>
    </row>
    <row r="233" spans="1:65" s="16" customFormat="1">
      <c r="A233" s="329"/>
      <c r="B233" s="330"/>
      <c r="C233" s="329"/>
      <c r="D233" s="315" t="s">
        <v>225</v>
      </c>
      <c r="E233" s="331" t="s">
        <v>3</v>
      </c>
      <c r="F233" s="332" t="s">
        <v>254</v>
      </c>
      <c r="G233" s="329"/>
      <c r="H233" s="333">
        <v>1.8120000000000001</v>
      </c>
      <c r="I233" s="262"/>
      <c r="J233" s="262"/>
      <c r="K233" s="329"/>
      <c r="L233" s="106"/>
      <c r="M233" s="108"/>
      <c r="N233" s="109"/>
      <c r="O233" s="109"/>
      <c r="P233" s="109"/>
      <c r="Q233" s="109"/>
      <c r="R233" s="109"/>
      <c r="S233" s="109"/>
      <c r="T233" s="110"/>
      <c r="AT233" s="107" t="s">
        <v>225</v>
      </c>
      <c r="AU233" s="107" t="s">
        <v>77</v>
      </c>
      <c r="AV233" s="16" t="s">
        <v>223</v>
      </c>
      <c r="AW233" s="16" t="s">
        <v>30</v>
      </c>
      <c r="AX233" s="16" t="s">
        <v>75</v>
      </c>
      <c r="AY233" s="107" t="s">
        <v>216</v>
      </c>
    </row>
    <row r="234" spans="1:65" s="2" customFormat="1" ht="21.6" customHeight="1">
      <c r="A234" s="269"/>
      <c r="B234" s="270"/>
      <c r="C234" s="308" t="s">
        <v>380</v>
      </c>
      <c r="D234" s="308" t="s">
        <v>218</v>
      </c>
      <c r="E234" s="309" t="s">
        <v>381</v>
      </c>
      <c r="F234" s="310" t="s">
        <v>382</v>
      </c>
      <c r="G234" s="311" t="s">
        <v>286</v>
      </c>
      <c r="H234" s="312">
        <v>2.9</v>
      </c>
      <c r="I234" s="82">
        <v>0</v>
      </c>
      <c r="J234" s="82">
        <f>ROUND(I234*H234,2)</f>
        <v>0</v>
      </c>
      <c r="K234" s="310" t="s">
        <v>222</v>
      </c>
      <c r="L234" s="24"/>
      <c r="M234" s="83" t="s">
        <v>3</v>
      </c>
      <c r="N234" s="84" t="s">
        <v>39</v>
      </c>
      <c r="O234" s="85">
        <v>2.2360000000000002</v>
      </c>
      <c r="P234" s="85">
        <f>O234*H234</f>
        <v>6.4844000000000008</v>
      </c>
      <c r="Q234" s="85">
        <v>0.45432</v>
      </c>
      <c r="R234" s="85">
        <f>Q234*H234</f>
        <v>1.317528</v>
      </c>
      <c r="S234" s="85">
        <v>0</v>
      </c>
      <c r="T234" s="86">
        <f>S234*H234</f>
        <v>0</v>
      </c>
      <c r="U234" s="23"/>
      <c r="V234" s="23"/>
      <c r="W234" s="23"/>
      <c r="X234" s="23"/>
      <c r="Y234" s="23"/>
      <c r="Z234" s="23"/>
      <c r="AA234" s="23"/>
      <c r="AB234" s="23"/>
      <c r="AC234" s="23"/>
      <c r="AD234" s="23"/>
      <c r="AE234" s="23"/>
      <c r="AR234" s="87" t="s">
        <v>223</v>
      </c>
      <c r="AT234" s="87" t="s">
        <v>218</v>
      </c>
      <c r="AU234" s="87" t="s">
        <v>77</v>
      </c>
      <c r="AY234" s="19" t="s">
        <v>216</v>
      </c>
      <c r="BE234" s="88">
        <f>IF(N234="základní",J234,0)</f>
        <v>0</v>
      </c>
      <c r="BF234" s="88">
        <f>IF(N234="snížená",J234,0)</f>
        <v>0</v>
      </c>
      <c r="BG234" s="88">
        <f>IF(N234="zákl. přenesená",J234,0)</f>
        <v>0</v>
      </c>
      <c r="BH234" s="88">
        <f>IF(N234="sníž. přenesená",J234,0)</f>
        <v>0</v>
      </c>
      <c r="BI234" s="88">
        <f>IF(N234="nulová",J234,0)</f>
        <v>0</v>
      </c>
      <c r="BJ234" s="19" t="s">
        <v>75</v>
      </c>
      <c r="BK234" s="88">
        <f>ROUND(I234*H234,2)</f>
        <v>0</v>
      </c>
      <c r="BL234" s="19" t="s">
        <v>223</v>
      </c>
      <c r="BM234" s="87" t="s">
        <v>383</v>
      </c>
    </row>
    <row r="235" spans="1:65" s="2" customFormat="1" ht="58.5">
      <c r="A235" s="269"/>
      <c r="B235" s="270"/>
      <c r="C235" s="269"/>
      <c r="D235" s="315" t="s">
        <v>231</v>
      </c>
      <c r="E235" s="269"/>
      <c r="F235" s="323" t="s">
        <v>384</v>
      </c>
      <c r="G235" s="269"/>
      <c r="H235" s="269"/>
      <c r="I235" s="248"/>
      <c r="J235" s="248"/>
      <c r="K235" s="269"/>
      <c r="L235" s="24"/>
      <c r="M235" s="99"/>
      <c r="N235" s="100"/>
      <c r="O235" s="32"/>
      <c r="P235" s="32"/>
      <c r="Q235" s="32"/>
      <c r="R235" s="32"/>
      <c r="S235" s="32"/>
      <c r="T235" s="33"/>
      <c r="U235" s="23"/>
      <c r="V235" s="23"/>
      <c r="W235" s="23"/>
      <c r="X235" s="23"/>
      <c r="Y235" s="23"/>
      <c r="Z235" s="23"/>
      <c r="AA235" s="23"/>
      <c r="AB235" s="23"/>
      <c r="AC235" s="23"/>
      <c r="AD235" s="23"/>
      <c r="AE235" s="23"/>
      <c r="AT235" s="19" t="s">
        <v>231</v>
      </c>
      <c r="AU235" s="19" t="s">
        <v>77</v>
      </c>
    </row>
    <row r="236" spans="1:65" s="13" customFormat="1">
      <c r="A236" s="313"/>
      <c r="B236" s="314"/>
      <c r="C236" s="313"/>
      <c r="D236" s="315" t="s">
        <v>225</v>
      </c>
      <c r="E236" s="316" t="s">
        <v>3</v>
      </c>
      <c r="F236" s="317" t="s">
        <v>304</v>
      </c>
      <c r="G236" s="313"/>
      <c r="H236" s="316" t="s">
        <v>3</v>
      </c>
      <c r="I236" s="259"/>
      <c r="J236" s="259"/>
      <c r="K236" s="313"/>
      <c r="L236" s="89"/>
      <c r="M236" s="91"/>
      <c r="N236" s="92"/>
      <c r="O236" s="92"/>
      <c r="P236" s="92"/>
      <c r="Q236" s="92"/>
      <c r="R236" s="92"/>
      <c r="S236" s="92"/>
      <c r="T236" s="93"/>
      <c r="AT236" s="90" t="s">
        <v>225</v>
      </c>
      <c r="AU236" s="90" t="s">
        <v>77</v>
      </c>
      <c r="AV236" s="13" t="s">
        <v>75</v>
      </c>
      <c r="AW236" s="13" t="s">
        <v>30</v>
      </c>
      <c r="AX236" s="13" t="s">
        <v>68</v>
      </c>
      <c r="AY236" s="90" t="s">
        <v>216</v>
      </c>
    </row>
    <row r="237" spans="1:65" s="14" customFormat="1">
      <c r="A237" s="318"/>
      <c r="B237" s="319"/>
      <c r="C237" s="318"/>
      <c r="D237" s="315" t="s">
        <v>225</v>
      </c>
      <c r="E237" s="320" t="s">
        <v>3</v>
      </c>
      <c r="F237" s="321" t="s">
        <v>385</v>
      </c>
      <c r="G237" s="318"/>
      <c r="H237" s="322">
        <v>2.9</v>
      </c>
      <c r="I237" s="260"/>
      <c r="J237" s="260"/>
      <c r="K237" s="318"/>
      <c r="L237" s="94"/>
      <c r="M237" s="96"/>
      <c r="N237" s="97"/>
      <c r="O237" s="97"/>
      <c r="P237" s="97"/>
      <c r="Q237" s="97"/>
      <c r="R237" s="97"/>
      <c r="S237" s="97"/>
      <c r="T237" s="98"/>
      <c r="AT237" s="95" t="s">
        <v>225</v>
      </c>
      <c r="AU237" s="95" t="s">
        <v>77</v>
      </c>
      <c r="AV237" s="14" t="s">
        <v>77</v>
      </c>
      <c r="AW237" s="14" t="s">
        <v>30</v>
      </c>
      <c r="AX237" s="14" t="s">
        <v>75</v>
      </c>
      <c r="AY237" s="95" t="s">
        <v>216</v>
      </c>
    </row>
    <row r="238" spans="1:65" s="2" customFormat="1" ht="21.6" customHeight="1">
      <c r="A238" s="269"/>
      <c r="B238" s="270"/>
      <c r="C238" s="308" t="s">
        <v>386</v>
      </c>
      <c r="D238" s="308" t="s">
        <v>218</v>
      </c>
      <c r="E238" s="309" t="s">
        <v>387</v>
      </c>
      <c r="F238" s="310" t="s">
        <v>388</v>
      </c>
      <c r="G238" s="311" t="s">
        <v>364</v>
      </c>
      <c r="H238" s="312">
        <v>26.5</v>
      </c>
      <c r="I238" s="82">
        <v>0</v>
      </c>
      <c r="J238" s="82">
        <f>ROUND(I238*H238,2)</f>
        <v>0</v>
      </c>
      <c r="K238" s="310" t="s">
        <v>3</v>
      </c>
      <c r="L238" s="24"/>
      <c r="M238" s="83" t="s">
        <v>3</v>
      </c>
      <c r="N238" s="84" t="s">
        <v>39</v>
      </c>
      <c r="O238" s="85">
        <v>5.2009999999999996</v>
      </c>
      <c r="P238" s="85">
        <f>O238*H238</f>
        <v>137.82649999999998</v>
      </c>
      <c r="Q238" s="85">
        <v>1.08504</v>
      </c>
      <c r="R238" s="85">
        <f>Q238*H238</f>
        <v>28.75356</v>
      </c>
      <c r="S238" s="85">
        <v>0</v>
      </c>
      <c r="T238" s="86">
        <f>S238*H238</f>
        <v>0</v>
      </c>
      <c r="U238" s="23"/>
      <c r="V238" s="23"/>
      <c r="W238" s="23"/>
      <c r="X238" s="23"/>
      <c r="Y238" s="23"/>
      <c r="Z238" s="23"/>
      <c r="AA238" s="23"/>
      <c r="AB238" s="23"/>
      <c r="AC238" s="23"/>
      <c r="AD238" s="23"/>
      <c r="AE238" s="23"/>
      <c r="AR238" s="87" t="s">
        <v>223</v>
      </c>
      <c r="AT238" s="87" t="s">
        <v>218</v>
      </c>
      <c r="AU238" s="87" t="s">
        <v>77</v>
      </c>
      <c r="AY238" s="19" t="s">
        <v>216</v>
      </c>
      <c r="BE238" s="88">
        <f>IF(N238="základní",J238,0)</f>
        <v>0</v>
      </c>
      <c r="BF238" s="88">
        <f>IF(N238="snížená",J238,0)</f>
        <v>0</v>
      </c>
      <c r="BG238" s="88">
        <f>IF(N238="zákl. přenesená",J238,0)</f>
        <v>0</v>
      </c>
      <c r="BH238" s="88">
        <f>IF(N238="sníž. přenesená",J238,0)</f>
        <v>0</v>
      </c>
      <c r="BI238" s="88">
        <f>IF(N238="nulová",J238,0)</f>
        <v>0</v>
      </c>
      <c r="BJ238" s="19" t="s">
        <v>75</v>
      </c>
      <c r="BK238" s="88">
        <f>ROUND(I238*H238,2)</f>
        <v>0</v>
      </c>
      <c r="BL238" s="19" t="s">
        <v>223</v>
      </c>
      <c r="BM238" s="87" t="s">
        <v>389</v>
      </c>
    </row>
    <row r="239" spans="1:65" s="13" customFormat="1">
      <c r="A239" s="313"/>
      <c r="B239" s="314"/>
      <c r="C239" s="313"/>
      <c r="D239" s="315" t="s">
        <v>225</v>
      </c>
      <c r="E239" s="316" t="s">
        <v>3</v>
      </c>
      <c r="F239" s="317" t="s">
        <v>226</v>
      </c>
      <c r="G239" s="313"/>
      <c r="H239" s="316" t="s">
        <v>3</v>
      </c>
      <c r="I239" s="259"/>
      <c r="J239" s="259"/>
      <c r="K239" s="313"/>
      <c r="L239" s="89"/>
      <c r="M239" s="91"/>
      <c r="N239" s="92"/>
      <c r="O239" s="92"/>
      <c r="P239" s="92"/>
      <c r="Q239" s="92"/>
      <c r="R239" s="92"/>
      <c r="S239" s="92"/>
      <c r="T239" s="93"/>
      <c r="AT239" s="90" t="s">
        <v>225</v>
      </c>
      <c r="AU239" s="90" t="s">
        <v>77</v>
      </c>
      <c r="AV239" s="13" t="s">
        <v>75</v>
      </c>
      <c r="AW239" s="13" t="s">
        <v>30</v>
      </c>
      <c r="AX239" s="13" t="s">
        <v>68</v>
      </c>
      <c r="AY239" s="90" t="s">
        <v>216</v>
      </c>
    </row>
    <row r="240" spans="1:65" s="14" customFormat="1">
      <c r="A240" s="318"/>
      <c r="B240" s="319"/>
      <c r="C240" s="318"/>
      <c r="D240" s="315" t="s">
        <v>225</v>
      </c>
      <c r="E240" s="320" t="s">
        <v>3</v>
      </c>
      <c r="F240" s="321" t="s">
        <v>390</v>
      </c>
      <c r="G240" s="318"/>
      <c r="H240" s="322">
        <v>26.5</v>
      </c>
      <c r="I240" s="260"/>
      <c r="J240" s="260"/>
      <c r="K240" s="318"/>
      <c r="L240" s="94"/>
      <c r="M240" s="96"/>
      <c r="N240" s="97"/>
      <c r="O240" s="97"/>
      <c r="P240" s="97"/>
      <c r="Q240" s="97"/>
      <c r="R240" s="97"/>
      <c r="S240" s="97"/>
      <c r="T240" s="98"/>
      <c r="AT240" s="95" t="s">
        <v>225</v>
      </c>
      <c r="AU240" s="95" t="s">
        <v>77</v>
      </c>
      <c r="AV240" s="14" t="s">
        <v>77</v>
      </c>
      <c r="AW240" s="14" t="s">
        <v>30</v>
      </c>
      <c r="AX240" s="14" t="s">
        <v>75</v>
      </c>
      <c r="AY240" s="95" t="s">
        <v>216</v>
      </c>
    </row>
    <row r="241" spans="1:65" s="12" customFormat="1" ht="22.9" customHeight="1">
      <c r="A241" s="303"/>
      <c r="B241" s="304"/>
      <c r="C241" s="303"/>
      <c r="D241" s="305" t="s">
        <v>67</v>
      </c>
      <c r="E241" s="307" t="s">
        <v>223</v>
      </c>
      <c r="F241" s="307" t="s">
        <v>391</v>
      </c>
      <c r="G241" s="303"/>
      <c r="H241" s="303"/>
      <c r="I241" s="256"/>
      <c r="J241" s="258">
        <f>BK241</f>
        <v>0</v>
      </c>
      <c r="K241" s="303"/>
      <c r="L241" s="74"/>
      <c r="M241" s="76"/>
      <c r="N241" s="77"/>
      <c r="O241" s="77"/>
      <c r="P241" s="78">
        <f>SUM(P242:P254)</f>
        <v>13.780000000000001</v>
      </c>
      <c r="Q241" s="77"/>
      <c r="R241" s="78">
        <f>SUM(R242:R254)</f>
        <v>1.62148</v>
      </c>
      <c r="S241" s="77"/>
      <c r="T241" s="79">
        <f>SUM(T242:T254)</f>
        <v>0</v>
      </c>
      <c r="AR241" s="75" t="s">
        <v>75</v>
      </c>
      <c r="AT241" s="80" t="s">
        <v>67</v>
      </c>
      <c r="AU241" s="80" t="s">
        <v>75</v>
      </c>
      <c r="AY241" s="75" t="s">
        <v>216</v>
      </c>
      <c r="BK241" s="81">
        <f>SUM(BK242:BK254)</f>
        <v>0</v>
      </c>
    </row>
    <row r="242" spans="1:65" s="2" customFormat="1" ht="21.6" customHeight="1">
      <c r="A242" s="269"/>
      <c r="B242" s="270"/>
      <c r="C242" s="308" t="s">
        <v>392</v>
      </c>
      <c r="D242" s="308" t="s">
        <v>218</v>
      </c>
      <c r="E242" s="309" t="s">
        <v>393</v>
      </c>
      <c r="F242" s="310" t="s">
        <v>394</v>
      </c>
      <c r="G242" s="311" t="s">
        <v>291</v>
      </c>
      <c r="H242" s="312">
        <v>66</v>
      </c>
      <c r="I242" s="82">
        <v>0</v>
      </c>
      <c r="J242" s="82">
        <f>ROUND(I242*H242,2)</f>
        <v>0</v>
      </c>
      <c r="K242" s="310" t="s">
        <v>222</v>
      </c>
      <c r="L242" s="24"/>
      <c r="M242" s="83" t="s">
        <v>3</v>
      </c>
      <c r="N242" s="84" t="s">
        <v>39</v>
      </c>
      <c r="O242" s="85">
        <v>0.2</v>
      </c>
      <c r="P242" s="85">
        <f>O242*H242</f>
        <v>13.200000000000001</v>
      </c>
      <c r="Q242" s="85">
        <v>2.2780000000000002E-2</v>
      </c>
      <c r="R242" s="85">
        <f>Q242*H242</f>
        <v>1.5034800000000001</v>
      </c>
      <c r="S242" s="85">
        <v>0</v>
      </c>
      <c r="T242" s="86">
        <f>S242*H242</f>
        <v>0</v>
      </c>
      <c r="U242" s="23"/>
      <c r="V242" s="23"/>
      <c r="W242" s="23"/>
      <c r="X242" s="23"/>
      <c r="Y242" s="23"/>
      <c r="Z242" s="23"/>
      <c r="AA242" s="23"/>
      <c r="AB242" s="23"/>
      <c r="AC242" s="23"/>
      <c r="AD242" s="23"/>
      <c r="AE242" s="23"/>
      <c r="AR242" s="87" t="s">
        <v>223</v>
      </c>
      <c r="AT242" s="87" t="s">
        <v>218</v>
      </c>
      <c r="AU242" s="87" t="s">
        <v>77</v>
      </c>
      <c r="AY242" s="19" t="s">
        <v>216</v>
      </c>
      <c r="BE242" s="88">
        <f>IF(N242="základní",J242,0)</f>
        <v>0</v>
      </c>
      <c r="BF242" s="88">
        <f>IF(N242="snížená",J242,0)</f>
        <v>0</v>
      </c>
      <c r="BG242" s="88">
        <f>IF(N242="zákl. přenesená",J242,0)</f>
        <v>0</v>
      </c>
      <c r="BH242" s="88">
        <f>IF(N242="sníž. přenesená",J242,0)</f>
        <v>0</v>
      </c>
      <c r="BI242" s="88">
        <f>IF(N242="nulová",J242,0)</f>
        <v>0</v>
      </c>
      <c r="BJ242" s="19" t="s">
        <v>75</v>
      </c>
      <c r="BK242" s="88">
        <f>ROUND(I242*H242,2)</f>
        <v>0</v>
      </c>
      <c r="BL242" s="19" t="s">
        <v>223</v>
      </c>
      <c r="BM242" s="87" t="s">
        <v>395</v>
      </c>
    </row>
    <row r="243" spans="1:65" s="13" customFormat="1">
      <c r="A243" s="313"/>
      <c r="B243" s="314"/>
      <c r="C243" s="313"/>
      <c r="D243" s="315" t="s">
        <v>225</v>
      </c>
      <c r="E243" s="316" t="s">
        <v>3</v>
      </c>
      <c r="F243" s="317" t="s">
        <v>372</v>
      </c>
      <c r="G243" s="313"/>
      <c r="H243" s="316" t="s">
        <v>3</v>
      </c>
      <c r="I243" s="259"/>
      <c r="J243" s="259"/>
      <c r="K243" s="313"/>
      <c r="L243" s="89"/>
      <c r="M243" s="91"/>
      <c r="N243" s="92"/>
      <c r="O243" s="92"/>
      <c r="P243" s="92"/>
      <c r="Q243" s="92"/>
      <c r="R243" s="92"/>
      <c r="S243" s="92"/>
      <c r="T243" s="93"/>
      <c r="AT243" s="90" t="s">
        <v>225</v>
      </c>
      <c r="AU243" s="90" t="s">
        <v>77</v>
      </c>
      <c r="AV243" s="13" t="s">
        <v>75</v>
      </c>
      <c r="AW243" s="13" t="s">
        <v>30</v>
      </c>
      <c r="AX243" s="13" t="s">
        <v>68</v>
      </c>
      <c r="AY243" s="90" t="s">
        <v>216</v>
      </c>
    </row>
    <row r="244" spans="1:65" s="14" customFormat="1">
      <c r="A244" s="318"/>
      <c r="B244" s="319"/>
      <c r="C244" s="318"/>
      <c r="D244" s="315" t="s">
        <v>225</v>
      </c>
      <c r="E244" s="320" t="s">
        <v>3</v>
      </c>
      <c r="F244" s="321" t="s">
        <v>396</v>
      </c>
      <c r="G244" s="318"/>
      <c r="H244" s="322">
        <v>8</v>
      </c>
      <c r="I244" s="260"/>
      <c r="J244" s="260"/>
      <c r="K244" s="318"/>
      <c r="L244" s="94"/>
      <c r="M244" s="96"/>
      <c r="N244" s="97"/>
      <c r="O244" s="97"/>
      <c r="P244" s="97"/>
      <c r="Q244" s="97"/>
      <c r="R244" s="97"/>
      <c r="S244" s="97"/>
      <c r="T244" s="98"/>
      <c r="AT244" s="95" t="s">
        <v>225</v>
      </c>
      <c r="AU244" s="95" t="s">
        <v>77</v>
      </c>
      <c r="AV244" s="14" t="s">
        <v>77</v>
      </c>
      <c r="AW244" s="14" t="s">
        <v>30</v>
      </c>
      <c r="AX244" s="14" t="s">
        <v>68</v>
      </c>
      <c r="AY244" s="95" t="s">
        <v>216</v>
      </c>
    </row>
    <row r="245" spans="1:65" s="14" customFormat="1">
      <c r="A245" s="318"/>
      <c r="B245" s="319"/>
      <c r="C245" s="318"/>
      <c r="D245" s="315" t="s">
        <v>225</v>
      </c>
      <c r="E245" s="320" t="s">
        <v>3</v>
      </c>
      <c r="F245" s="321" t="s">
        <v>396</v>
      </c>
      <c r="G245" s="318"/>
      <c r="H245" s="322">
        <v>8</v>
      </c>
      <c r="I245" s="260"/>
      <c r="J245" s="260"/>
      <c r="K245" s="318"/>
      <c r="L245" s="94"/>
      <c r="M245" s="96"/>
      <c r="N245" s="97"/>
      <c r="O245" s="97"/>
      <c r="P245" s="97"/>
      <c r="Q245" s="97"/>
      <c r="R245" s="97"/>
      <c r="S245" s="97"/>
      <c r="T245" s="98"/>
      <c r="AT245" s="95" t="s">
        <v>225</v>
      </c>
      <c r="AU245" s="95" t="s">
        <v>77</v>
      </c>
      <c r="AV245" s="14" t="s">
        <v>77</v>
      </c>
      <c r="AW245" s="14" t="s">
        <v>30</v>
      </c>
      <c r="AX245" s="14" t="s">
        <v>68</v>
      </c>
      <c r="AY245" s="95" t="s">
        <v>216</v>
      </c>
    </row>
    <row r="246" spans="1:65" s="14" customFormat="1">
      <c r="A246" s="318"/>
      <c r="B246" s="319"/>
      <c r="C246" s="318"/>
      <c r="D246" s="315" t="s">
        <v>225</v>
      </c>
      <c r="E246" s="320" t="s">
        <v>3</v>
      </c>
      <c r="F246" s="321" t="s">
        <v>397</v>
      </c>
      <c r="G246" s="318"/>
      <c r="H246" s="322">
        <v>12</v>
      </c>
      <c r="I246" s="260"/>
      <c r="J246" s="260"/>
      <c r="K246" s="318"/>
      <c r="L246" s="94"/>
      <c r="M246" s="96"/>
      <c r="N246" s="97"/>
      <c r="O246" s="97"/>
      <c r="P246" s="97"/>
      <c r="Q246" s="97"/>
      <c r="R246" s="97"/>
      <c r="S246" s="97"/>
      <c r="T246" s="98"/>
      <c r="AT246" s="95" t="s">
        <v>225</v>
      </c>
      <c r="AU246" s="95" t="s">
        <v>77</v>
      </c>
      <c r="AV246" s="14" t="s">
        <v>77</v>
      </c>
      <c r="AW246" s="14" t="s">
        <v>30</v>
      </c>
      <c r="AX246" s="14" t="s">
        <v>68</v>
      </c>
      <c r="AY246" s="95" t="s">
        <v>216</v>
      </c>
    </row>
    <row r="247" spans="1:65" s="14" customFormat="1">
      <c r="A247" s="318"/>
      <c r="B247" s="319"/>
      <c r="C247" s="318"/>
      <c r="D247" s="315" t="s">
        <v>225</v>
      </c>
      <c r="E247" s="320" t="s">
        <v>3</v>
      </c>
      <c r="F247" s="321" t="s">
        <v>396</v>
      </c>
      <c r="G247" s="318"/>
      <c r="H247" s="322">
        <v>8</v>
      </c>
      <c r="I247" s="260"/>
      <c r="J247" s="260"/>
      <c r="K247" s="318"/>
      <c r="L247" s="94"/>
      <c r="M247" s="96"/>
      <c r="N247" s="97"/>
      <c r="O247" s="97"/>
      <c r="P247" s="97"/>
      <c r="Q247" s="97"/>
      <c r="R247" s="97"/>
      <c r="S247" s="97"/>
      <c r="T247" s="98"/>
      <c r="AT247" s="95" t="s">
        <v>225</v>
      </c>
      <c r="AU247" s="95" t="s">
        <v>77</v>
      </c>
      <c r="AV247" s="14" t="s">
        <v>77</v>
      </c>
      <c r="AW247" s="14" t="s">
        <v>30</v>
      </c>
      <c r="AX247" s="14" t="s">
        <v>68</v>
      </c>
      <c r="AY247" s="95" t="s">
        <v>216</v>
      </c>
    </row>
    <row r="248" spans="1:65" s="14" customFormat="1">
      <c r="A248" s="318"/>
      <c r="B248" s="319"/>
      <c r="C248" s="318"/>
      <c r="D248" s="315" t="s">
        <v>225</v>
      </c>
      <c r="E248" s="320" t="s">
        <v>3</v>
      </c>
      <c r="F248" s="321" t="s">
        <v>396</v>
      </c>
      <c r="G248" s="318"/>
      <c r="H248" s="322">
        <v>8</v>
      </c>
      <c r="I248" s="260"/>
      <c r="J248" s="260"/>
      <c r="K248" s="318"/>
      <c r="L248" s="94"/>
      <c r="M248" s="96"/>
      <c r="N248" s="97"/>
      <c r="O248" s="97"/>
      <c r="P248" s="97"/>
      <c r="Q248" s="97"/>
      <c r="R248" s="97"/>
      <c r="S248" s="97"/>
      <c r="T248" s="98"/>
      <c r="AT248" s="95" t="s">
        <v>225</v>
      </c>
      <c r="AU248" s="95" t="s">
        <v>77</v>
      </c>
      <c r="AV248" s="14" t="s">
        <v>77</v>
      </c>
      <c r="AW248" s="14" t="s">
        <v>30</v>
      </c>
      <c r="AX248" s="14" t="s">
        <v>68</v>
      </c>
      <c r="AY248" s="95" t="s">
        <v>216</v>
      </c>
    </row>
    <row r="249" spans="1:65" s="14" customFormat="1">
      <c r="A249" s="318"/>
      <c r="B249" s="319"/>
      <c r="C249" s="318"/>
      <c r="D249" s="315" t="s">
        <v>225</v>
      </c>
      <c r="E249" s="320" t="s">
        <v>3</v>
      </c>
      <c r="F249" s="321" t="s">
        <v>398</v>
      </c>
      <c r="G249" s="318"/>
      <c r="H249" s="322">
        <v>10</v>
      </c>
      <c r="I249" s="260"/>
      <c r="J249" s="260"/>
      <c r="K249" s="318"/>
      <c r="L249" s="94"/>
      <c r="M249" s="96"/>
      <c r="N249" s="97"/>
      <c r="O249" s="97"/>
      <c r="P249" s="97"/>
      <c r="Q249" s="97"/>
      <c r="R249" s="97"/>
      <c r="S249" s="97"/>
      <c r="T249" s="98"/>
      <c r="AT249" s="95" t="s">
        <v>225</v>
      </c>
      <c r="AU249" s="95" t="s">
        <v>77</v>
      </c>
      <c r="AV249" s="14" t="s">
        <v>77</v>
      </c>
      <c r="AW249" s="14" t="s">
        <v>30</v>
      </c>
      <c r="AX249" s="14" t="s">
        <v>68</v>
      </c>
      <c r="AY249" s="95" t="s">
        <v>216</v>
      </c>
    </row>
    <row r="250" spans="1:65" s="14" customFormat="1">
      <c r="A250" s="318"/>
      <c r="B250" s="319"/>
      <c r="C250" s="318"/>
      <c r="D250" s="315" t="s">
        <v>225</v>
      </c>
      <c r="E250" s="320" t="s">
        <v>3</v>
      </c>
      <c r="F250" s="321" t="s">
        <v>397</v>
      </c>
      <c r="G250" s="318"/>
      <c r="H250" s="322">
        <v>12</v>
      </c>
      <c r="I250" s="260"/>
      <c r="J250" s="260"/>
      <c r="K250" s="318"/>
      <c r="L250" s="94"/>
      <c r="M250" s="96"/>
      <c r="N250" s="97"/>
      <c r="O250" s="97"/>
      <c r="P250" s="97"/>
      <c r="Q250" s="97"/>
      <c r="R250" s="97"/>
      <c r="S250" s="97"/>
      <c r="T250" s="98"/>
      <c r="AT250" s="95" t="s">
        <v>225</v>
      </c>
      <c r="AU250" s="95" t="s">
        <v>77</v>
      </c>
      <c r="AV250" s="14" t="s">
        <v>77</v>
      </c>
      <c r="AW250" s="14" t="s">
        <v>30</v>
      </c>
      <c r="AX250" s="14" t="s">
        <v>68</v>
      </c>
      <c r="AY250" s="95" t="s">
        <v>216</v>
      </c>
    </row>
    <row r="251" spans="1:65" s="16" customFormat="1">
      <c r="A251" s="329"/>
      <c r="B251" s="330"/>
      <c r="C251" s="329"/>
      <c r="D251" s="315" t="s">
        <v>225</v>
      </c>
      <c r="E251" s="331" t="s">
        <v>3</v>
      </c>
      <c r="F251" s="332" t="s">
        <v>254</v>
      </c>
      <c r="G251" s="329"/>
      <c r="H251" s="333">
        <v>66</v>
      </c>
      <c r="I251" s="262"/>
      <c r="J251" s="262"/>
      <c r="K251" s="329"/>
      <c r="L251" s="106"/>
      <c r="M251" s="108"/>
      <c r="N251" s="109"/>
      <c r="O251" s="109"/>
      <c r="P251" s="109"/>
      <c r="Q251" s="109"/>
      <c r="R251" s="109"/>
      <c r="S251" s="109"/>
      <c r="T251" s="110"/>
      <c r="AT251" s="107" t="s">
        <v>225</v>
      </c>
      <c r="AU251" s="107" t="s">
        <v>77</v>
      </c>
      <c r="AV251" s="16" t="s">
        <v>223</v>
      </c>
      <c r="AW251" s="16" t="s">
        <v>30</v>
      </c>
      <c r="AX251" s="16" t="s">
        <v>75</v>
      </c>
      <c r="AY251" s="107" t="s">
        <v>216</v>
      </c>
    </row>
    <row r="252" spans="1:65" s="2" customFormat="1" ht="21.6" customHeight="1">
      <c r="A252" s="269"/>
      <c r="B252" s="270"/>
      <c r="C252" s="308" t="s">
        <v>399</v>
      </c>
      <c r="D252" s="308" t="s">
        <v>218</v>
      </c>
      <c r="E252" s="309" t="s">
        <v>400</v>
      </c>
      <c r="F252" s="310" t="s">
        <v>401</v>
      </c>
      <c r="G252" s="311" t="s">
        <v>291</v>
      </c>
      <c r="H252" s="312">
        <v>2</v>
      </c>
      <c r="I252" s="82">
        <v>0</v>
      </c>
      <c r="J252" s="82">
        <f>ROUND(I252*H252,2)</f>
        <v>0</v>
      </c>
      <c r="K252" s="310" t="s">
        <v>222</v>
      </c>
      <c r="L252" s="24"/>
      <c r="M252" s="83" t="s">
        <v>3</v>
      </c>
      <c r="N252" s="84" t="s">
        <v>39</v>
      </c>
      <c r="O252" s="85">
        <v>0.28999999999999998</v>
      </c>
      <c r="P252" s="85">
        <f>O252*H252</f>
        <v>0.57999999999999996</v>
      </c>
      <c r="Q252" s="85">
        <v>5.8999999999999997E-2</v>
      </c>
      <c r="R252" s="85">
        <f>Q252*H252</f>
        <v>0.11799999999999999</v>
      </c>
      <c r="S252" s="85">
        <v>0</v>
      </c>
      <c r="T252" s="86">
        <f>S252*H252</f>
        <v>0</v>
      </c>
      <c r="U252" s="23"/>
      <c r="V252" s="23"/>
      <c r="W252" s="23"/>
      <c r="X252" s="23"/>
      <c r="Y252" s="23"/>
      <c r="Z252" s="23"/>
      <c r="AA252" s="23"/>
      <c r="AB252" s="23"/>
      <c r="AC252" s="23"/>
      <c r="AD252" s="23"/>
      <c r="AE252" s="23"/>
      <c r="AR252" s="87" t="s">
        <v>223</v>
      </c>
      <c r="AT252" s="87" t="s">
        <v>218</v>
      </c>
      <c r="AU252" s="87" t="s">
        <v>77</v>
      </c>
      <c r="AY252" s="19" t="s">
        <v>216</v>
      </c>
      <c r="BE252" s="88">
        <f>IF(N252="základní",J252,0)</f>
        <v>0</v>
      </c>
      <c r="BF252" s="88">
        <f>IF(N252="snížená",J252,0)</f>
        <v>0</v>
      </c>
      <c r="BG252" s="88">
        <f>IF(N252="zákl. přenesená",J252,0)</f>
        <v>0</v>
      </c>
      <c r="BH252" s="88">
        <f>IF(N252="sníž. přenesená",J252,0)</f>
        <v>0</v>
      </c>
      <c r="BI252" s="88">
        <f>IF(N252="nulová",J252,0)</f>
        <v>0</v>
      </c>
      <c r="BJ252" s="19" t="s">
        <v>75</v>
      </c>
      <c r="BK252" s="88">
        <f>ROUND(I252*H252,2)</f>
        <v>0</v>
      </c>
      <c r="BL252" s="19" t="s">
        <v>223</v>
      </c>
      <c r="BM252" s="87" t="s">
        <v>402</v>
      </c>
    </row>
    <row r="253" spans="1:65" s="13" customFormat="1">
      <c r="A253" s="313"/>
      <c r="B253" s="314"/>
      <c r="C253" s="313"/>
      <c r="D253" s="315" t="s">
        <v>225</v>
      </c>
      <c r="E253" s="316" t="s">
        <v>3</v>
      </c>
      <c r="F253" s="317" t="s">
        <v>372</v>
      </c>
      <c r="G253" s="313"/>
      <c r="H253" s="316" t="s">
        <v>3</v>
      </c>
      <c r="I253" s="259"/>
      <c r="J253" s="259"/>
      <c r="K253" s="313"/>
      <c r="L253" s="89"/>
      <c r="M253" s="91"/>
      <c r="N253" s="92"/>
      <c r="O253" s="92"/>
      <c r="P253" s="92"/>
      <c r="Q253" s="92"/>
      <c r="R253" s="92"/>
      <c r="S253" s="92"/>
      <c r="T253" s="93"/>
      <c r="AT253" s="90" t="s">
        <v>225</v>
      </c>
      <c r="AU253" s="90" t="s">
        <v>77</v>
      </c>
      <c r="AV253" s="13" t="s">
        <v>75</v>
      </c>
      <c r="AW253" s="13" t="s">
        <v>30</v>
      </c>
      <c r="AX253" s="13" t="s">
        <v>68</v>
      </c>
      <c r="AY253" s="90" t="s">
        <v>216</v>
      </c>
    </row>
    <row r="254" spans="1:65" s="14" customFormat="1">
      <c r="A254" s="318"/>
      <c r="B254" s="319"/>
      <c r="C254" s="318"/>
      <c r="D254" s="315" t="s">
        <v>225</v>
      </c>
      <c r="E254" s="320" t="s">
        <v>3</v>
      </c>
      <c r="F254" s="321" t="s">
        <v>77</v>
      </c>
      <c r="G254" s="318"/>
      <c r="H254" s="322">
        <v>2</v>
      </c>
      <c r="I254" s="260"/>
      <c r="J254" s="260"/>
      <c r="K254" s="318"/>
      <c r="L254" s="94"/>
      <c r="M254" s="96"/>
      <c r="N254" s="97"/>
      <c r="O254" s="97"/>
      <c r="P254" s="97"/>
      <c r="Q254" s="97"/>
      <c r="R254" s="97"/>
      <c r="S254" s="97"/>
      <c r="T254" s="98"/>
      <c r="AT254" s="95" t="s">
        <v>225</v>
      </c>
      <c r="AU254" s="95" t="s">
        <v>77</v>
      </c>
      <c r="AV254" s="14" t="s">
        <v>77</v>
      </c>
      <c r="AW254" s="14" t="s">
        <v>30</v>
      </c>
      <c r="AX254" s="14" t="s">
        <v>75</v>
      </c>
      <c r="AY254" s="95" t="s">
        <v>216</v>
      </c>
    </row>
    <row r="255" spans="1:65" s="12" customFormat="1" ht="22.9" customHeight="1">
      <c r="A255" s="303"/>
      <c r="B255" s="304"/>
      <c r="C255" s="303"/>
      <c r="D255" s="305" t="s">
        <v>67</v>
      </c>
      <c r="E255" s="307" t="s">
        <v>248</v>
      </c>
      <c r="F255" s="307" t="s">
        <v>403</v>
      </c>
      <c r="G255" s="303"/>
      <c r="H255" s="303"/>
      <c r="I255" s="256"/>
      <c r="J255" s="258">
        <f>BK255</f>
        <v>0</v>
      </c>
      <c r="K255" s="303"/>
      <c r="L255" s="74"/>
      <c r="M255" s="76"/>
      <c r="N255" s="77"/>
      <c r="O255" s="77"/>
      <c r="P255" s="78">
        <f>SUM(P256:P431)</f>
        <v>1297.790182</v>
      </c>
      <c r="Q255" s="77"/>
      <c r="R255" s="78">
        <f>SUM(R256:R431)</f>
        <v>72.841676750000005</v>
      </c>
      <c r="S255" s="77"/>
      <c r="T255" s="79">
        <f>SUM(T256:T431)</f>
        <v>0</v>
      </c>
      <c r="AR255" s="75" t="s">
        <v>75</v>
      </c>
      <c r="AT255" s="80" t="s">
        <v>67</v>
      </c>
      <c r="AU255" s="80" t="s">
        <v>75</v>
      </c>
      <c r="AY255" s="75" t="s">
        <v>216</v>
      </c>
      <c r="BK255" s="81">
        <f>SUM(BK256:BK431)</f>
        <v>0</v>
      </c>
    </row>
    <row r="256" spans="1:65" s="2" customFormat="1" ht="21.6" customHeight="1">
      <c r="A256" s="269"/>
      <c r="B256" s="270"/>
      <c r="C256" s="308" t="s">
        <v>404</v>
      </c>
      <c r="D256" s="308" t="s">
        <v>218</v>
      </c>
      <c r="E256" s="309" t="s">
        <v>405</v>
      </c>
      <c r="F256" s="310" t="s">
        <v>406</v>
      </c>
      <c r="G256" s="311" t="s">
        <v>286</v>
      </c>
      <c r="H256" s="312">
        <v>266.56</v>
      </c>
      <c r="I256" s="82">
        <v>0</v>
      </c>
      <c r="J256" s="82">
        <f>ROUND(I256*H256,2)</f>
        <v>0</v>
      </c>
      <c r="K256" s="310" t="s">
        <v>222</v>
      </c>
      <c r="L256" s="24"/>
      <c r="M256" s="83" t="s">
        <v>3</v>
      </c>
      <c r="N256" s="84" t="s">
        <v>39</v>
      </c>
      <c r="O256" s="85">
        <v>0.154</v>
      </c>
      <c r="P256" s="85">
        <f>O256*H256</f>
        <v>41.050240000000002</v>
      </c>
      <c r="Q256" s="85">
        <v>7.3499999999999998E-3</v>
      </c>
      <c r="R256" s="85">
        <f>Q256*H256</f>
        <v>1.9592159999999998</v>
      </c>
      <c r="S256" s="85">
        <v>0</v>
      </c>
      <c r="T256" s="86">
        <f>S256*H256</f>
        <v>0</v>
      </c>
      <c r="U256" s="23"/>
      <c r="V256" s="23"/>
      <c r="W256" s="23"/>
      <c r="X256" s="23"/>
      <c r="Y256" s="23"/>
      <c r="Z256" s="23"/>
      <c r="AA256" s="23"/>
      <c r="AB256" s="23"/>
      <c r="AC256" s="23"/>
      <c r="AD256" s="23"/>
      <c r="AE256" s="23"/>
      <c r="AR256" s="87" t="s">
        <v>223</v>
      </c>
      <c r="AT256" s="87" t="s">
        <v>218</v>
      </c>
      <c r="AU256" s="87" t="s">
        <v>77</v>
      </c>
      <c r="AY256" s="19" t="s">
        <v>216</v>
      </c>
      <c r="BE256" s="88">
        <f>IF(N256="základní",J256,0)</f>
        <v>0</v>
      </c>
      <c r="BF256" s="88">
        <f>IF(N256="snížená",J256,0)</f>
        <v>0</v>
      </c>
      <c r="BG256" s="88">
        <f>IF(N256="zákl. přenesená",J256,0)</f>
        <v>0</v>
      </c>
      <c r="BH256" s="88">
        <f>IF(N256="sníž. přenesená",J256,0)</f>
        <v>0</v>
      </c>
      <c r="BI256" s="88">
        <f>IF(N256="nulová",J256,0)</f>
        <v>0</v>
      </c>
      <c r="BJ256" s="19" t="s">
        <v>75</v>
      </c>
      <c r="BK256" s="88">
        <f>ROUND(I256*H256,2)</f>
        <v>0</v>
      </c>
      <c r="BL256" s="19" t="s">
        <v>223</v>
      </c>
      <c r="BM256" s="87" t="s">
        <v>407</v>
      </c>
    </row>
    <row r="257" spans="1:65" s="13" customFormat="1">
      <c r="A257" s="313"/>
      <c r="B257" s="314"/>
      <c r="C257" s="313"/>
      <c r="D257" s="315" t="s">
        <v>225</v>
      </c>
      <c r="E257" s="316" t="s">
        <v>3</v>
      </c>
      <c r="F257" s="317" t="s">
        <v>304</v>
      </c>
      <c r="G257" s="313"/>
      <c r="H257" s="316" t="s">
        <v>3</v>
      </c>
      <c r="I257" s="259"/>
      <c r="J257" s="259"/>
      <c r="K257" s="313"/>
      <c r="L257" s="89"/>
      <c r="M257" s="91"/>
      <c r="N257" s="92"/>
      <c r="O257" s="92"/>
      <c r="P257" s="92"/>
      <c r="Q257" s="92"/>
      <c r="R257" s="92"/>
      <c r="S257" s="92"/>
      <c r="T257" s="93"/>
      <c r="AT257" s="90" t="s">
        <v>225</v>
      </c>
      <c r="AU257" s="90" t="s">
        <v>77</v>
      </c>
      <c r="AV257" s="13" t="s">
        <v>75</v>
      </c>
      <c r="AW257" s="13" t="s">
        <v>30</v>
      </c>
      <c r="AX257" s="13" t="s">
        <v>68</v>
      </c>
      <c r="AY257" s="90" t="s">
        <v>216</v>
      </c>
    </row>
    <row r="258" spans="1:65" s="13" customFormat="1">
      <c r="A258" s="313"/>
      <c r="B258" s="314"/>
      <c r="C258" s="313"/>
      <c r="D258" s="315" t="s">
        <v>225</v>
      </c>
      <c r="E258" s="316" t="s">
        <v>3</v>
      </c>
      <c r="F258" s="317" t="s">
        <v>408</v>
      </c>
      <c r="G258" s="313"/>
      <c r="H258" s="316" t="s">
        <v>3</v>
      </c>
      <c r="I258" s="259"/>
      <c r="J258" s="259"/>
      <c r="K258" s="313"/>
      <c r="L258" s="89"/>
      <c r="M258" s="91"/>
      <c r="N258" s="92"/>
      <c r="O258" s="92"/>
      <c r="P258" s="92"/>
      <c r="Q258" s="92"/>
      <c r="R258" s="92"/>
      <c r="S258" s="92"/>
      <c r="T258" s="93"/>
      <c r="AT258" s="90" t="s">
        <v>225</v>
      </c>
      <c r="AU258" s="90" t="s">
        <v>77</v>
      </c>
      <c r="AV258" s="13" t="s">
        <v>75</v>
      </c>
      <c r="AW258" s="13" t="s">
        <v>30</v>
      </c>
      <c r="AX258" s="13" t="s">
        <v>68</v>
      </c>
      <c r="AY258" s="90" t="s">
        <v>216</v>
      </c>
    </row>
    <row r="259" spans="1:65" s="14" customFormat="1">
      <c r="A259" s="318"/>
      <c r="B259" s="319"/>
      <c r="C259" s="318"/>
      <c r="D259" s="315" t="s">
        <v>225</v>
      </c>
      <c r="E259" s="320" t="s">
        <v>3</v>
      </c>
      <c r="F259" s="321" t="s">
        <v>409</v>
      </c>
      <c r="G259" s="318"/>
      <c r="H259" s="322">
        <v>266.56</v>
      </c>
      <c r="I259" s="260"/>
      <c r="J259" s="260"/>
      <c r="K259" s="318"/>
      <c r="L259" s="94"/>
      <c r="M259" s="96"/>
      <c r="N259" s="97"/>
      <c r="O259" s="97"/>
      <c r="P259" s="97"/>
      <c r="Q259" s="97"/>
      <c r="R259" s="97"/>
      <c r="S259" s="97"/>
      <c r="T259" s="98"/>
      <c r="AT259" s="95" t="s">
        <v>225</v>
      </c>
      <c r="AU259" s="95" t="s">
        <v>77</v>
      </c>
      <c r="AV259" s="14" t="s">
        <v>77</v>
      </c>
      <c r="AW259" s="14" t="s">
        <v>30</v>
      </c>
      <c r="AX259" s="14" t="s">
        <v>75</v>
      </c>
      <c r="AY259" s="95" t="s">
        <v>216</v>
      </c>
    </row>
    <row r="260" spans="1:65" s="2" customFormat="1" ht="21.6" customHeight="1">
      <c r="A260" s="269"/>
      <c r="B260" s="270"/>
      <c r="C260" s="308" t="s">
        <v>410</v>
      </c>
      <c r="D260" s="308" t="s">
        <v>218</v>
      </c>
      <c r="E260" s="309" t="s">
        <v>411</v>
      </c>
      <c r="F260" s="310" t="s">
        <v>412</v>
      </c>
      <c r="G260" s="311" t="s">
        <v>286</v>
      </c>
      <c r="H260" s="312">
        <v>53.75</v>
      </c>
      <c r="I260" s="82">
        <v>0</v>
      </c>
      <c r="J260" s="82">
        <f>ROUND(I260*H260,2)</f>
        <v>0</v>
      </c>
      <c r="K260" s="310" t="s">
        <v>222</v>
      </c>
      <c r="L260" s="24"/>
      <c r="M260" s="83" t="s">
        <v>3</v>
      </c>
      <c r="N260" s="84" t="s">
        <v>39</v>
      </c>
      <c r="O260" s="85">
        <v>0.155</v>
      </c>
      <c r="P260" s="85">
        <f>O260*H260</f>
        <v>8.3312500000000007</v>
      </c>
      <c r="Q260" s="85">
        <v>1.4E-3</v>
      </c>
      <c r="R260" s="85">
        <f>Q260*H260</f>
        <v>7.5249999999999997E-2</v>
      </c>
      <c r="S260" s="85">
        <v>0</v>
      </c>
      <c r="T260" s="86">
        <f>S260*H260</f>
        <v>0</v>
      </c>
      <c r="U260" s="23"/>
      <c r="V260" s="23"/>
      <c r="W260" s="23"/>
      <c r="X260" s="23"/>
      <c r="Y260" s="23"/>
      <c r="Z260" s="23"/>
      <c r="AA260" s="23"/>
      <c r="AB260" s="23"/>
      <c r="AC260" s="23"/>
      <c r="AD260" s="23"/>
      <c r="AE260" s="23"/>
      <c r="AR260" s="87" t="s">
        <v>223</v>
      </c>
      <c r="AT260" s="87" t="s">
        <v>218</v>
      </c>
      <c r="AU260" s="87" t="s">
        <v>77</v>
      </c>
      <c r="AY260" s="19" t="s">
        <v>216</v>
      </c>
      <c r="BE260" s="88">
        <f>IF(N260="základní",J260,0)</f>
        <v>0</v>
      </c>
      <c r="BF260" s="88">
        <f>IF(N260="snížená",J260,0)</f>
        <v>0</v>
      </c>
      <c r="BG260" s="88">
        <f>IF(N260="zákl. přenesená",J260,0)</f>
        <v>0</v>
      </c>
      <c r="BH260" s="88">
        <f>IF(N260="sníž. přenesená",J260,0)</f>
        <v>0</v>
      </c>
      <c r="BI260" s="88">
        <f>IF(N260="nulová",J260,0)</f>
        <v>0</v>
      </c>
      <c r="BJ260" s="19" t="s">
        <v>75</v>
      </c>
      <c r="BK260" s="88">
        <f>ROUND(I260*H260,2)</f>
        <v>0</v>
      </c>
      <c r="BL260" s="19" t="s">
        <v>223</v>
      </c>
      <c r="BM260" s="87" t="s">
        <v>413</v>
      </c>
    </row>
    <row r="261" spans="1:65" s="13" customFormat="1">
      <c r="A261" s="313"/>
      <c r="B261" s="314"/>
      <c r="C261" s="313"/>
      <c r="D261" s="315" t="s">
        <v>225</v>
      </c>
      <c r="E261" s="316" t="s">
        <v>3</v>
      </c>
      <c r="F261" s="317" t="s">
        <v>304</v>
      </c>
      <c r="G261" s="313"/>
      <c r="H261" s="316" t="s">
        <v>3</v>
      </c>
      <c r="I261" s="259"/>
      <c r="J261" s="259"/>
      <c r="K261" s="313"/>
      <c r="L261" s="89"/>
      <c r="M261" s="91"/>
      <c r="N261" s="92"/>
      <c r="O261" s="92"/>
      <c r="P261" s="92"/>
      <c r="Q261" s="92"/>
      <c r="R261" s="92"/>
      <c r="S261" s="92"/>
      <c r="T261" s="93"/>
      <c r="AT261" s="90" t="s">
        <v>225</v>
      </c>
      <c r="AU261" s="90" t="s">
        <v>77</v>
      </c>
      <c r="AV261" s="13" t="s">
        <v>75</v>
      </c>
      <c r="AW261" s="13" t="s">
        <v>30</v>
      </c>
      <c r="AX261" s="13" t="s">
        <v>68</v>
      </c>
      <c r="AY261" s="90" t="s">
        <v>216</v>
      </c>
    </row>
    <row r="262" spans="1:65" s="13" customFormat="1">
      <c r="A262" s="313"/>
      <c r="B262" s="314"/>
      <c r="C262" s="313"/>
      <c r="D262" s="315" t="s">
        <v>225</v>
      </c>
      <c r="E262" s="316" t="s">
        <v>3</v>
      </c>
      <c r="F262" s="317" t="s">
        <v>414</v>
      </c>
      <c r="G262" s="313"/>
      <c r="H262" s="316" t="s">
        <v>3</v>
      </c>
      <c r="I262" s="259"/>
      <c r="J262" s="259"/>
      <c r="K262" s="313"/>
      <c r="L262" s="89"/>
      <c r="M262" s="91"/>
      <c r="N262" s="92"/>
      <c r="O262" s="92"/>
      <c r="P262" s="92"/>
      <c r="Q262" s="92"/>
      <c r="R262" s="92"/>
      <c r="S262" s="92"/>
      <c r="T262" s="93"/>
      <c r="AT262" s="90" t="s">
        <v>225</v>
      </c>
      <c r="AU262" s="90" t="s">
        <v>77</v>
      </c>
      <c r="AV262" s="13" t="s">
        <v>75</v>
      </c>
      <c r="AW262" s="13" t="s">
        <v>30</v>
      </c>
      <c r="AX262" s="13" t="s">
        <v>68</v>
      </c>
      <c r="AY262" s="90" t="s">
        <v>216</v>
      </c>
    </row>
    <row r="263" spans="1:65" s="14" customFormat="1">
      <c r="A263" s="318"/>
      <c r="B263" s="319"/>
      <c r="C263" s="318"/>
      <c r="D263" s="315" t="s">
        <v>225</v>
      </c>
      <c r="E263" s="320" t="s">
        <v>3</v>
      </c>
      <c r="F263" s="321" t="s">
        <v>415</v>
      </c>
      <c r="G263" s="318"/>
      <c r="H263" s="322">
        <v>53.75</v>
      </c>
      <c r="I263" s="260"/>
      <c r="J263" s="260"/>
      <c r="K263" s="318"/>
      <c r="L263" s="94"/>
      <c r="M263" s="96"/>
      <c r="N263" s="97"/>
      <c r="O263" s="97"/>
      <c r="P263" s="97"/>
      <c r="Q263" s="97"/>
      <c r="R263" s="97"/>
      <c r="S263" s="97"/>
      <c r="T263" s="98"/>
      <c r="AT263" s="95" t="s">
        <v>225</v>
      </c>
      <c r="AU263" s="95" t="s">
        <v>77</v>
      </c>
      <c r="AV263" s="14" t="s">
        <v>77</v>
      </c>
      <c r="AW263" s="14" t="s">
        <v>30</v>
      </c>
      <c r="AX263" s="14" t="s">
        <v>75</v>
      </c>
      <c r="AY263" s="95" t="s">
        <v>216</v>
      </c>
    </row>
    <row r="264" spans="1:65" s="2" customFormat="1" ht="14.45" customHeight="1">
      <c r="A264" s="269"/>
      <c r="B264" s="270"/>
      <c r="C264" s="308" t="s">
        <v>416</v>
      </c>
      <c r="D264" s="308" t="s">
        <v>218</v>
      </c>
      <c r="E264" s="309" t="s">
        <v>417</v>
      </c>
      <c r="F264" s="310" t="s">
        <v>418</v>
      </c>
      <c r="G264" s="311" t="s">
        <v>286</v>
      </c>
      <c r="H264" s="312">
        <v>53.75</v>
      </c>
      <c r="I264" s="82">
        <v>0</v>
      </c>
      <c r="J264" s="82">
        <f>ROUND(I264*H264,2)</f>
        <v>0</v>
      </c>
      <c r="K264" s="310" t="s">
        <v>222</v>
      </c>
      <c r="L264" s="24"/>
      <c r="M264" s="83" t="s">
        <v>3</v>
      </c>
      <c r="N264" s="84" t="s">
        <v>39</v>
      </c>
      <c r="O264" s="85">
        <v>0.35799999999999998</v>
      </c>
      <c r="P264" s="85">
        <f>O264*H264</f>
        <v>19.2425</v>
      </c>
      <c r="Q264" s="85">
        <v>3.0000000000000001E-3</v>
      </c>
      <c r="R264" s="85">
        <f>Q264*H264</f>
        <v>0.16125</v>
      </c>
      <c r="S264" s="85">
        <v>0</v>
      </c>
      <c r="T264" s="86">
        <f>S264*H264</f>
        <v>0</v>
      </c>
      <c r="U264" s="23"/>
      <c r="V264" s="23"/>
      <c r="W264" s="23"/>
      <c r="X264" s="23"/>
      <c r="Y264" s="23"/>
      <c r="Z264" s="23"/>
      <c r="AA264" s="23"/>
      <c r="AB264" s="23"/>
      <c r="AC264" s="23"/>
      <c r="AD264" s="23"/>
      <c r="AE264" s="23"/>
      <c r="AR264" s="87" t="s">
        <v>223</v>
      </c>
      <c r="AT264" s="87" t="s">
        <v>218</v>
      </c>
      <c r="AU264" s="87" t="s">
        <v>77</v>
      </c>
      <c r="AY264" s="19" t="s">
        <v>216</v>
      </c>
      <c r="BE264" s="88">
        <f>IF(N264="základní",J264,0)</f>
        <v>0</v>
      </c>
      <c r="BF264" s="88">
        <f>IF(N264="snížená",J264,0)</f>
        <v>0</v>
      </c>
      <c r="BG264" s="88">
        <f>IF(N264="zákl. přenesená",J264,0)</f>
        <v>0</v>
      </c>
      <c r="BH264" s="88">
        <f>IF(N264="sníž. přenesená",J264,0)</f>
        <v>0</v>
      </c>
      <c r="BI264" s="88">
        <f>IF(N264="nulová",J264,0)</f>
        <v>0</v>
      </c>
      <c r="BJ264" s="19" t="s">
        <v>75</v>
      </c>
      <c r="BK264" s="88">
        <f>ROUND(I264*H264,2)</f>
        <v>0</v>
      </c>
      <c r="BL264" s="19" t="s">
        <v>223</v>
      </c>
      <c r="BM264" s="87" t="s">
        <v>419</v>
      </c>
    </row>
    <row r="265" spans="1:65" s="13" customFormat="1">
      <c r="A265" s="313"/>
      <c r="B265" s="314"/>
      <c r="C265" s="313"/>
      <c r="D265" s="315" t="s">
        <v>225</v>
      </c>
      <c r="E265" s="316" t="s">
        <v>3</v>
      </c>
      <c r="F265" s="317" t="s">
        <v>304</v>
      </c>
      <c r="G265" s="313"/>
      <c r="H265" s="316" t="s">
        <v>3</v>
      </c>
      <c r="I265" s="259"/>
      <c r="J265" s="259"/>
      <c r="K265" s="313"/>
      <c r="L265" s="89"/>
      <c r="M265" s="91"/>
      <c r="N265" s="92"/>
      <c r="O265" s="92"/>
      <c r="P265" s="92"/>
      <c r="Q265" s="92"/>
      <c r="R265" s="92"/>
      <c r="S265" s="92"/>
      <c r="T265" s="93"/>
      <c r="AT265" s="90" t="s">
        <v>225</v>
      </c>
      <c r="AU265" s="90" t="s">
        <v>77</v>
      </c>
      <c r="AV265" s="13" t="s">
        <v>75</v>
      </c>
      <c r="AW265" s="13" t="s">
        <v>30</v>
      </c>
      <c r="AX265" s="13" t="s">
        <v>68</v>
      </c>
      <c r="AY265" s="90" t="s">
        <v>216</v>
      </c>
    </row>
    <row r="266" spans="1:65" s="13" customFormat="1">
      <c r="A266" s="313"/>
      <c r="B266" s="314"/>
      <c r="C266" s="313"/>
      <c r="D266" s="315" t="s">
        <v>225</v>
      </c>
      <c r="E266" s="316" t="s">
        <v>3</v>
      </c>
      <c r="F266" s="317" t="s">
        <v>420</v>
      </c>
      <c r="G266" s="313"/>
      <c r="H266" s="316" t="s">
        <v>3</v>
      </c>
      <c r="I266" s="259"/>
      <c r="J266" s="259"/>
      <c r="K266" s="313"/>
      <c r="L266" s="89"/>
      <c r="M266" s="91"/>
      <c r="N266" s="92"/>
      <c r="O266" s="92"/>
      <c r="P266" s="92"/>
      <c r="Q266" s="92"/>
      <c r="R266" s="92"/>
      <c r="S266" s="92"/>
      <c r="T266" s="93"/>
      <c r="AT266" s="90" t="s">
        <v>225</v>
      </c>
      <c r="AU266" s="90" t="s">
        <v>77</v>
      </c>
      <c r="AV266" s="13" t="s">
        <v>75</v>
      </c>
      <c r="AW266" s="13" t="s">
        <v>30</v>
      </c>
      <c r="AX266" s="13" t="s">
        <v>68</v>
      </c>
      <c r="AY266" s="90" t="s">
        <v>216</v>
      </c>
    </row>
    <row r="267" spans="1:65" s="14" customFormat="1">
      <c r="A267" s="318"/>
      <c r="B267" s="319"/>
      <c r="C267" s="318"/>
      <c r="D267" s="315" t="s">
        <v>225</v>
      </c>
      <c r="E267" s="320" t="s">
        <v>3</v>
      </c>
      <c r="F267" s="321" t="s">
        <v>415</v>
      </c>
      <c r="G267" s="318"/>
      <c r="H267" s="322">
        <v>53.75</v>
      </c>
      <c r="I267" s="260"/>
      <c r="J267" s="260"/>
      <c r="K267" s="318"/>
      <c r="L267" s="94"/>
      <c r="M267" s="96"/>
      <c r="N267" s="97"/>
      <c r="O267" s="97"/>
      <c r="P267" s="97"/>
      <c r="Q267" s="97"/>
      <c r="R267" s="97"/>
      <c r="S267" s="97"/>
      <c r="T267" s="98"/>
      <c r="AT267" s="95" t="s">
        <v>225</v>
      </c>
      <c r="AU267" s="95" t="s">
        <v>77</v>
      </c>
      <c r="AV267" s="14" t="s">
        <v>77</v>
      </c>
      <c r="AW267" s="14" t="s">
        <v>30</v>
      </c>
      <c r="AX267" s="14" t="s">
        <v>75</v>
      </c>
      <c r="AY267" s="95" t="s">
        <v>216</v>
      </c>
    </row>
    <row r="268" spans="1:65" s="2" customFormat="1" ht="21.6" customHeight="1">
      <c r="A268" s="269"/>
      <c r="B268" s="270"/>
      <c r="C268" s="308" t="s">
        <v>148</v>
      </c>
      <c r="D268" s="308" t="s">
        <v>218</v>
      </c>
      <c r="E268" s="309" t="s">
        <v>421</v>
      </c>
      <c r="F268" s="310" t="s">
        <v>422</v>
      </c>
      <c r="G268" s="311" t="s">
        <v>286</v>
      </c>
      <c r="H268" s="312">
        <v>266.56</v>
      </c>
      <c r="I268" s="82">
        <v>0</v>
      </c>
      <c r="J268" s="82">
        <f>ROUND(I268*H268,2)</f>
        <v>0</v>
      </c>
      <c r="K268" s="310" t="s">
        <v>222</v>
      </c>
      <c r="L268" s="24"/>
      <c r="M268" s="83" t="s">
        <v>3</v>
      </c>
      <c r="N268" s="84" t="s">
        <v>39</v>
      </c>
      <c r="O268" s="85">
        <v>0.56999999999999995</v>
      </c>
      <c r="P268" s="85">
        <f>O268*H268</f>
        <v>151.9392</v>
      </c>
      <c r="Q268" s="85">
        <v>1.8380000000000001E-2</v>
      </c>
      <c r="R268" s="85">
        <f>Q268*H268</f>
        <v>4.8993728000000001</v>
      </c>
      <c r="S268" s="85">
        <v>0</v>
      </c>
      <c r="T268" s="86">
        <f>S268*H268</f>
        <v>0</v>
      </c>
      <c r="U268" s="23"/>
      <c r="V268" s="23"/>
      <c r="W268" s="23"/>
      <c r="X268" s="23"/>
      <c r="Y268" s="23"/>
      <c r="Z268" s="23"/>
      <c r="AA268" s="23"/>
      <c r="AB268" s="23"/>
      <c r="AC268" s="23"/>
      <c r="AD268" s="23"/>
      <c r="AE268" s="23"/>
      <c r="AR268" s="87" t="s">
        <v>223</v>
      </c>
      <c r="AT268" s="87" t="s">
        <v>218</v>
      </c>
      <c r="AU268" s="87" t="s">
        <v>77</v>
      </c>
      <c r="AY268" s="19" t="s">
        <v>216</v>
      </c>
      <c r="BE268" s="88">
        <f>IF(N268="základní",J268,0)</f>
        <v>0</v>
      </c>
      <c r="BF268" s="88">
        <f>IF(N268="snížená",J268,0)</f>
        <v>0</v>
      </c>
      <c r="BG268" s="88">
        <f>IF(N268="zákl. přenesená",J268,0)</f>
        <v>0</v>
      </c>
      <c r="BH268" s="88">
        <f>IF(N268="sníž. přenesená",J268,0)</f>
        <v>0</v>
      </c>
      <c r="BI268" s="88">
        <f>IF(N268="nulová",J268,0)</f>
        <v>0</v>
      </c>
      <c r="BJ268" s="19" t="s">
        <v>75</v>
      </c>
      <c r="BK268" s="88">
        <f>ROUND(I268*H268,2)</f>
        <v>0</v>
      </c>
      <c r="BL268" s="19" t="s">
        <v>223</v>
      </c>
      <c r="BM268" s="87" t="s">
        <v>423</v>
      </c>
    </row>
    <row r="269" spans="1:65" s="2" customFormat="1" ht="58.5">
      <c r="A269" s="269"/>
      <c r="B269" s="270"/>
      <c r="C269" s="269"/>
      <c r="D269" s="315" t="s">
        <v>231</v>
      </c>
      <c r="E269" s="269"/>
      <c r="F269" s="323" t="s">
        <v>424</v>
      </c>
      <c r="G269" s="269"/>
      <c r="H269" s="269"/>
      <c r="I269" s="248"/>
      <c r="J269" s="248"/>
      <c r="K269" s="269"/>
      <c r="L269" s="24"/>
      <c r="M269" s="99"/>
      <c r="N269" s="100"/>
      <c r="O269" s="32"/>
      <c r="P269" s="32"/>
      <c r="Q269" s="32"/>
      <c r="R269" s="32"/>
      <c r="S269" s="32"/>
      <c r="T269" s="33"/>
      <c r="U269" s="23"/>
      <c r="V269" s="23"/>
      <c r="W269" s="23"/>
      <c r="X269" s="23"/>
      <c r="Y269" s="23"/>
      <c r="Z269" s="23"/>
      <c r="AA269" s="23"/>
      <c r="AB269" s="23"/>
      <c r="AC269" s="23"/>
      <c r="AD269" s="23"/>
      <c r="AE269" s="23"/>
      <c r="AT269" s="19" t="s">
        <v>231</v>
      </c>
      <c r="AU269" s="19" t="s">
        <v>77</v>
      </c>
    </row>
    <row r="270" spans="1:65" s="13" customFormat="1">
      <c r="A270" s="313"/>
      <c r="B270" s="314"/>
      <c r="C270" s="313"/>
      <c r="D270" s="315" t="s">
        <v>225</v>
      </c>
      <c r="E270" s="316" t="s">
        <v>3</v>
      </c>
      <c r="F270" s="317" t="s">
        <v>304</v>
      </c>
      <c r="G270" s="313"/>
      <c r="H270" s="316" t="s">
        <v>3</v>
      </c>
      <c r="I270" s="259"/>
      <c r="J270" s="259"/>
      <c r="K270" s="313"/>
      <c r="L270" s="89"/>
      <c r="M270" s="91"/>
      <c r="N270" s="92"/>
      <c r="O270" s="92"/>
      <c r="P270" s="92"/>
      <c r="Q270" s="92"/>
      <c r="R270" s="92"/>
      <c r="S270" s="92"/>
      <c r="T270" s="93"/>
      <c r="AT270" s="90" t="s">
        <v>225</v>
      </c>
      <c r="AU270" s="90" t="s">
        <v>77</v>
      </c>
      <c r="AV270" s="13" t="s">
        <v>75</v>
      </c>
      <c r="AW270" s="13" t="s">
        <v>30</v>
      </c>
      <c r="AX270" s="13" t="s">
        <v>68</v>
      </c>
      <c r="AY270" s="90" t="s">
        <v>216</v>
      </c>
    </row>
    <row r="271" spans="1:65" s="14" customFormat="1">
      <c r="A271" s="318"/>
      <c r="B271" s="319"/>
      <c r="C271" s="318"/>
      <c r="D271" s="315" t="s">
        <v>225</v>
      </c>
      <c r="E271" s="320" t="s">
        <v>3</v>
      </c>
      <c r="F271" s="321" t="s">
        <v>425</v>
      </c>
      <c r="G271" s="318"/>
      <c r="H271" s="322">
        <v>266.56</v>
      </c>
      <c r="I271" s="260"/>
      <c r="J271" s="260"/>
      <c r="K271" s="318"/>
      <c r="L271" s="94"/>
      <c r="M271" s="96"/>
      <c r="N271" s="97"/>
      <c r="O271" s="97"/>
      <c r="P271" s="97"/>
      <c r="Q271" s="97"/>
      <c r="R271" s="97"/>
      <c r="S271" s="97"/>
      <c r="T271" s="98"/>
      <c r="AT271" s="95" t="s">
        <v>225</v>
      </c>
      <c r="AU271" s="95" t="s">
        <v>77</v>
      </c>
      <c r="AV271" s="14" t="s">
        <v>77</v>
      </c>
      <c r="AW271" s="14" t="s">
        <v>30</v>
      </c>
      <c r="AX271" s="14" t="s">
        <v>75</v>
      </c>
      <c r="AY271" s="95" t="s">
        <v>216</v>
      </c>
    </row>
    <row r="272" spans="1:65" s="2" customFormat="1" ht="21.6" customHeight="1">
      <c r="A272" s="269"/>
      <c r="B272" s="270"/>
      <c r="C272" s="308" t="s">
        <v>426</v>
      </c>
      <c r="D272" s="308" t="s">
        <v>218</v>
      </c>
      <c r="E272" s="309" t="s">
        <v>427</v>
      </c>
      <c r="F272" s="310" t="s">
        <v>428</v>
      </c>
      <c r="G272" s="311" t="s">
        <v>286</v>
      </c>
      <c r="H272" s="312">
        <v>399.84</v>
      </c>
      <c r="I272" s="82">
        <v>0</v>
      </c>
      <c r="J272" s="82">
        <f>ROUND(I272*H272,2)</f>
        <v>0</v>
      </c>
      <c r="K272" s="310" t="s">
        <v>222</v>
      </c>
      <c r="L272" s="24"/>
      <c r="M272" s="83" t="s">
        <v>3</v>
      </c>
      <c r="N272" s="84" t="s">
        <v>39</v>
      </c>
      <c r="O272" s="85">
        <v>0.1</v>
      </c>
      <c r="P272" s="85">
        <f>O272*H272</f>
        <v>39.984000000000002</v>
      </c>
      <c r="Q272" s="85">
        <v>7.9000000000000008E-3</v>
      </c>
      <c r="R272" s="85">
        <f>Q272*H272</f>
        <v>3.1587360000000002</v>
      </c>
      <c r="S272" s="85">
        <v>0</v>
      </c>
      <c r="T272" s="86">
        <f>S272*H272</f>
        <v>0</v>
      </c>
      <c r="U272" s="23"/>
      <c r="V272" s="23"/>
      <c r="W272" s="23"/>
      <c r="X272" s="23"/>
      <c r="Y272" s="23"/>
      <c r="Z272" s="23"/>
      <c r="AA272" s="23"/>
      <c r="AB272" s="23"/>
      <c r="AC272" s="23"/>
      <c r="AD272" s="23"/>
      <c r="AE272" s="23"/>
      <c r="AR272" s="87" t="s">
        <v>223</v>
      </c>
      <c r="AT272" s="87" t="s">
        <v>218</v>
      </c>
      <c r="AU272" s="87" t="s">
        <v>77</v>
      </c>
      <c r="AY272" s="19" t="s">
        <v>216</v>
      </c>
      <c r="BE272" s="88">
        <f>IF(N272="základní",J272,0)</f>
        <v>0</v>
      </c>
      <c r="BF272" s="88">
        <f>IF(N272="snížená",J272,0)</f>
        <v>0</v>
      </c>
      <c r="BG272" s="88">
        <f>IF(N272="zákl. přenesená",J272,0)</f>
        <v>0</v>
      </c>
      <c r="BH272" s="88">
        <f>IF(N272="sníž. přenesená",J272,0)</f>
        <v>0</v>
      </c>
      <c r="BI272" s="88">
        <f>IF(N272="nulová",J272,0)</f>
        <v>0</v>
      </c>
      <c r="BJ272" s="19" t="s">
        <v>75</v>
      </c>
      <c r="BK272" s="88">
        <f>ROUND(I272*H272,2)</f>
        <v>0</v>
      </c>
      <c r="BL272" s="19" t="s">
        <v>223</v>
      </c>
      <c r="BM272" s="87" t="s">
        <v>429</v>
      </c>
    </row>
    <row r="273" spans="1:65" s="2" customFormat="1" ht="58.5">
      <c r="A273" s="269"/>
      <c r="B273" s="270"/>
      <c r="C273" s="269"/>
      <c r="D273" s="315" t="s">
        <v>231</v>
      </c>
      <c r="E273" s="269"/>
      <c r="F273" s="323" t="s">
        <v>424</v>
      </c>
      <c r="G273" s="269"/>
      <c r="H273" s="269"/>
      <c r="I273" s="248"/>
      <c r="J273" s="248"/>
      <c r="K273" s="269"/>
      <c r="L273" s="24"/>
      <c r="M273" s="99"/>
      <c r="N273" s="100"/>
      <c r="O273" s="32"/>
      <c r="P273" s="32"/>
      <c r="Q273" s="32"/>
      <c r="R273" s="32"/>
      <c r="S273" s="32"/>
      <c r="T273" s="33"/>
      <c r="U273" s="23"/>
      <c r="V273" s="23"/>
      <c r="W273" s="23"/>
      <c r="X273" s="23"/>
      <c r="Y273" s="23"/>
      <c r="Z273" s="23"/>
      <c r="AA273" s="23"/>
      <c r="AB273" s="23"/>
      <c r="AC273" s="23"/>
      <c r="AD273" s="23"/>
      <c r="AE273" s="23"/>
      <c r="AT273" s="19" t="s">
        <v>231</v>
      </c>
      <c r="AU273" s="19" t="s">
        <v>77</v>
      </c>
    </row>
    <row r="274" spans="1:65" s="13" customFormat="1">
      <c r="A274" s="313"/>
      <c r="B274" s="314"/>
      <c r="C274" s="313"/>
      <c r="D274" s="315" t="s">
        <v>225</v>
      </c>
      <c r="E274" s="316" t="s">
        <v>3</v>
      </c>
      <c r="F274" s="317" t="s">
        <v>304</v>
      </c>
      <c r="G274" s="313"/>
      <c r="H274" s="316" t="s">
        <v>3</v>
      </c>
      <c r="I274" s="259"/>
      <c r="J274" s="259"/>
      <c r="K274" s="313"/>
      <c r="L274" s="89"/>
      <c r="M274" s="91"/>
      <c r="N274" s="92"/>
      <c r="O274" s="92"/>
      <c r="P274" s="92"/>
      <c r="Q274" s="92"/>
      <c r="R274" s="92"/>
      <c r="S274" s="92"/>
      <c r="T274" s="93"/>
      <c r="AT274" s="90" t="s">
        <v>225</v>
      </c>
      <c r="AU274" s="90" t="s">
        <v>77</v>
      </c>
      <c r="AV274" s="13" t="s">
        <v>75</v>
      </c>
      <c r="AW274" s="13" t="s">
        <v>30</v>
      </c>
      <c r="AX274" s="13" t="s">
        <v>68</v>
      </c>
      <c r="AY274" s="90" t="s">
        <v>216</v>
      </c>
    </row>
    <row r="275" spans="1:65" s="14" customFormat="1">
      <c r="A275" s="318"/>
      <c r="B275" s="319"/>
      <c r="C275" s="318"/>
      <c r="D275" s="315" t="s">
        <v>225</v>
      </c>
      <c r="E275" s="320" t="s">
        <v>3</v>
      </c>
      <c r="F275" s="321" t="s">
        <v>409</v>
      </c>
      <c r="G275" s="318"/>
      <c r="H275" s="322">
        <v>266.56</v>
      </c>
      <c r="I275" s="260"/>
      <c r="J275" s="260"/>
      <c r="K275" s="318"/>
      <c r="L275" s="94"/>
      <c r="M275" s="96"/>
      <c r="N275" s="97"/>
      <c r="O275" s="97"/>
      <c r="P275" s="97"/>
      <c r="Q275" s="97"/>
      <c r="R275" s="97"/>
      <c r="S275" s="97"/>
      <c r="T275" s="98"/>
      <c r="AT275" s="95" t="s">
        <v>225</v>
      </c>
      <c r="AU275" s="95" t="s">
        <v>77</v>
      </c>
      <c r="AV275" s="14" t="s">
        <v>77</v>
      </c>
      <c r="AW275" s="14" t="s">
        <v>30</v>
      </c>
      <c r="AX275" s="14" t="s">
        <v>68</v>
      </c>
      <c r="AY275" s="95" t="s">
        <v>216</v>
      </c>
    </row>
    <row r="276" spans="1:65" s="14" customFormat="1">
      <c r="A276" s="318"/>
      <c r="B276" s="319"/>
      <c r="C276" s="318"/>
      <c r="D276" s="315" t="s">
        <v>225</v>
      </c>
      <c r="E276" s="320" t="s">
        <v>3</v>
      </c>
      <c r="F276" s="321" t="s">
        <v>430</v>
      </c>
      <c r="G276" s="318"/>
      <c r="H276" s="322">
        <v>133.28</v>
      </c>
      <c r="I276" s="260"/>
      <c r="J276" s="260"/>
      <c r="K276" s="318"/>
      <c r="L276" s="94"/>
      <c r="M276" s="96"/>
      <c r="N276" s="97"/>
      <c r="O276" s="97"/>
      <c r="P276" s="97"/>
      <c r="Q276" s="97"/>
      <c r="R276" s="97"/>
      <c r="S276" s="97"/>
      <c r="T276" s="98"/>
      <c r="AT276" s="95" t="s">
        <v>225</v>
      </c>
      <c r="AU276" s="95" t="s">
        <v>77</v>
      </c>
      <c r="AV276" s="14" t="s">
        <v>77</v>
      </c>
      <c r="AW276" s="14" t="s">
        <v>30</v>
      </c>
      <c r="AX276" s="14" t="s">
        <v>68</v>
      </c>
      <c r="AY276" s="95" t="s">
        <v>216</v>
      </c>
    </row>
    <row r="277" spans="1:65" s="16" customFormat="1">
      <c r="A277" s="329"/>
      <c r="B277" s="330"/>
      <c r="C277" s="329"/>
      <c r="D277" s="315" t="s">
        <v>225</v>
      </c>
      <c r="E277" s="331" t="s">
        <v>3</v>
      </c>
      <c r="F277" s="332" t="s">
        <v>254</v>
      </c>
      <c r="G277" s="329"/>
      <c r="H277" s="333">
        <v>399.84</v>
      </c>
      <c r="I277" s="262"/>
      <c r="J277" s="262"/>
      <c r="K277" s="329"/>
      <c r="L277" s="106"/>
      <c r="M277" s="108"/>
      <c r="N277" s="109"/>
      <c r="O277" s="109"/>
      <c r="P277" s="109"/>
      <c r="Q277" s="109"/>
      <c r="R277" s="109"/>
      <c r="S277" s="109"/>
      <c r="T277" s="110"/>
      <c r="AT277" s="107" t="s">
        <v>225</v>
      </c>
      <c r="AU277" s="107" t="s">
        <v>77</v>
      </c>
      <c r="AV277" s="16" t="s">
        <v>223</v>
      </c>
      <c r="AW277" s="16" t="s">
        <v>30</v>
      </c>
      <c r="AX277" s="16" t="s">
        <v>75</v>
      </c>
      <c r="AY277" s="107" t="s">
        <v>216</v>
      </c>
    </row>
    <row r="278" spans="1:65" s="2" customFormat="1" ht="21.6" customHeight="1">
      <c r="A278" s="269"/>
      <c r="B278" s="270"/>
      <c r="C278" s="308" t="s">
        <v>431</v>
      </c>
      <c r="D278" s="308" t="s">
        <v>218</v>
      </c>
      <c r="E278" s="309" t="s">
        <v>432</v>
      </c>
      <c r="F278" s="310" t="s">
        <v>433</v>
      </c>
      <c r="G278" s="311" t="s">
        <v>286</v>
      </c>
      <c r="H278" s="312">
        <v>53.75</v>
      </c>
      <c r="I278" s="82">
        <v>0</v>
      </c>
      <c r="J278" s="82">
        <f>ROUND(I278*H278,2)</f>
        <v>0</v>
      </c>
      <c r="K278" s="310" t="s">
        <v>222</v>
      </c>
      <c r="L278" s="24"/>
      <c r="M278" s="83" t="s">
        <v>3</v>
      </c>
      <c r="N278" s="84" t="s">
        <v>39</v>
      </c>
      <c r="O278" s="85">
        <v>0.50700000000000001</v>
      </c>
      <c r="P278" s="85">
        <f>O278*H278</f>
        <v>27.251249999999999</v>
      </c>
      <c r="Q278" s="85">
        <v>2.8199999999999999E-2</v>
      </c>
      <c r="R278" s="85">
        <f>Q278*H278</f>
        <v>1.5157499999999999</v>
      </c>
      <c r="S278" s="85">
        <v>0</v>
      </c>
      <c r="T278" s="86">
        <f>S278*H278</f>
        <v>0</v>
      </c>
      <c r="U278" s="23"/>
      <c r="V278" s="23"/>
      <c r="W278" s="23"/>
      <c r="X278" s="23"/>
      <c r="Y278" s="23"/>
      <c r="Z278" s="23"/>
      <c r="AA278" s="23"/>
      <c r="AB278" s="23"/>
      <c r="AC278" s="23"/>
      <c r="AD278" s="23"/>
      <c r="AE278" s="23"/>
      <c r="AR278" s="87" t="s">
        <v>223</v>
      </c>
      <c r="AT278" s="87" t="s">
        <v>218</v>
      </c>
      <c r="AU278" s="87" t="s">
        <v>77</v>
      </c>
      <c r="AY278" s="19" t="s">
        <v>216</v>
      </c>
      <c r="BE278" s="88">
        <f>IF(N278="základní",J278,0)</f>
        <v>0</v>
      </c>
      <c r="BF278" s="88">
        <f>IF(N278="snížená",J278,0)</f>
        <v>0</v>
      </c>
      <c r="BG278" s="88">
        <f>IF(N278="zákl. přenesená",J278,0)</f>
        <v>0</v>
      </c>
      <c r="BH278" s="88">
        <f>IF(N278="sníž. přenesená",J278,0)</f>
        <v>0</v>
      </c>
      <c r="BI278" s="88">
        <f>IF(N278="nulová",J278,0)</f>
        <v>0</v>
      </c>
      <c r="BJ278" s="19" t="s">
        <v>75</v>
      </c>
      <c r="BK278" s="88">
        <f>ROUND(I278*H278,2)</f>
        <v>0</v>
      </c>
      <c r="BL278" s="19" t="s">
        <v>223</v>
      </c>
      <c r="BM278" s="87" t="s">
        <v>434</v>
      </c>
    </row>
    <row r="279" spans="1:65" s="2" customFormat="1" ht="39">
      <c r="A279" s="269"/>
      <c r="B279" s="270"/>
      <c r="C279" s="269"/>
      <c r="D279" s="315" t="s">
        <v>231</v>
      </c>
      <c r="E279" s="269"/>
      <c r="F279" s="323" t="s">
        <v>435</v>
      </c>
      <c r="G279" s="269"/>
      <c r="H279" s="269"/>
      <c r="I279" s="248"/>
      <c r="J279" s="248"/>
      <c r="K279" s="269"/>
      <c r="L279" s="24"/>
      <c r="M279" s="99"/>
      <c r="N279" s="100"/>
      <c r="O279" s="32"/>
      <c r="P279" s="32"/>
      <c r="Q279" s="32"/>
      <c r="R279" s="32"/>
      <c r="S279" s="32"/>
      <c r="T279" s="33"/>
      <c r="U279" s="23"/>
      <c r="V279" s="23"/>
      <c r="W279" s="23"/>
      <c r="X279" s="23"/>
      <c r="Y279" s="23"/>
      <c r="Z279" s="23"/>
      <c r="AA279" s="23"/>
      <c r="AB279" s="23"/>
      <c r="AC279" s="23"/>
      <c r="AD279" s="23"/>
      <c r="AE279" s="23"/>
      <c r="AT279" s="19" t="s">
        <v>231</v>
      </c>
      <c r="AU279" s="19" t="s">
        <v>77</v>
      </c>
    </row>
    <row r="280" spans="1:65" s="13" customFormat="1">
      <c r="A280" s="313"/>
      <c r="B280" s="314"/>
      <c r="C280" s="313"/>
      <c r="D280" s="315" t="s">
        <v>225</v>
      </c>
      <c r="E280" s="316" t="s">
        <v>3</v>
      </c>
      <c r="F280" s="317" t="s">
        <v>304</v>
      </c>
      <c r="G280" s="313"/>
      <c r="H280" s="316" t="s">
        <v>3</v>
      </c>
      <c r="I280" s="259"/>
      <c r="J280" s="259"/>
      <c r="K280" s="313"/>
      <c r="L280" s="89"/>
      <c r="M280" s="91"/>
      <c r="N280" s="92"/>
      <c r="O280" s="92"/>
      <c r="P280" s="92"/>
      <c r="Q280" s="92"/>
      <c r="R280" s="92"/>
      <c r="S280" s="92"/>
      <c r="T280" s="93"/>
      <c r="AT280" s="90" t="s">
        <v>225</v>
      </c>
      <c r="AU280" s="90" t="s">
        <v>77</v>
      </c>
      <c r="AV280" s="13" t="s">
        <v>75</v>
      </c>
      <c r="AW280" s="13" t="s">
        <v>30</v>
      </c>
      <c r="AX280" s="13" t="s">
        <v>68</v>
      </c>
      <c r="AY280" s="90" t="s">
        <v>216</v>
      </c>
    </row>
    <row r="281" spans="1:65" s="13" customFormat="1">
      <c r="A281" s="313"/>
      <c r="B281" s="314"/>
      <c r="C281" s="313"/>
      <c r="D281" s="315" t="s">
        <v>225</v>
      </c>
      <c r="E281" s="316" t="s">
        <v>3</v>
      </c>
      <c r="F281" s="317" t="s">
        <v>436</v>
      </c>
      <c r="G281" s="313"/>
      <c r="H281" s="316" t="s">
        <v>3</v>
      </c>
      <c r="I281" s="259"/>
      <c r="J281" s="259"/>
      <c r="K281" s="313"/>
      <c r="L281" s="89"/>
      <c r="M281" s="91"/>
      <c r="N281" s="92"/>
      <c r="O281" s="92"/>
      <c r="P281" s="92"/>
      <c r="Q281" s="92"/>
      <c r="R281" s="92"/>
      <c r="S281" s="92"/>
      <c r="T281" s="93"/>
      <c r="AT281" s="90" t="s">
        <v>225</v>
      </c>
      <c r="AU281" s="90" t="s">
        <v>77</v>
      </c>
      <c r="AV281" s="13" t="s">
        <v>75</v>
      </c>
      <c r="AW281" s="13" t="s">
        <v>30</v>
      </c>
      <c r="AX281" s="13" t="s">
        <v>68</v>
      </c>
      <c r="AY281" s="90" t="s">
        <v>216</v>
      </c>
    </row>
    <row r="282" spans="1:65" s="14" customFormat="1">
      <c r="A282" s="318"/>
      <c r="B282" s="319"/>
      <c r="C282" s="318"/>
      <c r="D282" s="315" t="s">
        <v>225</v>
      </c>
      <c r="E282" s="320" t="s">
        <v>3</v>
      </c>
      <c r="F282" s="321" t="s">
        <v>437</v>
      </c>
      <c r="G282" s="318"/>
      <c r="H282" s="322">
        <v>53.75</v>
      </c>
      <c r="I282" s="260"/>
      <c r="J282" s="260"/>
      <c r="K282" s="318"/>
      <c r="L282" s="94"/>
      <c r="M282" s="96"/>
      <c r="N282" s="97"/>
      <c r="O282" s="97"/>
      <c r="P282" s="97"/>
      <c r="Q282" s="97"/>
      <c r="R282" s="97"/>
      <c r="S282" s="97"/>
      <c r="T282" s="98"/>
      <c r="AT282" s="95" t="s">
        <v>225</v>
      </c>
      <c r="AU282" s="95" t="s">
        <v>77</v>
      </c>
      <c r="AV282" s="14" t="s">
        <v>77</v>
      </c>
      <c r="AW282" s="14" t="s">
        <v>30</v>
      </c>
      <c r="AX282" s="14" t="s">
        <v>75</v>
      </c>
      <c r="AY282" s="95" t="s">
        <v>216</v>
      </c>
    </row>
    <row r="283" spans="1:65" s="2" customFormat="1" ht="21.6" customHeight="1">
      <c r="A283" s="269"/>
      <c r="B283" s="270"/>
      <c r="C283" s="308" t="s">
        <v>438</v>
      </c>
      <c r="D283" s="308" t="s">
        <v>218</v>
      </c>
      <c r="E283" s="309" t="s">
        <v>439</v>
      </c>
      <c r="F283" s="310" t="s">
        <v>440</v>
      </c>
      <c r="G283" s="311" t="s">
        <v>286</v>
      </c>
      <c r="H283" s="312">
        <v>581.66700000000003</v>
      </c>
      <c r="I283" s="82">
        <v>0</v>
      </c>
      <c r="J283" s="82">
        <f>ROUND(I283*H283,2)</f>
        <v>0</v>
      </c>
      <c r="K283" s="310" t="s">
        <v>222</v>
      </c>
      <c r="L283" s="24"/>
      <c r="M283" s="83" t="s">
        <v>3</v>
      </c>
      <c r="N283" s="84" t="s">
        <v>39</v>
      </c>
      <c r="O283" s="85">
        <v>0.11700000000000001</v>
      </c>
      <c r="P283" s="85">
        <f>O283*H283</f>
        <v>68.055039000000008</v>
      </c>
      <c r="Q283" s="85">
        <v>7.3499999999999998E-3</v>
      </c>
      <c r="R283" s="85">
        <f>Q283*H283</f>
        <v>4.27525245</v>
      </c>
      <c r="S283" s="85">
        <v>0</v>
      </c>
      <c r="T283" s="86">
        <f>S283*H283</f>
        <v>0</v>
      </c>
      <c r="U283" s="23"/>
      <c r="V283" s="23"/>
      <c r="W283" s="23"/>
      <c r="X283" s="23"/>
      <c r="Y283" s="23"/>
      <c r="Z283" s="23"/>
      <c r="AA283" s="23"/>
      <c r="AB283" s="23"/>
      <c r="AC283" s="23"/>
      <c r="AD283" s="23"/>
      <c r="AE283" s="23"/>
      <c r="AR283" s="87" t="s">
        <v>223</v>
      </c>
      <c r="AT283" s="87" t="s">
        <v>218</v>
      </c>
      <c r="AU283" s="87" t="s">
        <v>77</v>
      </c>
      <c r="AY283" s="19" t="s">
        <v>216</v>
      </c>
      <c r="BE283" s="88">
        <f>IF(N283="základní",J283,0)</f>
        <v>0</v>
      </c>
      <c r="BF283" s="88">
        <f>IF(N283="snížená",J283,0)</f>
        <v>0</v>
      </c>
      <c r="BG283" s="88">
        <f>IF(N283="zákl. přenesená",J283,0)</f>
        <v>0</v>
      </c>
      <c r="BH283" s="88">
        <f>IF(N283="sníž. přenesená",J283,0)</f>
        <v>0</v>
      </c>
      <c r="BI283" s="88">
        <f>IF(N283="nulová",J283,0)</f>
        <v>0</v>
      </c>
      <c r="BJ283" s="19" t="s">
        <v>75</v>
      </c>
      <c r="BK283" s="88">
        <f>ROUND(I283*H283,2)</f>
        <v>0</v>
      </c>
      <c r="BL283" s="19" t="s">
        <v>223</v>
      </c>
      <c r="BM283" s="87" t="s">
        <v>441</v>
      </c>
    </row>
    <row r="284" spans="1:65" s="13" customFormat="1">
      <c r="A284" s="313"/>
      <c r="B284" s="314"/>
      <c r="C284" s="313"/>
      <c r="D284" s="315" t="s">
        <v>225</v>
      </c>
      <c r="E284" s="316" t="s">
        <v>3</v>
      </c>
      <c r="F284" s="317" t="s">
        <v>304</v>
      </c>
      <c r="G284" s="313"/>
      <c r="H284" s="316" t="s">
        <v>3</v>
      </c>
      <c r="I284" s="259"/>
      <c r="J284" s="259"/>
      <c r="K284" s="313"/>
      <c r="L284" s="89"/>
      <c r="M284" s="91"/>
      <c r="N284" s="92"/>
      <c r="O284" s="92"/>
      <c r="P284" s="92"/>
      <c r="Q284" s="92"/>
      <c r="R284" s="92"/>
      <c r="S284" s="92"/>
      <c r="T284" s="93"/>
      <c r="AT284" s="90" t="s">
        <v>225</v>
      </c>
      <c r="AU284" s="90" t="s">
        <v>77</v>
      </c>
      <c r="AV284" s="13" t="s">
        <v>75</v>
      </c>
      <c r="AW284" s="13" t="s">
        <v>30</v>
      </c>
      <c r="AX284" s="13" t="s">
        <v>68</v>
      </c>
      <c r="AY284" s="90" t="s">
        <v>216</v>
      </c>
    </row>
    <row r="285" spans="1:65" s="13" customFormat="1">
      <c r="A285" s="313"/>
      <c r="B285" s="314"/>
      <c r="C285" s="313"/>
      <c r="D285" s="315" t="s">
        <v>225</v>
      </c>
      <c r="E285" s="316" t="s">
        <v>3</v>
      </c>
      <c r="F285" s="317" t="s">
        <v>442</v>
      </c>
      <c r="G285" s="313"/>
      <c r="H285" s="316" t="s">
        <v>3</v>
      </c>
      <c r="I285" s="259"/>
      <c r="J285" s="259"/>
      <c r="K285" s="313"/>
      <c r="L285" s="89"/>
      <c r="M285" s="91"/>
      <c r="N285" s="92"/>
      <c r="O285" s="92"/>
      <c r="P285" s="92"/>
      <c r="Q285" s="92"/>
      <c r="R285" s="92"/>
      <c r="S285" s="92"/>
      <c r="T285" s="93"/>
      <c r="AT285" s="90" t="s">
        <v>225</v>
      </c>
      <c r="AU285" s="90" t="s">
        <v>77</v>
      </c>
      <c r="AV285" s="13" t="s">
        <v>75</v>
      </c>
      <c r="AW285" s="13" t="s">
        <v>30</v>
      </c>
      <c r="AX285" s="13" t="s">
        <v>68</v>
      </c>
      <c r="AY285" s="90" t="s">
        <v>216</v>
      </c>
    </row>
    <row r="286" spans="1:65" s="14" customFormat="1">
      <c r="A286" s="318"/>
      <c r="B286" s="319"/>
      <c r="C286" s="318"/>
      <c r="D286" s="315" t="s">
        <v>225</v>
      </c>
      <c r="E286" s="320" t="s">
        <v>3</v>
      </c>
      <c r="F286" s="321" t="s">
        <v>443</v>
      </c>
      <c r="G286" s="318"/>
      <c r="H286" s="322">
        <v>581.66700000000003</v>
      </c>
      <c r="I286" s="260"/>
      <c r="J286" s="260"/>
      <c r="K286" s="318"/>
      <c r="L286" s="94"/>
      <c r="M286" s="96"/>
      <c r="N286" s="97"/>
      <c r="O286" s="97"/>
      <c r="P286" s="97"/>
      <c r="Q286" s="97"/>
      <c r="R286" s="97"/>
      <c r="S286" s="97"/>
      <c r="T286" s="98"/>
      <c r="AT286" s="95" t="s">
        <v>225</v>
      </c>
      <c r="AU286" s="95" t="s">
        <v>77</v>
      </c>
      <c r="AV286" s="14" t="s">
        <v>77</v>
      </c>
      <c r="AW286" s="14" t="s">
        <v>30</v>
      </c>
      <c r="AX286" s="14" t="s">
        <v>75</v>
      </c>
      <c r="AY286" s="95" t="s">
        <v>216</v>
      </c>
    </row>
    <row r="287" spans="1:65" s="2" customFormat="1" ht="21.6" customHeight="1">
      <c r="A287" s="269"/>
      <c r="B287" s="270"/>
      <c r="C287" s="308" t="s">
        <v>444</v>
      </c>
      <c r="D287" s="308" t="s">
        <v>218</v>
      </c>
      <c r="E287" s="309" t="s">
        <v>445</v>
      </c>
      <c r="F287" s="310" t="s">
        <v>446</v>
      </c>
      <c r="G287" s="311" t="s">
        <v>286</v>
      </c>
      <c r="H287" s="312">
        <v>1012.451</v>
      </c>
      <c r="I287" s="82">
        <v>0</v>
      </c>
      <c r="J287" s="82">
        <f>ROUND(I287*H287,2)</f>
        <v>0</v>
      </c>
      <c r="K287" s="310" t="s">
        <v>222</v>
      </c>
      <c r="L287" s="24"/>
      <c r="M287" s="83" t="s">
        <v>3</v>
      </c>
      <c r="N287" s="84" t="s">
        <v>39</v>
      </c>
      <c r="O287" s="85">
        <v>0.111</v>
      </c>
      <c r="P287" s="85">
        <f>O287*H287</f>
        <v>112.38206100000001</v>
      </c>
      <c r="Q287" s="85">
        <v>1.4E-3</v>
      </c>
      <c r="R287" s="85">
        <f>Q287*H287</f>
        <v>1.4174314000000001</v>
      </c>
      <c r="S287" s="85">
        <v>0</v>
      </c>
      <c r="T287" s="86">
        <f>S287*H287</f>
        <v>0</v>
      </c>
      <c r="U287" s="23"/>
      <c r="V287" s="23"/>
      <c r="W287" s="23"/>
      <c r="X287" s="23"/>
      <c r="Y287" s="23"/>
      <c r="Z287" s="23"/>
      <c r="AA287" s="23"/>
      <c r="AB287" s="23"/>
      <c r="AC287" s="23"/>
      <c r="AD287" s="23"/>
      <c r="AE287" s="23"/>
      <c r="AR287" s="87" t="s">
        <v>223</v>
      </c>
      <c r="AT287" s="87" t="s">
        <v>218</v>
      </c>
      <c r="AU287" s="87" t="s">
        <v>77</v>
      </c>
      <c r="AY287" s="19" t="s">
        <v>216</v>
      </c>
      <c r="BE287" s="88">
        <f>IF(N287="základní",J287,0)</f>
        <v>0</v>
      </c>
      <c r="BF287" s="88">
        <f>IF(N287="snížená",J287,0)</f>
        <v>0</v>
      </c>
      <c r="BG287" s="88">
        <f>IF(N287="zákl. přenesená",J287,0)</f>
        <v>0</v>
      </c>
      <c r="BH287" s="88">
        <f>IF(N287="sníž. přenesená",J287,0)</f>
        <v>0</v>
      </c>
      <c r="BI287" s="88">
        <f>IF(N287="nulová",J287,0)</f>
        <v>0</v>
      </c>
      <c r="BJ287" s="19" t="s">
        <v>75</v>
      </c>
      <c r="BK287" s="88">
        <f>ROUND(I287*H287,2)</f>
        <v>0</v>
      </c>
      <c r="BL287" s="19" t="s">
        <v>223</v>
      </c>
      <c r="BM287" s="87" t="s">
        <v>447</v>
      </c>
    </row>
    <row r="288" spans="1:65" s="13" customFormat="1">
      <c r="A288" s="313"/>
      <c r="B288" s="314"/>
      <c r="C288" s="313"/>
      <c r="D288" s="315" t="s">
        <v>225</v>
      </c>
      <c r="E288" s="316" t="s">
        <v>3</v>
      </c>
      <c r="F288" s="317" t="s">
        <v>304</v>
      </c>
      <c r="G288" s="313"/>
      <c r="H288" s="316" t="s">
        <v>3</v>
      </c>
      <c r="I288" s="259"/>
      <c r="J288" s="259"/>
      <c r="K288" s="313"/>
      <c r="L288" s="89"/>
      <c r="M288" s="91"/>
      <c r="N288" s="92"/>
      <c r="O288" s="92"/>
      <c r="P288" s="92"/>
      <c r="Q288" s="92"/>
      <c r="R288" s="92"/>
      <c r="S288" s="92"/>
      <c r="T288" s="93"/>
      <c r="AT288" s="90" t="s">
        <v>225</v>
      </c>
      <c r="AU288" s="90" t="s">
        <v>77</v>
      </c>
      <c r="AV288" s="13" t="s">
        <v>75</v>
      </c>
      <c r="AW288" s="13" t="s">
        <v>30</v>
      </c>
      <c r="AX288" s="13" t="s">
        <v>68</v>
      </c>
      <c r="AY288" s="90" t="s">
        <v>216</v>
      </c>
    </row>
    <row r="289" spans="1:65" s="13" customFormat="1">
      <c r="A289" s="313"/>
      <c r="B289" s="314"/>
      <c r="C289" s="313"/>
      <c r="D289" s="315" t="s">
        <v>225</v>
      </c>
      <c r="E289" s="316" t="s">
        <v>3</v>
      </c>
      <c r="F289" s="317" t="s">
        <v>448</v>
      </c>
      <c r="G289" s="313"/>
      <c r="H289" s="316" t="s">
        <v>3</v>
      </c>
      <c r="I289" s="259"/>
      <c r="J289" s="259"/>
      <c r="K289" s="313"/>
      <c r="L289" s="89"/>
      <c r="M289" s="91"/>
      <c r="N289" s="92"/>
      <c r="O289" s="92"/>
      <c r="P289" s="92"/>
      <c r="Q289" s="92"/>
      <c r="R289" s="92"/>
      <c r="S289" s="92"/>
      <c r="T289" s="93"/>
      <c r="AT289" s="90" t="s">
        <v>225</v>
      </c>
      <c r="AU289" s="90" t="s">
        <v>77</v>
      </c>
      <c r="AV289" s="13" t="s">
        <v>75</v>
      </c>
      <c r="AW289" s="13" t="s">
        <v>30</v>
      </c>
      <c r="AX289" s="13" t="s">
        <v>68</v>
      </c>
      <c r="AY289" s="90" t="s">
        <v>216</v>
      </c>
    </row>
    <row r="290" spans="1:65" s="14" customFormat="1">
      <c r="A290" s="318"/>
      <c r="B290" s="319"/>
      <c r="C290" s="318"/>
      <c r="D290" s="315" t="s">
        <v>225</v>
      </c>
      <c r="E290" s="320" t="s">
        <v>3</v>
      </c>
      <c r="F290" s="321" t="s">
        <v>449</v>
      </c>
      <c r="G290" s="318"/>
      <c r="H290" s="322">
        <v>164.892</v>
      </c>
      <c r="I290" s="260"/>
      <c r="J290" s="260"/>
      <c r="K290" s="318"/>
      <c r="L290" s="94"/>
      <c r="M290" s="96"/>
      <c r="N290" s="97"/>
      <c r="O290" s="97"/>
      <c r="P290" s="97"/>
      <c r="Q290" s="97"/>
      <c r="R290" s="97"/>
      <c r="S290" s="97"/>
      <c r="T290" s="98"/>
      <c r="AT290" s="95" t="s">
        <v>225</v>
      </c>
      <c r="AU290" s="95" t="s">
        <v>77</v>
      </c>
      <c r="AV290" s="14" t="s">
        <v>77</v>
      </c>
      <c r="AW290" s="14" t="s">
        <v>30</v>
      </c>
      <c r="AX290" s="14" t="s">
        <v>68</v>
      </c>
      <c r="AY290" s="95" t="s">
        <v>216</v>
      </c>
    </row>
    <row r="291" spans="1:65" s="14" customFormat="1">
      <c r="A291" s="318"/>
      <c r="B291" s="319"/>
      <c r="C291" s="318"/>
      <c r="D291" s="315" t="s">
        <v>225</v>
      </c>
      <c r="E291" s="320" t="s">
        <v>3</v>
      </c>
      <c r="F291" s="321" t="s">
        <v>450</v>
      </c>
      <c r="G291" s="318"/>
      <c r="H291" s="322">
        <v>30.03</v>
      </c>
      <c r="I291" s="260"/>
      <c r="J291" s="260"/>
      <c r="K291" s="318"/>
      <c r="L291" s="94"/>
      <c r="M291" s="96"/>
      <c r="N291" s="97"/>
      <c r="O291" s="97"/>
      <c r="P291" s="97"/>
      <c r="Q291" s="97"/>
      <c r="R291" s="97"/>
      <c r="S291" s="97"/>
      <c r="T291" s="98"/>
      <c r="AT291" s="95" t="s">
        <v>225</v>
      </c>
      <c r="AU291" s="95" t="s">
        <v>77</v>
      </c>
      <c r="AV291" s="14" t="s">
        <v>77</v>
      </c>
      <c r="AW291" s="14" t="s">
        <v>30</v>
      </c>
      <c r="AX291" s="14" t="s">
        <v>68</v>
      </c>
      <c r="AY291" s="95" t="s">
        <v>216</v>
      </c>
    </row>
    <row r="292" spans="1:65" s="13" customFormat="1">
      <c r="A292" s="313"/>
      <c r="B292" s="314"/>
      <c r="C292" s="313"/>
      <c r="D292" s="315" t="s">
        <v>225</v>
      </c>
      <c r="E292" s="316" t="s">
        <v>3</v>
      </c>
      <c r="F292" s="317" t="s">
        <v>451</v>
      </c>
      <c r="G292" s="313"/>
      <c r="H292" s="316" t="s">
        <v>3</v>
      </c>
      <c r="I292" s="259"/>
      <c r="J292" s="259"/>
      <c r="K292" s="313"/>
      <c r="L292" s="89"/>
      <c r="M292" s="91"/>
      <c r="N292" s="92"/>
      <c r="O292" s="92"/>
      <c r="P292" s="92"/>
      <c r="Q292" s="92"/>
      <c r="R292" s="92"/>
      <c r="S292" s="92"/>
      <c r="T292" s="93"/>
      <c r="AT292" s="90" t="s">
        <v>225</v>
      </c>
      <c r="AU292" s="90" t="s">
        <v>77</v>
      </c>
      <c r="AV292" s="13" t="s">
        <v>75</v>
      </c>
      <c r="AW292" s="13" t="s">
        <v>30</v>
      </c>
      <c r="AX292" s="13" t="s">
        <v>68</v>
      </c>
      <c r="AY292" s="90" t="s">
        <v>216</v>
      </c>
    </row>
    <row r="293" spans="1:65" s="14" customFormat="1">
      <c r="A293" s="318"/>
      <c r="B293" s="319"/>
      <c r="C293" s="318"/>
      <c r="D293" s="315" t="s">
        <v>225</v>
      </c>
      <c r="E293" s="320" t="s">
        <v>3</v>
      </c>
      <c r="F293" s="321" t="s">
        <v>443</v>
      </c>
      <c r="G293" s="318"/>
      <c r="H293" s="322">
        <v>581.66700000000003</v>
      </c>
      <c r="I293" s="260"/>
      <c r="J293" s="260"/>
      <c r="K293" s="318"/>
      <c r="L293" s="94"/>
      <c r="M293" s="96"/>
      <c r="N293" s="97"/>
      <c r="O293" s="97"/>
      <c r="P293" s="97"/>
      <c r="Q293" s="97"/>
      <c r="R293" s="97"/>
      <c r="S293" s="97"/>
      <c r="T293" s="98"/>
      <c r="AT293" s="95" t="s">
        <v>225</v>
      </c>
      <c r="AU293" s="95" t="s">
        <v>77</v>
      </c>
      <c r="AV293" s="14" t="s">
        <v>77</v>
      </c>
      <c r="AW293" s="14" t="s">
        <v>30</v>
      </c>
      <c r="AX293" s="14" t="s">
        <v>68</v>
      </c>
      <c r="AY293" s="95" t="s">
        <v>216</v>
      </c>
    </row>
    <row r="294" spans="1:65" s="13" customFormat="1">
      <c r="A294" s="313"/>
      <c r="B294" s="314"/>
      <c r="C294" s="313"/>
      <c r="D294" s="315" t="s">
        <v>225</v>
      </c>
      <c r="E294" s="316" t="s">
        <v>3</v>
      </c>
      <c r="F294" s="317" t="s">
        <v>420</v>
      </c>
      <c r="G294" s="313"/>
      <c r="H294" s="316" t="s">
        <v>3</v>
      </c>
      <c r="I294" s="259"/>
      <c r="J294" s="259"/>
      <c r="K294" s="313"/>
      <c r="L294" s="89"/>
      <c r="M294" s="91"/>
      <c r="N294" s="92"/>
      <c r="O294" s="92"/>
      <c r="P294" s="92"/>
      <c r="Q294" s="92"/>
      <c r="R294" s="92"/>
      <c r="S294" s="92"/>
      <c r="T294" s="93"/>
      <c r="AT294" s="90" t="s">
        <v>225</v>
      </c>
      <c r="AU294" s="90" t="s">
        <v>77</v>
      </c>
      <c r="AV294" s="13" t="s">
        <v>75</v>
      </c>
      <c r="AW294" s="13" t="s">
        <v>30</v>
      </c>
      <c r="AX294" s="13" t="s">
        <v>68</v>
      </c>
      <c r="AY294" s="90" t="s">
        <v>216</v>
      </c>
    </row>
    <row r="295" spans="1:65" s="14" customFormat="1">
      <c r="A295" s="318"/>
      <c r="B295" s="319"/>
      <c r="C295" s="318"/>
      <c r="D295" s="315" t="s">
        <v>225</v>
      </c>
      <c r="E295" s="320" t="s">
        <v>3</v>
      </c>
      <c r="F295" s="321" t="s">
        <v>452</v>
      </c>
      <c r="G295" s="318"/>
      <c r="H295" s="322">
        <v>235.86199999999999</v>
      </c>
      <c r="I295" s="260"/>
      <c r="J295" s="260"/>
      <c r="K295" s="318"/>
      <c r="L295" s="94"/>
      <c r="M295" s="96"/>
      <c r="N295" s="97"/>
      <c r="O295" s="97"/>
      <c r="P295" s="97"/>
      <c r="Q295" s="97"/>
      <c r="R295" s="97"/>
      <c r="S295" s="97"/>
      <c r="T295" s="98"/>
      <c r="AT295" s="95" t="s">
        <v>225</v>
      </c>
      <c r="AU295" s="95" t="s">
        <v>77</v>
      </c>
      <c r="AV295" s="14" t="s">
        <v>77</v>
      </c>
      <c r="AW295" s="14" t="s">
        <v>30</v>
      </c>
      <c r="AX295" s="14" t="s">
        <v>68</v>
      </c>
      <c r="AY295" s="95" t="s">
        <v>216</v>
      </c>
    </row>
    <row r="296" spans="1:65" s="16" customFormat="1">
      <c r="A296" s="329"/>
      <c r="B296" s="330"/>
      <c r="C296" s="329"/>
      <c r="D296" s="315" t="s">
        <v>225</v>
      </c>
      <c r="E296" s="331" t="s">
        <v>3</v>
      </c>
      <c r="F296" s="332" t="s">
        <v>254</v>
      </c>
      <c r="G296" s="329"/>
      <c r="H296" s="333">
        <v>1012.451</v>
      </c>
      <c r="I296" s="262"/>
      <c r="J296" s="262"/>
      <c r="K296" s="329"/>
      <c r="L296" s="106"/>
      <c r="M296" s="108"/>
      <c r="N296" s="109"/>
      <c r="O296" s="109"/>
      <c r="P296" s="109"/>
      <c r="Q296" s="109"/>
      <c r="R296" s="109"/>
      <c r="S296" s="109"/>
      <c r="T296" s="110"/>
      <c r="AT296" s="107" t="s">
        <v>225</v>
      </c>
      <c r="AU296" s="107" t="s">
        <v>77</v>
      </c>
      <c r="AV296" s="16" t="s">
        <v>223</v>
      </c>
      <c r="AW296" s="16" t="s">
        <v>30</v>
      </c>
      <c r="AX296" s="16" t="s">
        <v>75</v>
      </c>
      <c r="AY296" s="107" t="s">
        <v>216</v>
      </c>
    </row>
    <row r="297" spans="1:65" s="2" customFormat="1" ht="14.45" customHeight="1">
      <c r="A297" s="269"/>
      <c r="B297" s="270"/>
      <c r="C297" s="308" t="s">
        <v>453</v>
      </c>
      <c r="D297" s="308" t="s">
        <v>218</v>
      </c>
      <c r="E297" s="309" t="s">
        <v>454</v>
      </c>
      <c r="F297" s="310" t="s">
        <v>455</v>
      </c>
      <c r="G297" s="311" t="s">
        <v>286</v>
      </c>
      <c r="H297" s="312">
        <v>14</v>
      </c>
      <c r="I297" s="82">
        <v>0</v>
      </c>
      <c r="J297" s="82">
        <f>ROUND(I297*H297,2)</f>
        <v>0</v>
      </c>
      <c r="K297" s="310" t="s">
        <v>222</v>
      </c>
      <c r="L297" s="24"/>
      <c r="M297" s="83" t="s">
        <v>3</v>
      </c>
      <c r="N297" s="84" t="s">
        <v>39</v>
      </c>
      <c r="O297" s="85">
        <v>0.624</v>
      </c>
      <c r="P297" s="85">
        <f>O297*H297</f>
        <v>8.7360000000000007</v>
      </c>
      <c r="Q297" s="85">
        <v>0.04</v>
      </c>
      <c r="R297" s="85">
        <f>Q297*H297</f>
        <v>0.56000000000000005</v>
      </c>
      <c r="S297" s="85">
        <v>0</v>
      </c>
      <c r="T297" s="86">
        <f>S297*H297</f>
        <v>0</v>
      </c>
      <c r="U297" s="23"/>
      <c r="V297" s="23"/>
      <c r="W297" s="23"/>
      <c r="X297" s="23"/>
      <c r="Y297" s="23"/>
      <c r="Z297" s="23"/>
      <c r="AA297" s="23"/>
      <c r="AB297" s="23"/>
      <c r="AC297" s="23"/>
      <c r="AD297" s="23"/>
      <c r="AE297" s="23"/>
      <c r="AR297" s="87" t="s">
        <v>223</v>
      </c>
      <c r="AT297" s="87" t="s">
        <v>218</v>
      </c>
      <c r="AU297" s="87" t="s">
        <v>77</v>
      </c>
      <c r="AY297" s="19" t="s">
        <v>216</v>
      </c>
      <c r="BE297" s="88">
        <f>IF(N297="základní",J297,0)</f>
        <v>0</v>
      </c>
      <c r="BF297" s="88">
        <f>IF(N297="snížená",J297,0)</f>
        <v>0</v>
      </c>
      <c r="BG297" s="88">
        <f>IF(N297="zákl. přenesená",J297,0)</f>
        <v>0</v>
      </c>
      <c r="BH297" s="88">
        <f>IF(N297="sníž. přenesená",J297,0)</f>
        <v>0</v>
      </c>
      <c r="BI297" s="88">
        <f>IF(N297="nulová",J297,0)</f>
        <v>0</v>
      </c>
      <c r="BJ297" s="19" t="s">
        <v>75</v>
      </c>
      <c r="BK297" s="88">
        <f>ROUND(I297*H297,2)</f>
        <v>0</v>
      </c>
      <c r="BL297" s="19" t="s">
        <v>223</v>
      </c>
      <c r="BM297" s="87" t="s">
        <v>456</v>
      </c>
    </row>
    <row r="298" spans="1:65" s="2" customFormat="1" ht="29.25">
      <c r="A298" s="269"/>
      <c r="B298" s="270"/>
      <c r="C298" s="269"/>
      <c r="D298" s="315" t="s">
        <v>231</v>
      </c>
      <c r="E298" s="269"/>
      <c r="F298" s="323" t="s">
        <v>457</v>
      </c>
      <c r="G298" s="269"/>
      <c r="H298" s="269"/>
      <c r="I298" s="248"/>
      <c r="J298" s="248"/>
      <c r="K298" s="269"/>
      <c r="L298" s="24"/>
      <c r="M298" s="99"/>
      <c r="N298" s="100"/>
      <c r="O298" s="32"/>
      <c r="P298" s="32"/>
      <c r="Q298" s="32"/>
      <c r="R298" s="32"/>
      <c r="S298" s="32"/>
      <c r="T298" s="33"/>
      <c r="U298" s="23"/>
      <c r="V298" s="23"/>
      <c r="W298" s="23"/>
      <c r="X298" s="23"/>
      <c r="Y298" s="23"/>
      <c r="Z298" s="23"/>
      <c r="AA298" s="23"/>
      <c r="AB298" s="23"/>
      <c r="AC298" s="23"/>
      <c r="AD298" s="23"/>
      <c r="AE298" s="23"/>
      <c r="AT298" s="19" t="s">
        <v>231</v>
      </c>
      <c r="AU298" s="19" t="s">
        <v>77</v>
      </c>
    </row>
    <row r="299" spans="1:65" s="13" customFormat="1">
      <c r="A299" s="313"/>
      <c r="B299" s="314"/>
      <c r="C299" s="313"/>
      <c r="D299" s="315" t="s">
        <v>225</v>
      </c>
      <c r="E299" s="316" t="s">
        <v>3</v>
      </c>
      <c r="F299" s="317" t="s">
        <v>304</v>
      </c>
      <c r="G299" s="313"/>
      <c r="H299" s="316" t="s">
        <v>3</v>
      </c>
      <c r="I299" s="259"/>
      <c r="J299" s="259"/>
      <c r="K299" s="313"/>
      <c r="L299" s="89"/>
      <c r="M299" s="91"/>
      <c r="N299" s="92"/>
      <c r="O299" s="92"/>
      <c r="P299" s="92"/>
      <c r="Q299" s="92"/>
      <c r="R299" s="92"/>
      <c r="S299" s="92"/>
      <c r="T299" s="93"/>
      <c r="AT299" s="90" t="s">
        <v>225</v>
      </c>
      <c r="AU299" s="90" t="s">
        <v>77</v>
      </c>
      <c r="AV299" s="13" t="s">
        <v>75</v>
      </c>
      <c r="AW299" s="13" t="s">
        <v>30</v>
      </c>
      <c r="AX299" s="13" t="s">
        <v>68</v>
      </c>
      <c r="AY299" s="90" t="s">
        <v>216</v>
      </c>
    </row>
    <row r="300" spans="1:65" s="14" customFormat="1">
      <c r="A300" s="318"/>
      <c r="B300" s="319"/>
      <c r="C300" s="318"/>
      <c r="D300" s="315" t="s">
        <v>225</v>
      </c>
      <c r="E300" s="320" t="s">
        <v>3</v>
      </c>
      <c r="F300" s="321" t="s">
        <v>458</v>
      </c>
      <c r="G300" s="318"/>
      <c r="H300" s="322">
        <v>14</v>
      </c>
      <c r="I300" s="260"/>
      <c r="J300" s="260"/>
      <c r="K300" s="318"/>
      <c r="L300" s="94"/>
      <c r="M300" s="96"/>
      <c r="N300" s="97"/>
      <c r="O300" s="97"/>
      <c r="P300" s="97"/>
      <c r="Q300" s="97"/>
      <c r="R300" s="97"/>
      <c r="S300" s="97"/>
      <c r="T300" s="98"/>
      <c r="AT300" s="95" t="s">
        <v>225</v>
      </c>
      <c r="AU300" s="95" t="s">
        <v>77</v>
      </c>
      <c r="AV300" s="14" t="s">
        <v>77</v>
      </c>
      <c r="AW300" s="14" t="s">
        <v>30</v>
      </c>
      <c r="AX300" s="14" t="s">
        <v>75</v>
      </c>
      <c r="AY300" s="95" t="s">
        <v>216</v>
      </c>
    </row>
    <row r="301" spans="1:65" s="2" customFormat="1" ht="21.6" customHeight="1">
      <c r="A301" s="269"/>
      <c r="B301" s="270"/>
      <c r="C301" s="308" t="s">
        <v>459</v>
      </c>
      <c r="D301" s="308" t="s">
        <v>218</v>
      </c>
      <c r="E301" s="309" t="s">
        <v>460</v>
      </c>
      <c r="F301" s="310" t="s">
        <v>461</v>
      </c>
      <c r="G301" s="311" t="s">
        <v>286</v>
      </c>
      <c r="H301" s="312">
        <v>215.922</v>
      </c>
      <c r="I301" s="82">
        <v>0</v>
      </c>
      <c r="J301" s="82">
        <f>ROUND(I301*H301,2)</f>
        <v>0</v>
      </c>
      <c r="K301" s="310" t="s">
        <v>222</v>
      </c>
      <c r="L301" s="24"/>
      <c r="M301" s="83" t="s">
        <v>3</v>
      </c>
      <c r="N301" s="84" t="s">
        <v>39</v>
      </c>
      <c r="O301" s="85">
        <v>0.36</v>
      </c>
      <c r="P301" s="85">
        <f>O301*H301</f>
        <v>77.731920000000002</v>
      </c>
      <c r="Q301" s="85">
        <v>4.3800000000000002E-3</v>
      </c>
      <c r="R301" s="85">
        <f>Q301*H301</f>
        <v>0.94573836</v>
      </c>
      <c r="S301" s="85">
        <v>0</v>
      </c>
      <c r="T301" s="86">
        <f>S301*H301</f>
        <v>0</v>
      </c>
      <c r="U301" s="23"/>
      <c r="V301" s="23"/>
      <c r="W301" s="23"/>
      <c r="X301" s="23"/>
      <c r="Y301" s="23"/>
      <c r="Z301" s="23"/>
      <c r="AA301" s="23"/>
      <c r="AB301" s="23"/>
      <c r="AC301" s="23"/>
      <c r="AD301" s="23"/>
      <c r="AE301" s="23"/>
      <c r="AR301" s="87" t="s">
        <v>223</v>
      </c>
      <c r="AT301" s="87" t="s">
        <v>218</v>
      </c>
      <c r="AU301" s="87" t="s">
        <v>77</v>
      </c>
      <c r="AY301" s="19" t="s">
        <v>216</v>
      </c>
      <c r="BE301" s="88">
        <f>IF(N301="základní",J301,0)</f>
        <v>0</v>
      </c>
      <c r="BF301" s="88">
        <f>IF(N301="snížená",J301,0)</f>
        <v>0</v>
      </c>
      <c r="BG301" s="88">
        <f>IF(N301="zákl. přenesená",J301,0)</f>
        <v>0</v>
      </c>
      <c r="BH301" s="88">
        <f>IF(N301="sníž. přenesená",J301,0)</f>
        <v>0</v>
      </c>
      <c r="BI301" s="88">
        <f>IF(N301="nulová",J301,0)</f>
        <v>0</v>
      </c>
      <c r="BJ301" s="19" t="s">
        <v>75</v>
      </c>
      <c r="BK301" s="88">
        <f>ROUND(I301*H301,2)</f>
        <v>0</v>
      </c>
      <c r="BL301" s="19" t="s">
        <v>223</v>
      </c>
      <c r="BM301" s="87" t="s">
        <v>462</v>
      </c>
    </row>
    <row r="302" spans="1:65" s="2" customFormat="1" ht="29.25">
      <c r="A302" s="269"/>
      <c r="B302" s="270"/>
      <c r="C302" s="269"/>
      <c r="D302" s="315" t="s">
        <v>231</v>
      </c>
      <c r="E302" s="269"/>
      <c r="F302" s="323" t="s">
        <v>463</v>
      </c>
      <c r="G302" s="269"/>
      <c r="H302" s="269"/>
      <c r="I302" s="248"/>
      <c r="J302" s="248"/>
      <c r="K302" s="269"/>
      <c r="L302" s="24"/>
      <c r="M302" s="99"/>
      <c r="N302" s="100"/>
      <c r="O302" s="32"/>
      <c r="P302" s="32"/>
      <c r="Q302" s="32"/>
      <c r="R302" s="32"/>
      <c r="S302" s="32"/>
      <c r="T302" s="33"/>
      <c r="U302" s="23"/>
      <c r="V302" s="23"/>
      <c r="W302" s="23"/>
      <c r="X302" s="23"/>
      <c r="Y302" s="23"/>
      <c r="Z302" s="23"/>
      <c r="AA302" s="23"/>
      <c r="AB302" s="23"/>
      <c r="AC302" s="23"/>
      <c r="AD302" s="23"/>
      <c r="AE302" s="23"/>
      <c r="AT302" s="19" t="s">
        <v>231</v>
      </c>
      <c r="AU302" s="19" t="s">
        <v>77</v>
      </c>
    </row>
    <row r="303" spans="1:65" s="13" customFormat="1">
      <c r="A303" s="313"/>
      <c r="B303" s="314"/>
      <c r="C303" s="313"/>
      <c r="D303" s="315" t="s">
        <v>225</v>
      </c>
      <c r="E303" s="316" t="s">
        <v>3</v>
      </c>
      <c r="F303" s="317" t="s">
        <v>304</v>
      </c>
      <c r="G303" s="313"/>
      <c r="H303" s="316" t="s">
        <v>3</v>
      </c>
      <c r="I303" s="259"/>
      <c r="J303" s="259"/>
      <c r="K303" s="313"/>
      <c r="L303" s="89"/>
      <c r="M303" s="91"/>
      <c r="N303" s="92"/>
      <c r="O303" s="92"/>
      <c r="P303" s="92"/>
      <c r="Q303" s="92"/>
      <c r="R303" s="92"/>
      <c r="S303" s="92"/>
      <c r="T303" s="93"/>
      <c r="AT303" s="90" t="s">
        <v>225</v>
      </c>
      <c r="AU303" s="90" t="s">
        <v>77</v>
      </c>
      <c r="AV303" s="13" t="s">
        <v>75</v>
      </c>
      <c r="AW303" s="13" t="s">
        <v>30</v>
      </c>
      <c r="AX303" s="13" t="s">
        <v>68</v>
      </c>
      <c r="AY303" s="90" t="s">
        <v>216</v>
      </c>
    </row>
    <row r="304" spans="1:65" s="13" customFormat="1">
      <c r="A304" s="313"/>
      <c r="B304" s="314"/>
      <c r="C304" s="313"/>
      <c r="D304" s="315" t="s">
        <v>225</v>
      </c>
      <c r="E304" s="316" t="s">
        <v>3</v>
      </c>
      <c r="F304" s="317" t="s">
        <v>448</v>
      </c>
      <c r="G304" s="313"/>
      <c r="H304" s="316" t="s">
        <v>3</v>
      </c>
      <c r="I304" s="259"/>
      <c r="J304" s="259"/>
      <c r="K304" s="313"/>
      <c r="L304" s="89"/>
      <c r="M304" s="91"/>
      <c r="N304" s="92"/>
      <c r="O304" s="92"/>
      <c r="P304" s="92"/>
      <c r="Q304" s="92"/>
      <c r="R304" s="92"/>
      <c r="S304" s="92"/>
      <c r="T304" s="93"/>
      <c r="AT304" s="90" t="s">
        <v>225</v>
      </c>
      <c r="AU304" s="90" t="s">
        <v>77</v>
      </c>
      <c r="AV304" s="13" t="s">
        <v>75</v>
      </c>
      <c r="AW304" s="13" t="s">
        <v>30</v>
      </c>
      <c r="AX304" s="13" t="s">
        <v>68</v>
      </c>
      <c r="AY304" s="90" t="s">
        <v>216</v>
      </c>
    </row>
    <row r="305" spans="1:65" s="14" customFormat="1">
      <c r="A305" s="318"/>
      <c r="B305" s="319"/>
      <c r="C305" s="318"/>
      <c r="D305" s="315" t="s">
        <v>225</v>
      </c>
      <c r="E305" s="320" t="s">
        <v>3</v>
      </c>
      <c r="F305" s="321" t="s">
        <v>449</v>
      </c>
      <c r="G305" s="318"/>
      <c r="H305" s="322">
        <v>164.892</v>
      </c>
      <c r="I305" s="260"/>
      <c r="J305" s="260"/>
      <c r="K305" s="318"/>
      <c r="L305" s="94"/>
      <c r="M305" s="96"/>
      <c r="N305" s="97"/>
      <c r="O305" s="97"/>
      <c r="P305" s="97"/>
      <c r="Q305" s="97"/>
      <c r="R305" s="97"/>
      <c r="S305" s="97"/>
      <c r="T305" s="98"/>
      <c r="AT305" s="95" t="s">
        <v>225</v>
      </c>
      <c r="AU305" s="95" t="s">
        <v>77</v>
      </c>
      <c r="AV305" s="14" t="s">
        <v>77</v>
      </c>
      <c r="AW305" s="14" t="s">
        <v>30</v>
      </c>
      <c r="AX305" s="14" t="s">
        <v>68</v>
      </c>
      <c r="AY305" s="95" t="s">
        <v>216</v>
      </c>
    </row>
    <row r="306" spans="1:65" s="14" customFormat="1">
      <c r="A306" s="318"/>
      <c r="B306" s="319"/>
      <c r="C306" s="318"/>
      <c r="D306" s="315" t="s">
        <v>225</v>
      </c>
      <c r="E306" s="320" t="s">
        <v>3</v>
      </c>
      <c r="F306" s="321" t="s">
        <v>450</v>
      </c>
      <c r="G306" s="318"/>
      <c r="H306" s="322">
        <v>30.03</v>
      </c>
      <c r="I306" s="260"/>
      <c r="J306" s="260"/>
      <c r="K306" s="318"/>
      <c r="L306" s="94"/>
      <c r="M306" s="96"/>
      <c r="N306" s="97"/>
      <c r="O306" s="97"/>
      <c r="P306" s="97"/>
      <c r="Q306" s="97"/>
      <c r="R306" s="97"/>
      <c r="S306" s="97"/>
      <c r="T306" s="98"/>
      <c r="AT306" s="95" t="s">
        <v>225</v>
      </c>
      <c r="AU306" s="95" t="s">
        <v>77</v>
      </c>
      <c r="AV306" s="14" t="s">
        <v>77</v>
      </c>
      <c r="AW306" s="14" t="s">
        <v>30</v>
      </c>
      <c r="AX306" s="14" t="s">
        <v>68</v>
      </c>
      <c r="AY306" s="95" t="s">
        <v>216</v>
      </c>
    </row>
    <row r="307" spans="1:65" s="15" customFormat="1">
      <c r="A307" s="324"/>
      <c r="B307" s="325"/>
      <c r="C307" s="324"/>
      <c r="D307" s="315" t="s">
        <v>225</v>
      </c>
      <c r="E307" s="326" t="s">
        <v>3</v>
      </c>
      <c r="F307" s="327" t="s">
        <v>252</v>
      </c>
      <c r="G307" s="324"/>
      <c r="H307" s="328">
        <v>194.922</v>
      </c>
      <c r="I307" s="261"/>
      <c r="J307" s="261"/>
      <c r="K307" s="324"/>
      <c r="L307" s="101"/>
      <c r="M307" s="103"/>
      <c r="N307" s="104"/>
      <c r="O307" s="104"/>
      <c r="P307" s="104"/>
      <c r="Q307" s="104"/>
      <c r="R307" s="104"/>
      <c r="S307" s="104"/>
      <c r="T307" s="105"/>
      <c r="AT307" s="102" t="s">
        <v>225</v>
      </c>
      <c r="AU307" s="102" t="s">
        <v>77</v>
      </c>
      <c r="AV307" s="15" t="s">
        <v>100</v>
      </c>
      <c r="AW307" s="15" t="s">
        <v>30</v>
      </c>
      <c r="AX307" s="15" t="s">
        <v>68</v>
      </c>
      <c r="AY307" s="102" t="s">
        <v>216</v>
      </c>
    </row>
    <row r="308" spans="1:65" s="13" customFormat="1">
      <c r="A308" s="313"/>
      <c r="B308" s="314"/>
      <c r="C308" s="313"/>
      <c r="D308" s="315" t="s">
        <v>225</v>
      </c>
      <c r="E308" s="316" t="s">
        <v>3</v>
      </c>
      <c r="F308" s="317" t="s">
        <v>464</v>
      </c>
      <c r="G308" s="313"/>
      <c r="H308" s="316" t="s">
        <v>3</v>
      </c>
      <c r="I308" s="259"/>
      <c r="J308" s="259"/>
      <c r="K308" s="313"/>
      <c r="L308" s="89"/>
      <c r="M308" s="91"/>
      <c r="N308" s="92"/>
      <c r="O308" s="92"/>
      <c r="P308" s="92"/>
      <c r="Q308" s="92"/>
      <c r="R308" s="92"/>
      <c r="S308" s="92"/>
      <c r="T308" s="93"/>
      <c r="AT308" s="90" t="s">
        <v>225</v>
      </c>
      <c r="AU308" s="90" t="s">
        <v>77</v>
      </c>
      <c r="AV308" s="13" t="s">
        <v>75</v>
      </c>
      <c r="AW308" s="13" t="s">
        <v>30</v>
      </c>
      <c r="AX308" s="13" t="s">
        <v>68</v>
      </c>
      <c r="AY308" s="90" t="s">
        <v>216</v>
      </c>
    </row>
    <row r="309" spans="1:65" s="14" customFormat="1">
      <c r="A309" s="318"/>
      <c r="B309" s="319"/>
      <c r="C309" s="318"/>
      <c r="D309" s="315" t="s">
        <v>225</v>
      </c>
      <c r="E309" s="320" t="s">
        <v>3</v>
      </c>
      <c r="F309" s="321" t="s">
        <v>465</v>
      </c>
      <c r="G309" s="318"/>
      <c r="H309" s="322">
        <v>16</v>
      </c>
      <c r="I309" s="260"/>
      <c r="J309" s="260"/>
      <c r="K309" s="318"/>
      <c r="L309" s="94"/>
      <c r="M309" s="96"/>
      <c r="N309" s="97"/>
      <c r="O309" s="97"/>
      <c r="P309" s="97"/>
      <c r="Q309" s="97"/>
      <c r="R309" s="97"/>
      <c r="S309" s="97"/>
      <c r="T309" s="98"/>
      <c r="AT309" s="95" t="s">
        <v>225</v>
      </c>
      <c r="AU309" s="95" t="s">
        <v>77</v>
      </c>
      <c r="AV309" s="14" t="s">
        <v>77</v>
      </c>
      <c r="AW309" s="14" t="s">
        <v>30</v>
      </c>
      <c r="AX309" s="14" t="s">
        <v>68</v>
      </c>
      <c r="AY309" s="95" t="s">
        <v>216</v>
      </c>
    </row>
    <row r="310" spans="1:65" s="14" customFormat="1">
      <c r="A310" s="318"/>
      <c r="B310" s="319"/>
      <c r="C310" s="318"/>
      <c r="D310" s="315" t="s">
        <v>225</v>
      </c>
      <c r="E310" s="320" t="s">
        <v>3</v>
      </c>
      <c r="F310" s="321" t="s">
        <v>466</v>
      </c>
      <c r="G310" s="318"/>
      <c r="H310" s="322">
        <v>5</v>
      </c>
      <c r="I310" s="260"/>
      <c r="J310" s="260"/>
      <c r="K310" s="318"/>
      <c r="L310" s="94"/>
      <c r="M310" s="96"/>
      <c r="N310" s="97"/>
      <c r="O310" s="97"/>
      <c r="P310" s="97"/>
      <c r="Q310" s="97"/>
      <c r="R310" s="97"/>
      <c r="S310" s="97"/>
      <c r="T310" s="98"/>
      <c r="AT310" s="95" t="s">
        <v>225</v>
      </c>
      <c r="AU310" s="95" t="s">
        <v>77</v>
      </c>
      <c r="AV310" s="14" t="s">
        <v>77</v>
      </c>
      <c r="AW310" s="14" t="s">
        <v>30</v>
      </c>
      <c r="AX310" s="14" t="s">
        <v>68</v>
      </c>
      <c r="AY310" s="95" t="s">
        <v>216</v>
      </c>
    </row>
    <row r="311" spans="1:65" s="16" customFormat="1">
      <c r="A311" s="329"/>
      <c r="B311" s="330"/>
      <c r="C311" s="329"/>
      <c r="D311" s="315" t="s">
        <v>225</v>
      </c>
      <c r="E311" s="331" t="s">
        <v>3</v>
      </c>
      <c r="F311" s="332" t="s">
        <v>254</v>
      </c>
      <c r="G311" s="329"/>
      <c r="H311" s="333">
        <v>215.922</v>
      </c>
      <c r="I311" s="262"/>
      <c r="J311" s="262"/>
      <c r="K311" s="329"/>
      <c r="L311" s="106"/>
      <c r="M311" s="108"/>
      <c r="N311" s="109"/>
      <c r="O311" s="109"/>
      <c r="P311" s="109"/>
      <c r="Q311" s="109"/>
      <c r="R311" s="109"/>
      <c r="S311" s="109"/>
      <c r="T311" s="110"/>
      <c r="AT311" s="107" t="s">
        <v>225</v>
      </c>
      <c r="AU311" s="107" t="s">
        <v>77</v>
      </c>
      <c r="AV311" s="16" t="s">
        <v>223</v>
      </c>
      <c r="AW311" s="16" t="s">
        <v>30</v>
      </c>
      <c r="AX311" s="16" t="s">
        <v>75</v>
      </c>
      <c r="AY311" s="107" t="s">
        <v>216</v>
      </c>
    </row>
    <row r="312" spans="1:65" s="2" customFormat="1" ht="14.45" customHeight="1">
      <c r="A312" s="269"/>
      <c r="B312" s="270"/>
      <c r="C312" s="308" t="s">
        <v>467</v>
      </c>
      <c r="D312" s="308" t="s">
        <v>218</v>
      </c>
      <c r="E312" s="309" t="s">
        <v>468</v>
      </c>
      <c r="F312" s="310" t="s">
        <v>469</v>
      </c>
      <c r="G312" s="311" t="s">
        <v>286</v>
      </c>
      <c r="H312" s="312">
        <v>782.95100000000002</v>
      </c>
      <c r="I312" s="82">
        <v>0</v>
      </c>
      <c r="J312" s="82">
        <f>ROUND(I312*H312,2)</f>
        <v>0</v>
      </c>
      <c r="K312" s="310" t="s">
        <v>222</v>
      </c>
      <c r="L312" s="24"/>
      <c r="M312" s="83" t="s">
        <v>3</v>
      </c>
      <c r="N312" s="84" t="s">
        <v>39</v>
      </c>
      <c r="O312" s="85">
        <v>0.27200000000000002</v>
      </c>
      <c r="P312" s="85">
        <f>O312*H312</f>
        <v>212.96267200000003</v>
      </c>
      <c r="Q312" s="85">
        <v>3.0000000000000001E-3</v>
      </c>
      <c r="R312" s="85">
        <f>Q312*H312</f>
        <v>2.3488530000000001</v>
      </c>
      <c r="S312" s="85">
        <v>0</v>
      </c>
      <c r="T312" s="86">
        <f>S312*H312</f>
        <v>0</v>
      </c>
      <c r="U312" s="23"/>
      <c r="V312" s="23"/>
      <c r="W312" s="23"/>
      <c r="X312" s="23"/>
      <c r="Y312" s="23"/>
      <c r="Z312" s="23"/>
      <c r="AA312" s="23"/>
      <c r="AB312" s="23"/>
      <c r="AC312" s="23"/>
      <c r="AD312" s="23"/>
      <c r="AE312" s="23"/>
      <c r="AR312" s="87" t="s">
        <v>223</v>
      </c>
      <c r="AT312" s="87" t="s">
        <v>218</v>
      </c>
      <c r="AU312" s="87" t="s">
        <v>77</v>
      </c>
      <c r="AY312" s="19" t="s">
        <v>216</v>
      </c>
      <c r="BE312" s="88">
        <f>IF(N312="základní",J312,0)</f>
        <v>0</v>
      </c>
      <c r="BF312" s="88">
        <f>IF(N312="snížená",J312,0)</f>
        <v>0</v>
      </c>
      <c r="BG312" s="88">
        <f>IF(N312="zákl. přenesená",J312,0)</f>
        <v>0</v>
      </c>
      <c r="BH312" s="88">
        <f>IF(N312="sníž. přenesená",J312,0)</f>
        <v>0</v>
      </c>
      <c r="BI312" s="88">
        <f>IF(N312="nulová",J312,0)</f>
        <v>0</v>
      </c>
      <c r="BJ312" s="19" t="s">
        <v>75</v>
      </c>
      <c r="BK312" s="88">
        <f>ROUND(I312*H312,2)</f>
        <v>0</v>
      </c>
      <c r="BL312" s="19" t="s">
        <v>223</v>
      </c>
      <c r="BM312" s="87" t="s">
        <v>470</v>
      </c>
    </row>
    <row r="313" spans="1:65" s="13" customFormat="1">
      <c r="A313" s="313"/>
      <c r="B313" s="314"/>
      <c r="C313" s="313"/>
      <c r="D313" s="315" t="s">
        <v>225</v>
      </c>
      <c r="E313" s="316" t="s">
        <v>3</v>
      </c>
      <c r="F313" s="317" t="s">
        <v>304</v>
      </c>
      <c r="G313" s="313"/>
      <c r="H313" s="316" t="s">
        <v>3</v>
      </c>
      <c r="I313" s="259"/>
      <c r="J313" s="259"/>
      <c r="K313" s="313"/>
      <c r="L313" s="89"/>
      <c r="M313" s="91"/>
      <c r="N313" s="92"/>
      <c r="O313" s="92"/>
      <c r="P313" s="92"/>
      <c r="Q313" s="92"/>
      <c r="R313" s="92"/>
      <c r="S313" s="92"/>
      <c r="T313" s="93"/>
      <c r="AT313" s="90" t="s">
        <v>225</v>
      </c>
      <c r="AU313" s="90" t="s">
        <v>77</v>
      </c>
      <c r="AV313" s="13" t="s">
        <v>75</v>
      </c>
      <c r="AW313" s="13" t="s">
        <v>30</v>
      </c>
      <c r="AX313" s="13" t="s">
        <v>68</v>
      </c>
      <c r="AY313" s="90" t="s">
        <v>216</v>
      </c>
    </row>
    <row r="314" spans="1:65" s="13" customFormat="1">
      <c r="A314" s="313"/>
      <c r="B314" s="314"/>
      <c r="C314" s="313"/>
      <c r="D314" s="315" t="s">
        <v>225</v>
      </c>
      <c r="E314" s="316" t="s">
        <v>3</v>
      </c>
      <c r="F314" s="317" t="s">
        <v>448</v>
      </c>
      <c r="G314" s="313"/>
      <c r="H314" s="316" t="s">
        <v>3</v>
      </c>
      <c r="I314" s="259"/>
      <c r="J314" s="259"/>
      <c r="K314" s="313"/>
      <c r="L314" s="89"/>
      <c r="M314" s="91"/>
      <c r="N314" s="92"/>
      <c r="O314" s="92"/>
      <c r="P314" s="92"/>
      <c r="Q314" s="92"/>
      <c r="R314" s="92"/>
      <c r="S314" s="92"/>
      <c r="T314" s="93"/>
      <c r="AT314" s="90" t="s">
        <v>225</v>
      </c>
      <c r="AU314" s="90" t="s">
        <v>77</v>
      </c>
      <c r="AV314" s="13" t="s">
        <v>75</v>
      </c>
      <c r="AW314" s="13" t="s">
        <v>30</v>
      </c>
      <c r="AX314" s="13" t="s">
        <v>68</v>
      </c>
      <c r="AY314" s="90" t="s">
        <v>216</v>
      </c>
    </row>
    <row r="315" spans="1:65" s="14" customFormat="1">
      <c r="A315" s="318"/>
      <c r="B315" s="319"/>
      <c r="C315" s="318"/>
      <c r="D315" s="315" t="s">
        <v>225</v>
      </c>
      <c r="E315" s="320" t="s">
        <v>3</v>
      </c>
      <c r="F315" s="321" t="s">
        <v>449</v>
      </c>
      <c r="G315" s="318"/>
      <c r="H315" s="322">
        <v>164.892</v>
      </c>
      <c r="I315" s="260"/>
      <c r="J315" s="260"/>
      <c r="K315" s="318"/>
      <c r="L315" s="94"/>
      <c r="M315" s="96"/>
      <c r="N315" s="97"/>
      <c r="O315" s="97"/>
      <c r="P315" s="97"/>
      <c r="Q315" s="97"/>
      <c r="R315" s="97"/>
      <c r="S315" s="97"/>
      <c r="T315" s="98"/>
      <c r="AT315" s="95" t="s">
        <v>225</v>
      </c>
      <c r="AU315" s="95" t="s">
        <v>77</v>
      </c>
      <c r="AV315" s="14" t="s">
        <v>77</v>
      </c>
      <c r="AW315" s="14" t="s">
        <v>30</v>
      </c>
      <c r="AX315" s="14" t="s">
        <v>68</v>
      </c>
      <c r="AY315" s="95" t="s">
        <v>216</v>
      </c>
    </row>
    <row r="316" spans="1:65" s="14" customFormat="1">
      <c r="A316" s="318"/>
      <c r="B316" s="319"/>
      <c r="C316" s="318"/>
      <c r="D316" s="315" t="s">
        <v>225</v>
      </c>
      <c r="E316" s="320" t="s">
        <v>3</v>
      </c>
      <c r="F316" s="321" t="s">
        <v>450</v>
      </c>
      <c r="G316" s="318"/>
      <c r="H316" s="322">
        <v>30.03</v>
      </c>
      <c r="I316" s="260"/>
      <c r="J316" s="260"/>
      <c r="K316" s="318"/>
      <c r="L316" s="94"/>
      <c r="M316" s="96"/>
      <c r="N316" s="97"/>
      <c r="O316" s="97"/>
      <c r="P316" s="97"/>
      <c r="Q316" s="97"/>
      <c r="R316" s="97"/>
      <c r="S316" s="97"/>
      <c r="T316" s="98"/>
      <c r="AT316" s="95" t="s">
        <v>225</v>
      </c>
      <c r="AU316" s="95" t="s">
        <v>77</v>
      </c>
      <c r="AV316" s="14" t="s">
        <v>77</v>
      </c>
      <c r="AW316" s="14" t="s">
        <v>30</v>
      </c>
      <c r="AX316" s="14" t="s">
        <v>68</v>
      </c>
      <c r="AY316" s="95" t="s">
        <v>216</v>
      </c>
    </row>
    <row r="317" spans="1:65" s="13" customFormat="1">
      <c r="A317" s="313"/>
      <c r="B317" s="314"/>
      <c r="C317" s="313"/>
      <c r="D317" s="315" t="s">
        <v>225</v>
      </c>
      <c r="E317" s="316" t="s">
        <v>3</v>
      </c>
      <c r="F317" s="317" t="s">
        <v>451</v>
      </c>
      <c r="G317" s="313"/>
      <c r="H317" s="316" t="s">
        <v>3</v>
      </c>
      <c r="I317" s="259"/>
      <c r="J317" s="259"/>
      <c r="K317" s="313"/>
      <c r="L317" s="89"/>
      <c r="M317" s="91"/>
      <c r="N317" s="92"/>
      <c r="O317" s="92"/>
      <c r="P317" s="92"/>
      <c r="Q317" s="92"/>
      <c r="R317" s="92"/>
      <c r="S317" s="92"/>
      <c r="T317" s="93"/>
      <c r="AT317" s="90" t="s">
        <v>225</v>
      </c>
      <c r="AU317" s="90" t="s">
        <v>77</v>
      </c>
      <c r="AV317" s="13" t="s">
        <v>75</v>
      </c>
      <c r="AW317" s="13" t="s">
        <v>30</v>
      </c>
      <c r="AX317" s="13" t="s">
        <v>68</v>
      </c>
      <c r="AY317" s="90" t="s">
        <v>216</v>
      </c>
    </row>
    <row r="318" spans="1:65" s="14" customFormat="1">
      <c r="A318" s="318"/>
      <c r="B318" s="319"/>
      <c r="C318" s="318"/>
      <c r="D318" s="315" t="s">
        <v>225</v>
      </c>
      <c r="E318" s="320" t="s">
        <v>3</v>
      </c>
      <c r="F318" s="321" t="s">
        <v>443</v>
      </c>
      <c r="G318" s="318"/>
      <c r="H318" s="322">
        <v>581.66700000000003</v>
      </c>
      <c r="I318" s="260"/>
      <c r="J318" s="260"/>
      <c r="K318" s="318"/>
      <c r="L318" s="94"/>
      <c r="M318" s="96"/>
      <c r="N318" s="97"/>
      <c r="O318" s="97"/>
      <c r="P318" s="97"/>
      <c r="Q318" s="97"/>
      <c r="R318" s="97"/>
      <c r="S318" s="97"/>
      <c r="T318" s="98"/>
      <c r="AT318" s="95" t="s">
        <v>225</v>
      </c>
      <c r="AU318" s="95" t="s">
        <v>77</v>
      </c>
      <c r="AV318" s="14" t="s">
        <v>77</v>
      </c>
      <c r="AW318" s="14" t="s">
        <v>30</v>
      </c>
      <c r="AX318" s="14" t="s">
        <v>68</v>
      </c>
      <c r="AY318" s="95" t="s">
        <v>216</v>
      </c>
    </row>
    <row r="319" spans="1:65" s="13" customFormat="1">
      <c r="A319" s="313"/>
      <c r="B319" s="314"/>
      <c r="C319" s="313"/>
      <c r="D319" s="315" t="s">
        <v>225</v>
      </c>
      <c r="E319" s="316" t="s">
        <v>3</v>
      </c>
      <c r="F319" s="317" t="s">
        <v>420</v>
      </c>
      <c r="G319" s="313"/>
      <c r="H319" s="316" t="s">
        <v>3</v>
      </c>
      <c r="I319" s="259"/>
      <c r="J319" s="259"/>
      <c r="K319" s="313"/>
      <c r="L319" s="89"/>
      <c r="M319" s="91"/>
      <c r="N319" s="92"/>
      <c r="O319" s="92"/>
      <c r="P319" s="92"/>
      <c r="Q319" s="92"/>
      <c r="R319" s="92"/>
      <c r="S319" s="92"/>
      <c r="T319" s="93"/>
      <c r="AT319" s="90" t="s">
        <v>225</v>
      </c>
      <c r="AU319" s="90" t="s">
        <v>77</v>
      </c>
      <c r="AV319" s="13" t="s">
        <v>75</v>
      </c>
      <c r="AW319" s="13" t="s">
        <v>30</v>
      </c>
      <c r="AX319" s="13" t="s">
        <v>68</v>
      </c>
      <c r="AY319" s="90" t="s">
        <v>216</v>
      </c>
    </row>
    <row r="320" spans="1:65" s="14" customFormat="1">
      <c r="A320" s="318"/>
      <c r="B320" s="319"/>
      <c r="C320" s="318"/>
      <c r="D320" s="315" t="s">
        <v>225</v>
      </c>
      <c r="E320" s="320" t="s">
        <v>3</v>
      </c>
      <c r="F320" s="321" t="s">
        <v>452</v>
      </c>
      <c r="G320" s="318"/>
      <c r="H320" s="322">
        <v>235.86199999999999</v>
      </c>
      <c r="I320" s="260"/>
      <c r="J320" s="260"/>
      <c r="K320" s="318"/>
      <c r="L320" s="94"/>
      <c r="M320" s="96"/>
      <c r="N320" s="97"/>
      <c r="O320" s="97"/>
      <c r="P320" s="97"/>
      <c r="Q320" s="97"/>
      <c r="R320" s="97"/>
      <c r="S320" s="97"/>
      <c r="T320" s="98"/>
      <c r="AT320" s="95" t="s">
        <v>225</v>
      </c>
      <c r="AU320" s="95" t="s">
        <v>77</v>
      </c>
      <c r="AV320" s="14" t="s">
        <v>77</v>
      </c>
      <c r="AW320" s="14" t="s">
        <v>30</v>
      </c>
      <c r="AX320" s="14" t="s">
        <v>68</v>
      </c>
      <c r="AY320" s="95" t="s">
        <v>216</v>
      </c>
    </row>
    <row r="321" spans="1:65" s="15" customFormat="1">
      <c r="A321" s="324"/>
      <c r="B321" s="325"/>
      <c r="C321" s="324"/>
      <c r="D321" s="315" t="s">
        <v>225</v>
      </c>
      <c r="E321" s="326" t="s">
        <v>3</v>
      </c>
      <c r="F321" s="327" t="s">
        <v>252</v>
      </c>
      <c r="G321" s="324"/>
      <c r="H321" s="328">
        <v>1012.451</v>
      </c>
      <c r="I321" s="261"/>
      <c r="J321" s="261"/>
      <c r="K321" s="324"/>
      <c r="L321" s="101"/>
      <c r="M321" s="103"/>
      <c r="N321" s="104"/>
      <c r="O321" s="104"/>
      <c r="P321" s="104"/>
      <c r="Q321" s="104"/>
      <c r="R321" s="104"/>
      <c r="S321" s="104"/>
      <c r="T321" s="105"/>
      <c r="AT321" s="102" t="s">
        <v>225</v>
      </c>
      <c r="AU321" s="102" t="s">
        <v>77</v>
      </c>
      <c r="AV321" s="15" t="s">
        <v>100</v>
      </c>
      <c r="AW321" s="15" t="s">
        <v>30</v>
      </c>
      <c r="AX321" s="15" t="s">
        <v>68</v>
      </c>
      <c r="AY321" s="102" t="s">
        <v>216</v>
      </c>
    </row>
    <row r="322" spans="1:65" s="13" customFormat="1">
      <c r="A322" s="313"/>
      <c r="B322" s="314"/>
      <c r="C322" s="313"/>
      <c r="D322" s="315" t="s">
        <v>225</v>
      </c>
      <c r="E322" s="316" t="s">
        <v>3</v>
      </c>
      <c r="F322" s="317" t="s">
        <v>471</v>
      </c>
      <c r="G322" s="313"/>
      <c r="H322" s="316" t="s">
        <v>3</v>
      </c>
      <c r="I322" s="259"/>
      <c r="J322" s="259"/>
      <c r="K322" s="313"/>
      <c r="L322" s="89"/>
      <c r="M322" s="91"/>
      <c r="N322" s="92"/>
      <c r="O322" s="92"/>
      <c r="P322" s="92"/>
      <c r="Q322" s="92"/>
      <c r="R322" s="92"/>
      <c r="S322" s="92"/>
      <c r="T322" s="93"/>
      <c r="AT322" s="90" t="s">
        <v>225</v>
      </c>
      <c r="AU322" s="90" t="s">
        <v>77</v>
      </c>
      <c r="AV322" s="13" t="s">
        <v>75</v>
      </c>
      <c r="AW322" s="13" t="s">
        <v>30</v>
      </c>
      <c r="AX322" s="13" t="s">
        <v>68</v>
      </c>
      <c r="AY322" s="90" t="s">
        <v>216</v>
      </c>
    </row>
    <row r="323" spans="1:65" s="14" customFormat="1">
      <c r="A323" s="318"/>
      <c r="B323" s="319"/>
      <c r="C323" s="318"/>
      <c r="D323" s="315" t="s">
        <v>225</v>
      </c>
      <c r="E323" s="320" t="s">
        <v>3</v>
      </c>
      <c r="F323" s="321" t="s">
        <v>472</v>
      </c>
      <c r="G323" s="318"/>
      <c r="H323" s="322">
        <v>-229.5</v>
      </c>
      <c r="I323" s="260"/>
      <c r="J323" s="260"/>
      <c r="K323" s="318"/>
      <c r="L323" s="94"/>
      <c r="M323" s="96"/>
      <c r="N323" s="97"/>
      <c r="O323" s="97"/>
      <c r="P323" s="97"/>
      <c r="Q323" s="97"/>
      <c r="R323" s="97"/>
      <c r="S323" s="97"/>
      <c r="T323" s="98"/>
      <c r="AT323" s="95" t="s">
        <v>225</v>
      </c>
      <c r="AU323" s="95" t="s">
        <v>77</v>
      </c>
      <c r="AV323" s="14" t="s">
        <v>77</v>
      </c>
      <c r="AW323" s="14" t="s">
        <v>30</v>
      </c>
      <c r="AX323" s="14" t="s">
        <v>68</v>
      </c>
      <c r="AY323" s="95" t="s">
        <v>216</v>
      </c>
    </row>
    <row r="324" spans="1:65" s="16" customFormat="1">
      <c r="A324" s="329"/>
      <c r="B324" s="330"/>
      <c r="C324" s="329"/>
      <c r="D324" s="315" t="s">
        <v>225</v>
      </c>
      <c r="E324" s="331" t="s">
        <v>3</v>
      </c>
      <c r="F324" s="332" t="s">
        <v>254</v>
      </c>
      <c r="G324" s="329"/>
      <c r="H324" s="333">
        <v>782.95100000000002</v>
      </c>
      <c r="I324" s="262"/>
      <c r="J324" s="262"/>
      <c r="K324" s="329"/>
      <c r="L324" s="106"/>
      <c r="M324" s="108"/>
      <c r="N324" s="109"/>
      <c r="O324" s="109"/>
      <c r="P324" s="109"/>
      <c r="Q324" s="109"/>
      <c r="R324" s="109"/>
      <c r="S324" s="109"/>
      <c r="T324" s="110"/>
      <c r="AT324" s="107" t="s">
        <v>225</v>
      </c>
      <c r="AU324" s="107" t="s">
        <v>77</v>
      </c>
      <c r="AV324" s="16" t="s">
        <v>223</v>
      </c>
      <c r="AW324" s="16" t="s">
        <v>30</v>
      </c>
      <c r="AX324" s="16" t="s">
        <v>75</v>
      </c>
      <c r="AY324" s="107" t="s">
        <v>216</v>
      </c>
    </row>
    <row r="325" spans="1:65" s="2" customFormat="1" ht="21.6" customHeight="1">
      <c r="A325" s="269"/>
      <c r="B325" s="270"/>
      <c r="C325" s="308" t="s">
        <v>473</v>
      </c>
      <c r="D325" s="308" t="s">
        <v>218</v>
      </c>
      <c r="E325" s="309" t="s">
        <v>474</v>
      </c>
      <c r="F325" s="310" t="s">
        <v>475</v>
      </c>
      <c r="G325" s="311" t="s">
        <v>286</v>
      </c>
      <c r="H325" s="312">
        <v>581.66700000000003</v>
      </c>
      <c r="I325" s="82">
        <v>0</v>
      </c>
      <c r="J325" s="82">
        <f>ROUND(I325*H325,2)</f>
        <v>0</v>
      </c>
      <c r="K325" s="310" t="s">
        <v>222</v>
      </c>
      <c r="L325" s="24"/>
      <c r="M325" s="83" t="s">
        <v>3</v>
      </c>
      <c r="N325" s="84" t="s">
        <v>39</v>
      </c>
      <c r="O325" s="85">
        <v>0.39</v>
      </c>
      <c r="P325" s="85">
        <f>O325*H325</f>
        <v>226.85013000000001</v>
      </c>
      <c r="Q325" s="85">
        <v>1.54E-2</v>
      </c>
      <c r="R325" s="85">
        <f>Q325*H325</f>
        <v>8.9576718</v>
      </c>
      <c r="S325" s="85">
        <v>0</v>
      </c>
      <c r="T325" s="86">
        <f>S325*H325</f>
        <v>0</v>
      </c>
      <c r="U325" s="23"/>
      <c r="V325" s="23"/>
      <c r="W325" s="23"/>
      <c r="X325" s="23"/>
      <c r="Y325" s="23"/>
      <c r="Z325" s="23"/>
      <c r="AA325" s="23"/>
      <c r="AB325" s="23"/>
      <c r="AC325" s="23"/>
      <c r="AD325" s="23"/>
      <c r="AE325" s="23"/>
      <c r="AR325" s="87" t="s">
        <v>223</v>
      </c>
      <c r="AT325" s="87" t="s">
        <v>218</v>
      </c>
      <c r="AU325" s="87" t="s">
        <v>77</v>
      </c>
      <c r="AY325" s="19" t="s">
        <v>216</v>
      </c>
      <c r="BE325" s="88">
        <f>IF(N325="základní",J325,0)</f>
        <v>0</v>
      </c>
      <c r="BF325" s="88">
        <f>IF(N325="snížená",J325,0)</f>
        <v>0</v>
      </c>
      <c r="BG325" s="88">
        <f>IF(N325="zákl. přenesená",J325,0)</f>
        <v>0</v>
      </c>
      <c r="BH325" s="88">
        <f>IF(N325="sníž. přenesená",J325,0)</f>
        <v>0</v>
      </c>
      <c r="BI325" s="88">
        <f>IF(N325="nulová",J325,0)</f>
        <v>0</v>
      </c>
      <c r="BJ325" s="19" t="s">
        <v>75</v>
      </c>
      <c r="BK325" s="88">
        <f>ROUND(I325*H325,2)</f>
        <v>0</v>
      </c>
      <c r="BL325" s="19" t="s">
        <v>223</v>
      </c>
      <c r="BM325" s="87" t="s">
        <v>476</v>
      </c>
    </row>
    <row r="326" spans="1:65" s="2" customFormat="1" ht="58.5">
      <c r="A326" s="269"/>
      <c r="B326" s="270"/>
      <c r="C326" s="269"/>
      <c r="D326" s="315" t="s">
        <v>231</v>
      </c>
      <c r="E326" s="269"/>
      <c r="F326" s="323" t="s">
        <v>424</v>
      </c>
      <c r="G326" s="269"/>
      <c r="H326" s="269"/>
      <c r="I326" s="248"/>
      <c r="J326" s="248"/>
      <c r="K326" s="269"/>
      <c r="L326" s="24"/>
      <c r="M326" s="99"/>
      <c r="N326" s="100"/>
      <c r="O326" s="32"/>
      <c r="P326" s="32"/>
      <c r="Q326" s="32"/>
      <c r="R326" s="32"/>
      <c r="S326" s="32"/>
      <c r="T326" s="33"/>
      <c r="U326" s="23"/>
      <c r="V326" s="23"/>
      <c r="W326" s="23"/>
      <c r="X326" s="23"/>
      <c r="Y326" s="23"/>
      <c r="Z326" s="23"/>
      <c r="AA326" s="23"/>
      <c r="AB326" s="23"/>
      <c r="AC326" s="23"/>
      <c r="AD326" s="23"/>
      <c r="AE326" s="23"/>
      <c r="AT326" s="19" t="s">
        <v>231</v>
      </c>
      <c r="AU326" s="19" t="s">
        <v>77</v>
      </c>
    </row>
    <row r="327" spans="1:65" s="13" customFormat="1">
      <c r="A327" s="313"/>
      <c r="B327" s="314"/>
      <c r="C327" s="313"/>
      <c r="D327" s="315" t="s">
        <v>225</v>
      </c>
      <c r="E327" s="316" t="s">
        <v>3</v>
      </c>
      <c r="F327" s="317" t="s">
        <v>304</v>
      </c>
      <c r="G327" s="313"/>
      <c r="H327" s="316" t="s">
        <v>3</v>
      </c>
      <c r="I327" s="259"/>
      <c r="J327" s="259"/>
      <c r="K327" s="313"/>
      <c r="L327" s="89"/>
      <c r="M327" s="91"/>
      <c r="N327" s="92"/>
      <c r="O327" s="92"/>
      <c r="P327" s="92"/>
      <c r="Q327" s="92"/>
      <c r="R327" s="92"/>
      <c r="S327" s="92"/>
      <c r="T327" s="93"/>
      <c r="AT327" s="90" t="s">
        <v>225</v>
      </c>
      <c r="AU327" s="90" t="s">
        <v>77</v>
      </c>
      <c r="AV327" s="13" t="s">
        <v>75</v>
      </c>
      <c r="AW327" s="13" t="s">
        <v>30</v>
      </c>
      <c r="AX327" s="13" t="s">
        <v>68</v>
      </c>
      <c r="AY327" s="90" t="s">
        <v>216</v>
      </c>
    </row>
    <row r="328" spans="1:65" s="14" customFormat="1">
      <c r="A328" s="318"/>
      <c r="B328" s="319"/>
      <c r="C328" s="318"/>
      <c r="D328" s="315" t="s">
        <v>225</v>
      </c>
      <c r="E328" s="320" t="s">
        <v>3</v>
      </c>
      <c r="F328" s="321" t="s">
        <v>477</v>
      </c>
      <c r="G328" s="318"/>
      <c r="H328" s="322">
        <v>129.54599999999999</v>
      </c>
      <c r="I328" s="260"/>
      <c r="J328" s="260"/>
      <c r="K328" s="318"/>
      <c r="L328" s="94"/>
      <c r="M328" s="96"/>
      <c r="N328" s="97"/>
      <c r="O328" s="97"/>
      <c r="P328" s="97"/>
      <c r="Q328" s="97"/>
      <c r="R328" s="97"/>
      <c r="S328" s="97"/>
      <c r="T328" s="98"/>
      <c r="AT328" s="95" t="s">
        <v>225</v>
      </c>
      <c r="AU328" s="95" t="s">
        <v>77</v>
      </c>
      <c r="AV328" s="14" t="s">
        <v>77</v>
      </c>
      <c r="AW328" s="14" t="s">
        <v>30</v>
      </c>
      <c r="AX328" s="14" t="s">
        <v>68</v>
      </c>
      <c r="AY328" s="95" t="s">
        <v>216</v>
      </c>
    </row>
    <row r="329" spans="1:65" s="14" customFormat="1">
      <c r="A329" s="318"/>
      <c r="B329" s="319"/>
      <c r="C329" s="318"/>
      <c r="D329" s="315" t="s">
        <v>225</v>
      </c>
      <c r="E329" s="320" t="s">
        <v>3</v>
      </c>
      <c r="F329" s="321" t="s">
        <v>478</v>
      </c>
      <c r="G329" s="318"/>
      <c r="H329" s="322">
        <v>81.224000000000004</v>
      </c>
      <c r="I329" s="260"/>
      <c r="J329" s="260"/>
      <c r="K329" s="318"/>
      <c r="L329" s="94"/>
      <c r="M329" s="96"/>
      <c r="N329" s="97"/>
      <c r="O329" s="97"/>
      <c r="P329" s="97"/>
      <c r="Q329" s="97"/>
      <c r="R329" s="97"/>
      <c r="S329" s="97"/>
      <c r="T329" s="98"/>
      <c r="AT329" s="95" t="s">
        <v>225</v>
      </c>
      <c r="AU329" s="95" t="s">
        <v>77</v>
      </c>
      <c r="AV329" s="14" t="s">
        <v>77</v>
      </c>
      <c r="AW329" s="14" t="s">
        <v>30</v>
      </c>
      <c r="AX329" s="14" t="s">
        <v>68</v>
      </c>
      <c r="AY329" s="95" t="s">
        <v>216</v>
      </c>
    </row>
    <row r="330" spans="1:65" s="14" customFormat="1">
      <c r="A330" s="318"/>
      <c r="B330" s="319"/>
      <c r="C330" s="318"/>
      <c r="D330" s="315" t="s">
        <v>225</v>
      </c>
      <c r="E330" s="320" t="s">
        <v>3</v>
      </c>
      <c r="F330" s="321" t="s">
        <v>479</v>
      </c>
      <c r="G330" s="318"/>
      <c r="H330" s="322">
        <v>170.215</v>
      </c>
      <c r="I330" s="260"/>
      <c r="J330" s="260"/>
      <c r="K330" s="318"/>
      <c r="L330" s="94"/>
      <c r="M330" s="96"/>
      <c r="N330" s="97"/>
      <c r="O330" s="97"/>
      <c r="P330" s="97"/>
      <c r="Q330" s="97"/>
      <c r="R330" s="97"/>
      <c r="S330" s="97"/>
      <c r="T330" s="98"/>
      <c r="AT330" s="95" t="s">
        <v>225</v>
      </c>
      <c r="AU330" s="95" t="s">
        <v>77</v>
      </c>
      <c r="AV330" s="14" t="s">
        <v>77</v>
      </c>
      <c r="AW330" s="14" t="s">
        <v>30</v>
      </c>
      <c r="AX330" s="14" t="s">
        <v>68</v>
      </c>
      <c r="AY330" s="95" t="s">
        <v>216</v>
      </c>
    </row>
    <row r="331" spans="1:65" s="14" customFormat="1">
      <c r="A331" s="318"/>
      <c r="B331" s="319"/>
      <c r="C331" s="318"/>
      <c r="D331" s="315" t="s">
        <v>225</v>
      </c>
      <c r="E331" s="320" t="s">
        <v>3</v>
      </c>
      <c r="F331" s="321" t="s">
        <v>480</v>
      </c>
      <c r="G331" s="318"/>
      <c r="H331" s="322">
        <v>112.973</v>
      </c>
      <c r="I331" s="260"/>
      <c r="J331" s="260"/>
      <c r="K331" s="318"/>
      <c r="L331" s="94"/>
      <c r="M331" s="96"/>
      <c r="N331" s="97"/>
      <c r="O331" s="97"/>
      <c r="P331" s="97"/>
      <c r="Q331" s="97"/>
      <c r="R331" s="97"/>
      <c r="S331" s="97"/>
      <c r="T331" s="98"/>
      <c r="AT331" s="95" t="s">
        <v>225</v>
      </c>
      <c r="AU331" s="95" t="s">
        <v>77</v>
      </c>
      <c r="AV331" s="14" t="s">
        <v>77</v>
      </c>
      <c r="AW331" s="14" t="s">
        <v>30</v>
      </c>
      <c r="AX331" s="14" t="s">
        <v>68</v>
      </c>
      <c r="AY331" s="95" t="s">
        <v>216</v>
      </c>
    </row>
    <row r="332" spans="1:65" s="14" customFormat="1">
      <c r="A332" s="318"/>
      <c r="B332" s="319"/>
      <c r="C332" s="318"/>
      <c r="D332" s="315" t="s">
        <v>225</v>
      </c>
      <c r="E332" s="320" t="s">
        <v>3</v>
      </c>
      <c r="F332" s="321" t="s">
        <v>481</v>
      </c>
      <c r="G332" s="318"/>
      <c r="H332" s="322">
        <v>44.396000000000001</v>
      </c>
      <c r="I332" s="260"/>
      <c r="J332" s="260"/>
      <c r="K332" s="318"/>
      <c r="L332" s="94"/>
      <c r="M332" s="96"/>
      <c r="N332" s="97"/>
      <c r="O332" s="97"/>
      <c r="P332" s="97"/>
      <c r="Q332" s="97"/>
      <c r="R332" s="97"/>
      <c r="S332" s="97"/>
      <c r="T332" s="98"/>
      <c r="AT332" s="95" t="s">
        <v>225</v>
      </c>
      <c r="AU332" s="95" t="s">
        <v>77</v>
      </c>
      <c r="AV332" s="14" t="s">
        <v>77</v>
      </c>
      <c r="AW332" s="14" t="s">
        <v>30</v>
      </c>
      <c r="AX332" s="14" t="s">
        <v>68</v>
      </c>
      <c r="AY332" s="95" t="s">
        <v>216</v>
      </c>
    </row>
    <row r="333" spans="1:65" s="14" customFormat="1">
      <c r="A333" s="318"/>
      <c r="B333" s="319"/>
      <c r="C333" s="318"/>
      <c r="D333" s="315" t="s">
        <v>225</v>
      </c>
      <c r="E333" s="320" t="s">
        <v>3</v>
      </c>
      <c r="F333" s="321" t="s">
        <v>482</v>
      </c>
      <c r="G333" s="318"/>
      <c r="H333" s="322">
        <v>43.313000000000002</v>
      </c>
      <c r="I333" s="260"/>
      <c r="J333" s="260"/>
      <c r="K333" s="318"/>
      <c r="L333" s="94"/>
      <c r="M333" s="96"/>
      <c r="N333" s="97"/>
      <c r="O333" s="97"/>
      <c r="P333" s="97"/>
      <c r="Q333" s="97"/>
      <c r="R333" s="97"/>
      <c r="S333" s="97"/>
      <c r="T333" s="98"/>
      <c r="AT333" s="95" t="s">
        <v>225</v>
      </c>
      <c r="AU333" s="95" t="s">
        <v>77</v>
      </c>
      <c r="AV333" s="14" t="s">
        <v>77</v>
      </c>
      <c r="AW333" s="14" t="s">
        <v>30</v>
      </c>
      <c r="AX333" s="14" t="s">
        <v>68</v>
      </c>
      <c r="AY333" s="95" t="s">
        <v>216</v>
      </c>
    </row>
    <row r="334" spans="1:65" s="16" customFormat="1">
      <c r="A334" s="329"/>
      <c r="B334" s="330"/>
      <c r="C334" s="329"/>
      <c r="D334" s="315" t="s">
        <v>225</v>
      </c>
      <c r="E334" s="331" t="s">
        <v>3</v>
      </c>
      <c r="F334" s="332" t="s">
        <v>254</v>
      </c>
      <c r="G334" s="329"/>
      <c r="H334" s="333">
        <v>581.66700000000003</v>
      </c>
      <c r="I334" s="262"/>
      <c r="J334" s="262"/>
      <c r="K334" s="329"/>
      <c r="L334" s="106"/>
      <c r="M334" s="108"/>
      <c r="N334" s="109"/>
      <c r="O334" s="109"/>
      <c r="P334" s="109"/>
      <c r="Q334" s="109"/>
      <c r="R334" s="109"/>
      <c r="S334" s="109"/>
      <c r="T334" s="110"/>
      <c r="AT334" s="107" t="s">
        <v>225</v>
      </c>
      <c r="AU334" s="107" t="s">
        <v>77</v>
      </c>
      <c r="AV334" s="16" t="s">
        <v>223</v>
      </c>
      <c r="AW334" s="16" t="s">
        <v>30</v>
      </c>
      <c r="AX334" s="16" t="s">
        <v>75</v>
      </c>
      <c r="AY334" s="107" t="s">
        <v>216</v>
      </c>
    </row>
    <row r="335" spans="1:65" s="2" customFormat="1" ht="21.6" customHeight="1">
      <c r="A335" s="269"/>
      <c r="B335" s="270"/>
      <c r="C335" s="308" t="s">
        <v>483</v>
      </c>
      <c r="D335" s="308" t="s">
        <v>218</v>
      </c>
      <c r="E335" s="309" t="s">
        <v>484</v>
      </c>
      <c r="F335" s="310" t="s">
        <v>485</v>
      </c>
      <c r="G335" s="311" t="s">
        <v>286</v>
      </c>
      <c r="H335" s="312">
        <v>872.50099999999998</v>
      </c>
      <c r="I335" s="82">
        <v>0</v>
      </c>
      <c r="J335" s="82">
        <f>ROUND(I335*H335,2)</f>
        <v>0</v>
      </c>
      <c r="K335" s="310" t="s">
        <v>222</v>
      </c>
      <c r="L335" s="24"/>
      <c r="M335" s="83" t="s">
        <v>3</v>
      </c>
      <c r="N335" s="84" t="s">
        <v>39</v>
      </c>
      <c r="O335" s="85">
        <v>0.09</v>
      </c>
      <c r="P335" s="85">
        <f>O335*H335</f>
        <v>78.525089999999992</v>
      </c>
      <c r="Q335" s="85">
        <v>7.9000000000000008E-3</v>
      </c>
      <c r="R335" s="85">
        <f>Q335*H335</f>
        <v>6.8927579000000003</v>
      </c>
      <c r="S335" s="85">
        <v>0</v>
      </c>
      <c r="T335" s="86">
        <f>S335*H335</f>
        <v>0</v>
      </c>
      <c r="U335" s="23"/>
      <c r="V335" s="23"/>
      <c r="W335" s="23"/>
      <c r="X335" s="23"/>
      <c r="Y335" s="23"/>
      <c r="Z335" s="23"/>
      <c r="AA335" s="23"/>
      <c r="AB335" s="23"/>
      <c r="AC335" s="23"/>
      <c r="AD335" s="23"/>
      <c r="AE335" s="23"/>
      <c r="AR335" s="87" t="s">
        <v>223</v>
      </c>
      <c r="AT335" s="87" t="s">
        <v>218</v>
      </c>
      <c r="AU335" s="87" t="s">
        <v>77</v>
      </c>
      <c r="AY335" s="19" t="s">
        <v>216</v>
      </c>
      <c r="BE335" s="88">
        <f>IF(N335="základní",J335,0)</f>
        <v>0</v>
      </c>
      <c r="BF335" s="88">
        <f>IF(N335="snížená",J335,0)</f>
        <v>0</v>
      </c>
      <c r="BG335" s="88">
        <f>IF(N335="zákl. přenesená",J335,0)</f>
        <v>0</v>
      </c>
      <c r="BH335" s="88">
        <f>IF(N335="sníž. přenesená",J335,0)</f>
        <v>0</v>
      </c>
      <c r="BI335" s="88">
        <f>IF(N335="nulová",J335,0)</f>
        <v>0</v>
      </c>
      <c r="BJ335" s="19" t="s">
        <v>75</v>
      </c>
      <c r="BK335" s="88">
        <f>ROUND(I335*H335,2)</f>
        <v>0</v>
      </c>
      <c r="BL335" s="19" t="s">
        <v>223</v>
      </c>
      <c r="BM335" s="87" t="s">
        <v>486</v>
      </c>
    </row>
    <row r="336" spans="1:65" s="2" customFormat="1" ht="58.5">
      <c r="A336" s="269"/>
      <c r="B336" s="270"/>
      <c r="C336" s="269"/>
      <c r="D336" s="315" t="s">
        <v>231</v>
      </c>
      <c r="E336" s="269"/>
      <c r="F336" s="323" t="s">
        <v>424</v>
      </c>
      <c r="G336" s="269"/>
      <c r="H336" s="269"/>
      <c r="I336" s="248"/>
      <c r="J336" s="248"/>
      <c r="K336" s="269"/>
      <c r="L336" s="24"/>
      <c r="M336" s="99"/>
      <c r="N336" s="100"/>
      <c r="O336" s="32"/>
      <c r="P336" s="32"/>
      <c r="Q336" s="32"/>
      <c r="R336" s="32"/>
      <c r="S336" s="32"/>
      <c r="T336" s="33"/>
      <c r="U336" s="23"/>
      <c r="V336" s="23"/>
      <c r="W336" s="23"/>
      <c r="X336" s="23"/>
      <c r="Y336" s="23"/>
      <c r="Z336" s="23"/>
      <c r="AA336" s="23"/>
      <c r="AB336" s="23"/>
      <c r="AC336" s="23"/>
      <c r="AD336" s="23"/>
      <c r="AE336" s="23"/>
      <c r="AT336" s="19" t="s">
        <v>231</v>
      </c>
      <c r="AU336" s="19" t="s">
        <v>77</v>
      </c>
    </row>
    <row r="337" spans="1:65" s="13" customFormat="1">
      <c r="A337" s="313"/>
      <c r="B337" s="314"/>
      <c r="C337" s="313"/>
      <c r="D337" s="315" t="s">
        <v>225</v>
      </c>
      <c r="E337" s="316" t="s">
        <v>3</v>
      </c>
      <c r="F337" s="317" t="s">
        <v>241</v>
      </c>
      <c r="G337" s="313"/>
      <c r="H337" s="316" t="s">
        <v>3</v>
      </c>
      <c r="I337" s="259"/>
      <c r="J337" s="259"/>
      <c r="K337" s="313"/>
      <c r="L337" s="89"/>
      <c r="M337" s="91"/>
      <c r="N337" s="92"/>
      <c r="O337" s="92"/>
      <c r="P337" s="92"/>
      <c r="Q337" s="92"/>
      <c r="R337" s="92"/>
      <c r="S337" s="92"/>
      <c r="T337" s="93"/>
      <c r="AT337" s="90" t="s">
        <v>225</v>
      </c>
      <c r="AU337" s="90" t="s">
        <v>77</v>
      </c>
      <c r="AV337" s="13" t="s">
        <v>75</v>
      </c>
      <c r="AW337" s="13" t="s">
        <v>30</v>
      </c>
      <c r="AX337" s="13" t="s">
        <v>68</v>
      </c>
      <c r="AY337" s="90" t="s">
        <v>216</v>
      </c>
    </row>
    <row r="338" spans="1:65" s="14" customFormat="1">
      <c r="A338" s="318"/>
      <c r="B338" s="319"/>
      <c r="C338" s="318"/>
      <c r="D338" s="315" t="s">
        <v>225</v>
      </c>
      <c r="E338" s="320" t="s">
        <v>3</v>
      </c>
      <c r="F338" s="321" t="s">
        <v>443</v>
      </c>
      <c r="G338" s="318"/>
      <c r="H338" s="322">
        <v>581.66700000000003</v>
      </c>
      <c r="I338" s="260"/>
      <c r="J338" s="260"/>
      <c r="K338" s="318"/>
      <c r="L338" s="94"/>
      <c r="M338" s="96"/>
      <c r="N338" s="97"/>
      <c r="O338" s="97"/>
      <c r="P338" s="97"/>
      <c r="Q338" s="97"/>
      <c r="R338" s="97"/>
      <c r="S338" s="97"/>
      <c r="T338" s="98"/>
      <c r="AT338" s="95" t="s">
        <v>225</v>
      </c>
      <c r="AU338" s="95" t="s">
        <v>77</v>
      </c>
      <c r="AV338" s="14" t="s">
        <v>77</v>
      </c>
      <c r="AW338" s="14" t="s">
        <v>30</v>
      </c>
      <c r="AX338" s="14" t="s">
        <v>68</v>
      </c>
      <c r="AY338" s="95" t="s">
        <v>216</v>
      </c>
    </row>
    <row r="339" spans="1:65" s="14" customFormat="1">
      <c r="A339" s="318"/>
      <c r="B339" s="319"/>
      <c r="C339" s="318"/>
      <c r="D339" s="315" t="s">
        <v>225</v>
      </c>
      <c r="E339" s="320" t="s">
        <v>3</v>
      </c>
      <c r="F339" s="321" t="s">
        <v>487</v>
      </c>
      <c r="G339" s="318"/>
      <c r="H339" s="322">
        <v>290.834</v>
      </c>
      <c r="I339" s="260"/>
      <c r="J339" s="260"/>
      <c r="K339" s="318"/>
      <c r="L339" s="94"/>
      <c r="M339" s="96"/>
      <c r="N339" s="97"/>
      <c r="O339" s="97"/>
      <c r="P339" s="97"/>
      <c r="Q339" s="97"/>
      <c r="R339" s="97"/>
      <c r="S339" s="97"/>
      <c r="T339" s="98"/>
      <c r="AT339" s="95" t="s">
        <v>225</v>
      </c>
      <c r="AU339" s="95" t="s">
        <v>77</v>
      </c>
      <c r="AV339" s="14" t="s">
        <v>77</v>
      </c>
      <c r="AW339" s="14" t="s">
        <v>30</v>
      </c>
      <c r="AX339" s="14" t="s">
        <v>68</v>
      </c>
      <c r="AY339" s="95" t="s">
        <v>216</v>
      </c>
    </row>
    <row r="340" spans="1:65" s="16" customFormat="1">
      <c r="A340" s="329"/>
      <c r="B340" s="330"/>
      <c r="C340" s="329"/>
      <c r="D340" s="315" t="s">
        <v>225</v>
      </c>
      <c r="E340" s="331" t="s">
        <v>3</v>
      </c>
      <c r="F340" s="332" t="s">
        <v>254</v>
      </c>
      <c r="G340" s="329"/>
      <c r="H340" s="333">
        <v>872.50099999999998</v>
      </c>
      <c r="I340" s="262"/>
      <c r="J340" s="262"/>
      <c r="K340" s="329"/>
      <c r="L340" s="106"/>
      <c r="M340" s="108"/>
      <c r="N340" s="109"/>
      <c r="O340" s="109"/>
      <c r="P340" s="109"/>
      <c r="Q340" s="109"/>
      <c r="R340" s="109"/>
      <c r="S340" s="109"/>
      <c r="T340" s="110"/>
      <c r="AT340" s="107" t="s">
        <v>225</v>
      </c>
      <c r="AU340" s="107" t="s">
        <v>77</v>
      </c>
      <c r="AV340" s="16" t="s">
        <v>223</v>
      </c>
      <c r="AW340" s="16" t="s">
        <v>30</v>
      </c>
      <c r="AX340" s="16" t="s">
        <v>75</v>
      </c>
      <c r="AY340" s="107" t="s">
        <v>216</v>
      </c>
    </row>
    <row r="341" spans="1:65" s="2" customFormat="1" ht="21.6" customHeight="1">
      <c r="A341" s="269"/>
      <c r="B341" s="270"/>
      <c r="C341" s="308" t="s">
        <v>488</v>
      </c>
      <c r="D341" s="308" t="s">
        <v>218</v>
      </c>
      <c r="E341" s="309" t="s">
        <v>489</v>
      </c>
      <c r="F341" s="310" t="s">
        <v>490</v>
      </c>
      <c r="G341" s="311" t="s">
        <v>286</v>
      </c>
      <c r="H341" s="312">
        <v>235.86199999999999</v>
      </c>
      <c r="I341" s="82">
        <v>0</v>
      </c>
      <c r="J341" s="82">
        <f>ROUND(I341*H341,2)</f>
        <v>0</v>
      </c>
      <c r="K341" s="310" t="s">
        <v>222</v>
      </c>
      <c r="L341" s="24"/>
      <c r="M341" s="83" t="s">
        <v>3</v>
      </c>
      <c r="N341" s="84" t="s">
        <v>39</v>
      </c>
      <c r="O341" s="85">
        <v>0.40500000000000003</v>
      </c>
      <c r="P341" s="85">
        <f>O341*H341</f>
        <v>95.524110000000007</v>
      </c>
      <c r="Q341" s="85">
        <v>2.6200000000000001E-2</v>
      </c>
      <c r="R341" s="85">
        <f>Q341*H341</f>
        <v>6.1795844000000004</v>
      </c>
      <c r="S341" s="85">
        <v>0</v>
      </c>
      <c r="T341" s="86">
        <f>S341*H341</f>
        <v>0</v>
      </c>
      <c r="U341" s="23"/>
      <c r="V341" s="23"/>
      <c r="W341" s="23"/>
      <c r="X341" s="23"/>
      <c r="Y341" s="23"/>
      <c r="Z341" s="23"/>
      <c r="AA341" s="23"/>
      <c r="AB341" s="23"/>
      <c r="AC341" s="23"/>
      <c r="AD341" s="23"/>
      <c r="AE341" s="23"/>
      <c r="AR341" s="87" t="s">
        <v>223</v>
      </c>
      <c r="AT341" s="87" t="s">
        <v>218</v>
      </c>
      <c r="AU341" s="87" t="s">
        <v>77</v>
      </c>
      <c r="AY341" s="19" t="s">
        <v>216</v>
      </c>
      <c r="BE341" s="88">
        <f>IF(N341="základní",J341,0)</f>
        <v>0</v>
      </c>
      <c r="BF341" s="88">
        <f>IF(N341="snížená",J341,0)</f>
        <v>0</v>
      </c>
      <c r="BG341" s="88">
        <f>IF(N341="zákl. přenesená",J341,0)</f>
        <v>0</v>
      </c>
      <c r="BH341" s="88">
        <f>IF(N341="sníž. přenesená",J341,0)</f>
        <v>0</v>
      </c>
      <c r="BI341" s="88">
        <f>IF(N341="nulová",J341,0)</f>
        <v>0</v>
      </c>
      <c r="BJ341" s="19" t="s">
        <v>75</v>
      </c>
      <c r="BK341" s="88">
        <f>ROUND(I341*H341,2)</f>
        <v>0</v>
      </c>
      <c r="BL341" s="19" t="s">
        <v>223</v>
      </c>
      <c r="BM341" s="87" t="s">
        <v>491</v>
      </c>
    </row>
    <row r="342" spans="1:65" s="2" customFormat="1" ht="39">
      <c r="A342" s="269"/>
      <c r="B342" s="270"/>
      <c r="C342" s="269"/>
      <c r="D342" s="315" t="s">
        <v>231</v>
      </c>
      <c r="E342" s="269"/>
      <c r="F342" s="323" t="s">
        <v>435</v>
      </c>
      <c r="G342" s="269"/>
      <c r="H342" s="269"/>
      <c r="I342" s="248"/>
      <c r="J342" s="248"/>
      <c r="K342" s="269"/>
      <c r="L342" s="24"/>
      <c r="M342" s="99"/>
      <c r="N342" s="100"/>
      <c r="O342" s="32"/>
      <c r="P342" s="32"/>
      <c r="Q342" s="32"/>
      <c r="R342" s="32"/>
      <c r="S342" s="32"/>
      <c r="T342" s="33"/>
      <c r="U342" s="23"/>
      <c r="V342" s="23"/>
      <c r="W342" s="23"/>
      <c r="X342" s="23"/>
      <c r="Y342" s="23"/>
      <c r="Z342" s="23"/>
      <c r="AA342" s="23"/>
      <c r="AB342" s="23"/>
      <c r="AC342" s="23"/>
      <c r="AD342" s="23"/>
      <c r="AE342" s="23"/>
      <c r="AT342" s="19" t="s">
        <v>231</v>
      </c>
      <c r="AU342" s="19" t="s">
        <v>77</v>
      </c>
    </row>
    <row r="343" spans="1:65" s="13" customFormat="1">
      <c r="A343" s="313"/>
      <c r="B343" s="314"/>
      <c r="C343" s="313"/>
      <c r="D343" s="315" t="s">
        <v>225</v>
      </c>
      <c r="E343" s="316" t="s">
        <v>3</v>
      </c>
      <c r="F343" s="317" t="s">
        <v>304</v>
      </c>
      <c r="G343" s="313"/>
      <c r="H343" s="316" t="s">
        <v>3</v>
      </c>
      <c r="I343" s="259"/>
      <c r="J343" s="259"/>
      <c r="K343" s="313"/>
      <c r="L343" s="89"/>
      <c r="M343" s="91"/>
      <c r="N343" s="92"/>
      <c r="O343" s="92"/>
      <c r="P343" s="92"/>
      <c r="Q343" s="92"/>
      <c r="R343" s="92"/>
      <c r="S343" s="92"/>
      <c r="T343" s="93"/>
      <c r="AT343" s="90" t="s">
        <v>225</v>
      </c>
      <c r="AU343" s="90" t="s">
        <v>77</v>
      </c>
      <c r="AV343" s="13" t="s">
        <v>75</v>
      </c>
      <c r="AW343" s="13" t="s">
        <v>30</v>
      </c>
      <c r="AX343" s="13" t="s">
        <v>68</v>
      </c>
      <c r="AY343" s="90" t="s">
        <v>216</v>
      </c>
    </row>
    <row r="344" spans="1:65" s="13" customFormat="1">
      <c r="A344" s="313"/>
      <c r="B344" s="314"/>
      <c r="C344" s="313"/>
      <c r="D344" s="315" t="s">
        <v>225</v>
      </c>
      <c r="E344" s="316" t="s">
        <v>3</v>
      </c>
      <c r="F344" s="317" t="s">
        <v>436</v>
      </c>
      <c r="G344" s="313"/>
      <c r="H344" s="316" t="s">
        <v>3</v>
      </c>
      <c r="I344" s="259"/>
      <c r="J344" s="259"/>
      <c r="K344" s="313"/>
      <c r="L344" s="89"/>
      <c r="M344" s="91"/>
      <c r="N344" s="92"/>
      <c r="O344" s="92"/>
      <c r="P344" s="92"/>
      <c r="Q344" s="92"/>
      <c r="R344" s="92"/>
      <c r="S344" s="92"/>
      <c r="T344" s="93"/>
      <c r="AT344" s="90" t="s">
        <v>225</v>
      </c>
      <c r="AU344" s="90" t="s">
        <v>77</v>
      </c>
      <c r="AV344" s="13" t="s">
        <v>75</v>
      </c>
      <c r="AW344" s="13" t="s">
        <v>30</v>
      </c>
      <c r="AX344" s="13" t="s">
        <v>68</v>
      </c>
      <c r="AY344" s="90" t="s">
        <v>216</v>
      </c>
    </row>
    <row r="345" spans="1:65" s="14" customFormat="1">
      <c r="A345" s="318"/>
      <c r="B345" s="319"/>
      <c r="C345" s="318"/>
      <c r="D345" s="315" t="s">
        <v>225</v>
      </c>
      <c r="E345" s="320" t="s">
        <v>3</v>
      </c>
      <c r="F345" s="321" t="s">
        <v>492</v>
      </c>
      <c r="G345" s="318"/>
      <c r="H345" s="322">
        <v>40.249000000000002</v>
      </c>
      <c r="I345" s="260"/>
      <c r="J345" s="260"/>
      <c r="K345" s="318"/>
      <c r="L345" s="94"/>
      <c r="M345" s="96"/>
      <c r="N345" s="97"/>
      <c r="O345" s="97"/>
      <c r="P345" s="97"/>
      <c r="Q345" s="97"/>
      <c r="R345" s="97"/>
      <c r="S345" s="97"/>
      <c r="T345" s="98"/>
      <c r="AT345" s="95" t="s">
        <v>225</v>
      </c>
      <c r="AU345" s="95" t="s">
        <v>77</v>
      </c>
      <c r="AV345" s="14" t="s">
        <v>77</v>
      </c>
      <c r="AW345" s="14" t="s">
        <v>30</v>
      </c>
      <c r="AX345" s="14" t="s">
        <v>68</v>
      </c>
      <c r="AY345" s="95" t="s">
        <v>216</v>
      </c>
    </row>
    <row r="346" spans="1:65" s="14" customFormat="1">
      <c r="A346" s="318"/>
      <c r="B346" s="319"/>
      <c r="C346" s="318"/>
      <c r="D346" s="315" t="s">
        <v>225</v>
      </c>
      <c r="E346" s="320" t="s">
        <v>3</v>
      </c>
      <c r="F346" s="321" t="s">
        <v>493</v>
      </c>
      <c r="G346" s="318"/>
      <c r="H346" s="322">
        <v>46.398000000000003</v>
      </c>
      <c r="I346" s="260"/>
      <c r="J346" s="260"/>
      <c r="K346" s="318"/>
      <c r="L346" s="94"/>
      <c r="M346" s="96"/>
      <c r="N346" s="97"/>
      <c r="O346" s="97"/>
      <c r="P346" s="97"/>
      <c r="Q346" s="97"/>
      <c r="R346" s="97"/>
      <c r="S346" s="97"/>
      <c r="T346" s="98"/>
      <c r="AT346" s="95" t="s">
        <v>225</v>
      </c>
      <c r="AU346" s="95" t="s">
        <v>77</v>
      </c>
      <c r="AV346" s="14" t="s">
        <v>77</v>
      </c>
      <c r="AW346" s="14" t="s">
        <v>30</v>
      </c>
      <c r="AX346" s="14" t="s">
        <v>68</v>
      </c>
      <c r="AY346" s="95" t="s">
        <v>216</v>
      </c>
    </row>
    <row r="347" spans="1:65" s="14" customFormat="1">
      <c r="A347" s="318"/>
      <c r="B347" s="319"/>
      <c r="C347" s="318"/>
      <c r="D347" s="315" t="s">
        <v>225</v>
      </c>
      <c r="E347" s="320" t="s">
        <v>3</v>
      </c>
      <c r="F347" s="321" t="s">
        <v>494</v>
      </c>
      <c r="G347" s="318"/>
      <c r="H347" s="322">
        <v>109.224</v>
      </c>
      <c r="I347" s="260"/>
      <c r="J347" s="260"/>
      <c r="K347" s="318"/>
      <c r="L347" s="94"/>
      <c r="M347" s="96"/>
      <c r="N347" s="97"/>
      <c r="O347" s="97"/>
      <c r="P347" s="97"/>
      <c r="Q347" s="97"/>
      <c r="R347" s="97"/>
      <c r="S347" s="97"/>
      <c r="T347" s="98"/>
      <c r="AT347" s="95" t="s">
        <v>225</v>
      </c>
      <c r="AU347" s="95" t="s">
        <v>77</v>
      </c>
      <c r="AV347" s="14" t="s">
        <v>77</v>
      </c>
      <c r="AW347" s="14" t="s">
        <v>30</v>
      </c>
      <c r="AX347" s="14" t="s">
        <v>68</v>
      </c>
      <c r="AY347" s="95" t="s">
        <v>216</v>
      </c>
    </row>
    <row r="348" spans="1:65" s="14" customFormat="1">
      <c r="A348" s="318"/>
      <c r="B348" s="319"/>
      <c r="C348" s="318"/>
      <c r="D348" s="315" t="s">
        <v>225</v>
      </c>
      <c r="E348" s="320" t="s">
        <v>3</v>
      </c>
      <c r="F348" s="321" t="s">
        <v>495</v>
      </c>
      <c r="G348" s="318"/>
      <c r="H348" s="322">
        <v>39.991</v>
      </c>
      <c r="I348" s="260"/>
      <c r="J348" s="260"/>
      <c r="K348" s="318"/>
      <c r="L348" s="94"/>
      <c r="M348" s="96"/>
      <c r="N348" s="97"/>
      <c r="O348" s="97"/>
      <c r="P348" s="97"/>
      <c r="Q348" s="97"/>
      <c r="R348" s="97"/>
      <c r="S348" s="97"/>
      <c r="T348" s="98"/>
      <c r="AT348" s="95" t="s">
        <v>225</v>
      </c>
      <c r="AU348" s="95" t="s">
        <v>77</v>
      </c>
      <c r="AV348" s="14" t="s">
        <v>77</v>
      </c>
      <c r="AW348" s="14" t="s">
        <v>30</v>
      </c>
      <c r="AX348" s="14" t="s">
        <v>68</v>
      </c>
      <c r="AY348" s="95" t="s">
        <v>216</v>
      </c>
    </row>
    <row r="349" spans="1:65" s="16" customFormat="1">
      <c r="A349" s="329"/>
      <c r="B349" s="330"/>
      <c r="C349" s="329"/>
      <c r="D349" s="315" t="s">
        <v>225</v>
      </c>
      <c r="E349" s="331" t="s">
        <v>3</v>
      </c>
      <c r="F349" s="332" t="s">
        <v>254</v>
      </c>
      <c r="G349" s="329"/>
      <c r="H349" s="333">
        <v>235.86199999999999</v>
      </c>
      <c r="I349" s="262"/>
      <c r="J349" s="262"/>
      <c r="K349" s="329"/>
      <c r="L349" s="106"/>
      <c r="M349" s="108"/>
      <c r="N349" s="109"/>
      <c r="O349" s="109"/>
      <c r="P349" s="109"/>
      <c r="Q349" s="109"/>
      <c r="R349" s="109"/>
      <c r="S349" s="109"/>
      <c r="T349" s="110"/>
      <c r="AT349" s="107" t="s">
        <v>225</v>
      </c>
      <c r="AU349" s="107" t="s">
        <v>77</v>
      </c>
      <c r="AV349" s="16" t="s">
        <v>223</v>
      </c>
      <c r="AW349" s="16" t="s">
        <v>30</v>
      </c>
      <c r="AX349" s="16" t="s">
        <v>75</v>
      </c>
      <c r="AY349" s="107" t="s">
        <v>216</v>
      </c>
    </row>
    <row r="350" spans="1:65" s="2" customFormat="1" ht="21.6" customHeight="1">
      <c r="A350" s="269"/>
      <c r="B350" s="270"/>
      <c r="C350" s="308" t="s">
        <v>496</v>
      </c>
      <c r="D350" s="308" t="s">
        <v>218</v>
      </c>
      <c r="E350" s="309" t="s">
        <v>497</v>
      </c>
      <c r="F350" s="310" t="s">
        <v>498</v>
      </c>
      <c r="G350" s="311" t="s">
        <v>286</v>
      </c>
      <c r="H350" s="312">
        <v>100</v>
      </c>
      <c r="I350" s="82">
        <v>0</v>
      </c>
      <c r="J350" s="82">
        <f>ROUND(I350*H350,2)</f>
        <v>0</v>
      </c>
      <c r="K350" s="310" t="s">
        <v>222</v>
      </c>
      <c r="L350" s="24"/>
      <c r="M350" s="83" t="s">
        <v>3</v>
      </c>
      <c r="N350" s="84" t="s">
        <v>39</v>
      </c>
      <c r="O350" s="85">
        <v>0.04</v>
      </c>
      <c r="P350" s="85">
        <f>O350*H350</f>
        <v>4</v>
      </c>
      <c r="Q350" s="85">
        <v>0</v>
      </c>
      <c r="R350" s="85">
        <f>Q350*H350</f>
        <v>0</v>
      </c>
      <c r="S350" s="85">
        <v>0</v>
      </c>
      <c r="T350" s="86">
        <f>S350*H350</f>
        <v>0</v>
      </c>
      <c r="U350" s="23"/>
      <c r="V350" s="23"/>
      <c r="W350" s="23"/>
      <c r="X350" s="23"/>
      <c r="Y350" s="23"/>
      <c r="Z350" s="23"/>
      <c r="AA350" s="23"/>
      <c r="AB350" s="23"/>
      <c r="AC350" s="23"/>
      <c r="AD350" s="23"/>
      <c r="AE350" s="23"/>
      <c r="AR350" s="87" t="s">
        <v>223</v>
      </c>
      <c r="AT350" s="87" t="s">
        <v>218</v>
      </c>
      <c r="AU350" s="87" t="s">
        <v>77</v>
      </c>
      <c r="AY350" s="19" t="s">
        <v>216</v>
      </c>
      <c r="BE350" s="88">
        <f>IF(N350="základní",J350,0)</f>
        <v>0</v>
      </c>
      <c r="BF350" s="88">
        <f>IF(N350="snížená",J350,0)</f>
        <v>0</v>
      </c>
      <c r="BG350" s="88">
        <f>IF(N350="zákl. přenesená",J350,0)</f>
        <v>0</v>
      </c>
      <c r="BH350" s="88">
        <f>IF(N350="sníž. přenesená",J350,0)</f>
        <v>0</v>
      </c>
      <c r="BI350" s="88">
        <f>IF(N350="nulová",J350,0)</f>
        <v>0</v>
      </c>
      <c r="BJ350" s="19" t="s">
        <v>75</v>
      </c>
      <c r="BK350" s="88">
        <f>ROUND(I350*H350,2)</f>
        <v>0</v>
      </c>
      <c r="BL350" s="19" t="s">
        <v>223</v>
      </c>
      <c r="BM350" s="87" t="s">
        <v>499</v>
      </c>
    </row>
    <row r="351" spans="1:65" s="2" customFormat="1" ht="48.75">
      <c r="A351" s="269"/>
      <c r="B351" s="270"/>
      <c r="C351" s="269"/>
      <c r="D351" s="315" t="s">
        <v>231</v>
      </c>
      <c r="E351" s="269"/>
      <c r="F351" s="323" t="s">
        <v>500</v>
      </c>
      <c r="G351" s="269"/>
      <c r="H351" s="269"/>
      <c r="I351" s="248"/>
      <c r="J351" s="248"/>
      <c r="K351" s="269"/>
      <c r="L351" s="24"/>
      <c r="M351" s="99"/>
      <c r="N351" s="100"/>
      <c r="O351" s="32"/>
      <c r="P351" s="32"/>
      <c r="Q351" s="32"/>
      <c r="R351" s="32"/>
      <c r="S351" s="32"/>
      <c r="T351" s="33"/>
      <c r="U351" s="23"/>
      <c r="V351" s="23"/>
      <c r="W351" s="23"/>
      <c r="X351" s="23"/>
      <c r="Y351" s="23"/>
      <c r="Z351" s="23"/>
      <c r="AA351" s="23"/>
      <c r="AB351" s="23"/>
      <c r="AC351" s="23"/>
      <c r="AD351" s="23"/>
      <c r="AE351" s="23"/>
      <c r="AT351" s="19" t="s">
        <v>231</v>
      </c>
      <c r="AU351" s="19" t="s">
        <v>77</v>
      </c>
    </row>
    <row r="352" spans="1:65" s="13" customFormat="1">
      <c r="A352" s="313"/>
      <c r="B352" s="314"/>
      <c r="C352" s="313"/>
      <c r="D352" s="315" t="s">
        <v>225</v>
      </c>
      <c r="E352" s="316" t="s">
        <v>3</v>
      </c>
      <c r="F352" s="317" t="s">
        <v>241</v>
      </c>
      <c r="G352" s="313"/>
      <c r="H352" s="316" t="s">
        <v>3</v>
      </c>
      <c r="I352" s="259"/>
      <c r="J352" s="259"/>
      <c r="K352" s="313"/>
      <c r="L352" s="89"/>
      <c r="M352" s="91"/>
      <c r="N352" s="92"/>
      <c r="O352" s="92"/>
      <c r="P352" s="92"/>
      <c r="Q352" s="92"/>
      <c r="R352" s="92"/>
      <c r="S352" s="92"/>
      <c r="T352" s="93"/>
      <c r="AT352" s="90" t="s">
        <v>225</v>
      </c>
      <c r="AU352" s="90" t="s">
        <v>77</v>
      </c>
      <c r="AV352" s="13" t="s">
        <v>75</v>
      </c>
      <c r="AW352" s="13" t="s">
        <v>30</v>
      </c>
      <c r="AX352" s="13" t="s">
        <v>68</v>
      </c>
      <c r="AY352" s="90" t="s">
        <v>216</v>
      </c>
    </row>
    <row r="353" spans="1:65" s="14" customFormat="1">
      <c r="A353" s="318"/>
      <c r="B353" s="319"/>
      <c r="C353" s="318"/>
      <c r="D353" s="315" t="s">
        <v>225</v>
      </c>
      <c r="E353" s="320" t="s">
        <v>3</v>
      </c>
      <c r="F353" s="321" t="s">
        <v>501</v>
      </c>
      <c r="G353" s="318"/>
      <c r="H353" s="322">
        <v>100</v>
      </c>
      <c r="I353" s="260"/>
      <c r="J353" s="260"/>
      <c r="K353" s="318"/>
      <c r="L353" s="94"/>
      <c r="M353" s="96"/>
      <c r="N353" s="97"/>
      <c r="O353" s="97"/>
      <c r="P353" s="97"/>
      <c r="Q353" s="97"/>
      <c r="R353" s="97"/>
      <c r="S353" s="97"/>
      <c r="T353" s="98"/>
      <c r="AT353" s="95" t="s">
        <v>225</v>
      </c>
      <c r="AU353" s="95" t="s">
        <v>77</v>
      </c>
      <c r="AV353" s="14" t="s">
        <v>77</v>
      </c>
      <c r="AW353" s="14" t="s">
        <v>30</v>
      </c>
      <c r="AX353" s="14" t="s">
        <v>75</v>
      </c>
      <c r="AY353" s="95" t="s">
        <v>216</v>
      </c>
    </row>
    <row r="354" spans="1:65" s="2" customFormat="1" ht="21.6" customHeight="1">
      <c r="A354" s="269"/>
      <c r="B354" s="270"/>
      <c r="C354" s="308" t="s">
        <v>502</v>
      </c>
      <c r="D354" s="308" t="s">
        <v>218</v>
      </c>
      <c r="E354" s="309" t="s">
        <v>503</v>
      </c>
      <c r="F354" s="310" t="s">
        <v>504</v>
      </c>
      <c r="G354" s="311" t="s">
        <v>286</v>
      </c>
      <c r="H354" s="312">
        <v>66.992000000000004</v>
      </c>
      <c r="I354" s="82">
        <v>0</v>
      </c>
      <c r="J354" s="82">
        <f>ROUND(I354*H354,2)</f>
        <v>0</v>
      </c>
      <c r="K354" s="310" t="s">
        <v>222</v>
      </c>
      <c r="L354" s="24"/>
      <c r="M354" s="83" t="s">
        <v>3</v>
      </c>
      <c r="N354" s="84" t="s">
        <v>39</v>
      </c>
      <c r="O354" s="85">
        <v>0.08</v>
      </c>
      <c r="P354" s="85">
        <f>O354*H354</f>
        <v>5.3593600000000006</v>
      </c>
      <c r="Q354" s="85">
        <v>0</v>
      </c>
      <c r="R354" s="85">
        <f>Q354*H354</f>
        <v>0</v>
      </c>
      <c r="S354" s="85">
        <v>0</v>
      </c>
      <c r="T354" s="86">
        <f>S354*H354</f>
        <v>0</v>
      </c>
      <c r="U354" s="23"/>
      <c r="V354" s="23"/>
      <c r="W354" s="23"/>
      <c r="X354" s="23"/>
      <c r="Y354" s="23"/>
      <c r="Z354" s="23"/>
      <c r="AA354" s="23"/>
      <c r="AB354" s="23"/>
      <c r="AC354" s="23"/>
      <c r="AD354" s="23"/>
      <c r="AE354" s="23"/>
      <c r="AR354" s="87" t="s">
        <v>223</v>
      </c>
      <c r="AT354" s="87" t="s">
        <v>218</v>
      </c>
      <c r="AU354" s="87" t="s">
        <v>77</v>
      </c>
      <c r="AY354" s="19" t="s">
        <v>216</v>
      </c>
      <c r="BE354" s="88">
        <f>IF(N354="základní",J354,0)</f>
        <v>0</v>
      </c>
      <c r="BF354" s="88">
        <f>IF(N354="snížená",J354,0)</f>
        <v>0</v>
      </c>
      <c r="BG354" s="88">
        <f>IF(N354="zákl. přenesená",J354,0)</f>
        <v>0</v>
      </c>
      <c r="BH354" s="88">
        <f>IF(N354="sníž. přenesená",J354,0)</f>
        <v>0</v>
      </c>
      <c r="BI354" s="88">
        <f>IF(N354="nulová",J354,0)</f>
        <v>0</v>
      </c>
      <c r="BJ354" s="19" t="s">
        <v>75</v>
      </c>
      <c r="BK354" s="88">
        <f>ROUND(I354*H354,2)</f>
        <v>0</v>
      </c>
      <c r="BL354" s="19" t="s">
        <v>223</v>
      </c>
      <c r="BM354" s="87" t="s">
        <v>505</v>
      </c>
    </row>
    <row r="355" spans="1:65" s="2" customFormat="1" ht="48.75">
      <c r="A355" s="269"/>
      <c r="B355" s="270"/>
      <c r="C355" s="269"/>
      <c r="D355" s="315" t="s">
        <v>231</v>
      </c>
      <c r="E355" s="269"/>
      <c r="F355" s="323" t="s">
        <v>500</v>
      </c>
      <c r="G355" s="269"/>
      <c r="H355" s="269"/>
      <c r="I355" s="248"/>
      <c r="J355" s="248"/>
      <c r="K355" s="269"/>
      <c r="L355" s="24"/>
      <c r="M355" s="99"/>
      <c r="N355" s="100"/>
      <c r="O355" s="32"/>
      <c r="P355" s="32"/>
      <c r="Q355" s="32"/>
      <c r="R355" s="32"/>
      <c r="S355" s="32"/>
      <c r="T355" s="33"/>
      <c r="U355" s="23"/>
      <c r="V355" s="23"/>
      <c r="W355" s="23"/>
      <c r="X355" s="23"/>
      <c r="Y355" s="23"/>
      <c r="Z355" s="23"/>
      <c r="AA355" s="23"/>
      <c r="AB355" s="23"/>
      <c r="AC355" s="23"/>
      <c r="AD355" s="23"/>
      <c r="AE355" s="23"/>
      <c r="AT355" s="19" t="s">
        <v>231</v>
      </c>
      <c r="AU355" s="19" t="s">
        <v>77</v>
      </c>
    </row>
    <row r="356" spans="1:65" s="13" customFormat="1">
      <c r="A356" s="313"/>
      <c r="B356" s="314"/>
      <c r="C356" s="313"/>
      <c r="D356" s="315" t="s">
        <v>225</v>
      </c>
      <c r="E356" s="316" t="s">
        <v>3</v>
      </c>
      <c r="F356" s="317" t="s">
        <v>241</v>
      </c>
      <c r="G356" s="313"/>
      <c r="H356" s="316" t="s">
        <v>3</v>
      </c>
      <c r="I356" s="259"/>
      <c r="J356" s="259"/>
      <c r="K356" s="313"/>
      <c r="L356" s="89"/>
      <c r="M356" s="91"/>
      <c r="N356" s="92"/>
      <c r="O356" s="92"/>
      <c r="P356" s="92"/>
      <c r="Q356" s="92"/>
      <c r="R356" s="92"/>
      <c r="S356" s="92"/>
      <c r="T356" s="93"/>
      <c r="AT356" s="90" t="s">
        <v>225</v>
      </c>
      <c r="AU356" s="90" t="s">
        <v>77</v>
      </c>
      <c r="AV356" s="13" t="s">
        <v>75</v>
      </c>
      <c r="AW356" s="13" t="s">
        <v>30</v>
      </c>
      <c r="AX356" s="13" t="s">
        <v>68</v>
      </c>
      <c r="AY356" s="90" t="s">
        <v>216</v>
      </c>
    </row>
    <row r="357" spans="1:65" s="13" customFormat="1">
      <c r="A357" s="313"/>
      <c r="B357" s="314"/>
      <c r="C357" s="313"/>
      <c r="D357" s="315" t="s">
        <v>225</v>
      </c>
      <c r="E357" s="316" t="s">
        <v>3</v>
      </c>
      <c r="F357" s="317" t="s">
        <v>506</v>
      </c>
      <c r="G357" s="313"/>
      <c r="H357" s="316" t="s">
        <v>3</v>
      </c>
      <c r="I357" s="259"/>
      <c r="J357" s="259"/>
      <c r="K357" s="313"/>
      <c r="L357" s="89"/>
      <c r="M357" s="91"/>
      <c r="N357" s="92"/>
      <c r="O357" s="92"/>
      <c r="P357" s="92"/>
      <c r="Q357" s="92"/>
      <c r="R357" s="92"/>
      <c r="S357" s="92"/>
      <c r="T357" s="93"/>
      <c r="AT357" s="90" t="s">
        <v>225</v>
      </c>
      <c r="AU357" s="90" t="s">
        <v>77</v>
      </c>
      <c r="AV357" s="13" t="s">
        <v>75</v>
      </c>
      <c r="AW357" s="13" t="s">
        <v>30</v>
      </c>
      <c r="AX357" s="13" t="s">
        <v>68</v>
      </c>
      <c r="AY357" s="90" t="s">
        <v>216</v>
      </c>
    </row>
    <row r="358" spans="1:65" s="14" customFormat="1">
      <c r="A358" s="318"/>
      <c r="B358" s="319"/>
      <c r="C358" s="318"/>
      <c r="D358" s="315" t="s">
        <v>225</v>
      </c>
      <c r="E358" s="320" t="s">
        <v>3</v>
      </c>
      <c r="F358" s="321" t="s">
        <v>507</v>
      </c>
      <c r="G358" s="318"/>
      <c r="H358" s="322">
        <v>23.062999999999999</v>
      </c>
      <c r="I358" s="260"/>
      <c r="J358" s="260"/>
      <c r="K358" s="318"/>
      <c r="L358" s="94"/>
      <c r="M358" s="96"/>
      <c r="N358" s="97"/>
      <c r="O358" s="97"/>
      <c r="P358" s="97"/>
      <c r="Q358" s="97"/>
      <c r="R358" s="97"/>
      <c r="S358" s="97"/>
      <c r="T358" s="98"/>
      <c r="AT358" s="95" t="s">
        <v>225</v>
      </c>
      <c r="AU358" s="95" t="s">
        <v>77</v>
      </c>
      <c r="AV358" s="14" t="s">
        <v>77</v>
      </c>
      <c r="AW358" s="14" t="s">
        <v>30</v>
      </c>
      <c r="AX358" s="14" t="s">
        <v>68</v>
      </c>
      <c r="AY358" s="95" t="s">
        <v>216</v>
      </c>
    </row>
    <row r="359" spans="1:65" s="14" customFormat="1">
      <c r="A359" s="318"/>
      <c r="B359" s="319"/>
      <c r="C359" s="318"/>
      <c r="D359" s="315" t="s">
        <v>225</v>
      </c>
      <c r="E359" s="320" t="s">
        <v>3</v>
      </c>
      <c r="F359" s="321" t="s">
        <v>508</v>
      </c>
      <c r="G359" s="318"/>
      <c r="H359" s="322">
        <v>3.22</v>
      </c>
      <c r="I359" s="260"/>
      <c r="J359" s="260"/>
      <c r="K359" s="318"/>
      <c r="L359" s="94"/>
      <c r="M359" s="96"/>
      <c r="N359" s="97"/>
      <c r="O359" s="97"/>
      <c r="P359" s="97"/>
      <c r="Q359" s="97"/>
      <c r="R359" s="97"/>
      <c r="S359" s="97"/>
      <c r="T359" s="98"/>
      <c r="AT359" s="95" t="s">
        <v>225</v>
      </c>
      <c r="AU359" s="95" t="s">
        <v>77</v>
      </c>
      <c r="AV359" s="14" t="s">
        <v>77</v>
      </c>
      <c r="AW359" s="14" t="s">
        <v>30</v>
      </c>
      <c r="AX359" s="14" t="s">
        <v>68</v>
      </c>
      <c r="AY359" s="95" t="s">
        <v>216</v>
      </c>
    </row>
    <row r="360" spans="1:65" s="14" customFormat="1">
      <c r="A360" s="318"/>
      <c r="B360" s="319"/>
      <c r="C360" s="318"/>
      <c r="D360" s="315" t="s">
        <v>225</v>
      </c>
      <c r="E360" s="320" t="s">
        <v>3</v>
      </c>
      <c r="F360" s="321" t="s">
        <v>509</v>
      </c>
      <c r="G360" s="318"/>
      <c r="H360" s="322">
        <v>7.7560000000000002</v>
      </c>
      <c r="I360" s="260"/>
      <c r="J360" s="260"/>
      <c r="K360" s="318"/>
      <c r="L360" s="94"/>
      <c r="M360" s="96"/>
      <c r="N360" s="97"/>
      <c r="O360" s="97"/>
      <c r="P360" s="97"/>
      <c r="Q360" s="97"/>
      <c r="R360" s="97"/>
      <c r="S360" s="97"/>
      <c r="T360" s="98"/>
      <c r="AT360" s="95" t="s">
        <v>225</v>
      </c>
      <c r="AU360" s="95" t="s">
        <v>77</v>
      </c>
      <c r="AV360" s="14" t="s">
        <v>77</v>
      </c>
      <c r="AW360" s="14" t="s">
        <v>30</v>
      </c>
      <c r="AX360" s="14" t="s">
        <v>68</v>
      </c>
      <c r="AY360" s="95" t="s">
        <v>216</v>
      </c>
    </row>
    <row r="361" spans="1:65" s="14" customFormat="1">
      <c r="A361" s="318"/>
      <c r="B361" s="319"/>
      <c r="C361" s="318"/>
      <c r="D361" s="315" t="s">
        <v>225</v>
      </c>
      <c r="E361" s="320" t="s">
        <v>3</v>
      </c>
      <c r="F361" s="321" t="s">
        <v>510</v>
      </c>
      <c r="G361" s="318"/>
      <c r="H361" s="322">
        <v>14.013999999999999</v>
      </c>
      <c r="I361" s="260"/>
      <c r="J361" s="260"/>
      <c r="K361" s="318"/>
      <c r="L361" s="94"/>
      <c r="M361" s="96"/>
      <c r="N361" s="97"/>
      <c r="O361" s="97"/>
      <c r="P361" s="97"/>
      <c r="Q361" s="97"/>
      <c r="R361" s="97"/>
      <c r="S361" s="97"/>
      <c r="T361" s="98"/>
      <c r="AT361" s="95" t="s">
        <v>225</v>
      </c>
      <c r="AU361" s="95" t="s">
        <v>77</v>
      </c>
      <c r="AV361" s="14" t="s">
        <v>77</v>
      </c>
      <c r="AW361" s="14" t="s">
        <v>30</v>
      </c>
      <c r="AX361" s="14" t="s">
        <v>68</v>
      </c>
      <c r="AY361" s="95" t="s">
        <v>216</v>
      </c>
    </row>
    <row r="362" spans="1:65" s="14" customFormat="1">
      <c r="A362" s="318"/>
      <c r="B362" s="319"/>
      <c r="C362" s="318"/>
      <c r="D362" s="315" t="s">
        <v>225</v>
      </c>
      <c r="E362" s="320" t="s">
        <v>3</v>
      </c>
      <c r="F362" s="321" t="s">
        <v>511</v>
      </c>
      <c r="G362" s="318"/>
      <c r="H362" s="322">
        <v>2.6949999999999998</v>
      </c>
      <c r="I362" s="260"/>
      <c r="J362" s="260"/>
      <c r="K362" s="318"/>
      <c r="L362" s="94"/>
      <c r="M362" s="96"/>
      <c r="N362" s="97"/>
      <c r="O362" s="97"/>
      <c r="P362" s="97"/>
      <c r="Q362" s="97"/>
      <c r="R362" s="97"/>
      <c r="S362" s="97"/>
      <c r="T362" s="98"/>
      <c r="AT362" s="95" t="s">
        <v>225</v>
      </c>
      <c r="AU362" s="95" t="s">
        <v>77</v>
      </c>
      <c r="AV362" s="14" t="s">
        <v>77</v>
      </c>
      <c r="AW362" s="14" t="s">
        <v>30</v>
      </c>
      <c r="AX362" s="14" t="s">
        <v>68</v>
      </c>
      <c r="AY362" s="95" t="s">
        <v>216</v>
      </c>
    </row>
    <row r="363" spans="1:65" s="14" customFormat="1">
      <c r="A363" s="318"/>
      <c r="B363" s="319"/>
      <c r="C363" s="318"/>
      <c r="D363" s="315" t="s">
        <v>225</v>
      </c>
      <c r="E363" s="320" t="s">
        <v>3</v>
      </c>
      <c r="F363" s="321" t="s">
        <v>512</v>
      </c>
      <c r="G363" s="318"/>
      <c r="H363" s="322">
        <v>3.7440000000000002</v>
      </c>
      <c r="I363" s="260"/>
      <c r="J363" s="260"/>
      <c r="K363" s="318"/>
      <c r="L363" s="94"/>
      <c r="M363" s="96"/>
      <c r="N363" s="97"/>
      <c r="O363" s="97"/>
      <c r="P363" s="97"/>
      <c r="Q363" s="97"/>
      <c r="R363" s="97"/>
      <c r="S363" s="97"/>
      <c r="T363" s="98"/>
      <c r="AT363" s="95" t="s">
        <v>225</v>
      </c>
      <c r="AU363" s="95" t="s">
        <v>77</v>
      </c>
      <c r="AV363" s="14" t="s">
        <v>77</v>
      </c>
      <c r="AW363" s="14" t="s">
        <v>30</v>
      </c>
      <c r="AX363" s="14" t="s">
        <v>68</v>
      </c>
      <c r="AY363" s="95" t="s">
        <v>216</v>
      </c>
    </row>
    <row r="364" spans="1:65" s="13" customFormat="1">
      <c r="A364" s="313"/>
      <c r="B364" s="314"/>
      <c r="C364" s="313"/>
      <c r="D364" s="315" t="s">
        <v>225</v>
      </c>
      <c r="E364" s="316" t="s">
        <v>3</v>
      </c>
      <c r="F364" s="317" t="s">
        <v>513</v>
      </c>
      <c r="G364" s="313"/>
      <c r="H364" s="316" t="s">
        <v>3</v>
      </c>
      <c r="I364" s="259"/>
      <c r="J364" s="259"/>
      <c r="K364" s="313"/>
      <c r="L364" s="89"/>
      <c r="M364" s="91"/>
      <c r="N364" s="92"/>
      <c r="O364" s="92"/>
      <c r="P364" s="92"/>
      <c r="Q364" s="92"/>
      <c r="R364" s="92"/>
      <c r="S364" s="92"/>
      <c r="T364" s="93"/>
      <c r="AT364" s="90" t="s">
        <v>225</v>
      </c>
      <c r="AU364" s="90" t="s">
        <v>77</v>
      </c>
      <c r="AV364" s="13" t="s">
        <v>75</v>
      </c>
      <c r="AW364" s="13" t="s">
        <v>30</v>
      </c>
      <c r="AX364" s="13" t="s">
        <v>68</v>
      </c>
      <c r="AY364" s="90" t="s">
        <v>216</v>
      </c>
    </row>
    <row r="365" spans="1:65" s="14" customFormat="1">
      <c r="A365" s="318"/>
      <c r="B365" s="319"/>
      <c r="C365" s="318"/>
      <c r="D365" s="315" t="s">
        <v>225</v>
      </c>
      <c r="E365" s="320" t="s">
        <v>3</v>
      </c>
      <c r="F365" s="321" t="s">
        <v>514</v>
      </c>
      <c r="G365" s="318"/>
      <c r="H365" s="322">
        <v>12.5</v>
      </c>
      <c r="I365" s="260"/>
      <c r="J365" s="260"/>
      <c r="K365" s="318"/>
      <c r="L365" s="94"/>
      <c r="M365" s="96"/>
      <c r="N365" s="97"/>
      <c r="O365" s="97"/>
      <c r="P365" s="97"/>
      <c r="Q365" s="97"/>
      <c r="R365" s="97"/>
      <c r="S365" s="97"/>
      <c r="T365" s="98"/>
      <c r="AT365" s="95" t="s">
        <v>225</v>
      </c>
      <c r="AU365" s="95" t="s">
        <v>77</v>
      </c>
      <c r="AV365" s="14" t="s">
        <v>77</v>
      </c>
      <c r="AW365" s="14" t="s">
        <v>30</v>
      </c>
      <c r="AX365" s="14" t="s">
        <v>68</v>
      </c>
      <c r="AY365" s="95" t="s">
        <v>216</v>
      </c>
    </row>
    <row r="366" spans="1:65" s="16" customFormat="1">
      <c r="A366" s="329"/>
      <c r="B366" s="330"/>
      <c r="C366" s="329"/>
      <c r="D366" s="315" t="s">
        <v>225</v>
      </c>
      <c r="E366" s="331" t="s">
        <v>3</v>
      </c>
      <c r="F366" s="332" t="s">
        <v>254</v>
      </c>
      <c r="G366" s="329"/>
      <c r="H366" s="333">
        <v>66.992000000000004</v>
      </c>
      <c r="I366" s="262"/>
      <c r="J366" s="262"/>
      <c r="K366" s="329"/>
      <c r="L366" s="106"/>
      <c r="M366" s="108"/>
      <c r="N366" s="109"/>
      <c r="O366" s="109"/>
      <c r="P366" s="109"/>
      <c r="Q366" s="109"/>
      <c r="R366" s="109"/>
      <c r="S366" s="109"/>
      <c r="T366" s="110"/>
      <c r="AT366" s="107" t="s">
        <v>225</v>
      </c>
      <c r="AU366" s="107" t="s">
        <v>77</v>
      </c>
      <c r="AV366" s="16" t="s">
        <v>223</v>
      </c>
      <c r="AW366" s="16" t="s">
        <v>30</v>
      </c>
      <c r="AX366" s="16" t="s">
        <v>75</v>
      </c>
      <c r="AY366" s="107" t="s">
        <v>216</v>
      </c>
    </row>
    <row r="367" spans="1:65" s="2" customFormat="1" ht="21.6" customHeight="1">
      <c r="A367" s="269"/>
      <c r="B367" s="270"/>
      <c r="C367" s="308" t="s">
        <v>515</v>
      </c>
      <c r="D367" s="308" t="s">
        <v>218</v>
      </c>
      <c r="E367" s="309" t="s">
        <v>516</v>
      </c>
      <c r="F367" s="310" t="s">
        <v>517</v>
      </c>
      <c r="G367" s="311" t="s">
        <v>364</v>
      </c>
      <c r="H367" s="312">
        <v>230.23599999999999</v>
      </c>
      <c r="I367" s="82">
        <v>0</v>
      </c>
      <c r="J367" s="82">
        <f>ROUND(I367*H367,2)</f>
        <v>0</v>
      </c>
      <c r="K367" s="310" t="s">
        <v>222</v>
      </c>
      <c r="L367" s="24"/>
      <c r="M367" s="83" t="s">
        <v>3</v>
      </c>
      <c r="N367" s="84" t="s">
        <v>39</v>
      </c>
      <c r="O367" s="85">
        <v>0.11</v>
      </c>
      <c r="P367" s="85">
        <f>O367*H367</f>
        <v>25.325959999999998</v>
      </c>
      <c r="Q367" s="85">
        <v>0</v>
      </c>
      <c r="R367" s="85">
        <f>Q367*H367</f>
        <v>0</v>
      </c>
      <c r="S367" s="85">
        <v>0</v>
      </c>
      <c r="T367" s="86">
        <f>S367*H367</f>
        <v>0</v>
      </c>
      <c r="U367" s="23"/>
      <c r="V367" s="23"/>
      <c r="W367" s="23"/>
      <c r="X367" s="23"/>
      <c r="Y367" s="23"/>
      <c r="Z367" s="23"/>
      <c r="AA367" s="23"/>
      <c r="AB367" s="23"/>
      <c r="AC367" s="23"/>
      <c r="AD367" s="23"/>
      <c r="AE367" s="23"/>
      <c r="AR367" s="87" t="s">
        <v>223</v>
      </c>
      <c r="AT367" s="87" t="s">
        <v>218</v>
      </c>
      <c r="AU367" s="87" t="s">
        <v>77</v>
      </c>
      <c r="AY367" s="19" t="s">
        <v>216</v>
      </c>
      <c r="BE367" s="88">
        <f>IF(N367="základní",J367,0)</f>
        <v>0</v>
      </c>
      <c r="BF367" s="88">
        <f>IF(N367="snížená",J367,0)</f>
        <v>0</v>
      </c>
      <c r="BG367" s="88">
        <f>IF(N367="zákl. přenesená",J367,0)</f>
        <v>0</v>
      </c>
      <c r="BH367" s="88">
        <f>IF(N367="sníž. přenesená",J367,0)</f>
        <v>0</v>
      </c>
      <c r="BI367" s="88">
        <f>IF(N367="nulová",J367,0)</f>
        <v>0</v>
      </c>
      <c r="BJ367" s="19" t="s">
        <v>75</v>
      </c>
      <c r="BK367" s="88">
        <f>ROUND(I367*H367,2)</f>
        <v>0</v>
      </c>
      <c r="BL367" s="19" t="s">
        <v>223</v>
      </c>
      <c r="BM367" s="87" t="s">
        <v>518</v>
      </c>
    </row>
    <row r="368" spans="1:65" s="2" customFormat="1" ht="68.25">
      <c r="A368" s="269"/>
      <c r="B368" s="270"/>
      <c r="C368" s="269"/>
      <c r="D368" s="315" t="s">
        <v>231</v>
      </c>
      <c r="E368" s="269"/>
      <c r="F368" s="323" t="s">
        <v>519</v>
      </c>
      <c r="G368" s="269"/>
      <c r="H368" s="269"/>
      <c r="I368" s="248"/>
      <c r="J368" s="248"/>
      <c r="K368" s="269"/>
      <c r="L368" s="24"/>
      <c r="M368" s="99"/>
      <c r="N368" s="100"/>
      <c r="O368" s="32"/>
      <c r="P368" s="32"/>
      <c r="Q368" s="32"/>
      <c r="R368" s="32"/>
      <c r="S368" s="32"/>
      <c r="T368" s="33"/>
      <c r="U368" s="23"/>
      <c r="V368" s="23"/>
      <c r="W368" s="23"/>
      <c r="X368" s="23"/>
      <c r="Y368" s="23"/>
      <c r="Z368" s="23"/>
      <c r="AA368" s="23"/>
      <c r="AB368" s="23"/>
      <c r="AC368" s="23"/>
      <c r="AD368" s="23"/>
      <c r="AE368" s="23"/>
      <c r="AT368" s="19" t="s">
        <v>231</v>
      </c>
      <c r="AU368" s="19" t="s">
        <v>77</v>
      </c>
    </row>
    <row r="369" spans="1:51" s="13" customFormat="1">
      <c r="A369" s="313"/>
      <c r="B369" s="314"/>
      <c r="C369" s="313"/>
      <c r="D369" s="315" t="s">
        <v>225</v>
      </c>
      <c r="E369" s="316" t="s">
        <v>3</v>
      </c>
      <c r="F369" s="317" t="s">
        <v>304</v>
      </c>
      <c r="G369" s="313"/>
      <c r="H369" s="316" t="s">
        <v>3</v>
      </c>
      <c r="I369" s="259"/>
      <c r="J369" s="259"/>
      <c r="K369" s="313"/>
      <c r="L369" s="89"/>
      <c r="M369" s="91"/>
      <c r="N369" s="92"/>
      <c r="O369" s="92"/>
      <c r="P369" s="92"/>
      <c r="Q369" s="92"/>
      <c r="R369" s="92"/>
      <c r="S369" s="92"/>
      <c r="T369" s="93"/>
      <c r="AT369" s="90" t="s">
        <v>225</v>
      </c>
      <c r="AU369" s="90" t="s">
        <v>77</v>
      </c>
      <c r="AV369" s="13" t="s">
        <v>75</v>
      </c>
      <c r="AW369" s="13" t="s">
        <v>30</v>
      </c>
      <c r="AX369" s="13" t="s">
        <v>68</v>
      </c>
      <c r="AY369" s="90" t="s">
        <v>216</v>
      </c>
    </row>
    <row r="370" spans="1:51" s="14" customFormat="1">
      <c r="A370" s="318"/>
      <c r="B370" s="319"/>
      <c r="C370" s="318"/>
      <c r="D370" s="315" t="s">
        <v>225</v>
      </c>
      <c r="E370" s="320" t="s">
        <v>3</v>
      </c>
      <c r="F370" s="321" t="s">
        <v>520</v>
      </c>
      <c r="G370" s="318"/>
      <c r="H370" s="322">
        <v>49.36</v>
      </c>
      <c r="I370" s="260"/>
      <c r="J370" s="260"/>
      <c r="K370" s="318"/>
      <c r="L370" s="94"/>
      <c r="M370" s="96"/>
      <c r="N370" s="97"/>
      <c r="O370" s="97"/>
      <c r="P370" s="97"/>
      <c r="Q370" s="97"/>
      <c r="R370" s="97"/>
      <c r="S370" s="97"/>
      <c r="T370" s="98"/>
      <c r="AT370" s="95" t="s">
        <v>225</v>
      </c>
      <c r="AU370" s="95" t="s">
        <v>77</v>
      </c>
      <c r="AV370" s="14" t="s">
        <v>77</v>
      </c>
      <c r="AW370" s="14" t="s">
        <v>30</v>
      </c>
      <c r="AX370" s="14" t="s">
        <v>68</v>
      </c>
      <c r="AY370" s="95" t="s">
        <v>216</v>
      </c>
    </row>
    <row r="371" spans="1:51" s="14" customFormat="1">
      <c r="A371" s="318"/>
      <c r="B371" s="319"/>
      <c r="C371" s="318"/>
      <c r="D371" s="315" t="s">
        <v>225</v>
      </c>
      <c r="E371" s="320" t="s">
        <v>3</v>
      </c>
      <c r="F371" s="321" t="s">
        <v>521</v>
      </c>
      <c r="G371" s="318"/>
      <c r="H371" s="322">
        <v>6.36</v>
      </c>
      <c r="I371" s="260"/>
      <c r="J371" s="260"/>
      <c r="K371" s="318"/>
      <c r="L371" s="94"/>
      <c r="M371" s="96"/>
      <c r="N371" s="97"/>
      <c r="O371" s="97"/>
      <c r="P371" s="97"/>
      <c r="Q371" s="97"/>
      <c r="R371" s="97"/>
      <c r="S371" s="97"/>
      <c r="T371" s="98"/>
      <c r="AT371" s="95" t="s">
        <v>225</v>
      </c>
      <c r="AU371" s="95" t="s">
        <v>77</v>
      </c>
      <c r="AV371" s="14" t="s">
        <v>77</v>
      </c>
      <c r="AW371" s="14" t="s">
        <v>30</v>
      </c>
      <c r="AX371" s="14" t="s">
        <v>68</v>
      </c>
      <c r="AY371" s="95" t="s">
        <v>216</v>
      </c>
    </row>
    <row r="372" spans="1:51" s="14" customFormat="1">
      <c r="A372" s="318"/>
      <c r="B372" s="319"/>
      <c r="C372" s="318"/>
      <c r="D372" s="315" t="s">
        <v>225</v>
      </c>
      <c r="E372" s="320" t="s">
        <v>3</v>
      </c>
      <c r="F372" s="321" t="s">
        <v>522</v>
      </c>
      <c r="G372" s="318"/>
      <c r="H372" s="322">
        <v>6.9580000000000002</v>
      </c>
      <c r="I372" s="260"/>
      <c r="J372" s="260"/>
      <c r="K372" s="318"/>
      <c r="L372" s="94"/>
      <c r="M372" s="96"/>
      <c r="N372" s="97"/>
      <c r="O372" s="97"/>
      <c r="P372" s="97"/>
      <c r="Q372" s="97"/>
      <c r="R372" s="97"/>
      <c r="S372" s="97"/>
      <c r="T372" s="98"/>
      <c r="AT372" s="95" t="s">
        <v>225</v>
      </c>
      <c r="AU372" s="95" t="s">
        <v>77</v>
      </c>
      <c r="AV372" s="14" t="s">
        <v>77</v>
      </c>
      <c r="AW372" s="14" t="s">
        <v>30</v>
      </c>
      <c r="AX372" s="14" t="s">
        <v>68</v>
      </c>
      <c r="AY372" s="95" t="s">
        <v>216</v>
      </c>
    </row>
    <row r="373" spans="1:51" s="14" customFormat="1">
      <c r="A373" s="318"/>
      <c r="B373" s="319"/>
      <c r="C373" s="318"/>
      <c r="D373" s="315" t="s">
        <v>225</v>
      </c>
      <c r="E373" s="320" t="s">
        <v>3</v>
      </c>
      <c r="F373" s="321" t="s">
        <v>523</v>
      </c>
      <c r="G373" s="318"/>
      <c r="H373" s="322">
        <v>5.7439999999999998</v>
      </c>
      <c r="I373" s="260"/>
      <c r="J373" s="260"/>
      <c r="K373" s="318"/>
      <c r="L373" s="94"/>
      <c r="M373" s="96"/>
      <c r="N373" s="97"/>
      <c r="O373" s="97"/>
      <c r="P373" s="97"/>
      <c r="Q373" s="97"/>
      <c r="R373" s="97"/>
      <c r="S373" s="97"/>
      <c r="T373" s="98"/>
      <c r="AT373" s="95" t="s">
        <v>225</v>
      </c>
      <c r="AU373" s="95" t="s">
        <v>77</v>
      </c>
      <c r="AV373" s="14" t="s">
        <v>77</v>
      </c>
      <c r="AW373" s="14" t="s">
        <v>30</v>
      </c>
      <c r="AX373" s="14" t="s">
        <v>68</v>
      </c>
      <c r="AY373" s="95" t="s">
        <v>216</v>
      </c>
    </row>
    <row r="374" spans="1:51" s="14" customFormat="1">
      <c r="A374" s="318"/>
      <c r="B374" s="319"/>
      <c r="C374" s="318"/>
      <c r="D374" s="315" t="s">
        <v>225</v>
      </c>
      <c r="E374" s="320" t="s">
        <v>3</v>
      </c>
      <c r="F374" s="321" t="s">
        <v>524</v>
      </c>
      <c r="G374" s="318"/>
      <c r="H374" s="322">
        <v>25.32</v>
      </c>
      <c r="I374" s="260"/>
      <c r="J374" s="260"/>
      <c r="K374" s="318"/>
      <c r="L374" s="94"/>
      <c r="M374" s="96"/>
      <c r="N374" s="97"/>
      <c r="O374" s="97"/>
      <c r="P374" s="97"/>
      <c r="Q374" s="97"/>
      <c r="R374" s="97"/>
      <c r="S374" s="97"/>
      <c r="T374" s="98"/>
      <c r="AT374" s="95" t="s">
        <v>225</v>
      </c>
      <c r="AU374" s="95" t="s">
        <v>77</v>
      </c>
      <c r="AV374" s="14" t="s">
        <v>77</v>
      </c>
      <c r="AW374" s="14" t="s">
        <v>30</v>
      </c>
      <c r="AX374" s="14" t="s">
        <v>68</v>
      </c>
      <c r="AY374" s="95" t="s">
        <v>216</v>
      </c>
    </row>
    <row r="375" spans="1:51" s="14" customFormat="1">
      <c r="A375" s="318"/>
      <c r="B375" s="319"/>
      <c r="C375" s="318"/>
      <c r="D375" s="315" t="s">
        <v>225</v>
      </c>
      <c r="E375" s="320" t="s">
        <v>3</v>
      </c>
      <c r="F375" s="321" t="s">
        <v>525</v>
      </c>
      <c r="G375" s="318"/>
      <c r="H375" s="322">
        <v>6.4450000000000003</v>
      </c>
      <c r="I375" s="260"/>
      <c r="J375" s="260"/>
      <c r="K375" s="318"/>
      <c r="L375" s="94"/>
      <c r="M375" s="96"/>
      <c r="N375" s="97"/>
      <c r="O375" s="97"/>
      <c r="P375" s="97"/>
      <c r="Q375" s="97"/>
      <c r="R375" s="97"/>
      <c r="S375" s="97"/>
      <c r="T375" s="98"/>
      <c r="AT375" s="95" t="s">
        <v>225</v>
      </c>
      <c r="AU375" s="95" t="s">
        <v>77</v>
      </c>
      <c r="AV375" s="14" t="s">
        <v>77</v>
      </c>
      <c r="AW375" s="14" t="s">
        <v>30</v>
      </c>
      <c r="AX375" s="14" t="s">
        <v>68</v>
      </c>
      <c r="AY375" s="95" t="s">
        <v>216</v>
      </c>
    </row>
    <row r="376" spans="1:51" s="14" customFormat="1">
      <c r="A376" s="318"/>
      <c r="B376" s="319"/>
      <c r="C376" s="318"/>
      <c r="D376" s="315" t="s">
        <v>225</v>
      </c>
      <c r="E376" s="320" t="s">
        <v>3</v>
      </c>
      <c r="F376" s="321" t="s">
        <v>526</v>
      </c>
      <c r="G376" s="318"/>
      <c r="H376" s="322">
        <v>14.4</v>
      </c>
      <c r="I376" s="260"/>
      <c r="J376" s="260"/>
      <c r="K376" s="318"/>
      <c r="L376" s="94"/>
      <c r="M376" s="96"/>
      <c r="N376" s="97"/>
      <c r="O376" s="97"/>
      <c r="P376" s="97"/>
      <c r="Q376" s="97"/>
      <c r="R376" s="97"/>
      <c r="S376" s="97"/>
      <c r="T376" s="98"/>
      <c r="AT376" s="95" t="s">
        <v>225</v>
      </c>
      <c r="AU376" s="95" t="s">
        <v>77</v>
      </c>
      <c r="AV376" s="14" t="s">
        <v>77</v>
      </c>
      <c r="AW376" s="14" t="s">
        <v>30</v>
      </c>
      <c r="AX376" s="14" t="s">
        <v>68</v>
      </c>
      <c r="AY376" s="95" t="s">
        <v>216</v>
      </c>
    </row>
    <row r="377" spans="1:51" s="14" customFormat="1">
      <c r="A377" s="318"/>
      <c r="B377" s="319"/>
      <c r="C377" s="318"/>
      <c r="D377" s="315" t="s">
        <v>225</v>
      </c>
      <c r="E377" s="320" t="s">
        <v>3</v>
      </c>
      <c r="F377" s="321" t="s">
        <v>527</v>
      </c>
      <c r="G377" s="318"/>
      <c r="H377" s="322">
        <v>7.45</v>
      </c>
      <c r="I377" s="260"/>
      <c r="J377" s="260"/>
      <c r="K377" s="318"/>
      <c r="L377" s="94"/>
      <c r="M377" s="96"/>
      <c r="N377" s="97"/>
      <c r="O377" s="97"/>
      <c r="P377" s="97"/>
      <c r="Q377" s="97"/>
      <c r="R377" s="97"/>
      <c r="S377" s="97"/>
      <c r="T377" s="98"/>
      <c r="AT377" s="95" t="s">
        <v>225</v>
      </c>
      <c r="AU377" s="95" t="s">
        <v>77</v>
      </c>
      <c r="AV377" s="14" t="s">
        <v>77</v>
      </c>
      <c r="AW377" s="14" t="s">
        <v>30</v>
      </c>
      <c r="AX377" s="14" t="s">
        <v>68</v>
      </c>
      <c r="AY377" s="95" t="s">
        <v>216</v>
      </c>
    </row>
    <row r="378" spans="1:51" s="14" customFormat="1">
      <c r="A378" s="318"/>
      <c r="B378" s="319"/>
      <c r="C378" s="318"/>
      <c r="D378" s="315" t="s">
        <v>225</v>
      </c>
      <c r="E378" s="320" t="s">
        <v>3</v>
      </c>
      <c r="F378" s="321" t="s">
        <v>528</v>
      </c>
      <c r="G378" s="318"/>
      <c r="H378" s="322">
        <v>18.3</v>
      </c>
      <c r="I378" s="260"/>
      <c r="J378" s="260"/>
      <c r="K378" s="318"/>
      <c r="L378" s="94"/>
      <c r="M378" s="96"/>
      <c r="N378" s="97"/>
      <c r="O378" s="97"/>
      <c r="P378" s="97"/>
      <c r="Q378" s="97"/>
      <c r="R378" s="97"/>
      <c r="S378" s="97"/>
      <c r="T378" s="98"/>
      <c r="AT378" s="95" t="s">
        <v>225</v>
      </c>
      <c r="AU378" s="95" t="s">
        <v>77</v>
      </c>
      <c r="AV378" s="14" t="s">
        <v>77</v>
      </c>
      <c r="AW378" s="14" t="s">
        <v>30</v>
      </c>
      <c r="AX378" s="14" t="s">
        <v>68</v>
      </c>
      <c r="AY378" s="95" t="s">
        <v>216</v>
      </c>
    </row>
    <row r="379" spans="1:51" s="14" customFormat="1">
      <c r="A379" s="318"/>
      <c r="B379" s="319"/>
      <c r="C379" s="318"/>
      <c r="D379" s="315" t="s">
        <v>225</v>
      </c>
      <c r="E379" s="320" t="s">
        <v>3</v>
      </c>
      <c r="F379" s="321" t="s">
        <v>529</v>
      </c>
      <c r="G379" s="318"/>
      <c r="H379" s="322">
        <v>15.84</v>
      </c>
      <c r="I379" s="260"/>
      <c r="J379" s="260"/>
      <c r="K379" s="318"/>
      <c r="L379" s="94"/>
      <c r="M379" s="96"/>
      <c r="N379" s="97"/>
      <c r="O379" s="97"/>
      <c r="P379" s="97"/>
      <c r="Q379" s="97"/>
      <c r="R379" s="97"/>
      <c r="S379" s="97"/>
      <c r="T379" s="98"/>
      <c r="AT379" s="95" t="s">
        <v>225</v>
      </c>
      <c r="AU379" s="95" t="s">
        <v>77</v>
      </c>
      <c r="AV379" s="14" t="s">
        <v>77</v>
      </c>
      <c r="AW379" s="14" t="s">
        <v>30</v>
      </c>
      <c r="AX379" s="14" t="s">
        <v>68</v>
      </c>
      <c r="AY379" s="95" t="s">
        <v>216</v>
      </c>
    </row>
    <row r="380" spans="1:51" s="14" customFormat="1">
      <c r="A380" s="318"/>
      <c r="B380" s="319"/>
      <c r="C380" s="318"/>
      <c r="D380" s="315" t="s">
        <v>225</v>
      </c>
      <c r="E380" s="320" t="s">
        <v>3</v>
      </c>
      <c r="F380" s="321" t="s">
        <v>530</v>
      </c>
      <c r="G380" s="318"/>
      <c r="H380" s="322">
        <v>22.26</v>
      </c>
      <c r="I380" s="260"/>
      <c r="J380" s="260"/>
      <c r="K380" s="318"/>
      <c r="L380" s="94"/>
      <c r="M380" s="96"/>
      <c r="N380" s="97"/>
      <c r="O380" s="97"/>
      <c r="P380" s="97"/>
      <c r="Q380" s="97"/>
      <c r="R380" s="97"/>
      <c r="S380" s="97"/>
      <c r="T380" s="98"/>
      <c r="AT380" s="95" t="s">
        <v>225</v>
      </c>
      <c r="AU380" s="95" t="s">
        <v>77</v>
      </c>
      <c r="AV380" s="14" t="s">
        <v>77</v>
      </c>
      <c r="AW380" s="14" t="s">
        <v>30</v>
      </c>
      <c r="AX380" s="14" t="s">
        <v>68</v>
      </c>
      <c r="AY380" s="95" t="s">
        <v>216</v>
      </c>
    </row>
    <row r="381" spans="1:51" s="14" customFormat="1">
      <c r="A381" s="318"/>
      <c r="B381" s="319"/>
      <c r="C381" s="318"/>
      <c r="D381" s="315" t="s">
        <v>225</v>
      </c>
      <c r="E381" s="320" t="s">
        <v>3</v>
      </c>
      <c r="F381" s="321" t="s">
        <v>531</v>
      </c>
      <c r="G381" s="318"/>
      <c r="H381" s="322">
        <v>31.33</v>
      </c>
      <c r="I381" s="260"/>
      <c r="J381" s="260"/>
      <c r="K381" s="318"/>
      <c r="L381" s="94"/>
      <c r="M381" s="96"/>
      <c r="N381" s="97"/>
      <c r="O381" s="97"/>
      <c r="P381" s="97"/>
      <c r="Q381" s="97"/>
      <c r="R381" s="97"/>
      <c r="S381" s="97"/>
      <c r="T381" s="98"/>
      <c r="AT381" s="95" t="s">
        <v>225</v>
      </c>
      <c r="AU381" s="95" t="s">
        <v>77</v>
      </c>
      <c r="AV381" s="14" t="s">
        <v>77</v>
      </c>
      <c r="AW381" s="14" t="s">
        <v>30</v>
      </c>
      <c r="AX381" s="14" t="s">
        <v>68</v>
      </c>
      <c r="AY381" s="95" t="s">
        <v>216</v>
      </c>
    </row>
    <row r="382" spans="1:51" s="14" customFormat="1">
      <c r="A382" s="318"/>
      <c r="B382" s="319"/>
      <c r="C382" s="318"/>
      <c r="D382" s="315" t="s">
        <v>225</v>
      </c>
      <c r="E382" s="320" t="s">
        <v>3</v>
      </c>
      <c r="F382" s="321" t="s">
        <v>532</v>
      </c>
      <c r="G382" s="318"/>
      <c r="H382" s="322">
        <v>14.613</v>
      </c>
      <c r="I382" s="260"/>
      <c r="J382" s="260"/>
      <c r="K382" s="318"/>
      <c r="L382" s="94"/>
      <c r="M382" s="96"/>
      <c r="N382" s="97"/>
      <c r="O382" s="97"/>
      <c r="P382" s="97"/>
      <c r="Q382" s="97"/>
      <c r="R382" s="97"/>
      <c r="S382" s="97"/>
      <c r="T382" s="98"/>
      <c r="AT382" s="95" t="s">
        <v>225</v>
      </c>
      <c r="AU382" s="95" t="s">
        <v>77</v>
      </c>
      <c r="AV382" s="14" t="s">
        <v>77</v>
      </c>
      <c r="AW382" s="14" t="s">
        <v>30</v>
      </c>
      <c r="AX382" s="14" t="s">
        <v>68</v>
      </c>
      <c r="AY382" s="95" t="s">
        <v>216</v>
      </c>
    </row>
    <row r="383" spans="1:51" s="14" customFormat="1">
      <c r="A383" s="318"/>
      <c r="B383" s="319"/>
      <c r="C383" s="318"/>
      <c r="D383" s="315" t="s">
        <v>225</v>
      </c>
      <c r="E383" s="320" t="s">
        <v>3</v>
      </c>
      <c r="F383" s="321" t="s">
        <v>533</v>
      </c>
      <c r="G383" s="318"/>
      <c r="H383" s="322">
        <v>5.8559999999999999</v>
      </c>
      <c r="I383" s="260"/>
      <c r="J383" s="260"/>
      <c r="K383" s="318"/>
      <c r="L383" s="94"/>
      <c r="M383" s="96"/>
      <c r="N383" s="97"/>
      <c r="O383" s="97"/>
      <c r="P383" s="97"/>
      <c r="Q383" s="97"/>
      <c r="R383" s="97"/>
      <c r="S383" s="97"/>
      <c r="T383" s="98"/>
      <c r="AT383" s="95" t="s">
        <v>225</v>
      </c>
      <c r="AU383" s="95" t="s">
        <v>77</v>
      </c>
      <c r="AV383" s="14" t="s">
        <v>77</v>
      </c>
      <c r="AW383" s="14" t="s">
        <v>30</v>
      </c>
      <c r="AX383" s="14" t="s">
        <v>68</v>
      </c>
      <c r="AY383" s="95" t="s">
        <v>216</v>
      </c>
    </row>
    <row r="384" spans="1:51" s="16" customFormat="1">
      <c r="A384" s="329"/>
      <c r="B384" s="330"/>
      <c r="C384" s="329"/>
      <c r="D384" s="315" t="s">
        <v>225</v>
      </c>
      <c r="E384" s="331" t="s">
        <v>3</v>
      </c>
      <c r="F384" s="332" t="s">
        <v>254</v>
      </c>
      <c r="G384" s="329"/>
      <c r="H384" s="333">
        <v>230.23599999999999</v>
      </c>
      <c r="I384" s="262"/>
      <c r="J384" s="262"/>
      <c r="K384" s="329"/>
      <c r="L384" s="106"/>
      <c r="M384" s="108"/>
      <c r="N384" s="109"/>
      <c r="O384" s="109"/>
      <c r="P384" s="109"/>
      <c r="Q384" s="109"/>
      <c r="R384" s="109"/>
      <c r="S384" s="109"/>
      <c r="T384" s="110"/>
      <c r="AT384" s="107" t="s">
        <v>225</v>
      </c>
      <c r="AU384" s="107" t="s">
        <v>77</v>
      </c>
      <c r="AV384" s="16" t="s">
        <v>223</v>
      </c>
      <c r="AW384" s="16" t="s">
        <v>30</v>
      </c>
      <c r="AX384" s="16" t="s">
        <v>75</v>
      </c>
      <c r="AY384" s="107" t="s">
        <v>216</v>
      </c>
    </row>
    <row r="385" spans="1:65" s="2" customFormat="1" ht="14.45" customHeight="1">
      <c r="A385" s="269"/>
      <c r="B385" s="270"/>
      <c r="C385" s="334" t="s">
        <v>534</v>
      </c>
      <c r="D385" s="334" t="s">
        <v>535</v>
      </c>
      <c r="E385" s="335" t="s">
        <v>536</v>
      </c>
      <c r="F385" s="336" t="s">
        <v>537</v>
      </c>
      <c r="G385" s="337" t="s">
        <v>364</v>
      </c>
      <c r="H385" s="338">
        <v>241.74799999999999</v>
      </c>
      <c r="I385" s="111">
        <v>0</v>
      </c>
      <c r="J385" s="111">
        <f>ROUND(I385*H385,2)</f>
        <v>0</v>
      </c>
      <c r="K385" s="336" t="s">
        <v>3</v>
      </c>
      <c r="L385" s="112"/>
      <c r="M385" s="113" t="s">
        <v>3</v>
      </c>
      <c r="N385" s="114" t="s">
        <v>39</v>
      </c>
      <c r="O385" s="85">
        <v>0</v>
      </c>
      <c r="P385" s="85">
        <f>O385*H385</f>
        <v>0</v>
      </c>
      <c r="Q385" s="85">
        <v>1E-4</v>
      </c>
      <c r="R385" s="85">
        <f>Q385*H385</f>
        <v>2.41748E-2</v>
      </c>
      <c r="S385" s="85">
        <v>0</v>
      </c>
      <c r="T385" s="86">
        <f>S385*H385</f>
        <v>0</v>
      </c>
      <c r="U385" s="23"/>
      <c r="V385" s="23"/>
      <c r="W385" s="23"/>
      <c r="X385" s="23"/>
      <c r="Y385" s="23"/>
      <c r="Z385" s="23"/>
      <c r="AA385" s="23"/>
      <c r="AB385" s="23"/>
      <c r="AC385" s="23"/>
      <c r="AD385" s="23"/>
      <c r="AE385" s="23"/>
      <c r="AR385" s="87" t="s">
        <v>260</v>
      </c>
      <c r="AT385" s="87" t="s">
        <v>535</v>
      </c>
      <c r="AU385" s="87" t="s">
        <v>77</v>
      </c>
      <c r="AY385" s="19" t="s">
        <v>216</v>
      </c>
      <c r="BE385" s="88">
        <f>IF(N385="základní",J385,0)</f>
        <v>0</v>
      </c>
      <c r="BF385" s="88">
        <f>IF(N385="snížená",J385,0)</f>
        <v>0</v>
      </c>
      <c r="BG385" s="88">
        <f>IF(N385="zákl. přenesená",J385,0)</f>
        <v>0</v>
      </c>
      <c r="BH385" s="88">
        <f>IF(N385="sníž. přenesená",J385,0)</f>
        <v>0</v>
      </c>
      <c r="BI385" s="88">
        <f>IF(N385="nulová",J385,0)</f>
        <v>0</v>
      </c>
      <c r="BJ385" s="19" t="s">
        <v>75</v>
      </c>
      <c r="BK385" s="88">
        <f>ROUND(I385*H385,2)</f>
        <v>0</v>
      </c>
      <c r="BL385" s="19" t="s">
        <v>223</v>
      </c>
      <c r="BM385" s="87" t="s">
        <v>538</v>
      </c>
    </row>
    <row r="386" spans="1:65" s="14" customFormat="1">
      <c r="A386" s="318"/>
      <c r="B386" s="319"/>
      <c r="C386" s="318"/>
      <c r="D386" s="315" t="s">
        <v>225</v>
      </c>
      <c r="E386" s="318"/>
      <c r="F386" s="321" t="s">
        <v>539</v>
      </c>
      <c r="G386" s="318"/>
      <c r="H386" s="322">
        <v>241.74799999999999</v>
      </c>
      <c r="I386" s="260"/>
      <c r="J386" s="260"/>
      <c r="K386" s="318"/>
      <c r="L386" s="94"/>
      <c r="M386" s="96"/>
      <c r="N386" s="97"/>
      <c r="O386" s="97"/>
      <c r="P386" s="97"/>
      <c r="Q386" s="97"/>
      <c r="R386" s="97"/>
      <c r="S386" s="97"/>
      <c r="T386" s="98"/>
      <c r="AT386" s="95" t="s">
        <v>225</v>
      </c>
      <c r="AU386" s="95" t="s">
        <v>77</v>
      </c>
      <c r="AV386" s="14" t="s">
        <v>77</v>
      </c>
      <c r="AW386" s="14" t="s">
        <v>4</v>
      </c>
      <c r="AX386" s="14" t="s">
        <v>75</v>
      </c>
      <c r="AY386" s="95" t="s">
        <v>216</v>
      </c>
    </row>
    <row r="387" spans="1:65" s="2" customFormat="1" ht="21.6" customHeight="1">
      <c r="A387" s="269"/>
      <c r="B387" s="270"/>
      <c r="C387" s="308" t="s">
        <v>540</v>
      </c>
      <c r="D387" s="308" t="s">
        <v>218</v>
      </c>
      <c r="E387" s="309" t="s">
        <v>541</v>
      </c>
      <c r="F387" s="310" t="s">
        <v>542</v>
      </c>
      <c r="G387" s="311" t="s">
        <v>291</v>
      </c>
      <c r="H387" s="312">
        <v>40</v>
      </c>
      <c r="I387" s="82">
        <v>0</v>
      </c>
      <c r="J387" s="82">
        <f>ROUND(I387*H387,2)</f>
        <v>0</v>
      </c>
      <c r="K387" s="310" t="s">
        <v>222</v>
      </c>
      <c r="L387" s="24"/>
      <c r="M387" s="83" t="s">
        <v>3</v>
      </c>
      <c r="N387" s="84" t="s">
        <v>39</v>
      </c>
      <c r="O387" s="85">
        <v>8.7999999999999995E-2</v>
      </c>
      <c r="P387" s="85">
        <f>O387*H387</f>
        <v>3.5199999999999996</v>
      </c>
      <c r="Q387" s="85">
        <v>1.25E-3</v>
      </c>
      <c r="R387" s="85">
        <f>Q387*H387</f>
        <v>0.05</v>
      </c>
      <c r="S387" s="85">
        <v>0</v>
      </c>
      <c r="T387" s="86">
        <f>S387*H387</f>
        <v>0</v>
      </c>
      <c r="U387" s="23"/>
      <c r="V387" s="23"/>
      <c r="W387" s="23"/>
      <c r="X387" s="23"/>
      <c r="Y387" s="23"/>
      <c r="Z387" s="23"/>
      <c r="AA387" s="23"/>
      <c r="AB387" s="23"/>
      <c r="AC387" s="23"/>
      <c r="AD387" s="23"/>
      <c r="AE387" s="23"/>
      <c r="AR387" s="87" t="s">
        <v>223</v>
      </c>
      <c r="AT387" s="87" t="s">
        <v>218</v>
      </c>
      <c r="AU387" s="87" t="s">
        <v>77</v>
      </c>
      <c r="AY387" s="19" t="s">
        <v>216</v>
      </c>
      <c r="BE387" s="88">
        <f>IF(N387="základní",J387,0)</f>
        <v>0</v>
      </c>
      <c r="BF387" s="88">
        <f>IF(N387="snížená",J387,0)</f>
        <v>0</v>
      </c>
      <c r="BG387" s="88">
        <f>IF(N387="zákl. přenesená",J387,0)</f>
        <v>0</v>
      </c>
      <c r="BH387" s="88">
        <f>IF(N387="sníž. přenesená",J387,0)</f>
        <v>0</v>
      </c>
      <c r="BI387" s="88">
        <f>IF(N387="nulová",J387,0)</f>
        <v>0</v>
      </c>
      <c r="BJ387" s="19" t="s">
        <v>75</v>
      </c>
      <c r="BK387" s="88">
        <f>ROUND(I387*H387,2)</f>
        <v>0</v>
      </c>
      <c r="BL387" s="19" t="s">
        <v>223</v>
      </c>
      <c r="BM387" s="87" t="s">
        <v>543</v>
      </c>
    </row>
    <row r="388" spans="1:65" s="13" customFormat="1">
      <c r="A388" s="313"/>
      <c r="B388" s="314"/>
      <c r="C388" s="313"/>
      <c r="D388" s="315" t="s">
        <v>225</v>
      </c>
      <c r="E388" s="316" t="s">
        <v>3</v>
      </c>
      <c r="F388" s="317" t="s">
        <v>544</v>
      </c>
      <c r="G388" s="313"/>
      <c r="H388" s="316" t="s">
        <v>3</v>
      </c>
      <c r="I388" s="259"/>
      <c r="J388" s="259"/>
      <c r="K388" s="313"/>
      <c r="L388" s="89"/>
      <c r="M388" s="91"/>
      <c r="N388" s="92"/>
      <c r="O388" s="92"/>
      <c r="P388" s="92"/>
      <c r="Q388" s="92"/>
      <c r="R388" s="92"/>
      <c r="S388" s="92"/>
      <c r="T388" s="93"/>
      <c r="AT388" s="90" t="s">
        <v>225</v>
      </c>
      <c r="AU388" s="90" t="s">
        <v>77</v>
      </c>
      <c r="AV388" s="13" t="s">
        <v>75</v>
      </c>
      <c r="AW388" s="13" t="s">
        <v>30</v>
      </c>
      <c r="AX388" s="13" t="s">
        <v>68</v>
      </c>
      <c r="AY388" s="90" t="s">
        <v>216</v>
      </c>
    </row>
    <row r="389" spans="1:65" s="14" customFormat="1">
      <c r="A389" s="318"/>
      <c r="B389" s="319"/>
      <c r="C389" s="318"/>
      <c r="D389" s="315" t="s">
        <v>225</v>
      </c>
      <c r="E389" s="320" t="s">
        <v>3</v>
      </c>
      <c r="F389" s="321" t="s">
        <v>459</v>
      </c>
      <c r="G389" s="318"/>
      <c r="H389" s="322">
        <v>40</v>
      </c>
      <c r="I389" s="260"/>
      <c r="J389" s="260"/>
      <c r="K389" s="318"/>
      <c r="L389" s="94"/>
      <c r="M389" s="96"/>
      <c r="N389" s="97"/>
      <c r="O389" s="97"/>
      <c r="P389" s="97"/>
      <c r="Q389" s="97"/>
      <c r="R389" s="97"/>
      <c r="S389" s="97"/>
      <c r="T389" s="98"/>
      <c r="AT389" s="95" t="s">
        <v>225</v>
      </c>
      <c r="AU389" s="95" t="s">
        <v>77</v>
      </c>
      <c r="AV389" s="14" t="s">
        <v>77</v>
      </c>
      <c r="AW389" s="14" t="s">
        <v>30</v>
      </c>
      <c r="AX389" s="14" t="s">
        <v>75</v>
      </c>
      <c r="AY389" s="95" t="s">
        <v>216</v>
      </c>
    </row>
    <row r="390" spans="1:65" s="2" customFormat="1" ht="21.6" customHeight="1">
      <c r="A390" s="269"/>
      <c r="B390" s="270"/>
      <c r="C390" s="308" t="s">
        <v>545</v>
      </c>
      <c r="D390" s="308" t="s">
        <v>218</v>
      </c>
      <c r="E390" s="309" t="s">
        <v>546</v>
      </c>
      <c r="F390" s="310" t="s">
        <v>547</v>
      </c>
      <c r="G390" s="311" t="s">
        <v>221</v>
      </c>
      <c r="H390" s="312">
        <v>0.57599999999999996</v>
      </c>
      <c r="I390" s="82">
        <v>0</v>
      </c>
      <c r="J390" s="82">
        <f>ROUND(I390*H390,2)</f>
        <v>0</v>
      </c>
      <c r="K390" s="310" t="s">
        <v>222</v>
      </c>
      <c r="L390" s="24"/>
      <c r="M390" s="83" t="s">
        <v>3</v>
      </c>
      <c r="N390" s="84" t="s">
        <v>39</v>
      </c>
      <c r="O390" s="85">
        <v>2.58</v>
      </c>
      <c r="P390" s="85">
        <f>O390*H390</f>
        <v>1.4860799999999998</v>
      </c>
      <c r="Q390" s="85">
        <v>2.45329</v>
      </c>
      <c r="R390" s="85">
        <f>Q390*H390</f>
        <v>1.41309504</v>
      </c>
      <c r="S390" s="85">
        <v>0</v>
      </c>
      <c r="T390" s="86">
        <f>S390*H390</f>
        <v>0</v>
      </c>
      <c r="U390" s="23"/>
      <c r="V390" s="23"/>
      <c r="W390" s="23"/>
      <c r="X390" s="23"/>
      <c r="Y390" s="23"/>
      <c r="Z390" s="23"/>
      <c r="AA390" s="23"/>
      <c r="AB390" s="23"/>
      <c r="AC390" s="23"/>
      <c r="AD390" s="23"/>
      <c r="AE390" s="23"/>
      <c r="AR390" s="87" t="s">
        <v>223</v>
      </c>
      <c r="AT390" s="87" t="s">
        <v>218</v>
      </c>
      <c r="AU390" s="87" t="s">
        <v>77</v>
      </c>
      <c r="AY390" s="19" t="s">
        <v>216</v>
      </c>
      <c r="BE390" s="88">
        <f>IF(N390="základní",J390,0)</f>
        <v>0</v>
      </c>
      <c r="BF390" s="88">
        <f>IF(N390="snížená",J390,0)</f>
        <v>0</v>
      </c>
      <c r="BG390" s="88">
        <f>IF(N390="zákl. přenesená",J390,0)</f>
        <v>0</v>
      </c>
      <c r="BH390" s="88">
        <f>IF(N390="sníž. přenesená",J390,0)</f>
        <v>0</v>
      </c>
      <c r="BI390" s="88">
        <f>IF(N390="nulová",J390,0)</f>
        <v>0</v>
      </c>
      <c r="BJ390" s="19" t="s">
        <v>75</v>
      </c>
      <c r="BK390" s="88">
        <f>ROUND(I390*H390,2)</f>
        <v>0</v>
      </c>
      <c r="BL390" s="19" t="s">
        <v>223</v>
      </c>
      <c r="BM390" s="87" t="s">
        <v>548</v>
      </c>
    </row>
    <row r="391" spans="1:65" s="2" customFormat="1" ht="156">
      <c r="A391" s="269"/>
      <c r="B391" s="270"/>
      <c r="C391" s="269"/>
      <c r="D391" s="315" t="s">
        <v>231</v>
      </c>
      <c r="E391" s="269"/>
      <c r="F391" s="323" t="s">
        <v>549</v>
      </c>
      <c r="G391" s="269"/>
      <c r="H391" s="269"/>
      <c r="I391" s="248"/>
      <c r="J391" s="248"/>
      <c r="K391" s="269"/>
      <c r="L391" s="24"/>
      <c r="M391" s="99"/>
      <c r="N391" s="100"/>
      <c r="O391" s="32"/>
      <c r="P391" s="32"/>
      <c r="Q391" s="32"/>
      <c r="R391" s="32"/>
      <c r="S391" s="32"/>
      <c r="T391" s="33"/>
      <c r="U391" s="23"/>
      <c r="V391" s="23"/>
      <c r="W391" s="23"/>
      <c r="X391" s="23"/>
      <c r="Y391" s="23"/>
      <c r="Z391" s="23"/>
      <c r="AA391" s="23"/>
      <c r="AB391" s="23"/>
      <c r="AC391" s="23"/>
      <c r="AD391" s="23"/>
      <c r="AE391" s="23"/>
      <c r="AT391" s="19" t="s">
        <v>231</v>
      </c>
      <c r="AU391" s="19" t="s">
        <v>77</v>
      </c>
    </row>
    <row r="392" spans="1:65" s="13" customFormat="1">
      <c r="A392" s="313"/>
      <c r="B392" s="314"/>
      <c r="C392" s="313"/>
      <c r="D392" s="315" t="s">
        <v>225</v>
      </c>
      <c r="E392" s="316" t="s">
        <v>3</v>
      </c>
      <c r="F392" s="317" t="s">
        <v>304</v>
      </c>
      <c r="G392" s="313"/>
      <c r="H392" s="316" t="s">
        <v>3</v>
      </c>
      <c r="I392" s="259"/>
      <c r="J392" s="259"/>
      <c r="K392" s="313"/>
      <c r="L392" s="89"/>
      <c r="M392" s="91"/>
      <c r="N392" s="92"/>
      <c r="O392" s="92"/>
      <c r="P392" s="92"/>
      <c r="Q392" s="92"/>
      <c r="R392" s="92"/>
      <c r="S392" s="92"/>
      <c r="T392" s="93"/>
      <c r="AT392" s="90" t="s">
        <v>225</v>
      </c>
      <c r="AU392" s="90" t="s">
        <v>77</v>
      </c>
      <c r="AV392" s="13" t="s">
        <v>75</v>
      </c>
      <c r="AW392" s="13" t="s">
        <v>30</v>
      </c>
      <c r="AX392" s="13" t="s">
        <v>68</v>
      </c>
      <c r="AY392" s="90" t="s">
        <v>216</v>
      </c>
    </row>
    <row r="393" spans="1:65" s="13" customFormat="1">
      <c r="A393" s="313"/>
      <c r="B393" s="314"/>
      <c r="C393" s="313"/>
      <c r="D393" s="315" t="s">
        <v>225</v>
      </c>
      <c r="E393" s="316" t="s">
        <v>3</v>
      </c>
      <c r="F393" s="317" t="s">
        <v>550</v>
      </c>
      <c r="G393" s="313"/>
      <c r="H393" s="316" t="s">
        <v>3</v>
      </c>
      <c r="I393" s="259"/>
      <c r="J393" s="259"/>
      <c r="K393" s="313"/>
      <c r="L393" s="89"/>
      <c r="M393" s="91"/>
      <c r="N393" s="92"/>
      <c r="O393" s="92"/>
      <c r="P393" s="92"/>
      <c r="Q393" s="92"/>
      <c r="R393" s="92"/>
      <c r="S393" s="92"/>
      <c r="T393" s="93"/>
      <c r="AT393" s="90" t="s">
        <v>225</v>
      </c>
      <c r="AU393" s="90" t="s">
        <v>77</v>
      </c>
      <c r="AV393" s="13" t="s">
        <v>75</v>
      </c>
      <c r="AW393" s="13" t="s">
        <v>30</v>
      </c>
      <c r="AX393" s="13" t="s">
        <v>68</v>
      </c>
      <c r="AY393" s="90" t="s">
        <v>216</v>
      </c>
    </row>
    <row r="394" spans="1:65" s="14" customFormat="1">
      <c r="A394" s="318"/>
      <c r="B394" s="319"/>
      <c r="C394" s="318"/>
      <c r="D394" s="315" t="s">
        <v>225</v>
      </c>
      <c r="E394" s="320" t="s">
        <v>3</v>
      </c>
      <c r="F394" s="321" t="s">
        <v>551</v>
      </c>
      <c r="G394" s="318"/>
      <c r="H394" s="322">
        <v>0.57599999999999996</v>
      </c>
      <c r="I394" s="260"/>
      <c r="J394" s="260"/>
      <c r="K394" s="318"/>
      <c r="L394" s="94"/>
      <c r="M394" s="96"/>
      <c r="N394" s="97"/>
      <c r="O394" s="97"/>
      <c r="P394" s="97"/>
      <c r="Q394" s="97"/>
      <c r="R394" s="97"/>
      <c r="S394" s="97"/>
      <c r="T394" s="98"/>
      <c r="AT394" s="95" t="s">
        <v>225</v>
      </c>
      <c r="AU394" s="95" t="s">
        <v>77</v>
      </c>
      <c r="AV394" s="14" t="s">
        <v>77</v>
      </c>
      <c r="AW394" s="14" t="s">
        <v>30</v>
      </c>
      <c r="AX394" s="14" t="s">
        <v>75</v>
      </c>
      <c r="AY394" s="95" t="s">
        <v>216</v>
      </c>
    </row>
    <row r="395" spans="1:65" s="2" customFormat="1" ht="21.6" customHeight="1">
      <c r="A395" s="269"/>
      <c r="B395" s="270"/>
      <c r="C395" s="308" t="s">
        <v>552</v>
      </c>
      <c r="D395" s="308" t="s">
        <v>218</v>
      </c>
      <c r="E395" s="309" t="s">
        <v>553</v>
      </c>
      <c r="F395" s="310" t="s">
        <v>554</v>
      </c>
      <c r="G395" s="311" t="s">
        <v>221</v>
      </c>
      <c r="H395" s="312">
        <v>1.1519999999999999</v>
      </c>
      <c r="I395" s="82">
        <v>0</v>
      </c>
      <c r="J395" s="82">
        <f>ROUND(I395*H395,2)</f>
        <v>0</v>
      </c>
      <c r="K395" s="310" t="s">
        <v>222</v>
      </c>
      <c r="L395" s="24"/>
      <c r="M395" s="83" t="s">
        <v>3</v>
      </c>
      <c r="N395" s="84" t="s">
        <v>39</v>
      </c>
      <c r="O395" s="85">
        <v>2.3170000000000002</v>
      </c>
      <c r="P395" s="85">
        <f>O395*H395</f>
        <v>2.669184</v>
      </c>
      <c r="Q395" s="85">
        <v>2.45329</v>
      </c>
      <c r="R395" s="85">
        <f>Q395*H395</f>
        <v>2.8261900799999999</v>
      </c>
      <c r="S395" s="85">
        <v>0</v>
      </c>
      <c r="T395" s="86">
        <f>S395*H395</f>
        <v>0</v>
      </c>
      <c r="U395" s="23"/>
      <c r="V395" s="23"/>
      <c r="W395" s="23"/>
      <c r="X395" s="23"/>
      <c r="Y395" s="23"/>
      <c r="Z395" s="23"/>
      <c r="AA395" s="23"/>
      <c r="AB395" s="23"/>
      <c r="AC395" s="23"/>
      <c r="AD395" s="23"/>
      <c r="AE395" s="23"/>
      <c r="AR395" s="87" t="s">
        <v>223</v>
      </c>
      <c r="AT395" s="87" t="s">
        <v>218</v>
      </c>
      <c r="AU395" s="87" t="s">
        <v>77</v>
      </c>
      <c r="AY395" s="19" t="s">
        <v>216</v>
      </c>
      <c r="BE395" s="88">
        <f>IF(N395="základní",J395,0)</f>
        <v>0</v>
      </c>
      <c r="BF395" s="88">
        <f>IF(N395="snížená",J395,0)</f>
        <v>0</v>
      </c>
      <c r="BG395" s="88">
        <f>IF(N395="zákl. přenesená",J395,0)</f>
        <v>0</v>
      </c>
      <c r="BH395" s="88">
        <f>IF(N395="sníž. přenesená",J395,0)</f>
        <v>0</v>
      </c>
      <c r="BI395" s="88">
        <f>IF(N395="nulová",J395,0)</f>
        <v>0</v>
      </c>
      <c r="BJ395" s="19" t="s">
        <v>75</v>
      </c>
      <c r="BK395" s="88">
        <f>ROUND(I395*H395,2)</f>
        <v>0</v>
      </c>
      <c r="BL395" s="19" t="s">
        <v>223</v>
      </c>
      <c r="BM395" s="87" t="s">
        <v>555</v>
      </c>
    </row>
    <row r="396" spans="1:65" s="2" customFormat="1" ht="156">
      <c r="A396" s="269"/>
      <c r="B396" s="270"/>
      <c r="C396" s="269"/>
      <c r="D396" s="315" t="s">
        <v>231</v>
      </c>
      <c r="E396" s="269"/>
      <c r="F396" s="323" t="s">
        <v>549</v>
      </c>
      <c r="G396" s="269"/>
      <c r="H396" s="269"/>
      <c r="I396" s="248"/>
      <c r="J396" s="248"/>
      <c r="K396" s="269"/>
      <c r="L396" s="24"/>
      <c r="M396" s="99"/>
      <c r="N396" s="100"/>
      <c r="O396" s="32"/>
      <c r="P396" s="32"/>
      <c r="Q396" s="32"/>
      <c r="R396" s="32"/>
      <c r="S396" s="32"/>
      <c r="T396" s="33"/>
      <c r="U396" s="23"/>
      <c r="V396" s="23"/>
      <c r="W396" s="23"/>
      <c r="X396" s="23"/>
      <c r="Y396" s="23"/>
      <c r="Z396" s="23"/>
      <c r="AA396" s="23"/>
      <c r="AB396" s="23"/>
      <c r="AC396" s="23"/>
      <c r="AD396" s="23"/>
      <c r="AE396" s="23"/>
      <c r="AT396" s="19" t="s">
        <v>231</v>
      </c>
      <c r="AU396" s="19" t="s">
        <v>77</v>
      </c>
    </row>
    <row r="397" spans="1:65" s="13" customFormat="1">
      <c r="A397" s="313"/>
      <c r="B397" s="314"/>
      <c r="C397" s="313"/>
      <c r="D397" s="315" t="s">
        <v>225</v>
      </c>
      <c r="E397" s="316" t="s">
        <v>3</v>
      </c>
      <c r="F397" s="317" t="s">
        <v>304</v>
      </c>
      <c r="G397" s="313"/>
      <c r="H397" s="316" t="s">
        <v>3</v>
      </c>
      <c r="I397" s="259"/>
      <c r="J397" s="259"/>
      <c r="K397" s="313"/>
      <c r="L397" s="89"/>
      <c r="M397" s="91"/>
      <c r="N397" s="92"/>
      <c r="O397" s="92"/>
      <c r="P397" s="92"/>
      <c r="Q397" s="92"/>
      <c r="R397" s="92"/>
      <c r="S397" s="92"/>
      <c r="T397" s="93"/>
      <c r="AT397" s="90" t="s">
        <v>225</v>
      </c>
      <c r="AU397" s="90" t="s">
        <v>77</v>
      </c>
      <c r="AV397" s="13" t="s">
        <v>75</v>
      </c>
      <c r="AW397" s="13" t="s">
        <v>30</v>
      </c>
      <c r="AX397" s="13" t="s">
        <v>68</v>
      </c>
      <c r="AY397" s="90" t="s">
        <v>216</v>
      </c>
    </row>
    <row r="398" spans="1:65" s="13" customFormat="1">
      <c r="A398" s="313"/>
      <c r="B398" s="314"/>
      <c r="C398" s="313"/>
      <c r="D398" s="315" t="s">
        <v>225</v>
      </c>
      <c r="E398" s="316" t="s">
        <v>3</v>
      </c>
      <c r="F398" s="317" t="s">
        <v>550</v>
      </c>
      <c r="G398" s="313"/>
      <c r="H398" s="316" t="s">
        <v>3</v>
      </c>
      <c r="I398" s="259"/>
      <c r="J398" s="259"/>
      <c r="K398" s="313"/>
      <c r="L398" s="89"/>
      <c r="M398" s="91"/>
      <c r="N398" s="92"/>
      <c r="O398" s="92"/>
      <c r="P398" s="92"/>
      <c r="Q398" s="92"/>
      <c r="R398" s="92"/>
      <c r="S398" s="92"/>
      <c r="T398" s="93"/>
      <c r="AT398" s="90" t="s">
        <v>225</v>
      </c>
      <c r="AU398" s="90" t="s">
        <v>77</v>
      </c>
      <c r="AV398" s="13" t="s">
        <v>75</v>
      </c>
      <c r="AW398" s="13" t="s">
        <v>30</v>
      </c>
      <c r="AX398" s="13" t="s">
        <v>68</v>
      </c>
      <c r="AY398" s="90" t="s">
        <v>216</v>
      </c>
    </row>
    <row r="399" spans="1:65" s="14" customFormat="1">
      <c r="A399" s="318"/>
      <c r="B399" s="319"/>
      <c r="C399" s="318"/>
      <c r="D399" s="315" t="s">
        <v>225</v>
      </c>
      <c r="E399" s="320" t="s">
        <v>3</v>
      </c>
      <c r="F399" s="321" t="s">
        <v>556</v>
      </c>
      <c r="G399" s="318"/>
      <c r="H399" s="322">
        <v>1.1519999999999999</v>
      </c>
      <c r="I399" s="260"/>
      <c r="J399" s="260"/>
      <c r="K399" s="318"/>
      <c r="L399" s="94"/>
      <c r="M399" s="96"/>
      <c r="N399" s="97"/>
      <c r="O399" s="97"/>
      <c r="P399" s="97"/>
      <c r="Q399" s="97"/>
      <c r="R399" s="97"/>
      <c r="S399" s="97"/>
      <c r="T399" s="98"/>
      <c r="AT399" s="95" t="s">
        <v>225</v>
      </c>
      <c r="AU399" s="95" t="s">
        <v>77</v>
      </c>
      <c r="AV399" s="14" t="s">
        <v>77</v>
      </c>
      <c r="AW399" s="14" t="s">
        <v>30</v>
      </c>
      <c r="AX399" s="14" t="s">
        <v>75</v>
      </c>
      <c r="AY399" s="95" t="s">
        <v>216</v>
      </c>
    </row>
    <row r="400" spans="1:65" s="2" customFormat="1" ht="21.6" customHeight="1">
      <c r="A400" s="269"/>
      <c r="B400" s="270"/>
      <c r="C400" s="308" t="s">
        <v>557</v>
      </c>
      <c r="D400" s="308" t="s">
        <v>218</v>
      </c>
      <c r="E400" s="309" t="s">
        <v>558</v>
      </c>
      <c r="F400" s="310" t="s">
        <v>559</v>
      </c>
      <c r="G400" s="311" t="s">
        <v>221</v>
      </c>
      <c r="H400" s="312">
        <v>0.57599999999999996</v>
      </c>
      <c r="I400" s="82">
        <v>0</v>
      </c>
      <c r="J400" s="82">
        <f>ROUND(I400*H400,2)</f>
        <v>0</v>
      </c>
      <c r="K400" s="310" t="s">
        <v>222</v>
      </c>
      <c r="L400" s="24"/>
      <c r="M400" s="83" t="s">
        <v>3</v>
      </c>
      <c r="N400" s="84" t="s">
        <v>39</v>
      </c>
      <c r="O400" s="85">
        <v>0.41</v>
      </c>
      <c r="P400" s="85">
        <f>O400*H400</f>
        <v>0.23615999999999998</v>
      </c>
      <c r="Q400" s="85">
        <v>0</v>
      </c>
      <c r="R400" s="85">
        <f>Q400*H400</f>
        <v>0</v>
      </c>
      <c r="S400" s="85">
        <v>0</v>
      </c>
      <c r="T400" s="86">
        <f>S400*H400</f>
        <v>0</v>
      </c>
      <c r="U400" s="23"/>
      <c r="V400" s="23"/>
      <c r="W400" s="23"/>
      <c r="X400" s="23"/>
      <c r="Y400" s="23"/>
      <c r="Z400" s="23"/>
      <c r="AA400" s="23"/>
      <c r="AB400" s="23"/>
      <c r="AC400" s="23"/>
      <c r="AD400" s="23"/>
      <c r="AE400" s="23"/>
      <c r="AR400" s="87" t="s">
        <v>223</v>
      </c>
      <c r="AT400" s="87" t="s">
        <v>218</v>
      </c>
      <c r="AU400" s="87" t="s">
        <v>77</v>
      </c>
      <c r="AY400" s="19" t="s">
        <v>216</v>
      </c>
      <c r="BE400" s="88">
        <f>IF(N400="základní",J400,0)</f>
        <v>0</v>
      </c>
      <c r="BF400" s="88">
        <f>IF(N400="snížená",J400,0)</f>
        <v>0</v>
      </c>
      <c r="BG400" s="88">
        <f>IF(N400="zákl. přenesená",J400,0)</f>
        <v>0</v>
      </c>
      <c r="BH400" s="88">
        <f>IF(N400="sníž. přenesená",J400,0)</f>
        <v>0</v>
      </c>
      <c r="BI400" s="88">
        <f>IF(N400="nulová",J400,0)</f>
        <v>0</v>
      </c>
      <c r="BJ400" s="19" t="s">
        <v>75</v>
      </c>
      <c r="BK400" s="88">
        <f>ROUND(I400*H400,2)</f>
        <v>0</v>
      </c>
      <c r="BL400" s="19" t="s">
        <v>223</v>
      </c>
      <c r="BM400" s="87" t="s">
        <v>560</v>
      </c>
    </row>
    <row r="401" spans="1:65" s="2" customFormat="1" ht="68.25">
      <c r="A401" s="269"/>
      <c r="B401" s="270"/>
      <c r="C401" s="269"/>
      <c r="D401" s="315" t="s">
        <v>231</v>
      </c>
      <c r="E401" s="269"/>
      <c r="F401" s="323" t="s">
        <v>561</v>
      </c>
      <c r="G401" s="269"/>
      <c r="H401" s="269"/>
      <c r="I401" s="248"/>
      <c r="J401" s="248"/>
      <c r="K401" s="269"/>
      <c r="L401" s="24"/>
      <c r="M401" s="99"/>
      <c r="N401" s="100"/>
      <c r="O401" s="32"/>
      <c r="P401" s="32"/>
      <c r="Q401" s="32"/>
      <c r="R401" s="32"/>
      <c r="S401" s="32"/>
      <c r="T401" s="33"/>
      <c r="U401" s="23"/>
      <c r="V401" s="23"/>
      <c r="W401" s="23"/>
      <c r="X401" s="23"/>
      <c r="Y401" s="23"/>
      <c r="Z401" s="23"/>
      <c r="AA401" s="23"/>
      <c r="AB401" s="23"/>
      <c r="AC401" s="23"/>
      <c r="AD401" s="23"/>
      <c r="AE401" s="23"/>
      <c r="AT401" s="19" t="s">
        <v>231</v>
      </c>
      <c r="AU401" s="19" t="s">
        <v>77</v>
      </c>
    </row>
    <row r="402" spans="1:65" s="2" customFormat="1" ht="21.6" customHeight="1">
      <c r="A402" s="269"/>
      <c r="B402" s="270"/>
      <c r="C402" s="308" t="s">
        <v>562</v>
      </c>
      <c r="D402" s="308" t="s">
        <v>218</v>
      </c>
      <c r="E402" s="309" t="s">
        <v>563</v>
      </c>
      <c r="F402" s="310" t="s">
        <v>564</v>
      </c>
      <c r="G402" s="311" t="s">
        <v>221</v>
      </c>
      <c r="H402" s="312">
        <v>1.1519999999999999</v>
      </c>
      <c r="I402" s="82">
        <v>0</v>
      </c>
      <c r="J402" s="82">
        <f>ROUND(I402*H402,2)</f>
        <v>0</v>
      </c>
      <c r="K402" s="310" t="s">
        <v>222</v>
      </c>
      <c r="L402" s="24"/>
      <c r="M402" s="83" t="s">
        <v>3</v>
      </c>
      <c r="N402" s="84" t="s">
        <v>39</v>
      </c>
      <c r="O402" s="85">
        <v>0.20499999999999999</v>
      </c>
      <c r="P402" s="85">
        <f>O402*H402</f>
        <v>0.23615999999999998</v>
      </c>
      <c r="Q402" s="85">
        <v>0</v>
      </c>
      <c r="R402" s="85">
        <f>Q402*H402</f>
        <v>0</v>
      </c>
      <c r="S402" s="85">
        <v>0</v>
      </c>
      <c r="T402" s="86">
        <f>S402*H402</f>
        <v>0</v>
      </c>
      <c r="U402" s="23"/>
      <c r="V402" s="23"/>
      <c r="W402" s="23"/>
      <c r="X402" s="23"/>
      <c r="Y402" s="23"/>
      <c r="Z402" s="23"/>
      <c r="AA402" s="23"/>
      <c r="AB402" s="23"/>
      <c r="AC402" s="23"/>
      <c r="AD402" s="23"/>
      <c r="AE402" s="23"/>
      <c r="AR402" s="87" t="s">
        <v>223</v>
      </c>
      <c r="AT402" s="87" t="s">
        <v>218</v>
      </c>
      <c r="AU402" s="87" t="s">
        <v>77</v>
      </c>
      <c r="AY402" s="19" t="s">
        <v>216</v>
      </c>
      <c r="BE402" s="88">
        <f>IF(N402="základní",J402,0)</f>
        <v>0</v>
      </c>
      <c r="BF402" s="88">
        <f>IF(N402="snížená",J402,0)</f>
        <v>0</v>
      </c>
      <c r="BG402" s="88">
        <f>IF(N402="zákl. přenesená",J402,0)</f>
        <v>0</v>
      </c>
      <c r="BH402" s="88">
        <f>IF(N402="sníž. přenesená",J402,0)</f>
        <v>0</v>
      </c>
      <c r="BI402" s="88">
        <f>IF(N402="nulová",J402,0)</f>
        <v>0</v>
      </c>
      <c r="BJ402" s="19" t="s">
        <v>75</v>
      </c>
      <c r="BK402" s="88">
        <f>ROUND(I402*H402,2)</f>
        <v>0</v>
      </c>
      <c r="BL402" s="19" t="s">
        <v>223</v>
      </c>
      <c r="BM402" s="87" t="s">
        <v>565</v>
      </c>
    </row>
    <row r="403" spans="1:65" s="2" customFormat="1" ht="68.25">
      <c r="A403" s="269"/>
      <c r="B403" s="270"/>
      <c r="C403" s="269"/>
      <c r="D403" s="315" t="s">
        <v>231</v>
      </c>
      <c r="E403" s="269"/>
      <c r="F403" s="323" t="s">
        <v>561</v>
      </c>
      <c r="G403" s="269"/>
      <c r="H403" s="269"/>
      <c r="I403" s="248"/>
      <c r="J403" s="248"/>
      <c r="K403" s="269"/>
      <c r="L403" s="24"/>
      <c r="M403" s="99"/>
      <c r="N403" s="100"/>
      <c r="O403" s="32"/>
      <c r="P403" s="32"/>
      <c r="Q403" s="32"/>
      <c r="R403" s="32"/>
      <c r="S403" s="32"/>
      <c r="T403" s="33"/>
      <c r="U403" s="23"/>
      <c r="V403" s="23"/>
      <c r="W403" s="23"/>
      <c r="X403" s="23"/>
      <c r="Y403" s="23"/>
      <c r="Z403" s="23"/>
      <c r="AA403" s="23"/>
      <c r="AB403" s="23"/>
      <c r="AC403" s="23"/>
      <c r="AD403" s="23"/>
      <c r="AE403" s="23"/>
      <c r="AT403" s="19" t="s">
        <v>231</v>
      </c>
      <c r="AU403" s="19" t="s">
        <v>77</v>
      </c>
    </row>
    <row r="404" spans="1:65" s="2" customFormat="1" ht="14.45" customHeight="1">
      <c r="A404" s="269"/>
      <c r="B404" s="270"/>
      <c r="C404" s="308" t="s">
        <v>566</v>
      </c>
      <c r="D404" s="308" t="s">
        <v>218</v>
      </c>
      <c r="E404" s="309" t="s">
        <v>567</v>
      </c>
      <c r="F404" s="310" t="s">
        <v>568</v>
      </c>
      <c r="G404" s="311" t="s">
        <v>273</v>
      </c>
      <c r="H404" s="312">
        <v>3.5999999999999997E-2</v>
      </c>
      <c r="I404" s="82">
        <v>0</v>
      </c>
      <c r="J404" s="82">
        <f>ROUND(I404*H404,2)</f>
        <v>0</v>
      </c>
      <c r="K404" s="310" t="s">
        <v>222</v>
      </c>
      <c r="L404" s="24"/>
      <c r="M404" s="83" t="s">
        <v>3</v>
      </c>
      <c r="N404" s="84" t="s">
        <v>39</v>
      </c>
      <c r="O404" s="85">
        <v>15.231</v>
      </c>
      <c r="P404" s="85">
        <f>O404*H404</f>
        <v>0.54831599999999991</v>
      </c>
      <c r="Q404" s="85">
        <v>1.06277</v>
      </c>
      <c r="R404" s="85">
        <f>Q404*H404</f>
        <v>3.8259719999999997E-2</v>
      </c>
      <c r="S404" s="85">
        <v>0</v>
      </c>
      <c r="T404" s="86">
        <f>S404*H404</f>
        <v>0</v>
      </c>
      <c r="U404" s="23"/>
      <c r="V404" s="23"/>
      <c r="W404" s="23"/>
      <c r="X404" s="23"/>
      <c r="Y404" s="23"/>
      <c r="Z404" s="23"/>
      <c r="AA404" s="23"/>
      <c r="AB404" s="23"/>
      <c r="AC404" s="23"/>
      <c r="AD404" s="23"/>
      <c r="AE404" s="23"/>
      <c r="AR404" s="87" t="s">
        <v>223</v>
      </c>
      <c r="AT404" s="87" t="s">
        <v>218</v>
      </c>
      <c r="AU404" s="87" t="s">
        <v>77</v>
      </c>
      <c r="AY404" s="19" t="s">
        <v>216</v>
      </c>
      <c r="BE404" s="88">
        <f>IF(N404="základní",J404,0)</f>
        <v>0</v>
      </c>
      <c r="BF404" s="88">
        <f>IF(N404="snížená",J404,0)</f>
        <v>0</v>
      </c>
      <c r="BG404" s="88">
        <f>IF(N404="zákl. přenesená",J404,0)</f>
        <v>0</v>
      </c>
      <c r="BH404" s="88">
        <f>IF(N404="sníž. přenesená",J404,0)</f>
        <v>0</v>
      </c>
      <c r="BI404" s="88">
        <f>IF(N404="nulová",J404,0)</f>
        <v>0</v>
      </c>
      <c r="BJ404" s="19" t="s">
        <v>75</v>
      </c>
      <c r="BK404" s="88">
        <f>ROUND(I404*H404,2)</f>
        <v>0</v>
      </c>
      <c r="BL404" s="19" t="s">
        <v>223</v>
      </c>
      <c r="BM404" s="87" t="s">
        <v>569</v>
      </c>
    </row>
    <row r="405" spans="1:65" s="2" customFormat="1" ht="39">
      <c r="A405" s="269"/>
      <c r="B405" s="270"/>
      <c r="C405" s="269"/>
      <c r="D405" s="315" t="s">
        <v>231</v>
      </c>
      <c r="E405" s="269"/>
      <c r="F405" s="323" t="s">
        <v>570</v>
      </c>
      <c r="G405" s="269"/>
      <c r="H405" s="269"/>
      <c r="I405" s="248"/>
      <c r="J405" s="248"/>
      <c r="K405" s="269"/>
      <c r="L405" s="24"/>
      <c r="M405" s="99"/>
      <c r="N405" s="100"/>
      <c r="O405" s="32"/>
      <c r="P405" s="32"/>
      <c r="Q405" s="32"/>
      <c r="R405" s="32"/>
      <c r="S405" s="32"/>
      <c r="T405" s="33"/>
      <c r="U405" s="23"/>
      <c r="V405" s="23"/>
      <c r="W405" s="23"/>
      <c r="X405" s="23"/>
      <c r="Y405" s="23"/>
      <c r="Z405" s="23"/>
      <c r="AA405" s="23"/>
      <c r="AB405" s="23"/>
      <c r="AC405" s="23"/>
      <c r="AD405" s="23"/>
      <c r="AE405" s="23"/>
      <c r="AT405" s="19" t="s">
        <v>231</v>
      </c>
      <c r="AU405" s="19" t="s">
        <v>77</v>
      </c>
    </row>
    <row r="406" spans="1:65" s="13" customFormat="1">
      <c r="A406" s="313"/>
      <c r="B406" s="314"/>
      <c r="C406" s="313"/>
      <c r="D406" s="315" t="s">
        <v>225</v>
      </c>
      <c r="E406" s="316" t="s">
        <v>3</v>
      </c>
      <c r="F406" s="317" t="s">
        <v>304</v>
      </c>
      <c r="G406" s="313"/>
      <c r="H406" s="316" t="s">
        <v>3</v>
      </c>
      <c r="I406" s="259"/>
      <c r="J406" s="259"/>
      <c r="K406" s="313"/>
      <c r="L406" s="89"/>
      <c r="M406" s="91"/>
      <c r="N406" s="92"/>
      <c r="O406" s="92"/>
      <c r="P406" s="92"/>
      <c r="Q406" s="92"/>
      <c r="R406" s="92"/>
      <c r="S406" s="92"/>
      <c r="T406" s="93"/>
      <c r="AT406" s="90" t="s">
        <v>225</v>
      </c>
      <c r="AU406" s="90" t="s">
        <v>77</v>
      </c>
      <c r="AV406" s="13" t="s">
        <v>75</v>
      </c>
      <c r="AW406" s="13" t="s">
        <v>30</v>
      </c>
      <c r="AX406" s="13" t="s">
        <v>68</v>
      </c>
      <c r="AY406" s="90" t="s">
        <v>216</v>
      </c>
    </row>
    <row r="407" spans="1:65" s="13" customFormat="1">
      <c r="A407" s="313"/>
      <c r="B407" s="314"/>
      <c r="C407" s="313"/>
      <c r="D407" s="315" t="s">
        <v>225</v>
      </c>
      <c r="E407" s="316" t="s">
        <v>3</v>
      </c>
      <c r="F407" s="317" t="s">
        <v>550</v>
      </c>
      <c r="G407" s="313"/>
      <c r="H407" s="316" t="s">
        <v>3</v>
      </c>
      <c r="I407" s="259"/>
      <c r="J407" s="259"/>
      <c r="K407" s="313"/>
      <c r="L407" s="89"/>
      <c r="M407" s="91"/>
      <c r="N407" s="92"/>
      <c r="O407" s="92"/>
      <c r="P407" s="92"/>
      <c r="Q407" s="92"/>
      <c r="R407" s="92"/>
      <c r="S407" s="92"/>
      <c r="T407" s="93"/>
      <c r="AT407" s="90" t="s">
        <v>225</v>
      </c>
      <c r="AU407" s="90" t="s">
        <v>77</v>
      </c>
      <c r="AV407" s="13" t="s">
        <v>75</v>
      </c>
      <c r="AW407" s="13" t="s">
        <v>30</v>
      </c>
      <c r="AX407" s="13" t="s">
        <v>68</v>
      </c>
      <c r="AY407" s="90" t="s">
        <v>216</v>
      </c>
    </row>
    <row r="408" spans="1:65" s="13" customFormat="1">
      <c r="A408" s="313"/>
      <c r="B408" s="314"/>
      <c r="C408" s="313"/>
      <c r="D408" s="315" t="s">
        <v>225</v>
      </c>
      <c r="E408" s="316" t="s">
        <v>3</v>
      </c>
      <c r="F408" s="317" t="s">
        <v>571</v>
      </c>
      <c r="G408" s="313"/>
      <c r="H408" s="316" t="s">
        <v>3</v>
      </c>
      <c r="I408" s="259"/>
      <c r="J408" s="259"/>
      <c r="K408" s="313"/>
      <c r="L408" s="89"/>
      <c r="M408" s="91"/>
      <c r="N408" s="92"/>
      <c r="O408" s="92"/>
      <c r="P408" s="92"/>
      <c r="Q408" s="92"/>
      <c r="R408" s="92"/>
      <c r="S408" s="92"/>
      <c r="T408" s="93"/>
      <c r="AT408" s="90" t="s">
        <v>225</v>
      </c>
      <c r="AU408" s="90" t="s">
        <v>77</v>
      </c>
      <c r="AV408" s="13" t="s">
        <v>75</v>
      </c>
      <c r="AW408" s="13" t="s">
        <v>30</v>
      </c>
      <c r="AX408" s="13" t="s">
        <v>68</v>
      </c>
      <c r="AY408" s="90" t="s">
        <v>216</v>
      </c>
    </row>
    <row r="409" spans="1:65" s="14" customFormat="1">
      <c r="A409" s="318"/>
      <c r="B409" s="319"/>
      <c r="C409" s="318"/>
      <c r="D409" s="315" t="s">
        <v>225</v>
      </c>
      <c r="E409" s="320" t="s">
        <v>3</v>
      </c>
      <c r="F409" s="321" t="s">
        <v>572</v>
      </c>
      <c r="G409" s="318"/>
      <c r="H409" s="322">
        <v>3.5999999999999997E-2</v>
      </c>
      <c r="I409" s="260"/>
      <c r="J409" s="260"/>
      <c r="K409" s="318"/>
      <c r="L409" s="94"/>
      <c r="M409" s="96"/>
      <c r="N409" s="97"/>
      <c r="O409" s="97"/>
      <c r="P409" s="97"/>
      <c r="Q409" s="97"/>
      <c r="R409" s="97"/>
      <c r="S409" s="97"/>
      <c r="T409" s="98"/>
      <c r="AT409" s="95" t="s">
        <v>225</v>
      </c>
      <c r="AU409" s="95" t="s">
        <v>77</v>
      </c>
      <c r="AV409" s="14" t="s">
        <v>77</v>
      </c>
      <c r="AW409" s="14" t="s">
        <v>30</v>
      </c>
      <c r="AX409" s="14" t="s">
        <v>75</v>
      </c>
      <c r="AY409" s="95" t="s">
        <v>216</v>
      </c>
    </row>
    <row r="410" spans="1:65" s="2" customFormat="1" ht="14.45" customHeight="1">
      <c r="A410" s="269"/>
      <c r="B410" s="270"/>
      <c r="C410" s="308" t="s">
        <v>573</v>
      </c>
      <c r="D410" s="308" t="s">
        <v>218</v>
      </c>
      <c r="E410" s="309" t="s">
        <v>574</v>
      </c>
      <c r="F410" s="310" t="s">
        <v>575</v>
      </c>
      <c r="G410" s="311" t="s">
        <v>286</v>
      </c>
      <c r="H410" s="312">
        <v>17.7</v>
      </c>
      <c r="I410" s="82">
        <v>0</v>
      </c>
      <c r="J410" s="82">
        <f>ROUND(I410*H410,2)</f>
        <v>0</v>
      </c>
      <c r="K410" s="310" t="s">
        <v>3</v>
      </c>
      <c r="L410" s="24"/>
      <c r="M410" s="83" t="s">
        <v>3</v>
      </c>
      <c r="N410" s="84" t="s">
        <v>39</v>
      </c>
      <c r="O410" s="85">
        <v>0.29399999999999998</v>
      </c>
      <c r="P410" s="85">
        <f>O410*H410</f>
        <v>5.2037999999999993</v>
      </c>
      <c r="Q410" s="85">
        <v>3.78E-2</v>
      </c>
      <c r="R410" s="85">
        <f>Q410*H410</f>
        <v>0.66905999999999999</v>
      </c>
      <c r="S410" s="85">
        <v>0</v>
      </c>
      <c r="T410" s="86">
        <f>S410*H410</f>
        <v>0</v>
      </c>
      <c r="U410" s="23"/>
      <c r="V410" s="23"/>
      <c r="W410" s="23"/>
      <c r="X410" s="23"/>
      <c r="Y410" s="23"/>
      <c r="Z410" s="23"/>
      <c r="AA410" s="23"/>
      <c r="AB410" s="23"/>
      <c r="AC410" s="23"/>
      <c r="AD410" s="23"/>
      <c r="AE410" s="23"/>
      <c r="AR410" s="87" t="s">
        <v>223</v>
      </c>
      <c r="AT410" s="87" t="s">
        <v>218</v>
      </c>
      <c r="AU410" s="87" t="s">
        <v>77</v>
      </c>
      <c r="AY410" s="19" t="s">
        <v>216</v>
      </c>
      <c r="BE410" s="88">
        <f>IF(N410="základní",J410,0)</f>
        <v>0</v>
      </c>
      <c r="BF410" s="88">
        <f>IF(N410="snížená",J410,0)</f>
        <v>0</v>
      </c>
      <c r="BG410" s="88">
        <f>IF(N410="zákl. přenesená",J410,0)</f>
        <v>0</v>
      </c>
      <c r="BH410" s="88">
        <f>IF(N410="sníž. přenesená",J410,0)</f>
        <v>0</v>
      </c>
      <c r="BI410" s="88">
        <f>IF(N410="nulová",J410,0)</f>
        <v>0</v>
      </c>
      <c r="BJ410" s="19" t="s">
        <v>75</v>
      </c>
      <c r="BK410" s="88">
        <f>ROUND(I410*H410,2)</f>
        <v>0</v>
      </c>
      <c r="BL410" s="19" t="s">
        <v>223</v>
      </c>
      <c r="BM410" s="87" t="s">
        <v>576</v>
      </c>
    </row>
    <row r="411" spans="1:65" s="2" customFormat="1" ht="39">
      <c r="A411" s="269"/>
      <c r="B411" s="270"/>
      <c r="C411" s="269"/>
      <c r="D411" s="315" t="s">
        <v>231</v>
      </c>
      <c r="E411" s="269"/>
      <c r="F411" s="323" t="s">
        <v>577</v>
      </c>
      <c r="G411" s="269"/>
      <c r="H411" s="269"/>
      <c r="I411" s="248"/>
      <c r="J411" s="248"/>
      <c r="K411" s="269"/>
      <c r="L411" s="24"/>
      <c r="M411" s="99"/>
      <c r="N411" s="100"/>
      <c r="O411" s="32"/>
      <c r="P411" s="32"/>
      <c r="Q411" s="32"/>
      <c r="R411" s="32"/>
      <c r="S411" s="32"/>
      <c r="T411" s="33"/>
      <c r="U411" s="23"/>
      <c r="V411" s="23"/>
      <c r="W411" s="23"/>
      <c r="X411" s="23"/>
      <c r="Y411" s="23"/>
      <c r="Z411" s="23"/>
      <c r="AA411" s="23"/>
      <c r="AB411" s="23"/>
      <c r="AC411" s="23"/>
      <c r="AD411" s="23"/>
      <c r="AE411" s="23"/>
      <c r="AT411" s="19" t="s">
        <v>231</v>
      </c>
      <c r="AU411" s="19" t="s">
        <v>77</v>
      </c>
    </row>
    <row r="412" spans="1:65" s="13" customFormat="1">
      <c r="A412" s="313"/>
      <c r="B412" s="314"/>
      <c r="C412" s="313"/>
      <c r="D412" s="315" t="s">
        <v>225</v>
      </c>
      <c r="E412" s="316" t="s">
        <v>3</v>
      </c>
      <c r="F412" s="317" t="s">
        <v>578</v>
      </c>
      <c r="G412" s="313"/>
      <c r="H412" s="316" t="s">
        <v>3</v>
      </c>
      <c r="I412" s="259"/>
      <c r="J412" s="259"/>
      <c r="K412" s="313"/>
      <c r="L412" s="89"/>
      <c r="M412" s="91"/>
      <c r="N412" s="92"/>
      <c r="O412" s="92"/>
      <c r="P412" s="92"/>
      <c r="Q412" s="92"/>
      <c r="R412" s="92"/>
      <c r="S412" s="92"/>
      <c r="T412" s="93"/>
      <c r="AT412" s="90" t="s">
        <v>225</v>
      </c>
      <c r="AU412" s="90" t="s">
        <v>77</v>
      </c>
      <c r="AV412" s="13" t="s">
        <v>75</v>
      </c>
      <c r="AW412" s="13" t="s">
        <v>30</v>
      </c>
      <c r="AX412" s="13" t="s">
        <v>68</v>
      </c>
      <c r="AY412" s="90" t="s">
        <v>216</v>
      </c>
    </row>
    <row r="413" spans="1:65" s="13" customFormat="1">
      <c r="A413" s="313"/>
      <c r="B413" s="314"/>
      <c r="C413" s="313"/>
      <c r="D413" s="315" t="s">
        <v>225</v>
      </c>
      <c r="E413" s="316" t="s">
        <v>3</v>
      </c>
      <c r="F413" s="317" t="s">
        <v>579</v>
      </c>
      <c r="G413" s="313"/>
      <c r="H413" s="316" t="s">
        <v>3</v>
      </c>
      <c r="I413" s="259"/>
      <c r="J413" s="259"/>
      <c r="K413" s="313"/>
      <c r="L413" s="89"/>
      <c r="M413" s="91"/>
      <c r="N413" s="92"/>
      <c r="O413" s="92"/>
      <c r="P413" s="92"/>
      <c r="Q413" s="92"/>
      <c r="R413" s="92"/>
      <c r="S413" s="92"/>
      <c r="T413" s="93"/>
      <c r="AT413" s="90" t="s">
        <v>225</v>
      </c>
      <c r="AU413" s="90" t="s">
        <v>77</v>
      </c>
      <c r="AV413" s="13" t="s">
        <v>75</v>
      </c>
      <c r="AW413" s="13" t="s">
        <v>30</v>
      </c>
      <c r="AX413" s="13" t="s">
        <v>68</v>
      </c>
      <c r="AY413" s="90" t="s">
        <v>216</v>
      </c>
    </row>
    <row r="414" spans="1:65" s="14" customFormat="1">
      <c r="A414" s="318"/>
      <c r="B414" s="319"/>
      <c r="C414" s="318"/>
      <c r="D414" s="315" t="s">
        <v>225</v>
      </c>
      <c r="E414" s="320" t="s">
        <v>3</v>
      </c>
      <c r="F414" s="321" t="s">
        <v>155</v>
      </c>
      <c r="G414" s="318"/>
      <c r="H414" s="322">
        <v>17.7</v>
      </c>
      <c r="I414" s="260"/>
      <c r="J414" s="260"/>
      <c r="K414" s="318"/>
      <c r="L414" s="94"/>
      <c r="M414" s="96"/>
      <c r="N414" s="97"/>
      <c r="O414" s="97"/>
      <c r="P414" s="97"/>
      <c r="Q414" s="97"/>
      <c r="R414" s="97"/>
      <c r="S414" s="97"/>
      <c r="T414" s="98"/>
      <c r="AT414" s="95" t="s">
        <v>225</v>
      </c>
      <c r="AU414" s="95" t="s">
        <v>77</v>
      </c>
      <c r="AV414" s="14" t="s">
        <v>77</v>
      </c>
      <c r="AW414" s="14" t="s">
        <v>30</v>
      </c>
      <c r="AX414" s="14" t="s">
        <v>75</v>
      </c>
      <c r="AY414" s="95" t="s">
        <v>216</v>
      </c>
    </row>
    <row r="415" spans="1:65" s="2" customFormat="1" ht="14.45" customHeight="1">
      <c r="A415" s="269"/>
      <c r="B415" s="270"/>
      <c r="C415" s="308" t="s">
        <v>580</v>
      </c>
      <c r="D415" s="308" t="s">
        <v>218</v>
      </c>
      <c r="E415" s="309" t="s">
        <v>581</v>
      </c>
      <c r="F415" s="310" t="s">
        <v>582</v>
      </c>
      <c r="G415" s="311" t="s">
        <v>286</v>
      </c>
      <c r="H415" s="312">
        <v>252.3</v>
      </c>
      <c r="I415" s="82">
        <v>0</v>
      </c>
      <c r="J415" s="82">
        <f>ROUND(I415*H415,2)</f>
        <v>0</v>
      </c>
      <c r="K415" s="310" t="s">
        <v>222</v>
      </c>
      <c r="L415" s="24"/>
      <c r="M415" s="83" t="s">
        <v>3</v>
      </c>
      <c r="N415" s="84" t="s">
        <v>39</v>
      </c>
      <c r="O415" s="85">
        <v>0.26400000000000001</v>
      </c>
      <c r="P415" s="85">
        <f>O415*H415</f>
        <v>66.607200000000006</v>
      </c>
      <c r="Q415" s="85">
        <v>8.2110000000000002E-2</v>
      </c>
      <c r="R415" s="85">
        <f>Q415*H415</f>
        <v>20.716353000000002</v>
      </c>
      <c r="S415" s="85">
        <v>0</v>
      </c>
      <c r="T415" s="86">
        <f>S415*H415</f>
        <v>0</v>
      </c>
      <c r="U415" s="23"/>
      <c r="V415" s="23"/>
      <c r="W415" s="23"/>
      <c r="X415" s="23"/>
      <c r="Y415" s="23"/>
      <c r="Z415" s="23"/>
      <c r="AA415" s="23"/>
      <c r="AB415" s="23"/>
      <c r="AC415" s="23"/>
      <c r="AD415" s="23"/>
      <c r="AE415" s="23"/>
      <c r="AR415" s="87" t="s">
        <v>223</v>
      </c>
      <c r="AT415" s="87" t="s">
        <v>218</v>
      </c>
      <c r="AU415" s="87" t="s">
        <v>77</v>
      </c>
      <c r="AY415" s="19" t="s">
        <v>216</v>
      </c>
      <c r="BE415" s="88">
        <f>IF(N415="základní",J415,0)</f>
        <v>0</v>
      </c>
      <c r="BF415" s="88">
        <f>IF(N415="snížená",J415,0)</f>
        <v>0</v>
      </c>
      <c r="BG415" s="88">
        <f>IF(N415="zákl. přenesená",J415,0)</f>
        <v>0</v>
      </c>
      <c r="BH415" s="88">
        <f>IF(N415="sníž. přenesená",J415,0)</f>
        <v>0</v>
      </c>
      <c r="BI415" s="88">
        <f>IF(N415="nulová",J415,0)</f>
        <v>0</v>
      </c>
      <c r="BJ415" s="19" t="s">
        <v>75</v>
      </c>
      <c r="BK415" s="88">
        <f>ROUND(I415*H415,2)</f>
        <v>0</v>
      </c>
      <c r="BL415" s="19" t="s">
        <v>223</v>
      </c>
      <c r="BM415" s="87" t="s">
        <v>583</v>
      </c>
    </row>
    <row r="416" spans="1:65" s="2" customFormat="1" ht="39">
      <c r="A416" s="269"/>
      <c r="B416" s="270"/>
      <c r="C416" s="269"/>
      <c r="D416" s="315" t="s">
        <v>231</v>
      </c>
      <c r="E416" s="269"/>
      <c r="F416" s="323" t="s">
        <v>584</v>
      </c>
      <c r="G416" s="269"/>
      <c r="H416" s="269"/>
      <c r="I416" s="248"/>
      <c r="J416" s="248"/>
      <c r="K416" s="269"/>
      <c r="L416" s="24"/>
      <c r="M416" s="99"/>
      <c r="N416" s="100"/>
      <c r="O416" s="32"/>
      <c r="P416" s="32"/>
      <c r="Q416" s="32"/>
      <c r="R416" s="32"/>
      <c r="S416" s="32"/>
      <c r="T416" s="33"/>
      <c r="U416" s="23"/>
      <c r="V416" s="23"/>
      <c r="W416" s="23"/>
      <c r="X416" s="23"/>
      <c r="Y416" s="23"/>
      <c r="Z416" s="23"/>
      <c r="AA416" s="23"/>
      <c r="AB416" s="23"/>
      <c r="AC416" s="23"/>
      <c r="AD416" s="23"/>
      <c r="AE416" s="23"/>
      <c r="AT416" s="19" t="s">
        <v>231</v>
      </c>
      <c r="AU416" s="19" t="s">
        <v>77</v>
      </c>
    </row>
    <row r="417" spans="1:65" s="13" customFormat="1">
      <c r="A417" s="313"/>
      <c r="B417" s="314"/>
      <c r="C417" s="313"/>
      <c r="D417" s="315" t="s">
        <v>225</v>
      </c>
      <c r="E417" s="316" t="s">
        <v>3</v>
      </c>
      <c r="F417" s="317" t="s">
        <v>578</v>
      </c>
      <c r="G417" s="313"/>
      <c r="H417" s="316" t="s">
        <v>3</v>
      </c>
      <c r="I417" s="259"/>
      <c r="J417" s="259"/>
      <c r="K417" s="313"/>
      <c r="L417" s="89"/>
      <c r="M417" s="91"/>
      <c r="N417" s="92"/>
      <c r="O417" s="92"/>
      <c r="P417" s="92"/>
      <c r="Q417" s="92"/>
      <c r="R417" s="92"/>
      <c r="S417" s="92"/>
      <c r="T417" s="93"/>
      <c r="AT417" s="90" t="s">
        <v>225</v>
      </c>
      <c r="AU417" s="90" t="s">
        <v>77</v>
      </c>
      <c r="AV417" s="13" t="s">
        <v>75</v>
      </c>
      <c r="AW417" s="13" t="s">
        <v>30</v>
      </c>
      <c r="AX417" s="13" t="s">
        <v>68</v>
      </c>
      <c r="AY417" s="90" t="s">
        <v>216</v>
      </c>
    </row>
    <row r="418" spans="1:65" s="13" customFormat="1">
      <c r="A418" s="313"/>
      <c r="B418" s="314"/>
      <c r="C418" s="313"/>
      <c r="D418" s="315" t="s">
        <v>225</v>
      </c>
      <c r="E418" s="316" t="s">
        <v>3</v>
      </c>
      <c r="F418" s="317" t="s">
        <v>579</v>
      </c>
      <c r="G418" s="313"/>
      <c r="H418" s="316" t="s">
        <v>3</v>
      </c>
      <c r="I418" s="259"/>
      <c r="J418" s="259"/>
      <c r="K418" s="313"/>
      <c r="L418" s="89"/>
      <c r="M418" s="91"/>
      <c r="N418" s="92"/>
      <c r="O418" s="92"/>
      <c r="P418" s="92"/>
      <c r="Q418" s="92"/>
      <c r="R418" s="92"/>
      <c r="S418" s="92"/>
      <c r="T418" s="93"/>
      <c r="AT418" s="90" t="s">
        <v>225</v>
      </c>
      <c r="AU418" s="90" t="s">
        <v>77</v>
      </c>
      <c r="AV418" s="13" t="s">
        <v>75</v>
      </c>
      <c r="AW418" s="13" t="s">
        <v>30</v>
      </c>
      <c r="AX418" s="13" t="s">
        <v>68</v>
      </c>
      <c r="AY418" s="90" t="s">
        <v>216</v>
      </c>
    </row>
    <row r="419" spans="1:65" s="14" customFormat="1">
      <c r="A419" s="318"/>
      <c r="B419" s="319"/>
      <c r="C419" s="318"/>
      <c r="D419" s="315" t="s">
        <v>225</v>
      </c>
      <c r="E419" s="320" t="s">
        <v>3</v>
      </c>
      <c r="F419" s="321" t="s">
        <v>585</v>
      </c>
      <c r="G419" s="318"/>
      <c r="H419" s="322">
        <v>252.3</v>
      </c>
      <c r="I419" s="260"/>
      <c r="J419" s="260"/>
      <c r="K419" s="318"/>
      <c r="L419" s="94"/>
      <c r="M419" s="96"/>
      <c r="N419" s="97"/>
      <c r="O419" s="97"/>
      <c r="P419" s="97"/>
      <c r="Q419" s="97"/>
      <c r="R419" s="97"/>
      <c r="S419" s="97"/>
      <c r="T419" s="98"/>
      <c r="AT419" s="95" t="s">
        <v>225</v>
      </c>
      <c r="AU419" s="95" t="s">
        <v>77</v>
      </c>
      <c r="AV419" s="14" t="s">
        <v>77</v>
      </c>
      <c r="AW419" s="14" t="s">
        <v>30</v>
      </c>
      <c r="AX419" s="14" t="s">
        <v>75</v>
      </c>
      <c r="AY419" s="95" t="s">
        <v>216</v>
      </c>
    </row>
    <row r="420" spans="1:65" s="2" customFormat="1" ht="14.45" customHeight="1">
      <c r="A420" s="269"/>
      <c r="B420" s="270"/>
      <c r="C420" s="308" t="s">
        <v>586</v>
      </c>
      <c r="D420" s="308" t="s">
        <v>218</v>
      </c>
      <c r="E420" s="309" t="s">
        <v>587</v>
      </c>
      <c r="F420" s="310" t="s">
        <v>588</v>
      </c>
      <c r="G420" s="311" t="s">
        <v>286</v>
      </c>
      <c r="H420" s="312">
        <v>28.5</v>
      </c>
      <c r="I420" s="82">
        <v>0</v>
      </c>
      <c r="J420" s="82">
        <f>ROUND(I420*H420,2)</f>
        <v>0</v>
      </c>
      <c r="K420" s="310" t="s">
        <v>222</v>
      </c>
      <c r="L420" s="24"/>
      <c r="M420" s="83" t="s">
        <v>3</v>
      </c>
      <c r="N420" s="84" t="s">
        <v>39</v>
      </c>
      <c r="O420" s="85">
        <v>0.27500000000000002</v>
      </c>
      <c r="P420" s="85">
        <f>O420*H420</f>
        <v>7.8375000000000004</v>
      </c>
      <c r="Q420" s="85">
        <v>9.3840000000000007E-2</v>
      </c>
      <c r="R420" s="85">
        <f>Q420*H420</f>
        <v>2.6744400000000002</v>
      </c>
      <c r="S420" s="85">
        <v>0</v>
      </c>
      <c r="T420" s="86">
        <f>S420*H420</f>
        <v>0</v>
      </c>
      <c r="U420" s="23"/>
      <c r="V420" s="23"/>
      <c r="W420" s="23"/>
      <c r="X420" s="23"/>
      <c r="Y420" s="23"/>
      <c r="Z420" s="23"/>
      <c r="AA420" s="23"/>
      <c r="AB420" s="23"/>
      <c r="AC420" s="23"/>
      <c r="AD420" s="23"/>
      <c r="AE420" s="23"/>
      <c r="AR420" s="87" t="s">
        <v>223</v>
      </c>
      <c r="AT420" s="87" t="s">
        <v>218</v>
      </c>
      <c r="AU420" s="87" t="s">
        <v>77</v>
      </c>
      <c r="AY420" s="19" t="s">
        <v>216</v>
      </c>
      <c r="BE420" s="88">
        <f>IF(N420="základní",J420,0)</f>
        <v>0</v>
      </c>
      <c r="BF420" s="88">
        <f>IF(N420="snížená",J420,0)</f>
        <v>0</v>
      </c>
      <c r="BG420" s="88">
        <f>IF(N420="zákl. přenesená",J420,0)</f>
        <v>0</v>
      </c>
      <c r="BH420" s="88">
        <f>IF(N420="sníž. přenesená",J420,0)</f>
        <v>0</v>
      </c>
      <c r="BI420" s="88">
        <f>IF(N420="nulová",J420,0)</f>
        <v>0</v>
      </c>
      <c r="BJ420" s="19" t="s">
        <v>75</v>
      </c>
      <c r="BK420" s="88">
        <f>ROUND(I420*H420,2)</f>
        <v>0</v>
      </c>
      <c r="BL420" s="19" t="s">
        <v>223</v>
      </c>
      <c r="BM420" s="87" t="s">
        <v>589</v>
      </c>
    </row>
    <row r="421" spans="1:65" s="2" customFormat="1" ht="39">
      <c r="A421" s="269"/>
      <c r="B421" s="270"/>
      <c r="C421" s="269"/>
      <c r="D421" s="315" t="s">
        <v>231</v>
      </c>
      <c r="E421" s="269"/>
      <c r="F421" s="323" t="s">
        <v>584</v>
      </c>
      <c r="G421" s="269"/>
      <c r="H421" s="269"/>
      <c r="I421" s="248"/>
      <c r="J421" s="248"/>
      <c r="K421" s="269"/>
      <c r="L421" s="24"/>
      <c r="M421" s="99"/>
      <c r="N421" s="100"/>
      <c r="O421" s="32"/>
      <c r="P421" s="32"/>
      <c r="Q421" s="32"/>
      <c r="R421" s="32"/>
      <c r="S421" s="32"/>
      <c r="T421" s="33"/>
      <c r="U421" s="23"/>
      <c r="V421" s="23"/>
      <c r="W421" s="23"/>
      <c r="X421" s="23"/>
      <c r="Y421" s="23"/>
      <c r="Z421" s="23"/>
      <c r="AA421" s="23"/>
      <c r="AB421" s="23"/>
      <c r="AC421" s="23"/>
      <c r="AD421" s="23"/>
      <c r="AE421" s="23"/>
      <c r="AT421" s="19" t="s">
        <v>231</v>
      </c>
      <c r="AU421" s="19" t="s">
        <v>77</v>
      </c>
    </row>
    <row r="422" spans="1:65" s="13" customFormat="1">
      <c r="A422" s="313"/>
      <c r="B422" s="314"/>
      <c r="C422" s="313"/>
      <c r="D422" s="315" t="s">
        <v>225</v>
      </c>
      <c r="E422" s="316" t="s">
        <v>3</v>
      </c>
      <c r="F422" s="317" t="s">
        <v>578</v>
      </c>
      <c r="G422" s="313"/>
      <c r="H422" s="316" t="s">
        <v>3</v>
      </c>
      <c r="I422" s="259"/>
      <c r="J422" s="259"/>
      <c r="K422" s="313"/>
      <c r="L422" s="89"/>
      <c r="M422" s="91"/>
      <c r="N422" s="92"/>
      <c r="O422" s="92"/>
      <c r="P422" s="92"/>
      <c r="Q422" s="92"/>
      <c r="R422" s="92"/>
      <c r="S422" s="92"/>
      <c r="T422" s="93"/>
      <c r="AT422" s="90" t="s">
        <v>225</v>
      </c>
      <c r="AU422" s="90" t="s">
        <v>77</v>
      </c>
      <c r="AV422" s="13" t="s">
        <v>75</v>
      </c>
      <c r="AW422" s="13" t="s">
        <v>30</v>
      </c>
      <c r="AX422" s="13" t="s">
        <v>68</v>
      </c>
      <c r="AY422" s="90" t="s">
        <v>216</v>
      </c>
    </row>
    <row r="423" spans="1:65" s="13" customFormat="1">
      <c r="A423" s="313"/>
      <c r="B423" s="314"/>
      <c r="C423" s="313"/>
      <c r="D423" s="315" t="s">
        <v>225</v>
      </c>
      <c r="E423" s="316" t="s">
        <v>3</v>
      </c>
      <c r="F423" s="317" t="s">
        <v>579</v>
      </c>
      <c r="G423" s="313"/>
      <c r="H423" s="316" t="s">
        <v>3</v>
      </c>
      <c r="I423" s="259"/>
      <c r="J423" s="259"/>
      <c r="K423" s="313"/>
      <c r="L423" s="89"/>
      <c r="M423" s="91"/>
      <c r="N423" s="92"/>
      <c r="O423" s="92"/>
      <c r="P423" s="92"/>
      <c r="Q423" s="92"/>
      <c r="R423" s="92"/>
      <c r="S423" s="92"/>
      <c r="T423" s="93"/>
      <c r="AT423" s="90" t="s">
        <v>225</v>
      </c>
      <c r="AU423" s="90" t="s">
        <v>77</v>
      </c>
      <c r="AV423" s="13" t="s">
        <v>75</v>
      </c>
      <c r="AW423" s="13" t="s">
        <v>30</v>
      </c>
      <c r="AX423" s="13" t="s">
        <v>68</v>
      </c>
      <c r="AY423" s="90" t="s">
        <v>216</v>
      </c>
    </row>
    <row r="424" spans="1:65" s="14" customFormat="1">
      <c r="A424" s="318"/>
      <c r="B424" s="319"/>
      <c r="C424" s="318"/>
      <c r="D424" s="315" t="s">
        <v>225</v>
      </c>
      <c r="E424" s="320" t="s">
        <v>3</v>
      </c>
      <c r="F424" s="321" t="s">
        <v>152</v>
      </c>
      <c r="G424" s="318"/>
      <c r="H424" s="322">
        <v>28.5</v>
      </c>
      <c r="I424" s="260"/>
      <c r="J424" s="260"/>
      <c r="K424" s="318"/>
      <c r="L424" s="94"/>
      <c r="M424" s="96"/>
      <c r="N424" s="97"/>
      <c r="O424" s="97"/>
      <c r="P424" s="97"/>
      <c r="Q424" s="97"/>
      <c r="R424" s="97"/>
      <c r="S424" s="97"/>
      <c r="T424" s="98"/>
      <c r="AT424" s="95" t="s">
        <v>225</v>
      </c>
      <c r="AU424" s="95" t="s">
        <v>77</v>
      </c>
      <c r="AV424" s="14" t="s">
        <v>77</v>
      </c>
      <c r="AW424" s="14" t="s">
        <v>30</v>
      </c>
      <c r="AX424" s="14" t="s">
        <v>75</v>
      </c>
      <c r="AY424" s="95" t="s">
        <v>216</v>
      </c>
    </row>
    <row r="425" spans="1:65" s="2" customFormat="1" ht="21.6" customHeight="1">
      <c r="A425" s="269"/>
      <c r="B425" s="270"/>
      <c r="C425" s="308" t="s">
        <v>590</v>
      </c>
      <c r="D425" s="308" t="s">
        <v>218</v>
      </c>
      <c r="E425" s="309" t="s">
        <v>591</v>
      </c>
      <c r="F425" s="310" t="s">
        <v>592</v>
      </c>
      <c r="G425" s="311" t="s">
        <v>286</v>
      </c>
      <c r="H425" s="312">
        <v>17.7</v>
      </c>
      <c r="I425" s="82">
        <v>0</v>
      </c>
      <c r="J425" s="82">
        <f>ROUND(I425*H425,2)</f>
        <v>0</v>
      </c>
      <c r="K425" s="310" t="s">
        <v>3</v>
      </c>
      <c r="L425" s="24"/>
      <c r="M425" s="83" t="s">
        <v>3</v>
      </c>
      <c r="N425" s="84" t="s">
        <v>39</v>
      </c>
      <c r="O425" s="85">
        <v>0.35</v>
      </c>
      <c r="P425" s="85">
        <f>O425*H425</f>
        <v>6.1949999999999994</v>
      </c>
      <c r="Q425" s="85">
        <v>6.1199999999999997E-2</v>
      </c>
      <c r="R425" s="85">
        <f>Q425*H425</f>
        <v>1.08324</v>
      </c>
      <c r="S425" s="85">
        <v>0</v>
      </c>
      <c r="T425" s="86">
        <f>S425*H425</f>
        <v>0</v>
      </c>
      <c r="U425" s="23"/>
      <c r="V425" s="23"/>
      <c r="W425" s="23"/>
      <c r="X425" s="23"/>
      <c r="Y425" s="23"/>
      <c r="Z425" s="23"/>
      <c r="AA425" s="23"/>
      <c r="AB425" s="23"/>
      <c r="AC425" s="23"/>
      <c r="AD425" s="23"/>
      <c r="AE425" s="23"/>
      <c r="AR425" s="87" t="s">
        <v>223</v>
      </c>
      <c r="AT425" s="87" t="s">
        <v>218</v>
      </c>
      <c r="AU425" s="87" t="s">
        <v>77</v>
      </c>
      <c r="AY425" s="19" t="s">
        <v>216</v>
      </c>
      <c r="BE425" s="88">
        <f>IF(N425="základní",J425,0)</f>
        <v>0</v>
      </c>
      <c r="BF425" s="88">
        <f>IF(N425="snížená",J425,0)</f>
        <v>0</v>
      </c>
      <c r="BG425" s="88">
        <f>IF(N425="zákl. přenesená",J425,0)</f>
        <v>0</v>
      </c>
      <c r="BH425" s="88">
        <f>IF(N425="sníž. přenesená",J425,0)</f>
        <v>0</v>
      </c>
      <c r="BI425" s="88">
        <f>IF(N425="nulová",J425,0)</f>
        <v>0</v>
      </c>
      <c r="BJ425" s="19" t="s">
        <v>75</v>
      </c>
      <c r="BK425" s="88">
        <f>ROUND(I425*H425,2)</f>
        <v>0</v>
      </c>
      <c r="BL425" s="19" t="s">
        <v>223</v>
      </c>
      <c r="BM425" s="87" t="s">
        <v>593</v>
      </c>
    </row>
    <row r="426" spans="1:65" s="13" customFormat="1">
      <c r="A426" s="313"/>
      <c r="B426" s="314"/>
      <c r="C426" s="313"/>
      <c r="D426" s="315" t="s">
        <v>225</v>
      </c>
      <c r="E426" s="316" t="s">
        <v>3</v>
      </c>
      <c r="F426" s="317" t="s">
        <v>578</v>
      </c>
      <c r="G426" s="313"/>
      <c r="H426" s="316" t="s">
        <v>3</v>
      </c>
      <c r="I426" s="259"/>
      <c r="J426" s="259"/>
      <c r="K426" s="313"/>
      <c r="L426" s="89"/>
      <c r="M426" s="91"/>
      <c r="N426" s="92"/>
      <c r="O426" s="92"/>
      <c r="P426" s="92"/>
      <c r="Q426" s="92"/>
      <c r="R426" s="92"/>
      <c r="S426" s="92"/>
      <c r="T426" s="93"/>
      <c r="AT426" s="90" t="s">
        <v>225</v>
      </c>
      <c r="AU426" s="90" t="s">
        <v>77</v>
      </c>
      <c r="AV426" s="13" t="s">
        <v>75</v>
      </c>
      <c r="AW426" s="13" t="s">
        <v>30</v>
      </c>
      <c r="AX426" s="13" t="s">
        <v>68</v>
      </c>
      <c r="AY426" s="90" t="s">
        <v>216</v>
      </c>
    </row>
    <row r="427" spans="1:65" s="14" customFormat="1">
      <c r="A427" s="318"/>
      <c r="B427" s="319"/>
      <c r="C427" s="318"/>
      <c r="D427" s="315" t="s">
        <v>225</v>
      </c>
      <c r="E427" s="320" t="s">
        <v>3</v>
      </c>
      <c r="F427" s="321" t="s">
        <v>155</v>
      </c>
      <c r="G427" s="318"/>
      <c r="H427" s="322">
        <v>17.7</v>
      </c>
      <c r="I427" s="260"/>
      <c r="J427" s="260"/>
      <c r="K427" s="318"/>
      <c r="L427" s="94"/>
      <c r="M427" s="96"/>
      <c r="N427" s="97"/>
      <c r="O427" s="97"/>
      <c r="P427" s="97"/>
      <c r="Q427" s="97"/>
      <c r="R427" s="97"/>
      <c r="S427" s="97"/>
      <c r="T427" s="98"/>
      <c r="AT427" s="95" t="s">
        <v>225</v>
      </c>
      <c r="AU427" s="95" t="s">
        <v>77</v>
      </c>
      <c r="AV427" s="14" t="s">
        <v>77</v>
      </c>
      <c r="AW427" s="14" t="s">
        <v>30</v>
      </c>
      <c r="AX427" s="14" t="s">
        <v>75</v>
      </c>
      <c r="AY427" s="95" t="s">
        <v>216</v>
      </c>
    </row>
    <row r="428" spans="1:65" s="2" customFormat="1" ht="14.45" customHeight="1">
      <c r="A428" s="269"/>
      <c r="B428" s="270"/>
      <c r="C428" s="308" t="s">
        <v>594</v>
      </c>
      <c r="D428" s="308" t="s">
        <v>218</v>
      </c>
      <c r="E428" s="309" t="s">
        <v>595</v>
      </c>
      <c r="F428" s="310" t="s">
        <v>596</v>
      </c>
      <c r="G428" s="311" t="s">
        <v>286</v>
      </c>
      <c r="H428" s="312">
        <v>5.76</v>
      </c>
      <c r="I428" s="82">
        <v>0</v>
      </c>
      <c r="J428" s="82">
        <f>ROUND(I428*H428,2)</f>
        <v>0</v>
      </c>
      <c r="K428" s="310" t="s">
        <v>3</v>
      </c>
      <c r="L428" s="24"/>
      <c r="M428" s="83" t="s">
        <v>3</v>
      </c>
      <c r="N428" s="84" t="s">
        <v>39</v>
      </c>
      <c r="O428" s="85">
        <v>0</v>
      </c>
      <c r="P428" s="85">
        <f>O428*H428</f>
        <v>0</v>
      </c>
      <c r="Q428" s="85">
        <v>0</v>
      </c>
      <c r="R428" s="85">
        <f>Q428*H428</f>
        <v>0</v>
      </c>
      <c r="S428" s="85">
        <v>0</v>
      </c>
      <c r="T428" s="86">
        <f>S428*H428</f>
        <v>0</v>
      </c>
      <c r="U428" s="23"/>
      <c r="V428" s="23"/>
      <c r="W428" s="23"/>
      <c r="X428" s="23"/>
      <c r="Y428" s="23"/>
      <c r="Z428" s="23"/>
      <c r="AA428" s="23"/>
      <c r="AB428" s="23"/>
      <c r="AC428" s="23"/>
      <c r="AD428" s="23"/>
      <c r="AE428" s="23"/>
      <c r="AR428" s="87" t="s">
        <v>223</v>
      </c>
      <c r="AT428" s="87" t="s">
        <v>218</v>
      </c>
      <c r="AU428" s="87" t="s">
        <v>77</v>
      </c>
      <c r="AY428" s="19" t="s">
        <v>216</v>
      </c>
      <c r="BE428" s="88">
        <f>IF(N428="základní",J428,0)</f>
        <v>0</v>
      </c>
      <c r="BF428" s="88">
        <f>IF(N428="snížená",J428,0)</f>
        <v>0</v>
      </c>
      <c r="BG428" s="88">
        <f>IF(N428="zákl. přenesená",J428,0)</f>
        <v>0</v>
      </c>
      <c r="BH428" s="88">
        <f>IF(N428="sníž. přenesená",J428,0)</f>
        <v>0</v>
      </c>
      <c r="BI428" s="88">
        <f>IF(N428="nulová",J428,0)</f>
        <v>0</v>
      </c>
      <c r="BJ428" s="19" t="s">
        <v>75</v>
      </c>
      <c r="BK428" s="88">
        <f>ROUND(I428*H428,2)</f>
        <v>0</v>
      </c>
      <c r="BL428" s="19" t="s">
        <v>223</v>
      </c>
      <c r="BM428" s="87" t="s">
        <v>597</v>
      </c>
    </row>
    <row r="429" spans="1:65" s="13" customFormat="1">
      <c r="A429" s="313"/>
      <c r="B429" s="314"/>
      <c r="C429" s="313"/>
      <c r="D429" s="315" t="s">
        <v>225</v>
      </c>
      <c r="E429" s="316" t="s">
        <v>3</v>
      </c>
      <c r="F429" s="317" t="s">
        <v>304</v>
      </c>
      <c r="G429" s="313"/>
      <c r="H429" s="316" t="s">
        <v>3</v>
      </c>
      <c r="I429" s="259"/>
      <c r="J429" s="259"/>
      <c r="K429" s="313"/>
      <c r="L429" s="89"/>
      <c r="M429" s="91"/>
      <c r="N429" s="92"/>
      <c r="O429" s="92"/>
      <c r="P429" s="92"/>
      <c r="Q429" s="92"/>
      <c r="R429" s="92"/>
      <c r="S429" s="92"/>
      <c r="T429" s="93"/>
      <c r="AT429" s="90" t="s">
        <v>225</v>
      </c>
      <c r="AU429" s="90" t="s">
        <v>77</v>
      </c>
      <c r="AV429" s="13" t="s">
        <v>75</v>
      </c>
      <c r="AW429" s="13" t="s">
        <v>30</v>
      </c>
      <c r="AX429" s="13" t="s">
        <v>68</v>
      </c>
      <c r="AY429" s="90" t="s">
        <v>216</v>
      </c>
    </row>
    <row r="430" spans="1:65" s="13" customFormat="1">
      <c r="A430" s="313"/>
      <c r="B430" s="314"/>
      <c r="C430" s="313"/>
      <c r="D430" s="315" t="s">
        <v>225</v>
      </c>
      <c r="E430" s="316" t="s">
        <v>3</v>
      </c>
      <c r="F430" s="317" t="s">
        <v>550</v>
      </c>
      <c r="G430" s="313"/>
      <c r="H430" s="316" t="s">
        <v>3</v>
      </c>
      <c r="I430" s="259"/>
      <c r="J430" s="259"/>
      <c r="K430" s="313"/>
      <c r="L430" s="89"/>
      <c r="M430" s="91"/>
      <c r="N430" s="92"/>
      <c r="O430" s="92"/>
      <c r="P430" s="92"/>
      <c r="Q430" s="92"/>
      <c r="R430" s="92"/>
      <c r="S430" s="92"/>
      <c r="T430" s="93"/>
      <c r="AT430" s="90" t="s">
        <v>225</v>
      </c>
      <c r="AU430" s="90" t="s">
        <v>77</v>
      </c>
      <c r="AV430" s="13" t="s">
        <v>75</v>
      </c>
      <c r="AW430" s="13" t="s">
        <v>30</v>
      </c>
      <c r="AX430" s="13" t="s">
        <v>68</v>
      </c>
      <c r="AY430" s="90" t="s">
        <v>216</v>
      </c>
    </row>
    <row r="431" spans="1:65" s="14" customFormat="1">
      <c r="A431" s="318"/>
      <c r="B431" s="319"/>
      <c r="C431" s="318"/>
      <c r="D431" s="315" t="s">
        <v>225</v>
      </c>
      <c r="E431" s="320" t="s">
        <v>3</v>
      </c>
      <c r="F431" s="321" t="s">
        <v>598</v>
      </c>
      <c r="G431" s="318"/>
      <c r="H431" s="322">
        <v>5.76</v>
      </c>
      <c r="I431" s="260"/>
      <c r="J431" s="260"/>
      <c r="K431" s="318"/>
      <c r="L431" s="94"/>
      <c r="M431" s="96"/>
      <c r="N431" s="97"/>
      <c r="O431" s="97"/>
      <c r="P431" s="97"/>
      <c r="Q431" s="97"/>
      <c r="R431" s="97"/>
      <c r="S431" s="97"/>
      <c r="T431" s="98"/>
      <c r="AT431" s="95" t="s">
        <v>225</v>
      </c>
      <c r="AU431" s="95" t="s">
        <v>77</v>
      </c>
      <c r="AV431" s="14" t="s">
        <v>77</v>
      </c>
      <c r="AW431" s="14" t="s">
        <v>30</v>
      </c>
      <c r="AX431" s="14" t="s">
        <v>75</v>
      </c>
      <c r="AY431" s="95" t="s">
        <v>216</v>
      </c>
    </row>
    <row r="432" spans="1:65" s="12" customFormat="1" ht="22.9" customHeight="1">
      <c r="A432" s="303"/>
      <c r="B432" s="304"/>
      <c r="C432" s="303"/>
      <c r="D432" s="305" t="s">
        <v>67</v>
      </c>
      <c r="E432" s="307" t="s">
        <v>260</v>
      </c>
      <c r="F432" s="307" t="s">
        <v>599</v>
      </c>
      <c r="G432" s="303"/>
      <c r="H432" s="303"/>
      <c r="I432" s="256"/>
      <c r="J432" s="258">
        <f>BK432</f>
        <v>0</v>
      </c>
      <c r="K432" s="303"/>
      <c r="L432" s="74"/>
      <c r="M432" s="76"/>
      <c r="N432" s="77"/>
      <c r="O432" s="77"/>
      <c r="P432" s="78">
        <f>SUM(P433:P436)</f>
        <v>2.5640000000000001</v>
      </c>
      <c r="Q432" s="77"/>
      <c r="R432" s="78">
        <f>SUM(R433:R436)</f>
        <v>0</v>
      </c>
      <c r="S432" s="77"/>
      <c r="T432" s="79">
        <f>SUM(T433:T436)</f>
        <v>0.4</v>
      </c>
      <c r="AR432" s="75" t="s">
        <v>75</v>
      </c>
      <c r="AT432" s="80" t="s">
        <v>67</v>
      </c>
      <c r="AU432" s="80" t="s">
        <v>75</v>
      </c>
      <c r="AY432" s="75" t="s">
        <v>216</v>
      </c>
      <c r="BK432" s="81">
        <f>SUM(BK433:BK436)</f>
        <v>0</v>
      </c>
    </row>
    <row r="433" spans="1:65" s="2" customFormat="1" ht="21.6" customHeight="1">
      <c r="A433" s="269"/>
      <c r="B433" s="270"/>
      <c r="C433" s="308" t="s">
        <v>600</v>
      </c>
      <c r="D433" s="308" t="s">
        <v>218</v>
      </c>
      <c r="E433" s="309" t="s">
        <v>601</v>
      </c>
      <c r="F433" s="310" t="s">
        <v>602</v>
      </c>
      <c r="G433" s="311" t="s">
        <v>291</v>
      </c>
      <c r="H433" s="312">
        <v>4</v>
      </c>
      <c r="I433" s="82">
        <v>0</v>
      </c>
      <c r="J433" s="82">
        <f>ROUND(I433*H433,2)</f>
        <v>0</v>
      </c>
      <c r="K433" s="310" t="s">
        <v>222</v>
      </c>
      <c r="L433" s="24"/>
      <c r="M433" s="83" t="s">
        <v>3</v>
      </c>
      <c r="N433" s="84" t="s">
        <v>39</v>
      </c>
      <c r="O433" s="85">
        <v>0.64100000000000001</v>
      </c>
      <c r="P433" s="85">
        <f>O433*H433</f>
        <v>2.5640000000000001</v>
      </c>
      <c r="Q433" s="85">
        <v>0</v>
      </c>
      <c r="R433" s="85">
        <f>Q433*H433</f>
        <v>0</v>
      </c>
      <c r="S433" s="85">
        <v>0.1</v>
      </c>
      <c r="T433" s="86">
        <f>S433*H433</f>
        <v>0.4</v>
      </c>
      <c r="U433" s="23"/>
      <c r="V433" s="23"/>
      <c r="W433" s="23"/>
      <c r="X433" s="23"/>
      <c r="Y433" s="23"/>
      <c r="Z433" s="23"/>
      <c r="AA433" s="23"/>
      <c r="AB433" s="23"/>
      <c r="AC433" s="23"/>
      <c r="AD433" s="23"/>
      <c r="AE433" s="23"/>
      <c r="AR433" s="87" t="s">
        <v>223</v>
      </c>
      <c r="AT433" s="87" t="s">
        <v>218</v>
      </c>
      <c r="AU433" s="87" t="s">
        <v>77</v>
      </c>
      <c r="AY433" s="19" t="s">
        <v>216</v>
      </c>
      <c r="BE433" s="88">
        <f>IF(N433="základní",J433,0)</f>
        <v>0</v>
      </c>
      <c r="BF433" s="88">
        <f>IF(N433="snížená",J433,0)</f>
        <v>0</v>
      </c>
      <c r="BG433" s="88">
        <f>IF(N433="zákl. přenesená",J433,0)</f>
        <v>0</v>
      </c>
      <c r="BH433" s="88">
        <f>IF(N433="sníž. přenesená",J433,0)</f>
        <v>0</v>
      </c>
      <c r="BI433" s="88">
        <f>IF(N433="nulová",J433,0)</f>
        <v>0</v>
      </c>
      <c r="BJ433" s="19" t="s">
        <v>75</v>
      </c>
      <c r="BK433" s="88">
        <f>ROUND(I433*H433,2)</f>
        <v>0</v>
      </c>
      <c r="BL433" s="19" t="s">
        <v>223</v>
      </c>
      <c r="BM433" s="87" t="s">
        <v>603</v>
      </c>
    </row>
    <row r="434" spans="1:65" s="13" customFormat="1">
      <c r="A434" s="313"/>
      <c r="B434" s="314"/>
      <c r="C434" s="313"/>
      <c r="D434" s="315" t="s">
        <v>225</v>
      </c>
      <c r="E434" s="316" t="s">
        <v>3</v>
      </c>
      <c r="F434" s="317" t="s">
        <v>241</v>
      </c>
      <c r="G434" s="313"/>
      <c r="H434" s="316" t="s">
        <v>3</v>
      </c>
      <c r="I434" s="259"/>
      <c r="J434" s="259"/>
      <c r="K434" s="313"/>
      <c r="L434" s="89"/>
      <c r="M434" s="91"/>
      <c r="N434" s="92"/>
      <c r="O434" s="92"/>
      <c r="P434" s="92"/>
      <c r="Q434" s="92"/>
      <c r="R434" s="92"/>
      <c r="S434" s="92"/>
      <c r="T434" s="93"/>
      <c r="AT434" s="90" t="s">
        <v>225</v>
      </c>
      <c r="AU434" s="90" t="s">
        <v>77</v>
      </c>
      <c r="AV434" s="13" t="s">
        <v>75</v>
      </c>
      <c r="AW434" s="13" t="s">
        <v>30</v>
      </c>
      <c r="AX434" s="13" t="s">
        <v>68</v>
      </c>
      <c r="AY434" s="90" t="s">
        <v>216</v>
      </c>
    </row>
    <row r="435" spans="1:65" s="13" customFormat="1">
      <c r="A435" s="313"/>
      <c r="B435" s="314"/>
      <c r="C435" s="313"/>
      <c r="D435" s="315" t="s">
        <v>225</v>
      </c>
      <c r="E435" s="316" t="s">
        <v>3</v>
      </c>
      <c r="F435" s="317" t="s">
        <v>604</v>
      </c>
      <c r="G435" s="313"/>
      <c r="H435" s="316" t="s">
        <v>3</v>
      </c>
      <c r="I435" s="259"/>
      <c r="J435" s="259"/>
      <c r="K435" s="313"/>
      <c r="L435" s="89"/>
      <c r="M435" s="91"/>
      <c r="N435" s="92"/>
      <c r="O435" s="92"/>
      <c r="P435" s="92"/>
      <c r="Q435" s="92"/>
      <c r="R435" s="92"/>
      <c r="S435" s="92"/>
      <c r="T435" s="93"/>
      <c r="AT435" s="90" t="s">
        <v>225</v>
      </c>
      <c r="AU435" s="90" t="s">
        <v>77</v>
      </c>
      <c r="AV435" s="13" t="s">
        <v>75</v>
      </c>
      <c r="AW435" s="13" t="s">
        <v>30</v>
      </c>
      <c r="AX435" s="13" t="s">
        <v>68</v>
      </c>
      <c r="AY435" s="90" t="s">
        <v>216</v>
      </c>
    </row>
    <row r="436" spans="1:65" s="14" customFormat="1">
      <c r="A436" s="318"/>
      <c r="B436" s="319"/>
      <c r="C436" s="318"/>
      <c r="D436" s="315" t="s">
        <v>225</v>
      </c>
      <c r="E436" s="320" t="s">
        <v>3</v>
      </c>
      <c r="F436" s="321" t="s">
        <v>223</v>
      </c>
      <c r="G436" s="318"/>
      <c r="H436" s="322">
        <v>4</v>
      </c>
      <c r="I436" s="260"/>
      <c r="J436" s="260"/>
      <c r="K436" s="318"/>
      <c r="L436" s="94"/>
      <c r="M436" s="96"/>
      <c r="N436" s="97"/>
      <c r="O436" s="97"/>
      <c r="P436" s="97"/>
      <c r="Q436" s="97"/>
      <c r="R436" s="97"/>
      <c r="S436" s="97"/>
      <c r="T436" s="98"/>
      <c r="AT436" s="95" t="s">
        <v>225</v>
      </c>
      <c r="AU436" s="95" t="s">
        <v>77</v>
      </c>
      <c r="AV436" s="14" t="s">
        <v>77</v>
      </c>
      <c r="AW436" s="14" t="s">
        <v>30</v>
      </c>
      <c r="AX436" s="14" t="s">
        <v>75</v>
      </c>
      <c r="AY436" s="95" t="s">
        <v>216</v>
      </c>
    </row>
    <row r="437" spans="1:65" s="12" customFormat="1" ht="22.9" customHeight="1">
      <c r="A437" s="303"/>
      <c r="B437" s="304"/>
      <c r="C437" s="303"/>
      <c r="D437" s="305" t="s">
        <v>67</v>
      </c>
      <c r="E437" s="307" t="s">
        <v>265</v>
      </c>
      <c r="F437" s="307" t="s">
        <v>605</v>
      </c>
      <c r="G437" s="303"/>
      <c r="H437" s="303"/>
      <c r="I437" s="256"/>
      <c r="J437" s="258">
        <f>BK437</f>
        <v>0</v>
      </c>
      <c r="K437" s="303"/>
      <c r="L437" s="74"/>
      <c r="M437" s="76"/>
      <c r="N437" s="77"/>
      <c r="O437" s="77"/>
      <c r="P437" s="78">
        <f>SUM(P438:P666)</f>
        <v>1758.291659</v>
      </c>
      <c r="Q437" s="77"/>
      <c r="R437" s="78">
        <f>SUM(R438:R666)</f>
        <v>4.0078114999999999</v>
      </c>
      <c r="S437" s="77"/>
      <c r="T437" s="79">
        <f>SUM(T438:T666)</f>
        <v>135.97445900000002</v>
      </c>
      <c r="AR437" s="75" t="s">
        <v>75</v>
      </c>
      <c r="AT437" s="80" t="s">
        <v>67</v>
      </c>
      <c r="AU437" s="80" t="s">
        <v>75</v>
      </c>
      <c r="AY437" s="75" t="s">
        <v>216</v>
      </c>
      <c r="BK437" s="81">
        <f>SUM(BK438:BK666)</f>
        <v>0</v>
      </c>
    </row>
    <row r="438" spans="1:65" s="2" customFormat="1" ht="21.6" customHeight="1">
      <c r="A438" s="269"/>
      <c r="B438" s="270"/>
      <c r="C438" s="308" t="s">
        <v>606</v>
      </c>
      <c r="D438" s="308" t="s">
        <v>218</v>
      </c>
      <c r="E438" s="309" t="s">
        <v>607</v>
      </c>
      <c r="F438" s="310" t="s">
        <v>608</v>
      </c>
      <c r="G438" s="311" t="s">
        <v>286</v>
      </c>
      <c r="H438" s="312">
        <v>332.4</v>
      </c>
      <c r="I438" s="82">
        <v>0</v>
      </c>
      <c r="J438" s="82">
        <f>ROUND(I438*H438,2)</f>
        <v>0</v>
      </c>
      <c r="K438" s="310" t="s">
        <v>222</v>
      </c>
      <c r="L438" s="24"/>
      <c r="M438" s="83" t="s">
        <v>3</v>
      </c>
      <c r="N438" s="84" t="s">
        <v>39</v>
      </c>
      <c r="O438" s="85">
        <v>0.105</v>
      </c>
      <c r="P438" s="85">
        <f>O438*H438</f>
        <v>34.901999999999994</v>
      </c>
      <c r="Q438" s="85">
        <v>1.2999999999999999E-4</v>
      </c>
      <c r="R438" s="85">
        <f>Q438*H438</f>
        <v>4.3211999999999993E-2</v>
      </c>
      <c r="S438" s="85">
        <v>0</v>
      </c>
      <c r="T438" s="86">
        <f>S438*H438</f>
        <v>0</v>
      </c>
      <c r="U438" s="23"/>
      <c r="V438" s="23"/>
      <c r="W438" s="23"/>
      <c r="X438" s="23"/>
      <c r="Y438" s="23"/>
      <c r="Z438" s="23"/>
      <c r="AA438" s="23"/>
      <c r="AB438" s="23"/>
      <c r="AC438" s="23"/>
      <c r="AD438" s="23"/>
      <c r="AE438" s="23"/>
      <c r="AR438" s="87" t="s">
        <v>223</v>
      </c>
      <c r="AT438" s="87" t="s">
        <v>218</v>
      </c>
      <c r="AU438" s="87" t="s">
        <v>77</v>
      </c>
      <c r="AY438" s="19" t="s">
        <v>216</v>
      </c>
      <c r="BE438" s="88">
        <f>IF(N438="základní",J438,0)</f>
        <v>0</v>
      </c>
      <c r="BF438" s="88">
        <f>IF(N438="snížená",J438,0)</f>
        <v>0</v>
      </c>
      <c r="BG438" s="88">
        <f>IF(N438="zákl. přenesená",J438,0)</f>
        <v>0</v>
      </c>
      <c r="BH438" s="88">
        <f>IF(N438="sníž. přenesená",J438,0)</f>
        <v>0</v>
      </c>
      <c r="BI438" s="88">
        <f>IF(N438="nulová",J438,0)</f>
        <v>0</v>
      </c>
      <c r="BJ438" s="19" t="s">
        <v>75</v>
      </c>
      <c r="BK438" s="88">
        <f>ROUND(I438*H438,2)</f>
        <v>0</v>
      </c>
      <c r="BL438" s="19" t="s">
        <v>223</v>
      </c>
      <c r="BM438" s="87" t="s">
        <v>609</v>
      </c>
    </row>
    <row r="439" spans="1:65" s="2" customFormat="1" ht="58.5">
      <c r="A439" s="269"/>
      <c r="B439" s="270"/>
      <c r="C439" s="269"/>
      <c r="D439" s="315" t="s">
        <v>231</v>
      </c>
      <c r="E439" s="269"/>
      <c r="F439" s="323" t="s">
        <v>610</v>
      </c>
      <c r="G439" s="269"/>
      <c r="H439" s="269"/>
      <c r="I439" s="248"/>
      <c r="J439" s="248"/>
      <c r="K439" s="269"/>
      <c r="L439" s="24"/>
      <c r="M439" s="99"/>
      <c r="N439" s="100"/>
      <c r="O439" s="32"/>
      <c r="P439" s="32"/>
      <c r="Q439" s="32"/>
      <c r="R439" s="32"/>
      <c r="S439" s="32"/>
      <c r="T439" s="33"/>
      <c r="U439" s="23"/>
      <c r="V439" s="23"/>
      <c r="W439" s="23"/>
      <c r="X439" s="23"/>
      <c r="Y439" s="23"/>
      <c r="Z439" s="23"/>
      <c r="AA439" s="23"/>
      <c r="AB439" s="23"/>
      <c r="AC439" s="23"/>
      <c r="AD439" s="23"/>
      <c r="AE439" s="23"/>
      <c r="AT439" s="19" t="s">
        <v>231</v>
      </c>
      <c r="AU439" s="19" t="s">
        <v>77</v>
      </c>
    </row>
    <row r="440" spans="1:65" s="13" customFormat="1">
      <c r="A440" s="313"/>
      <c r="B440" s="314"/>
      <c r="C440" s="313"/>
      <c r="D440" s="315" t="s">
        <v>225</v>
      </c>
      <c r="E440" s="316" t="s">
        <v>3</v>
      </c>
      <c r="F440" s="317" t="s">
        <v>304</v>
      </c>
      <c r="G440" s="313"/>
      <c r="H440" s="316" t="s">
        <v>3</v>
      </c>
      <c r="I440" s="259"/>
      <c r="J440" s="259"/>
      <c r="K440" s="313"/>
      <c r="L440" s="89"/>
      <c r="M440" s="91"/>
      <c r="N440" s="92"/>
      <c r="O440" s="92"/>
      <c r="P440" s="92"/>
      <c r="Q440" s="92"/>
      <c r="R440" s="92"/>
      <c r="S440" s="92"/>
      <c r="T440" s="93"/>
      <c r="AT440" s="90" t="s">
        <v>225</v>
      </c>
      <c r="AU440" s="90" t="s">
        <v>77</v>
      </c>
      <c r="AV440" s="13" t="s">
        <v>75</v>
      </c>
      <c r="AW440" s="13" t="s">
        <v>30</v>
      </c>
      <c r="AX440" s="13" t="s">
        <v>68</v>
      </c>
      <c r="AY440" s="90" t="s">
        <v>216</v>
      </c>
    </row>
    <row r="441" spans="1:65" s="14" customFormat="1">
      <c r="A441" s="318"/>
      <c r="B441" s="319"/>
      <c r="C441" s="318"/>
      <c r="D441" s="315" t="s">
        <v>225</v>
      </c>
      <c r="E441" s="320" t="s">
        <v>3</v>
      </c>
      <c r="F441" s="321" t="s">
        <v>611</v>
      </c>
      <c r="G441" s="318"/>
      <c r="H441" s="322">
        <v>332.4</v>
      </c>
      <c r="I441" s="260"/>
      <c r="J441" s="260"/>
      <c r="K441" s="318"/>
      <c r="L441" s="94"/>
      <c r="M441" s="96"/>
      <c r="N441" s="97"/>
      <c r="O441" s="97"/>
      <c r="P441" s="97"/>
      <c r="Q441" s="97"/>
      <c r="R441" s="97"/>
      <c r="S441" s="97"/>
      <c r="T441" s="98"/>
      <c r="AT441" s="95" t="s">
        <v>225</v>
      </c>
      <c r="AU441" s="95" t="s">
        <v>77</v>
      </c>
      <c r="AV441" s="14" t="s">
        <v>77</v>
      </c>
      <c r="AW441" s="14" t="s">
        <v>30</v>
      </c>
      <c r="AX441" s="14" t="s">
        <v>75</v>
      </c>
      <c r="AY441" s="95" t="s">
        <v>216</v>
      </c>
    </row>
    <row r="442" spans="1:65" s="2" customFormat="1" ht="21.6" customHeight="1">
      <c r="A442" s="269"/>
      <c r="B442" s="270"/>
      <c r="C442" s="308" t="s">
        <v>612</v>
      </c>
      <c r="D442" s="308" t="s">
        <v>218</v>
      </c>
      <c r="E442" s="309" t="s">
        <v>613</v>
      </c>
      <c r="F442" s="310" t="s">
        <v>614</v>
      </c>
      <c r="G442" s="311" t="s">
        <v>286</v>
      </c>
      <c r="H442" s="312">
        <v>527.75</v>
      </c>
      <c r="I442" s="82">
        <v>0</v>
      </c>
      <c r="J442" s="82">
        <f>ROUND(I442*H442,2)</f>
        <v>0</v>
      </c>
      <c r="K442" s="310" t="s">
        <v>222</v>
      </c>
      <c r="L442" s="24"/>
      <c r="M442" s="83" t="s">
        <v>3</v>
      </c>
      <c r="N442" s="84" t="s">
        <v>39</v>
      </c>
      <c r="O442" s="85">
        <v>0.308</v>
      </c>
      <c r="P442" s="85">
        <f>O442*H442</f>
        <v>162.547</v>
      </c>
      <c r="Q442" s="85">
        <v>4.0000000000000003E-5</v>
      </c>
      <c r="R442" s="85">
        <f>Q442*H442</f>
        <v>2.111E-2</v>
      </c>
      <c r="S442" s="85">
        <v>0</v>
      </c>
      <c r="T442" s="86">
        <f>S442*H442</f>
        <v>0</v>
      </c>
      <c r="U442" s="23"/>
      <c r="V442" s="23"/>
      <c r="W442" s="23"/>
      <c r="X442" s="23"/>
      <c r="Y442" s="23"/>
      <c r="Z442" s="23"/>
      <c r="AA442" s="23"/>
      <c r="AB442" s="23"/>
      <c r="AC442" s="23"/>
      <c r="AD442" s="23"/>
      <c r="AE442" s="23"/>
      <c r="AR442" s="87" t="s">
        <v>223</v>
      </c>
      <c r="AT442" s="87" t="s">
        <v>218</v>
      </c>
      <c r="AU442" s="87" t="s">
        <v>77</v>
      </c>
      <c r="AY442" s="19" t="s">
        <v>216</v>
      </c>
      <c r="BE442" s="88">
        <f>IF(N442="základní",J442,0)</f>
        <v>0</v>
      </c>
      <c r="BF442" s="88">
        <f>IF(N442="snížená",J442,0)</f>
        <v>0</v>
      </c>
      <c r="BG442" s="88">
        <f>IF(N442="zákl. přenesená",J442,0)</f>
        <v>0</v>
      </c>
      <c r="BH442" s="88">
        <f>IF(N442="sníž. přenesená",J442,0)</f>
        <v>0</v>
      </c>
      <c r="BI442" s="88">
        <f>IF(N442="nulová",J442,0)</f>
        <v>0</v>
      </c>
      <c r="BJ442" s="19" t="s">
        <v>75</v>
      </c>
      <c r="BK442" s="88">
        <f>ROUND(I442*H442,2)</f>
        <v>0</v>
      </c>
      <c r="BL442" s="19" t="s">
        <v>223</v>
      </c>
      <c r="BM442" s="87" t="s">
        <v>615</v>
      </c>
    </row>
    <row r="443" spans="1:65" s="2" customFormat="1" ht="175.5">
      <c r="A443" s="269"/>
      <c r="B443" s="270"/>
      <c r="C443" s="269"/>
      <c r="D443" s="315" t="s">
        <v>231</v>
      </c>
      <c r="E443" s="269"/>
      <c r="F443" s="323" t="s">
        <v>616</v>
      </c>
      <c r="G443" s="269"/>
      <c r="H443" s="269"/>
      <c r="I443" s="248"/>
      <c r="J443" s="248"/>
      <c r="K443" s="269"/>
      <c r="L443" s="24"/>
      <c r="M443" s="99"/>
      <c r="N443" s="100"/>
      <c r="O443" s="32"/>
      <c r="P443" s="32"/>
      <c r="Q443" s="32"/>
      <c r="R443" s="32"/>
      <c r="S443" s="32"/>
      <c r="T443" s="33"/>
      <c r="U443" s="23"/>
      <c r="V443" s="23"/>
      <c r="W443" s="23"/>
      <c r="X443" s="23"/>
      <c r="Y443" s="23"/>
      <c r="Z443" s="23"/>
      <c r="AA443" s="23"/>
      <c r="AB443" s="23"/>
      <c r="AC443" s="23"/>
      <c r="AD443" s="23"/>
      <c r="AE443" s="23"/>
      <c r="AT443" s="19" t="s">
        <v>231</v>
      </c>
      <c r="AU443" s="19" t="s">
        <v>77</v>
      </c>
    </row>
    <row r="444" spans="1:65" s="13" customFormat="1">
      <c r="A444" s="313"/>
      <c r="B444" s="314"/>
      <c r="C444" s="313"/>
      <c r="D444" s="315" t="s">
        <v>225</v>
      </c>
      <c r="E444" s="316" t="s">
        <v>3</v>
      </c>
      <c r="F444" s="317" t="s">
        <v>304</v>
      </c>
      <c r="G444" s="313"/>
      <c r="H444" s="316" t="s">
        <v>3</v>
      </c>
      <c r="I444" s="259"/>
      <c r="J444" s="259"/>
      <c r="K444" s="313"/>
      <c r="L444" s="89"/>
      <c r="M444" s="91"/>
      <c r="N444" s="92"/>
      <c r="O444" s="92"/>
      <c r="P444" s="92"/>
      <c r="Q444" s="92"/>
      <c r="R444" s="92"/>
      <c r="S444" s="92"/>
      <c r="T444" s="93"/>
      <c r="AT444" s="90" t="s">
        <v>225</v>
      </c>
      <c r="AU444" s="90" t="s">
        <v>77</v>
      </c>
      <c r="AV444" s="13" t="s">
        <v>75</v>
      </c>
      <c r="AW444" s="13" t="s">
        <v>30</v>
      </c>
      <c r="AX444" s="13" t="s">
        <v>68</v>
      </c>
      <c r="AY444" s="90" t="s">
        <v>216</v>
      </c>
    </row>
    <row r="445" spans="1:65" s="14" customFormat="1">
      <c r="A445" s="318"/>
      <c r="B445" s="319"/>
      <c r="C445" s="318"/>
      <c r="D445" s="315" t="s">
        <v>225</v>
      </c>
      <c r="E445" s="320" t="s">
        <v>3</v>
      </c>
      <c r="F445" s="321" t="s">
        <v>617</v>
      </c>
      <c r="G445" s="318"/>
      <c r="H445" s="322">
        <v>147.25</v>
      </c>
      <c r="I445" s="260"/>
      <c r="J445" s="260"/>
      <c r="K445" s="318"/>
      <c r="L445" s="94"/>
      <c r="M445" s="96"/>
      <c r="N445" s="97"/>
      <c r="O445" s="97"/>
      <c r="P445" s="97"/>
      <c r="Q445" s="97"/>
      <c r="R445" s="97"/>
      <c r="S445" s="97"/>
      <c r="T445" s="98"/>
      <c r="AT445" s="95" t="s">
        <v>225</v>
      </c>
      <c r="AU445" s="95" t="s">
        <v>77</v>
      </c>
      <c r="AV445" s="14" t="s">
        <v>77</v>
      </c>
      <c r="AW445" s="14" t="s">
        <v>30</v>
      </c>
      <c r="AX445" s="14" t="s">
        <v>68</v>
      </c>
      <c r="AY445" s="95" t="s">
        <v>216</v>
      </c>
    </row>
    <row r="446" spans="1:65" s="14" customFormat="1">
      <c r="A446" s="318"/>
      <c r="B446" s="319"/>
      <c r="C446" s="318"/>
      <c r="D446" s="315" t="s">
        <v>225</v>
      </c>
      <c r="E446" s="320" t="s">
        <v>3</v>
      </c>
      <c r="F446" s="321" t="s">
        <v>618</v>
      </c>
      <c r="G446" s="318"/>
      <c r="H446" s="322">
        <v>212.5</v>
      </c>
      <c r="I446" s="260"/>
      <c r="J446" s="260"/>
      <c r="K446" s="318"/>
      <c r="L446" s="94"/>
      <c r="M446" s="96"/>
      <c r="N446" s="97"/>
      <c r="O446" s="97"/>
      <c r="P446" s="97"/>
      <c r="Q446" s="97"/>
      <c r="R446" s="97"/>
      <c r="S446" s="97"/>
      <c r="T446" s="98"/>
      <c r="AT446" s="95" t="s">
        <v>225</v>
      </c>
      <c r="AU446" s="95" t="s">
        <v>77</v>
      </c>
      <c r="AV446" s="14" t="s">
        <v>77</v>
      </c>
      <c r="AW446" s="14" t="s">
        <v>30</v>
      </c>
      <c r="AX446" s="14" t="s">
        <v>68</v>
      </c>
      <c r="AY446" s="95" t="s">
        <v>216</v>
      </c>
    </row>
    <row r="447" spans="1:65" s="14" customFormat="1">
      <c r="A447" s="318"/>
      <c r="B447" s="319"/>
      <c r="C447" s="318"/>
      <c r="D447" s="315" t="s">
        <v>225</v>
      </c>
      <c r="E447" s="320" t="s">
        <v>3</v>
      </c>
      <c r="F447" s="321" t="s">
        <v>619</v>
      </c>
      <c r="G447" s="318"/>
      <c r="H447" s="322">
        <v>168</v>
      </c>
      <c r="I447" s="260"/>
      <c r="J447" s="260"/>
      <c r="K447" s="318"/>
      <c r="L447" s="94"/>
      <c r="M447" s="96"/>
      <c r="N447" s="97"/>
      <c r="O447" s="97"/>
      <c r="P447" s="97"/>
      <c r="Q447" s="97"/>
      <c r="R447" s="97"/>
      <c r="S447" s="97"/>
      <c r="T447" s="98"/>
      <c r="AT447" s="95" t="s">
        <v>225</v>
      </c>
      <c r="AU447" s="95" t="s">
        <v>77</v>
      </c>
      <c r="AV447" s="14" t="s">
        <v>77</v>
      </c>
      <c r="AW447" s="14" t="s">
        <v>30</v>
      </c>
      <c r="AX447" s="14" t="s">
        <v>68</v>
      </c>
      <c r="AY447" s="95" t="s">
        <v>216</v>
      </c>
    </row>
    <row r="448" spans="1:65" s="16" customFormat="1">
      <c r="A448" s="329"/>
      <c r="B448" s="330"/>
      <c r="C448" s="329"/>
      <c r="D448" s="315" t="s">
        <v>225</v>
      </c>
      <c r="E448" s="331" t="s">
        <v>3</v>
      </c>
      <c r="F448" s="332" t="s">
        <v>254</v>
      </c>
      <c r="G448" s="329"/>
      <c r="H448" s="333">
        <v>527.75</v>
      </c>
      <c r="I448" s="262"/>
      <c r="J448" s="262"/>
      <c r="K448" s="329"/>
      <c r="L448" s="106"/>
      <c r="M448" s="108"/>
      <c r="N448" s="109"/>
      <c r="O448" s="109"/>
      <c r="P448" s="109"/>
      <c r="Q448" s="109"/>
      <c r="R448" s="109"/>
      <c r="S448" s="109"/>
      <c r="T448" s="110"/>
      <c r="AT448" s="107" t="s">
        <v>225</v>
      </c>
      <c r="AU448" s="107" t="s">
        <v>77</v>
      </c>
      <c r="AV448" s="16" t="s">
        <v>223</v>
      </c>
      <c r="AW448" s="16" t="s">
        <v>30</v>
      </c>
      <c r="AX448" s="16" t="s">
        <v>75</v>
      </c>
      <c r="AY448" s="107" t="s">
        <v>216</v>
      </c>
    </row>
    <row r="449" spans="1:65" s="2" customFormat="1" ht="14.45" customHeight="1">
      <c r="A449" s="269"/>
      <c r="B449" s="270"/>
      <c r="C449" s="308" t="s">
        <v>620</v>
      </c>
      <c r="D449" s="308" t="s">
        <v>218</v>
      </c>
      <c r="E449" s="309" t="s">
        <v>621</v>
      </c>
      <c r="F449" s="310" t="s">
        <v>622</v>
      </c>
      <c r="G449" s="311" t="s">
        <v>291</v>
      </c>
      <c r="H449" s="312">
        <v>3</v>
      </c>
      <c r="I449" s="82">
        <v>0</v>
      </c>
      <c r="J449" s="82">
        <f>ROUND(I449*H449,2)</f>
        <v>0</v>
      </c>
      <c r="K449" s="310" t="s">
        <v>222</v>
      </c>
      <c r="L449" s="24"/>
      <c r="M449" s="83" t="s">
        <v>3</v>
      </c>
      <c r="N449" s="84" t="s">
        <v>39</v>
      </c>
      <c r="O449" s="85">
        <v>0.29899999999999999</v>
      </c>
      <c r="P449" s="85">
        <f>O449*H449</f>
        <v>0.89700000000000002</v>
      </c>
      <c r="Q449" s="85">
        <v>1.8000000000000001E-4</v>
      </c>
      <c r="R449" s="85">
        <f>Q449*H449</f>
        <v>5.4000000000000001E-4</v>
      </c>
      <c r="S449" s="85">
        <v>0</v>
      </c>
      <c r="T449" s="86">
        <f>S449*H449</f>
        <v>0</v>
      </c>
      <c r="U449" s="23"/>
      <c r="V449" s="23"/>
      <c r="W449" s="23"/>
      <c r="X449" s="23"/>
      <c r="Y449" s="23"/>
      <c r="Z449" s="23"/>
      <c r="AA449" s="23"/>
      <c r="AB449" s="23"/>
      <c r="AC449" s="23"/>
      <c r="AD449" s="23"/>
      <c r="AE449" s="23"/>
      <c r="AR449" s="87" t="s">
        <v>223</v>
      </c>
      <c r="AT449" s="87" t="s">
        <v>218</v>
      </c>
      <c r="AU449" s="87" t="s">
        <v>77</v>
      </c>
      <c r="AY449" s="19" t="s">
        <v>216</v>
      </c>
      <c r="BE449" s="88">
        <f>IF(N449="základní",J449,0)</f>
        <v>0</v>
      </c>
      <c r="BF449" s="88">
        <f>IF(N449="snížená",J449,0)</f>
        <v>0</v>
      </c>
      <c r="BG449" s="88">
        <f>IF(N449="zákl. přenesená",J449,0)</f>
        <v>0</v>
      </c>
      <c r="BH449" s="88">
        <f>IF(N449="sníž. přenesená",J449,0)</f>
        <v>0</v>
      </c>
      <c r="BI449" s="88">
        <f>IF(N449="nulová",J449,0)</f>
        <v>0</v>
      </c>
      <c r="BJ449" s="19" t="s">
        <v>75</v>
      </c>
      <c r="BK449" s="88">
        <f>ROUND(I449*H449,2)</f>
        <v>0</v>
      </c>
      <c r="BL449" s="19" t="s">
        <v>223</v>
      </c>
      <c r="BM449" s="87" t="s">
        <v>623</v>
      </c>
    </row>
    <row r="450" spans="1:65" s="2" customFormat="1" ht="78">
      <c r="A450" s="269"/>
      <c r="B450" s="270"/>
      <c r="C450" s="269"/>
      <c r="D450" s="315" t="s">
        <v>231</v>
      </c>
      <c r="E450" s="269"/>
      <c r="F450" s="323" t="s">
        <v>624</v>
      </c>
      <c r="G450" s="269"/>
      <c r="H450" s="269"/>
      <c r="I450" s="248"/>
      <c r="J450" s="248"/>
      <c r="K450" s="269"/>
      <c r="L450" s="24"/>
      <c r="M450" s="99"/>
      <c r="N450" s="100"/>
      <c r="O450" s="32"/>
      <c r="P450" s="32"/>
      <c r="Q450" s="32"/>
      <c r="R450" s="32"/>
      <c r="S450" s="32"/>
      <c r="T450" s="33"/>
      <c r="U450" s="23"/>
      <c r="V450" s="23"/>
      <c r="W450" s="23"/>
      <c r="X450" s="23"/>
      <c r="Y450" s="23"/>
      <c r="Z450" s="23"/>
      <c r="AA450" s="23"/>
      <c r="AB450" s="23"/>
      <c r="AC450" s="23"/>
      <c r="AD450" s="23"/>
      <c r="AE450" s="23"/>
      <c r="AT450" s="19" t="s">
        <v>231</v>
      </c>
      <c r="AU450" s="19" t="s">
        <v>77</v>
      </c>
    </row>
    <row r="451" spans="1:65" s="13" customFormat="1">
      <c r="A451" s="313"/>
      <c r="B451" s="314"/>
      <c r="C451" s="313"/>
      <c r="D451" s="315" t="s">
        <v>225</v>
      </c>
      <c r="E451" s="316" t="s">
        <v>3</v>
      </c>
      <c r="F451" s="317" t="s">
        <v>304</v>
      </c>
      <c r="G451" s="313"/>
      <c r="H451" s="316" t="s">
        <v>3</v>
      </c>
      <c r="I451" s="259"/>
      <c r="J451" s="259"/>
      <c r="K451" s="313"/>
      <c r="L451" s="89"/>
      <c r="M451" s="91"/>
      <c r="N451" s="92"/>
      <c r="O451" s="92"/>
      <c r="P451" s="92"/>
      <c r="Q451" s="92"/>
      <c r="R451" s="92"/>
      <c r="S451" s="92"/>
      <c r="T451" s="93"/>
      <c r="AT451" s="90" t="s">
        <v>225</v>
      </c>
      <c r="AU451" s="90" t="s">
        <v>77</v>
      </c>
      <c r="AV451" s="13" t="s">
        <v>75</v>
      </c>
      <c r="AW451" s="13" t="s">
        <v>30</v>
      </c>
      <c r="AX451" s="13" t="s">
        <v>68</v>
      </c>
      <c r="AY451" s="90" t="s">
        <v>216</v>
      </c>
    </row>
    <row r="452" spans="1:65" s="13" customFormat="1">
      <c r="A452" s="313"/>
      <c r="B452" s="314"/>
      <c r="C452" s="313"/>
      <c r="D452" s="315" t="s">
        <v>225</v>
      </c>
      <c r="E452" s="316" t="s">
        <v>3</v>
      </c>
      <c r="F452" s="317" t="s">
        <v>625</v>
      </c>
      <c r="G452" s="313"/>
      <c r="H452" s="316" t="s">
        <v>3</v>
      </c>
      <c r="I452" s="259"/>
      <c r="J452" s="259"/>
      <c r="K452" s="313"/>
      <c r="L452" s="89"/>
      <c r="M452" s="91"/>
      <c r="N452" s="92"/>
      <c r="O452" s="92"/>
      <c r="P452" s="92"/>
      <c r="Q452" s="92"/>
      <c r="R452" s="92"/>
      <c r="S452" s="92"/>
      <c r="T452" s="93"/>
      <c r="AT452" s="90" t="s">
        <v>225</v>
      </c>
      <c r="AU452" s="90" t="s">
        <v>77</v>
      </c>
      <c r="AV452" s="13" t="s">
        <v>75</v>
      </c>
      <c r="AW452" s="13" t="s">
        <v>30</v>
      </c>
      <c r="AX452" s="13" t="s">
        <v>68</v>
      </c>
      <c r="AY452" s="90" t="s">
        <v>216</v>
      </c>
    </row>
    <row r="453" spans="1:65" s="14" customFormat="1">
      <c r="A453" s="318"/>
      <c r="B453" s="319"/>
      <c r="C453" s="318"/>
      <c r="D453" s="315" t="s">
        <v>225</v>
      </c>
      <c r="E453" s="320" t="s">
        <v>3</v>
      </c>
      <c r="F453" s="321" t="s">
        <v>100</v>
      </c>
      <c r="G453" s="318"/>
      <c r="H453" s="322">
        <v>3</v>
      </c>
      <c r="I453" s="260"/>
      <c r="J453" s="260"/>
      <c r="K453" s="318"/>
      <c r="L453" s="94"/>
      <c r="M453" s="96"/>
      <c r="N453" s="97"/>
      <c r="O453" s="97"/>
      <c r="P453" s="97"/>
      <c r="Q453" s="97"/>
      <c r="R453" s="97"/>
      <c r="S453" s="97"/>
      <c r="T453" s="98"/>
      <c r="AT453" s="95" t="s">
        <v>225</v>
      </c>
      <c r="AU453" s="95" t="s">
        <v>77</v>
      </c>
      <c r="AV453" s="14" t="s">
        <v>77</v>
      </c>
      <c r="AW453" s="14" t="s">
        <v>30</v>
      </c>
      <c r="AX453" s="14" t="s">
        <v>75</v>
      </c>
      <c r="AY453" s="95" t="s">
        <v>216</v>
      </c>
    </row>
    <row r="454" spans="1:65" s="2" customFormat="1" ht="14.45" customHeight="1">
      <c r="A454" s="269"/>
      <c r="B454" s="270"/>
      <c r="C454" s="334" t="s">
        <v>626</v>
      </c>
      <c r="D454" s="334" t="s">
        <v>535</v>
      </c>
      <c r="E454" s="335" t="s">
        <v>627</v>
      </c>
      <c r="F454" s="336" t="s">
        <v>628</v>
      </c>
      <c r="G454" s="337" t="s">
        <v>291</v>
      </c>
      <c r="H454" s="338">
        <v>3</v>
      </c>
      <c r="I454" s="111">
        <v>0</v>
      </c>
      <c r="J454" s="111">
        <f>ROUND(I454*H454,2)</f>
        <v>0</v>
      </c>
      <c r="K454" s="336" t="s">
        <v>3</v>
      </c>
      <c r="L454" s="112"/>
      <c r="M454" s="113" t="s">
        <v>3</v>
      </c>
      <c r="N454" s="114" t="s">
        <v>39</v>
      </c>
      <c r="O454" s="85">
        <v>0</v>
      </c>
      <c r="P454" s="85">
        <f>O454*H454</f>
        <v>0</v>
      </c>
      <c r="Q454" s="85">
        <v>1.2E-2</v>
      </c>
      <c r="R454" s="85">
        <f>Q454*H454</f>
        <v>3.6000000000000004E-2</v>
      </c>
      <c r="S454" s="85">
        <v>0</v>
      </c>
      <c r="T454" s="86">
        <f>S454*H454</f>
        <v>0</v>
      </c>
      <c r="U454" s="23"/>
      <c r="V454" s="23"/>
      <c r="W454" s="23"/>
      <c r="X454" s="23"/>
      <c r="Y454" s="23"/>
      <c r="Z454" s="23"/>
      <c r="AA454" s="23"/>
      <c r="AB454" s="23"/>
      <c r="AC454" s="23"/>
      <c r="AD454" s="23"/>
      <c r="AE454" s="23"/>
      <c r="AR454" s="87" t="s">
        <v>260</v>
      </c>
      <c r="AT454" s="87" t="s">
        <v>535</v>
      </c>
      <c r="AU454" s="87" t="s">
        <v>77</v>
      </c>
      <c r="AY454" s="19" t="s">
        <v>216</v>
      </c>
      <c r="BE454" s="88">
        <f>IF(N454="základní",J454,0)</f>
        <v>0</v>
      </c>
      <c r="BF454" s="88">
        <f>IF(N454="snížená",J454,0)</f>
        <v>0</v>
      </c>
      <c r="BG454" s="88">
        <f>IF(N454="zákl. přenesená",J454,0)</f>
        <v>0</v>
      </c>
      <c r="BH454" s="88">
        <f>IF(N454="sníž. přenesená",J454,0)</f>
        <v>0</v>
      </c>
      <c r="BI454" s="88">
        <f>IF(N454="nulová",J454,0)</f>
        <v>0</v>
      </c>
      <c r="BJ454" s="19" t="s">
        <v>75</v>
      </c>
      <c r="BK454" s="88">
        <f>ROUND(I454*H454,2)</f>
        <v>0</v>
      </c>
      <c r="BL454" s="19" t="s">
        <v>223</v>
      </c>
      <c r="BM454" s="87" t="s">
        <v>629</v>
      </c>
    </row>
    <row r="455" spans="1:65" s="2" customFormat="1" ht="14.45" customHeight="1">
      <c r="A455" s="269"/>
      <c r="B455" s="270"/>
      <c r="C455" s="308" t="s">
        <v>630</v>
      </c>
      <c r="D455" s="308" t="s">
        <v>218</v>
      </c>
      <c r="E455" s="309" t="s">
        <v>631</v>
      </c>
      <c r="F455" s="310" t="s">
        <v>632</v>
      </c>
      <c r="G455" s="311" t="s">
        <v>291</v>
      </c>
      <c r="H455" s="312">
        <v>30</v>
      </c>
      <c r="I455" s="82">
        <v>0</v>
      </c>
      <c r="J455" s="82">
        <f>ROUND(I455*H455,2)</f>
        <v>0</v>
      </c>
      <c r="K455" s="310" t="s">
        <v>3</v>
      </c>
      <c r="L455" s="24"/>
      <c r="M455" s="83" t="s">
        <v>3</v>
      </c>
      <c r="N455" s="84" t="s">
        <v>39</v>
      </c>
      <c r="O455" s="85">
        <v>0</v>
      </c>
      <c r="P455" s="85">
        <f>O455*H455</f>
        <v>0</v>
      </c>
      <c r="Q455" s="85">
        <v>0</v>
      </c>
      <c r="R455" s="85">
        <f>Q455*H455</f>
        <v>0</v>
      </c>
      <c r="S455" s="85">
        <v>0</v>
      </c>
      <c r="T455" s="86">
        <f>S455*H455</f>
        <v>0</v>
      </c>
      <c r="U455" s="23"/>
      <c r="V455" s="23"/>
      <c r="W455" s="23"/>
      <c r="X455" s="23"/>
      <c r="Y455" s="23"/>
      <c r="Z455" s="23"/>
      <c r="AA455" s="23"/>
      <c r="AB455" s="23"/>
      <c r="AC455" s="23"/>
      <c r="AD455" s="23"/>
      <c r="AE455" s="23"/>
      <c r="AR455" s="87" t="s">
        <v>223</v>
      </c>
      <c r="AT455" s="87" t="s">
        <v>218</v>
      </c>
      <c r="AU455" s="87" t="s">
        <v>77</v>
      </c>
      <c r="AY455" s="19" t="s">
        <v>216</v>
      </c>
      <c r="BE455" s="88">
        <f>IF(N455="základní",J455,0)</f>
        <v>0</v>
      </c>
      <c r="BF455" s="88">
        <f>IF(N455="snížená",J455,0)</f>
        <v>0</v>
      </c>
      <c r="BG455" s="88">
        <f>IF(N455="zákl. přenesená",J455,0)</f>
        <v>0</v>
      </c>
      <c r="BH455" s="88">
        <f>IF(N455="sníž. přenesená",J455,0)</f>
        <v>0</v>
      </c>
      <c r="BI455" s="88">
        <f>IF(N455="nulová",J455,0)</f>
        <v>0</v>
      </c>
      <c r="BJ455" s="19" t="s">
        <v>75</v>
      </c>
      <c r="BK455" s="88">
        <f>ROUND(I455*H455,2)</f>
        <v>0</v>
      </c>
      <c r="BL455" s="19" t="s">
        <v>223</v>
      </c>
      <c r="BM455" s="87" t="s">
        <v>633</v>
      </c>
    </row>
    <row r="456" spans="1:65" s="2" customFormat="1" ht="21.6" customHeight="1">
      <c r="A456" s="269"/>
      <c r="B456" s="270"/>
      <c r="C456" s="308" t="s">
        <v>634</v>
      </c>
      <c r="D456" s="308" t="s">
        <v>218</v>
      </c>
      <c r="E456" s="309" t="s">
        <v>635</v>
      </c>
      <c r="F456" s="310" t="s">
        <v>636</v>
      </c>
      <c r="G456" s="311" t="s">
        <v>286</v>
      </c>
      <c r="H456" s="312">
        <v>99.820999999999998</v>
      </c>
      <c r="I456" s="82">
        <v>0</v>
      </c>
      <c r="J456" s="82">
        <f>ROUND(I456*H456,2)</f>
        <v>0</v>
      </c>
      <c r="K456" s="310" t="s">
        <v>222</v>
      </c>
      <c r="L456" s="24"/>
      <c r="M456" s="83" t="s">
        <v>3</v>
      </c>
      <c r="N456" s="84" t="s">
        <v>39</v>
      </c>
      <c r="O456" s="85">
        <v>0.245</v>
      </c>
      <c r="P456" s="85">
        <f>O456*H456</f>
        <v>24.456144999999999</v>
      </c>
      <c r="Q456" s="85">
        <v>0</v>
      </c>
      <c r="R456" s="85">
        <f>Q456*H456</f>
        <v>0</v>
      </c>
      <c r="S456" s="85">
        <v>0.13100000000000001</v>
      </c>
      <c r="T456" s="86">
        <f>S456*H456</f>
        <v>13.076551</v>
      </c>
      <c r="U456" s="23"/>
      <c r="V456" s="23"/>
      <c r="W456" s="23"/>
      <c r="X456" s="23"/>
      <c r="Y456" s="23"/>
      <c r="Z456" s="23"/>
      <c r="AA456" s="23"/>
      <c r="AB456" s="23"/>
      <c r="AC456" s="23"/>
      <c r="AD456" s="23"/>
      <c r="AE456" s="23"/>
      <c r="AR456" s="87" t="s">
        <v>223</v>
      </c>
      <c r="AT456" s="87" t="s">
        <v>218</v>
      </c>
      <c r="AU456" s="87" t="s">
        <v>77</v>
      </c>
      <c r="AY456" s="19" t="s">
        <v>216</v>
      </c>
      <c r="BE456" s="88">
        <f>IF(N456="základní",J456,0)</f>
        <v>0</v>
      </c>
      <c r="BF456" s="88">
        <f>IF(N456="snížená",J456,0)</f>
        <v>0</v>
      </c>
      <c r="BG456" s="88">
        <f>IF(N456="zákl. přenesená",J456,0)</f>
        <v>0</v>
      </c>
      <c r="BH456" s="88">
        <f>IF(N456="sníž. přenesená",J456,0)</f>
        <v>0</v>
      </c>
      <c r="BI456" s="88">
        <f>IF(N456="nulová",J456,0)</f>
        <v>0</v>
      </c>
      <c r="BJ456" s="19" t="s">
        <v>75</v>
      </c>
      <c r="BK456" s="88">
        <f>ROUND(I456*H456,2)</f>
        <v>0</v>
      </c>
      <c r="BL456" s="19" t="s">
        <v>223</v>
      </c>
      <c r="BM456" s="87" t="s">
        <v>637</v>
      </c>
    </row>
    <row r="457" spans="1:65" s="13" customFormat="1">
      <c r="A457" s="313"/>
      <c r="B457" s="314"/>
      <c r="C457" s="313"/>
      <c r="D457" s="315" t="s">
        <v>225</v>
      </c>
      <c r="E457" s="316" t="s">
        <v>3</v>
      </c>
      <c r="F457" s="317" t="s">
        <v>241</v>
      </c>
      <c r="G457" s="313"/>
      <c r="H457" s="316" t="s">
        <v>3</v>
      </c>
      <c r="I457" s="259"/>
      <c r="J457" s="259"/>
      <c r="K457" s="313"/>
      <c r="L457" s="89"/>
      <c r="M457" s="91"/>
      <c r="N457" s="92"/>
      <c r="O457" s="92"/>
      <c r="P457" s="92"/>
      <c r="Q457" s="92"/>
      <c r="R457" s="92"/>
      <c r="S457" s="92"/>
      <c r="T457" s="93"/>
      <c r="AT457" s="90" t="s">
        <v>225</v>
      </c>
      <c r="AU457" s="90" t="s">
        <v>77</v>
      </c>
      <c r="AV457" s="13" t="s">
        <v>75</v>
      </c>
      <c r="AW457" s="13" t="s">
        <v>30</v>
      </c>
      <c r="AX457" s="13" t="s">
        <v>68</v>
      </c>
      <c r="AY457" s="90" t="s">
        <v>216</v>
      </c>
    </row>
    <row r="458" spans="1:65" s="14" customFormat="1">
      <c r="A458" s="318"/>
      <c r="B458" s="319"/>
      <c r="C458" s="318"/>
      <c r="D458" s="315" t="s">
        <v>225</v>
      </c>
      <c r="E458" s="320" t="s">
        <v>3</v>
      </c>
      <c r="F458" s="321" t="s">
        <v>638</v>
      </c>
      <c r="G458" s="318"/>
      <c r="H458" s="322">
        <v>26.469000000000001</v>
      </c>
      <c r="I458" s="260"/>
      <c r="J458" s="260"/>
      <c r="K458" s="318"/>
      <c r="L458" s="94"/>
      <c r="M458" s="96"/>
      <c r="N458" s="97"/>
      <c r="O458" s="97"/>
      <c r="P458" s="97"/>
      <c r="Q458" s="97"/>
      <c r="R458" s="97"/>
      <c r="S458" s="97"/>
      <c r="T458" s="98"/>
      <c r="AT458" s="95" t="s">
        <v>225</v>
      </c>
      <c r="AU458" s="95" t="s">
        <v>77</v>
      </c>
      <c r="AV458" s="14" t="s">
        <v>77</v>
      </c>
      <c r="AW458" s="14" t="s">
        <v>30</v>
      </c>
      <c r="AX458" s="14" t="s">
        <v>68</v>
      </c>
      <c r="AY458" s="95" t="s">
        <v>216</v>
      </c>
    </row>
    <row r="459" spans="1:65" s="14" customFormat="1">
      <c r="A459" s="318"/>
      <c r="B459" s="319"/>
      <c r="C459" s="318"/>
      <c r="D459" s="315" t="s">
        <v>225</v>
      </c>
      <c r="E459" s="320" t="s">
        <v>3</v>
      </c>
      <c r="F459" s="321" t="s">
        <v>639</v>
      </c>
      <c r="G459" s="318"/>
      <c r="H459" s="322">
        <v>27.672000000000001</v>
      </c>
      <c r="I459" s="260"/>
      <c r="J459" s="260"/>
      <c r="K459" s="318"/>
      <c r="L459" s="94"/>
      <c r="M459" s="96"/>
      <c r="N459" s="97"/>
      <c r="O459" s="97"/>
      <c r="P459" s="97"/>
      <c r="Q459" s="97"/>
      <c r="R459" s="97"/>
      <c r="S459" s="97"/>
      <c r="T459" s="98"/>
      <c r="AT459" s="95" t="s">
        <v>225</v>
      </c>
      <c r="AU459" s="95" t="s">
        <v>77</v>
      </c>
      <c r="AV459" s="14" t="s">
        <v>77</v>
      </c>
      <c r="AW459" s="14" t="s">
        <v>30</v>
      </c>
      <c r="AX459" s="14" t="s">
        <v>68</v>
      </c>
      <c r="AY459" s="95" t="s">
        <v>216</v>
      </c>
    </row>
    <row r="460" spans="1:65" s="14" customFormat="1">
      <c r="A460" s="318"/>
      <c r="B460" s="319"/>
      <c r="C460" s="318"/>
      <c r="D460" s="315" t="s">
        <v>225</v>
      </c>
      <c r="E460" s="320" t="s">
        <v>3</v>
      </c>
      <c r="F460" s="321" t="s">
        <v>354</v>
      </c>
      <c r="G460" s="318"/>
      <c r="H460" s="322">
        <v>7.0030000000000001</v>
      </c>
      <c r="I460" s="260"/>
      <c r="J460" s="260"/>
      <c r="K460" s="318"/>
      <c r="L460" s="94"/>
      <c r="M460" s="96"/>
      <c r="N460" s="97"/>
      <c r="O460" s="97"/>
      <c r="P460" s="97"/>
      <c r="Q460" s="97"/>
      <c r="R460" s="97"/>
      <c r="S460" s="97"/>
      <c r="T460" s="98"/>
      <c r="AT460" s="95" t="s">
        <v>225</v>
      </c>
      <c r="AU460" s="95" t="s">
        <v>77</v>
      </c>
      <c r="AV460" s="14" t="s">
        <v>77</v>
      </c>
      <c r="AW460" s="14" t="s">
        <v>30</v>
      </c>
      <c r="AX460" s="14" t="s">
        <v>68</v>
      </c>
      <c r="AY460" s="95" t="s">
        <v>216</v>
      </c>
    </row>
    <row r="461" spans="1:65" s="14" customFormat="1">
      <c r="A461" s="318"/>
      <c r="B461" s="319"/>
      <c r="C461" s="318"/>
      <c r="D461" s="315" t="s">
        <v>225</v>
      </c>
      <c r="E461" s="320" t="s">
        <v>3</v>
      </c>
      <c r="F461" s="321" t="s">
        <v>640</v>
      </c>
      <c r="G461" s="318"/>
      <c r="H461" s="322">
        <v>15.163</v>
      </c>
      <c r="I461" s="260"/>
      <c r="J461" s="260"/>
      <c r="K461" s="318"/>
      <c r="L461" s="94"/>
      <c r="M461" s="96"/>
      <c r="N461" s="97"/>
      <c r="O461" s="97"/>
      <c r="P461" s="97"/>
      <c r="Q461" s="97"/>
      <c r="R461" s="97"/>
      <c r="S461" s="97"/>
      <c r="T461" s="98"/>
      <c r="AT461" s="95" t="s">
        <v>225</v>
      </c>
      <c r="AU461" s="95" t="s">
        <v>77</v>
      </c>
      <c r="AV461" s="14" t="s">
        <v>77</v>
      </c>
      <c r="AW461" s="14" t="s">
        <v>30</v>
      </c>
      <c r="AX461" s="14" t="s">
        <v>68</v>
      </c>
      <c r="AY461" s="95" t="s">
        <v>216</v>
      </c>
    </row>
    <row r="462" spans="1:65" s="14" customFormat="1">
      <c r="A462" s="318"/>
      <c r="B462" s="319"/>
      <c r="C462" s="318"/>
      <c r="D462" s="315" t="s">
        <v>225</v>
      </c>
      <c r="E462" s="320" t="s">
        <v>3</v>
      </c>
      <c r="F462" s="321" t="s">
        <v>641</v>
      </c>
      <c r="G462" s="318"/>
      <c r="H462" s="322">
        <v>23.513999999999999</v>
      </c>
      <c r="I462" s="260"/>
      <c r="J462" s="260"/>
      <c r="K462" s="318"/>
      <c r="L462" s="94"/>
      <c r="M462" s="96"/>
      <c r="N462" s="97"/>
      <c r="O462" s="97"/>
      <c r="P462" s="97"/>
      <c r="Q462" s="97"/>
      <c r="R462" s="97"/>
      <c r="S462" s="97"/>
      <c r="T462" s="98"/>
      <c r="AT462" s="95" t="s">
        <v>225</v>
      </c>
      <c r="AU462" s="95" t="s">
        <v>77</v>
      </c>
      <c r="AV462" s="14" t="s">
        <v>77</v>
      </c>
      <c r="AW462" s="14" t="s">
        <v>30</v>
      </c>
      <c r="AX462" s="14" t="s">
        <v>68</v>
      </c>
      <c r="AY462" s="95" t="s">
        <v>216</v>
      </c>
    </row>
    <row r="463" spans="1:65" s="16" customFormat="1">
      <c r="A463" s="329"/>
      <c r="B463" s="330"/>
      <c r="C463" s="329"/>
      <c r="D463" s="315" t="s">
        <v>225</v>
      </c>
      <c r="E463" s="331" t="s">
        <v>3</v>
      </c>
      <c r="F463" s="332" t="s">
        <v>254</v>
      </c>
      <c r="G463" s="329"/>
      <c r="H463" s="333">
        <v>99.820999999999998</v>
      </c>
      <c r="I463" s="262"/>
      <c r="J463" s="262"/>
      <c r="K463" s="329"/>
      <c r="L463" s="106"/>
      <c r="M463" s="108"/>
      <c r="N463" s="109"/>
      <c r="O463" s="109"/>
      <c r="P463" s="109"/>
      <c r="Q463" s="109"/>
      <c r="R463" s="109"/>
      <c r="S463" s="109"/>
      <c r="T463" s="110"/>
      <c r="AT463" s="107" t="s">
        <v>225</v>
      </c>
      <c r="AU463" s="107" t="s">
        <v>77</v>
      </c>
      <c r="AV463" s="16" t="s">
        <v>223</v>
      </c>
      <c r="AW463" s="16" t="s">
        <v>30</v>
      </c>
      <c r="AX463" s="16" t="s">
        <v>75</v>
      </c>
      <c r="AY463" s="107" t="s">
        <v>216</v>
      </c>
    </row>
    <row r="464" spans="1:65" s="2" customFormat="1" ht="21.6" customHeight="1">
      <c r="A464" s="269"/>
      <c r="B464" s="270"/>
      <c r="C464" s="308" t="s">
        <v>642</v>
      </c>
      <c r="D464" s="308" t="s">
        <v>218</v>
      </c>
      <c r="E464" s="309" t="s">
        <v>643</v>
      </c>
      <c r="F464" s="310" t="s">
        <v>644</v>
      </c>
      <c r="G464" s="311" t="s">
        <v>286</v>
      </c>
      <c r="H464" s="312">
        <v>36.649000000000001</v>
      </c>
      <c r="I464" s="82">
        <v>0</v>
      </c>
      <c r="J464" s="82">
        <f>ROUND(I464*H464,2)</f>
        <v>0</v>
      </c>
      <c r="K464" s="310" t="s">
        <v>222</v>
      </c>
      <c r="L464" s="24"/>
      <c r="M464" s="83" t="s">
        <v>3</v>
      </c>
      <c r="N464" s="84" t="s">
        <v>39</v>
      </c>
      <c r="O464" s="85">
        <v>0.28399999999999997</v>
      </c>
      <c r="P464" s="85">
        <f>O464*H464</f>
        <v>10.408315999999999</v>
      </c>
      <c r="Q464" s="85">
        <v>0</v>
      </c>
      <c r="R464" s="85">
        <f>Q464*H464</f>
        <v>0</v>
      </c>
      <c r="S464" s="85">
        <v>0.26100000000000001</v>
      </c>
      <c r="T464" s="86">
        <f>S464*H464</f>
        <v>9.5653890000000015</v>
      </c>
      <c r="U464" s="23"/>
      <c r="V464" s="23"/>
      <c r="W464" s="23"/>
      <c r="X464" s="23"/>
      <c r="Y464" s="23"/>
      <c r="Z464" s="23"/>
      <c r="AA464" s="23"/>
      <c r="AB464" s="23"/>
      <c r="AC464" s="23"/>
      <c r="AD464" s="23"/>
      <c r="AE464" s="23"/>
      <c r="AR464" s="87" t="s">
        <v>223</v>
      </c>
      <c r="AT464" s="87" t="s">
        <v>218</v>
      </c>
      <c r="AU464" s="87" t="s">
        <v>77</v>
      </c>
      <c r="AY464" s="19" t="s">
        <v>216</v>
      </c>
      <c r="BE464" s="88">
        <f>IF(N464="základní",J464,0)</f>
        <v>0</v>
      </c>
      <c r="BF464" s="88">
        <f>IF(N464="snížená",J464,0)</f>
        <v>0</v>
      </c>
      <c r="BG464" s="88">
        <f>IF(N464="zákl. přenesená",J464,0)</f>
        <v>0</v>
      </c>
      <c r="BH464" s="88">
        <f>IF(N464="sníž. přenesená",J464,0)</f>
        <v>0</v>
      </c>
      <c r="BI464" s="88">
        <f>IF(N464="nulová",J464,0)</f>
        <v>0</v>
      </c>
      <c r="BJ464" s="19" t="s">
        <v>75</v>
      </c>
      <c r="BK464" s="88">
        <f>ROUND(I464*H464,2)</f>
        <v>0</v>
      </c>
      <c r="BL464" s="19" t="s">
        <v>223</v>
      </c>
      <c r="BM464" s="87" t="s">
        <v>645</v>
      </c>
    </row>
    <row r="465" spans="1:65" s="13" customFormat="1">
      <c r="A465" s="313"/>
      <c r="B465" s="314"/>
      <c r="C465" s="313"/>
      <c r="D465" s="315" t="s">
        <v>225</v>
      </c>
      <c r="E465" s="316" t="s">
        <v>3</v>
      </c>
      <c r="F465" s="317" t="s">
        <v>241</v>
      </c>
      <c r="G465" s="313"/>
      <c r="H465" s="316" t="s">
        <v>3</v>
      </c>
      <c r="I465" s="259"/>
      <c r="J465" s="259"/>
      <c r="K465" s="313"/>
      <c r="L465" s="89"/>
      <c r="M465" s="91"/>
      <c r="N465" s="92"/>
      <c r="O465" s="92"/>
      <c r="P465" s="92"/>
      <c r="Q465" s="92"/>
      <c r="R465" s="92"/>
      <c r="S465" s="92"/>
      <c r="T465" s="93"/>
      <c r="AT465" s="90" t="s">
        <v>225</v>
      </c>
      <c r="AU465" s="90" t="s">
        <v>77</v>
      </c>
      <c r="AV465" s="13" t="s">
        <v>75</v>
      </c>
      <c r="AW465" s="13" t="s">
        <v>30</v>
      </c>
      <c r="AX465" s="13" t="s">
        <v>68</v>
      </c>
      <c r="AY465" s="90" t="s">
        <v>216</v>
      </c>
    </row>
    <row r="466" spans="1:65" s="14" customFormat="1">
      <c r="A466" s="318"/>
      <c r="B466" s="319"/>
      <c r="C466" s="318"/>
      <c r="D466" s="315" t="s">
        <v>225</v>
      </c>
      <c r="E466" s="320" t="s">
        <v>3</v>
      </c>
      <c r="F466" s="321" t="s">
        <v>646</v>
      </c>
      <c r="G466" s="318"/>
      <c r="H466" s="322">
        <v>35.555</v>
      </c>
      <c r="I466" s="260"/>
      <c r="J466" s="260"/>
      <c r="K466" s="318"/>
      <c r="L466" s="94"/>
      <c r="M466" s="96"/>
      <c r="N466" s="97"/>
      <c r="O466" s="97"/>
      <c r="P466" s="97"/>
      <c r="Q466" s="97"/>
      <c r="R466" s="97"/>
      <c r="S466" s="97"/>
      <c r="T466" s="98"/>
      <c r="AT466" s="95" t="s">
        <v>225</v>
      </c>
      <c r="AU466" s="95" t="s">
        <v>77</v>
      </c>
      <c r="AV466" s="14" t="s">
        <v>77</v>
      </c>
      <c r="AW466" s="14" t="s">
        <v>30</v>
      </c>
      <c r="AX466" s="14" t="s">
        <v>68</v>
      </c>
      <c r="AY466" s="95" t="s">
        <v>216</v>
      </c>
    </row>
    <row r="467" spans="1:65" s="14" customFormat="1">
      <c r="A467" s="318"/>
      <c r="B467" s="319"/>
      <c r="C467" s="318"/>
      <c r="D467" s="315" t="s">
        <v>225</v>
      </c>
      <c r="E467" s="320" t="s">
        <v>3</v>
      </c>
      <c r="F467" s="321" t="s">
        <v>647</v>
      </c>
      <c r="G467" s="318"/>
      <c r="H467" s="322">
        <v>2.67</v>
      </c>
      <c r="I467" s="260"/>
      <c r="J467" s="260"/>
      <c r="K467" s="318"/>
      <c r="L467" s="94"/>
      <c r="M467" s="96"/>
      <c r="N467" s="97"/>
      <c r="O467" s="97"/>
      <c r="P467" s="97"/>
      <c r="Q467" s="97"/>
      <c r="R467" s="97"/>
      <c r="S467" s="97"/>
      <c r="T467" s="98"/>
      <c r="AT467" s="95" t="s">
        <v>225</v>
      </c>
      <c r="AU467" s="95" t="s">
        <v>77</v>
      </c>
      <c r="AV467" s="14" t="s">
        <v>77</v>
      </c>
      <c r="AW467" s="14" t="s">
        <v>30</v>
      </c>
      <c r="AX467" s="14" t="s">
        <v>68</v>
      </c>
      <c r="AY467" s="95" t="s">
        <v>216</v>
      </c>
    </row>
    <row r="468" spans="1:65" s="14" customFormat="1">
      <c r="A468" s="318"/>
      <c r="B468" s="319"/>
      <c r="C468" s="318"/>
      <c r="D468" s="315" t="s">
        <v>225</v>
      </c>
      <c r="E468" s="320" t="s">
        <v>3</v>
      </c>
      <c r="F468" s="321" t="s">
        <v>348</v>
      </c>
      <c r="G468" s="318"/>
      <c r="H468" s="322">
        <v>-1.5760000000000001</v>
      </c>
      <c r="I468" s="260"/>
      <c r="J468" s="260"/>
      <c r="K468" s="318"/>
      <c r="L468" s="94"/>
      <c r="M468" s="96"/>
      <c r="N468" s="97"/>
      <c r="O468" s="97"/>
      <c r="P468" s="97"/>
      <c r="Q468" s="97"/>
      <c r="R468" s="97"/>
      <c r="S468" s="97"/>
      <c r="T468" s="98"/>
      <c r="AT468" s="95" t="s">
        <v>225</v>
      </c>
      <c r="AU468" s="95" t="s">
        <v>77</v>
      </c>
      <c r="AV468" s="14" t="s">
        <v>77</v>
      </c>
      <c r="AW468" s="14" t="s">
        <v>30</v>
      </c>
      <c r="AX468" s="14" t="s">
        <v>68</v>
      </c>
      <c r="AY468" s="95" t="s">
        <v>216</v>
      </c>
    </row>
    <row r="469" spans="1:65" s="16" customFormat="1">
      <c r="A469" s="329"/>
      <c r="B469" s="330"/>
      <c r="C469" s="329"/>
      <c r="D469" s="315" t="s">
        <v>225</v>
      </c>
      <c r="E469" s="331" t="s">
        <v>3</v>
      </c>
      <c r="F469" s="332" t="s">
        <v>254</v>
      </c>
      <c r="G469" s="329"/>
      <c r="H469" s="333">
        <v>36.649000000000001</v>
      </c>
      <c r="I469" s="262"/>
      <c r="J469" s="262"/>
      <c r="K469" s="329"/>
      <c r="L469" s="106"/>
      <c r="M469" s="108"/>
      <c r="N469" s="109"/>
      <c r="O469" s="109"/>
      <c r="P469" s="109"/>
      <c r="Q469" s="109"/>
      <c r="R469" s="109"/>
      <c r="S469" s="109"/>
      <c r="T469" s="110"/>
      <c r="AT469" s="107" t="s">
        <v>225</v>
      </c>
      <c r="AU469" s="107" t="s">
        <v>77</v>
      </c>
      <c r="AV469" s="16" t="s">
        <v>223</v>
      </c>
      <c r="AW469" s="16" t="s">
        <v>30</v>
      </c>
      <c r="AX469" s="16" t="s">
        <v>75</v>
      </c>
      <c r="AY469" s="107" t="s">
        <v>216</v>
      </c>
    </row>
    <row r="470" spans="1:65" s="2" customFormat="1" ht="21.6" customHeight="1">
      <c r="A470" s="269"/>
      <c r="B470" s="270"/>
      <c r="C470" s="308" t="s">
        <v>648</v>
      </c>
      <c r="D470" s="308" t="s">
        <v>218</v>
      </c>
      <c r="E470" s="309" t="s">
        <v>649</v>
      </c>
      <c r="F470" s="310" t="s">
        <v>650</v>
      </c>
      <c r="G470" s="311" t="s">
        <v>221</v>
      </c>
      <c r="H470" s="312">
        <v>0.94199999999999995</v>
      </c>
      <c r="I470" s="82">
        <v>0</v>
      </c>
      <c r="J470" s="82">
        <f>ROUND(I470*H470,2)</f>
        <v>0</v>
      </c>
      <c r="K470" s="310" t="s">
        <v>222</v>
      </c>
      <c r="L470" s="24"/>
      <c r="M470" s="83" t="s">
        <v>3</v>
      </c>
      <c r="N470" s="84" t="s">
        <v>39</v>
      </c>
      <c r="O470" s="85">
        <v>2.7130000000000001</v>
      </c>
      <c r="P470" s="85">
        <f>O470*H470</f>
        <v>2.5556459999999999</v>
      </c>
      <c r="Q470" s="85">
        <v>0</v>
      </c>
      <c r="R470" s="85">
        <f>Q470*H470</f>
        <v>0</v>
      </c>
      <c r="S470" s="85">
        <v>1.8</v>
      </c>
      <c r="T470" s="86">
        <f>S470*H470</f>
        <v>1.6956</v>
      </c>
      <c r="U470" s="23"/>
      <c r="V470" s="23"/>
      <c r="W470" s="23"/>
      <c r="X470" s="23"/>
      <c r="Y470" s="23"/>
      <c r="Z470" s="23"/>
      <c r="AA470" s="23"/>
      <c r="AB470" s="23"/>
      <c r="AC470" s="23"/>
      <c r="AD470" s="23"/>
      <c r="AE470" s="23"/>
      <c r="AR470" s="87" t="s">
        <v>223</v>
      </c>
      <c r="AT470" s="87" t="s">
        <v>218</v>
      </c>
      <c r="AU470" s="87" t="s">
        <v>77</v>
      </c>
      <c r="AY470" s="19" t="s">
        <v>216</v>
      </c>
      <c r="BE470" s="88">
        <f>IF(N470="základní",J470,0)</f>
        <v>0</v>
      </c>
      <c r="BF470" s="88">
        <f>IF(N470="snížená",J470,0)</f>
        <v>0</v>
      </c>
      <c r="BG470" s="88">
        <f>IF(N470="zákl. přenesená",J470,0)</f>
        <v>0</v>
      </c>
      <c r="BH470" s="88">
        <f>IF(N470="sníž. přenesená",J470,0)</f>
        <v>0</v>
      </c>
      <c r="BI470" s="88">
        <f>IF(N470="nulová",J470,0)</f>
        <v>0</v>
      </c>
      <c r="BJ470" s="19" t="s">
        <v>75</v>
      </c>
      <c r="BK470" s="88">
        <f>ROUND(I470*H470,2)</f>
        <v>0</v>
      </c>
      <c r="BL470" s="19" t="s">
        <v>223</v>
      </c>
      <c r="BM470" s="87" t="s">
        <v>651</v>
      </c>
    </row>
    <row r="471" spans="1:65" s="2" customFormat="1" ht="39">
      <c r="A471" s="269"/>
      <c r="B471" s="270"/>
      <c r="C471" s="269"/>
      <c r="D471" s="315" t="s">
        <v>231</v>
      </c>
      <c r="E471" s="269"/>
      <c r="F471" s="323" t="s">
        <v>652</v>
      </c>
      <c r="G471" s="269"/>
      <c r="H471" s="269"/>
      <c r="I471" s="248"/>
      <c r="J471" s="248"/>
      <c r="K471" s="269"/>
      <c r="L471" s="24"/>
      <c r="M471" s="99"/>
      <c r="N471" s="100"/>
      <c r="O471" s="32"/>
      <c r="P471" s="32"/>
      <c r="Q471" s="32"/>
      <c r="R471" s="32"/>
      <c r="S471" s="32"/>
      <c r="T471" s="33"/>
      <c r="U471" s="23"/>
      <c r="V471" s="23"/>
      <c r="W471" s="23"/>
      <c r="X471" s="23"/>
      <c r="Y471" s="23"/>
      <c r="Z471" s="23"/>
      <c r="AA471" s="23"/>
      <c r="AB471" s="23"/>
      <c r="AC471" s="23"/>
      <c r="AD471" s="23"/>
      <c r="AE471" s="23"/>
      <c r="AT471" s="19" t="s">
        <v>231</v>
      </c>
      <c r="AU471" s="19" t="s">
        <v>77</v>
      </c>
    </row>
    <row r="472" spans="1:65" s="13" customFormat="1">
      <c r="A472" s="313"/>
      <c r="B472" s="314"/>
      <c r="C472" s="313"/>
      <c r="D472" s="315" t="s">
        <v>225</v>
      </c>
      <c r="E472" s="316" t="s">
        <v>3</v>
      </c>
      <c r="F472" s="317" t="s">
        <v>241</v>
      </c>
      <c r="G472" s="313"/>
      <c r="H472" s="316" t="s">
        <v>3</v>
      </c>
      <c r="I472" s="259"/>
      <c r="J472" s="259"/>
      <c r="K472" s="313"/>
      <c r="L472" s="89"/>
      <c r="M472" s="91"/>
      <c r="N472" s="92"/>
      <c r="O472" s="92"/>
      <c r="P472" s="92"/>
      <c r="Q472" s="92"/>
      <c r="R472" s="92"/>
      <c r="S472" s="92"/>
      <c r="T472" s="93"/>
      <c r="AT472" s="90" t="s">
        <v>225</v>
      </c>
      <c r="AU472" s="90" t="s">
        <v>77</v>
      </c>
      <c r="AV472" s="13" t="s">
        <v>75</v>
      </c>
      <c r="AW472" s="13" t="s">
        <v>30</v>
      </c>
      <c r="AX472" s="13" t="s">
        <v>68</v>
      </c>
      <c r="AY472" s="90" t="s">
        <v>216</v>
      </c>
    </row>
    <row r="473" spans="1:65" s="13" customFormat="1">
      <c r="A473" s="313"/>
      <c r="B473" s="314"/>
      <c r="C473" s="313"/>
      <c r="D473" s="315" t="s">
        <v>225</v>
      </c>
      <c r="E473" s="316" t="s">
        <v>3</v>
      </c>
      <c r="F473" s="317" t="s">
        <v>653</v>
      </c>
      <c r="G473" s="313"/>
      <c r="H473" s="316" t="s">
        <v>3</v>
      </c>
      <c r="I473" s="259"/>
      <c r="J473" s="259"/>
      <c r="K473" s="313"/>
      <c r="L473" s="89"/>
      <c r="M473" s="91"/>
      <c r="N473" s="92"/>
      <c r="O473" s="92"/>
      <c r="P473" s="92"/>
      <c r="Q473" s="92"/>
      <c r="R473" s="92"/>
      <c r="S473" s="92"/>
      <c r="T473" s="93"/>
      <c r="AT473" s="90" t="s">
        <v>225</v>
      </c>
      <c r="AU473" s="90" t="s">
        <v>77</v>
      </c>
      <c r="AV473" s="13" t="s">
        <v>75</v>
      </c>
      <c r="AW473" s="13" t="s">
        <v>30</v>
      </c>
      <c r="AX473" s="13" t="s">
        <v>68</v>
      </c>
      <c r="AY473" s="90" t="s">
        <v>216</v>
      </c>
    </row>
    <row r="474" spans="1:65" s="14" customFormat="1">
      <c r="A474" s="318"/>
      <c r="B474" s="319"/>
      <c r="C474" s="318"/>
      <c r="D474" s="315" t="s">
        <v>225</v>
      </c>
      <c r="E474" s="320" t="s">
        <v>3</v>
      </c>
      <c r="F474" s="321" t="s">
        <v>654</v>
      </c>
      <c r="G474" s="318"/>
      <c r="H474" s="322">
        <v>0.94199999999999995</v>
      </c>
      <c r="I474" s="260"/>
      <c r="J474" s="260"/>
      <c r="K474" s="318"/>
      <c r="L474" s="94"/>
      <c r="M474" s="96"/>
      <c r="N474" s="97"/>
      <c r="O474" s="97"/>
      <c r="P474" s="97"/>
      <c r="Q474" s="97"/>
      <c r="R474" s="97"/>
      <c r="S474" s="97"/>
      <c r="T474" s="98"/>
      <c r="AT474" s="95" t="s">
        <v>225</v>
      </c>
      <c r="AU474" s="95" t="s">
        <v>77</v>
      </c>
      <c r="AV474" s="14" t="s">
        <v>77</v>
      </c>
      <c r="AW474" s="14" t="s">
        <v>30</v>
      </c>
      <c r="AX474" s="14" t="s">
        <v>68</v>
      </c>
      <c r="AY474" s="95" t="s">
        <v>216</v>
      </c>
    </row>
    <row r="475" spans="1:65" s="16" customFormat="1">
      <c r="A475" s="329"/>
      <c r="B475" s="330"/>
      <c r="C475" s="329"/>
      <c r="D475" s="315" t="s">
        <v>225</v>
      </c>
      <c r="E475" s="331" t="s">
        <v>3</v>
      </c>
      <c r="F475" s="332" t="s">
        <v>254</v>
      </c>
      <c r="G475" s="329"/>
      <c r="H475" s="333">
        <v>0.94199999999999995</v>
      </c>
      <c r="I475" s="262"/>
      <c r="J475" s="262"/>
      <c r="K475" s="329"/>
      <c r="L475" s="106"/>
      <c r="M475" s="108"/>
      <c r="N475" s="109"/>
      <c r="O475" s="109"/>
      <c r="P475" s="109"/>
      <c r="Q475" s="109"/>
      <c r="R475" s="109"/>
      <c r="S475" s="109"/>
      <c r="T475" s="110"/>
      <c r="AT475" s="107" t="s">
        <v>225</v>
      </c>
      <c r="AU475" s="107" t="s">
        <v>77</v>
      </c>
      <c r="AV475" s="16" t="s">
        <v>223</v>
      </c>
      <c r="AW475" s="16" t="s">
        <v>30</v>
      </c>
      <c r="AX475" s="16" t="s">
        <v>75</v>
      </c>
      <c r="AY475" s="107" t="s">
        <v>216</v>
      </c>
    </row>
    <row r="476" spans="1:65" s="2" customFormat="1" ht="14.45" customHeight="1">
      <c r="A476" s="269"/>
      <c r="B476" s="270"/>
      <c r="C476" s="308" t="s">
        <v>655</v>
      </c>
      <c r="D476" s="308" t="s">
        <v>218</v>
      </c>
      <c r="E476" s="309" t="s">
        <v>656</v>
      </c>
      <c r="F476" s="310" t="s">
        <v>657</v>
      </c>
      <c r="G476" s="311" t="s">
        <v>221</v>
      </c>
      <c r="H476" s="312">
        <v>10.521000000000001</v>
      </c>
      <c r="I476" s="82">
        <v>0</v>
      </c>
      <c r="J476" s="82">
        <f>ROUND(I476*H476,2)</f>
        <v>0</v>
      </c>
      <c r="K476" s="310" t="s">
        <v>222</v>
      </c>
      <c r="L476" s="24"/>
      <c r="M476" s="83" t="s">
        <v>3</v>
      </c>
      <c r="N476" s="84" t="s">
        <v>39</v>
      </c>
      <c r="O476" s="85">
        <v>7.51</v>
      </c>
      <c r="P476" s="85">
        <f>O476*H476</f>
        <v>79.012709999999998</v>
      </c>
      <c r="Q476" s="85">
        <v>0</v>
      </c>
      <c r="R476" s="85">
        <f>Q476*H476</f>
        <v>0</v>
      </c>
      <c r="S476" s="85">
        <v>2.2000000000000002</v>
      </c>
      <c r="T476" s="86">
        <f>S476*H476</f>
        <v>23.146200000000004</v>
      </c>
      <c r="U476" s="23"/>
      <c r="V476" s="23"/>
      <c r="W476" s="23"/>
      <c r="X476" s="23"/>
      <c r="Y476" s="23"/>
      <c r="Z476" s="23"/>
      <c r="AA476" s="23"/>
      <c r="AB476" s="23"/>
      <c r="AC476" s="23"/>
      <c r="AD476" s="23"/>
      <c r="AE476" s="23"/>
      <c r="AR476" s="87" t="s">
        <v>223</v>
      </c>
      <c r="AT476" s="87" t="s">
        <v>218</v>
      </c>
      <c r="AU476" s="87" t="s">
        <v>77</v>
      </c>
      <c r="AY476" s="19" t="s">
        <v>216</v>
      </c>
      <c r="BE476" s="88">
        <f>IF(N476="základní",J476,0)</f>
        <v>0</v>
      </c>
      <c r="BF476" s="88">
        <f>IF(N476="snížená",J476,0)</f>
        <v>0</v>
      </c>
      <c r="BG476" s="88">
        <f>IF(N476="zákl. přenesená",J476,0)</f>
        <v>0</v>
      </c>
      <c r="BH476" s="88">
        <f>IF(N476="sníž. přenesená",J476,0)</f>
        <v>0</v>
      </c>
      <c r="BI476" s="88">
        <f>IF(N476="nulová",J476,0)</f>
        <v>0</v>
      </c>
      <c r="BJ476" s="19" t="s">
        <v>75</v>
      </c>
      <c r="BK476" s="88">
        <f>ROUND(I476*H476,2)</f>
        <v>0</v>
      </c>
      <c r="BL476" s="19" t="s">
        <v>223</v>
      </c>
      <c r="BM476" s="87" t="s">
        <v>658</v>
      </c>
    </row>
    <row r="477" spans="1:65" s="13" customFormat="1">
      <c r="A477" s="313"/>
      <c r="B477" s="314"/>
      <c r="C477" s="313"/>
      <c r="D477" s="315" t="s">
        <v>225</v>
      </c>
      <c r="E477" s="316" t="s">
        <v>3</v>
      </c>
      <c r="F477" s="317" t="s">
        <v>241</v>
      </c>
      <c r="G477" s="313"/>
      <c r="H477" s="316" t="s">
        <v>3</v>
      </c>
      <c r="I477" s="259"/>
      <c r="J477" s="259"/>
      <c r="K477" s="313"/>
      <c r="L477" s="89"/>
      <c r="M477" s="91"/>
      <c r="N477" s="92"/>
      <c r="O477" s="92"/>
      <c r="P477" s="92"/>
      <c r="Q477" s="92"/>
      <c r="R477" s="92"/>
      <c r="S477" s="92"/>
      <c r="T477" s="93"/>
      <c r="AT477" s="90" t="s">
        <v>225</v>
      </c>
      <c r="AU477" s="90" t="s">
        <v>77</v>
      </c>
      <c r="AV477" s="13" t="s">
        <v>75</v>
      </c>
      <c r="AW477" s="13" t="s">
        <v>30</v>
      </c>
      <c r="AX477" s="13" t="s">
        <v>68</v>
      </c>
      <c r="AY477" s="90" t="s">
        <v>216</v>
      </c>
    </row>
    <row r="478" spans="1:65" s="13" customFormat="1">
      <c r="A478" s="313"/>
      <c r="B478" s="314"/>
      <c r="C478" s="313"/>
      <c r="D478" s="315" t="s">
        <v>225</v>
      </c>
      <c r="E478" s="316" t="s">
        <v>3</v>
      </c>
      <c r="F478" s="317" t="s">
        <v>659</v>
      </c>
      <c r="G478" s="313"/>
      <c r="H478" s="316" t="s">
        <v>3</v>
      </c>
      <c r="I478" s="259"/>
      <c r="J478" s="259"/>
      <c r="K478" s="313"/>
      <c r="L478" s="89"/>
      <c r="M478" s="91"/>
      <c r="N478" s="92"/>
      <c r="O478" s="92"/>
      <c r="P478" s="92"/>
      <c r="Q478" s="92"/>
      <c r="R478" s="92"/>
      <c r="S478" s="92"/>
      <c r="T478" s="93"/>
      <c r="AT478" s="90" t="s">
        <v>225</v>
      </c>
      <c r="AU478" s="90" t="s">
        <v>77</v>
      </c>
      <c r="AV478" s="13" t="s">
        <v>75</v>
      </c>
      <c r="AW478" s="13" t="s">
        <v>30</v>
      </c>
      <c r="AX478" s="13" t="s">
        <v>68</v>
      </c>
      <c r="AY478" s="90" t="s">
        <v>216</v>
      </c>
    </row>
    <row r="479" spans="1:65" s="14" customFormat="1">
      <c r="A479" s="318"/>
      <c r="B479" s="319"/>
      <c r="C479" s="318"/>
      <c r="D479" s="315" t="s">
        <v>225</v>
      </c>
      <c r="E479" s="320" t="s">
        <v>3</v>
      </c>
      <c r="F479" s="321" t="s">
        <v>660</v>
      </c>
      <c r="G479" s="318"/>
      <c r="H479" s="322">
        <v>10.521000000000001</v>
      </c>
      <c r="I479" s="260"/>
      <c r="J479" s="260"/>
      <c r="K479" s="318"/>
      <c r="L479" s="94"/>
      <c r="M479" s="96"/>
      <c r="N479" s="97"/>
      <c r="O479" s="97"/>
      <c r="P479" s="97"/>
      <c r="Q479" s="97"/>
      <c r="R479" s="97"/>
      <c r="S479" s="97"/>
      <c r="T479" s="98"/>
      <c r="AT479" s="95" t="s">
        <v>225</v>
      </c>
      <c r="AU479" s="95" t="s">
        <v>77</v>
      </c>
      <c r="AV479" s="14" t="s">
        <v>77</v>
      </c>
      <c r="AW479" s="14" t="s">
        <v>30</v>
      </c>
      <c r="AX479" s="14" t="s">
        <v>68</v>
      </c>
      <c r="AY479" s="95" t="s">
        <v>216</v>
      </c>
    </row>
    <row r="480" spans="1:65" s="16" customFormat="1">
      <c r="A480" s="329"/>
      <c r="B480" s="330"/>
      <c r="C480" s="329"/>
      <c r="D480" s="315" t="s">
        <v>225</v>
      </c>
      <c r="E480" s="331" t="s">
        <v>3</v>
      </c>
      <c r="F480" s="332" t="s">
        <v>254</v>
      </c>
      <c r="G480" s="329"/>
      <c r="H480" s="333">
        <v>10.521000000000001</v>
      </c>
      <c r="I480" s="262"/>
      <c r="J480" s="262"/>
      <c r="K480" s="329"/>
      <c r="L480" s="106"/>
      <c r="M480" s="108"/>
      <c r="N480" s="109"/>
      <c r="O480" s="109"/>
      <c r="P480" s="109"/>
      <c r="Q480" s="109"/>
      <c r="R480" s="109"/>
      <c r="S480" s="109"/>
      <c r="T480" s="110"/>
      <c r="AT480" s="107" t="s">
        <v>225</v>
      </c>
      <c r="AU480" s="107" t="s">
        <v>77</v>
      </c>
      <c r="AV480" s="16" t="s">
        <v>223</v>
      </c>
      <c r="AW480" s="16" t="s">
        <v>30</v>
      </c>
      <c r="AX480" s="16" t="s">
        <v>75</v>
      </c>
      <c r="AY480" s="107" t="s">
        <v>216</v>
      </c>
    </row>
    <row r="481" spans="1:65" s="2" customFormat="1" ht="14.45" customHeight="1">
      <c r="A481" s="269"/>
      <c r="B481" s="270"/>
      <c r="C481" s="308" t="s">
        <v>661</v>
      </c>
      <c r="D481" s="308" t="s">
        <v>218</v>
      </c>
      <c r="E481" s="309" t="s">
        <v>662</v>
      </c>
      <c r="F481" s="310" t="s">
        <v>663</v>
      </c>
      <c r="G481" s="311" t="s">
        <v>221</v>
      </c>
      <c r="H481" s="312">
        <v>1.44</v>
      </c>
      <c r="I481" s="82">
        <v>0</v>
      </c>
      <c r="J481" s="82">
        <f>ROUND(I481*H481,2)</f>
        <v>0</v>
      </c>
      <c r="K481" s="310" t="s">
        <v>222</v>
      </c>
      <c r="L481" s="24"/>
      <c r="M481" s="83" t="s">
        <v>3</v>
      </c>
      <c r="N481" s="84" t="s">
        <v>39</v>
      </c>
      <c r="O481" s="85">
        <v>11.731</v>
      </c>
      <c r="P481" s="85">
        <f>O481*H481</f>
        <v>16.89264</v>
      </c>
      <c r="Q481" s="85">
        <v>0</v>
      </c>
      <c r="R481" s="85">
        <f>Q481*H481</f>
        <v>0</v>
      </c>
      <c r="S481" s="85">
        <v>2.2000000000000002</v>
      </c>
      <c r="T481" s="86">
        <f>S481*H481</f>
        <v>3.1680000000000001</v>
      </c>
      <c r="U481" s="23"/>
      <c r="V481" s="23"/>
      <c r="W481" s="23"/>
      <c r="X481" s="23"/>
      <c r="Y481" s="23"/>
      <c r="Z481" s="23"/>
      <c r="AA481" s="23"/>
      <c r="AB481" s="23"/>
      <c r="AC481" s="23"/>
      <c r="AD481" s="23"/>
      <c r="AE481" s="23"/>
      <c r="AR481" s="87" t="s">
        <v>223</v>
      </c>
      <c r="AT481" s="87" t="s">
        <v>218</v>
      </c>
      <c r="AU481" s="87" t="s">
        <v>77</v>
      </c>
      <c r="AY481" s="19" t="s">
        <v>216</v>
      </c>
      <c r="BE481" s="88">
        <f>IF(N481="základní",J481,0)</f>
        <v>0</v>
      </c>
      <c r="BF481" s="88">
        <f>IF(N481="snížená",J481,0)</f>
        <v>0</v>
      </c>
      <c r="BG481" s="88">
        <f>IF(N481="zákl. přenesená",J481,0)</f>
        <v>0</v>
      </c>
      <c r="BH481" s="88">
        <f>IF(N481="sníž. přenesená",J481,0)</f>
        <v>0</v>
      </c>
      <c r="BI481" s="88">
        <f>IF(N481="nulová",J481,0)</f>
        <v>0</v>
      </c>
      <c r="BJ481" s="19" t="s">
        <v>75</v>
      </c>
      <c r="BK481" s="88">
        <f>ROUND(I481*H481,2)</f>
        <v>0</v>
      </c>
      <c r="BL481" s="19" t="s">
        <v>223</v>
      </c>
      <c r="BM481" s="87" t="s">
        <v>664</v>
      </c>
    </row>
    <row r="482" spans="1:65" s="13" customFormat="1">
      <c r="A482" s="313"/>
      <c r="B482" s="314"/>
      <c r="C482" s="313"/>
      <c r="D482" s="315" t="s">
        <v>225</v>
      </c>
      <c r="E482" s="316" t="s">
        <v>3</v>
      </c>
      <c r="F482" s="317" t="s">
        <v>241</v>
      </c>
      <c r="G482" s="313"/>
      <c r="H482" s="316" t="s">
        <v>3</v>
      </c>
      <c r="I482" s="259"/>
      <c r="J482" s="259"/>
      <c r="K482" s="313"/>
      <c r="L482" s="89"/>
      <c r="M482" s="91"/>
      <c r="N482" s="92"/>
      <c r="O482" s="92"/>
      <c r="P482" s="92"/>
      <c r="Q482" s="92"/>
      <c r="R482" s="92"/>
      <c r="S482" s="92"/>
      <c r="T482" s="93"/>
      <c r="AT482" s="90" t="s">
        <v>225</v>
      </c>
      <c r="AU482" s="90" t="s">
        <v>77</v>
      </c>
      <c r="AV482" s="13" t="s">
        <v>75</v>
      </c>
      <c r="AW482" s="13" t="s">
        <v>30</v>
      </c>
      <c r="AX482" s="13" t="s">
        <v>68</v>
      </c>
      <c r="AY482" s="90" t="s">
        <v>216</v>
      </c>
    </row>
    <row r="483" spans="1:65" s="13" customFormat="1">
      <c r="A483" s="313"/>
      <c r="B483" s="314"/>
      <c r="C483" s="313"/>
      <c r="D483" s="315" t="s">
        <v>225</v>
      </c>
      <c r="E483" s="316" t="s">
        <v>3</v>
      </c>
      <c r="F483" s="317" t="s">
        <v>550</v>
      </c>
      <c r="G483" s="313"/>
      <c r="H483" s="316" t="s">
        <v>3</v>
      </c>
      <c r="I483" s="259"/>
      <c r="J483" s="259"/>
      <c r="K483" s="313"/>
      <c r="L483" s="89"/>
      <c r="M483" s="91"/>
      <c r="N483" s="92"/>
      <c r="O483" s="92"/>
      <c r="P483" s="92"/>
      <c r="Q483" s="92"/>
      <c r="R483" s="92"/>
      <c r="S483" s="92"/>
      <c r="T483" s="93"/>
      <c r="AT483" s="90" t="s">
        <v>225</v>
      </c>
      <c r="AU483" s="90" t="s">
        <v>77</v>
      </c>
      <c r="AV483" s="13" t="s">
        <v>75</v>
      </c>
      <c r="AW483" s="13" t="s">
        <v>30</v>
      </c>
      <c r="AX483" s="13" t="s">
        <v>68</v>
      </c>
      <c r="AY483" s="90" t="s">
        <v>216</v>
      </c>
    </row>
    <row r="484" spans="1:65" s="14" customFormat="1">
      <c r="A484" s="318"/>
      <c r="B484" s="319"/>
      <c r="C484" s="318"/>
      <c r="D484" s="315" t="s">
        <v>225</v>
      </c>
      <c r="E484" s="320" t="s">
        <v>3</v>
      </c>
      <c r="F484" s="321" t="s">
        <v>665</v>
      </c>
      <c r="G484" s="318"/>
      <c r="H484" s="322">
        <v>1.44</v>
      </c>
      <c r="I484" s="260"/>
      <c r="J484" s="260"/>
      <c r="K484" s="318"/>
      <c r="L484" s="94"/>
      <c r="M484" s="96"/>
      <c r="N484" s="97"/>
      <c r="O484" s="97"/>
      <c r="P484" s="97"/>
      <c r="Q484" s="97"/>
      <c r="R484" s="97"/>
      <c r="S484" s="97"/>
      <c r="T484" s="98"/>
      <c r="AT484" s="95" t="s">
        <v>225</v>
      </c>
      <c r="AU484" s="95" t="s">
        <v>77</v>
      </c>
      <c r="AV484" s="14" t="s">
        <v>77</v>
      </c>
      <c r="AW484" s="14" t="s">
        <v>30</v>
      </c>
      <c r="AX484" s="14" t="s">
        <v>75</v>
      </c>
      <c r="AY484" s="95" t="s">
        <v>216</v>
      </c>
    </row>
    <row r="485" spans="1:65" s="2" customFormat="1" ht="21.6" customHeight="1">
      <c r="A485" s="269"/>
      <c r="B485" s="270"/>
      <c r="C485" s="308" t="s">
        <v>666</v>
      </c>
      <c r="D485" s="308" t="s">
        <v>218</v>
      </c>
      <c r="E485" s="309" t="s">
        <v>667</v>
      </c>
      <c r="F485" s="310" t="s">
        <v>668</v>
      </c>
      <c r="G485" s="311" t="s">
        <v>221</v>
      </c>
      <c r="H485" s="312">
        <v>1.44</v>
      </c>
      <c r="I485" s="82">
        <v>0</v>
      </c>
      <c r="J485" s="82">
        <f>ROUND(I485*H485,2)</f>
        <v>0</v>
      </c>
      <c r="K485" s="310" t="s">
        <v>222</v>
      </c>
      <c r="L485" s="24"/>
      <c r="M485" s="83" t="s">
        <v>3</v>
      </c>
      <c r="N485" s="84" t="s">
        <v>39</v>
      </c>
      <c r="O485" s="85">
        <v>4.0289999999999999</v>
      </c>
      <c r="P485" s="85">
        <f>O485*H485</f>
        <v>5.8017599999999998</v>
      </c>
      <c r="Q485" s="85">
        <v>0</v>
      </c>
      <c r="R485" s="85">
        <f>Q485*H485</f>
        <v>0</v>
      </c>
      <c r="S485" s="85">
        <v>2.9000000000000001E-2</v>
      </c>
      <c r="T485" s="86">
        <f>S485*H485</f>
        <v>4.1759999999999999E-2</v>
      </c>
      <c r="U485" s="23"/>
      <c r="V485" s="23"/>
      <c r="W485" s="23"/>
      <c r="X485" s="23"/>
      <c r="Y485" s="23"/>
      <c r="Z485" s="23"/>
      <c r="AA485" s="23"/>
      <c r="AB485" s="23"/>
      <c r="AC485" s="23"/>
      <c r="AD485" s="23"/>
      <c r="AE485" s="23"/>
      <c r="AR485" s="87" t="s">
        <v>223</v>
      </c>
      <c r="AT485" s="87" t="s">
        <v>218</v>
      </c>
      <c r="AU485" s="87" t="s">
        <v>77</v>
      </c>
      <c r="AY485" s="19" t="s">
        <v>216</v>
      </c>
      <c r="BE485" s="88">
        <f>IF(N485="základní",J485,0)</f>
        <v>0</v>
      </c>
      <c r="BF485" s="88">
        <f>IF(N485="snížená",J485,0)</f>
        <v>0</v>
      </c>
      <c r="BG485" s="88">
        <f>IF(N485="zákl. přenesená",J485,0)</f>
        <v>0</v>
      </c>
      <c r="BH485" s="88">
        <f>IF(N485="sníž. přenesená",J485,0)</f>
        <v>0</v>
      </c>
      <c r="BI485" s="88">
        <f>IF(N485="nulová",J485,0)</f>
        <v>0</v>
      </c>
      <c r="BJ485" s="19" t="s">
        <v>75</v>
      </c>
      <c r="BK485" s="88">
        <f>ROUND(I485*H485,2)</f>
        <v>0</v>
      </c>
      <c r="BL485" s="19" t="s">
        <v>223</v>
      </c>
      <c r="BM485" s="87" t="s">
        <v>669</v>
      </c>
    </row>
    <row r="486" spans="1:65" s="2" customFormat="1" ht="21.6" customHeight="1">
      <c r="A486" s="269"/>
      <c r="B486" s="270"/>
      <c r="C486" s="308" t="s">
        <v>670</v>
      </c>
      <c r="D486" s="308" t="s">
        <v>218</v>
      </c>
      <c r="E486" s="309" t="s">
        <v>671</v>
      </c>
      <c r="F486" s="310" t="s">
        <v>672</v>
      </c>
      <c r="G486" s="311" t="s">
        <v>286</v>
      </c>
      <c r="H486" s="312">
        <v>20.882000000000001</v>
      </c>
      <c r="I486" s="82">
        <v>0</v>
      </c>
      <c r="J486" s="82">
        <f>ROUND(I486*H486,2)</f>
        <v>0</v>
      </c>
      <c r="K486" s="310" t="s">
        <v>222</v>
      </c>
      <c r="L486" s="24"/>
      <c r="M486" s="83" t="s">
        <v>3</v>
      </c>
      <c r="N486" s="84" t="s">
        <v>39</v>
      </c>
      <c r="O486" s="85">
        <v>0.93899999999999995</v>
      </c>
      <c r="P486" s="85">
        <f>O486*H486</f>
        <v>19.608198000000002</v>
      </c>
      <c r="Q486" s="85">
        <v>0</v>
      </c>
      <c r="R486" s="85">
        <f>Q486*H486</f>
        <v>0</v>
      </c>
      <c r="S486" s="85">
        <v>7.5999999999999998E-2</v>
      </c>
      <c r="T486" s="86">
        <f>S486*H486</f>
        <v>1.587032</v>
      </c>
      <c r="U486" s="23"/>
      <c r="V486" s="23"/>
      <c r="W486" s="23"/>
      <c r="X486" s="23"/>
      <c r="Y486" s="23"/>
      <c r="Z486" s="23"/>
      <c r="AA486" s="23"/>
      <c r="AB486" s="23"/>
      <c r="AC486" s="23"/>
      <c r="AD486" s="23"/>
      <c r="AE486" s="23"/>
      <c r="AR486" s="87" t="s">
        <v>223</v>
      </c>
      <c r="AT486" s="87" t="s">
        <v>218</v>
      </c>
      <c r="AU486" s="87" t="s">
        <v>77</v>
      </c>
      <c r="AY486" s="19" t="s">
        <v>216</v>
      </c>
      <c r="BE486" s="88">
        <f>IF(N486="základní",J486,0)</f>
        <v>0</v>
      </c>
      <c r="BF486" s="88">
        <f>IF(N486="snížená",J486,0)</f>
        <v>0</v>
      </c>
      <c r="BG486" s="88">
        <f>IF(N486="zákl. přenesená",J486,0)</f>
        <v>0</v>
      </c>
      <c r="BH486" s="88">
        <f>IF(N486="sníž. přenesená",J486,0)</f>
        <v>0</v>
      </c>
      <c r="BI486" s="88">
        <f>IF(N486="nulová",J486,0)</f>
        <v>0</v>
      </c>
      <c r="BJ486" s="19" t="s">
        <v>75</v>
      </c>
      <c r="BK486" s="88">
        <f>ROUND(I486*H486,2)</f>
        <v>0</v>
      </c>
      <c r="BL486" s="19" t="s">
        <v>223</v>
      </c>
      <c r="BM486" s="87" t="s">
        <v>673</v>
      </c>
    </row>
    <row r="487" spans="1:65" s="2" customFormat="1" ht="39">
      <c r="A487" s="269"/>
      <c r="B487" s="270"/>
      <c r="C487" s="269"/>
      <c r="D487" s="315" t="s">
        <v>231</v>
      </c>
      <c r="E487" s="269"/>
      <c r="F487" s="323" t="s">
        <v>674</v>
      </c>
      <c r="G487" s="269"/>
      <c r="H487" s="269"/>
      <c r="I487" s="248"/>
      <c r="J487" s="248"/>
      <c r="K487" s="269"/>
      <c r="L487" s="24"/>
      <c r="M487" s="99"/>
      <c r="N487" s="100"/>
      <c r="O487" s="32"/>
      <c r="P487" s="32"/>
      <c r="Q487" s="32"/>
      <c r="R487" s="32"/>
      <c r="S487" s="32"/>
      <c r="T487" s="33"/>
      <c r="U487" s="23"/>
      <c r="V487" s="23"/>
      <c r="W487" s="23"/>
      <c r="X487" s="23"/>
      <c r="Y487" s="23"/>
      <c r="Z487" s="23"/>
      <c r="AA487" s="23"/>
      <c r="AB487" s="23"/>
      <c r="AC487" s="23"/>
      <c r="AD487" s="23"/>
      <c r="AE487" s="23"/>
      <c r="AT487" s="19" t="s">
        <v>231</v>
      </c>
      <c r="AU487" s="19" t="s">
        <v>77</v>
      </c>
    </row>
    <row r="488" spans="1:65" s="13" customFormat="1">
      <c r="A488" s="313"/>
      <c r="B488" s="314"/>
      <c r="C488" s="313"/>
      <c r="D488" s="315" t="s">
        <v>225</v>
      </c>
      <c r="E488" s="316" t="s">
        <v>3</v>
      </c>
      <c r="F488" s="317" t="s">
        <v>241</v>
      </c>
      <c r="G488" s="313"/>
      <c r="H488" s="316" t="s">
        <v>3</v>
      </c>
      <c r="I488" s="259"/>
      <c r="J488" s="259"/>
      <c r="K488" s="313"/>
      <c r="L488" s="89"/>
      <c r="M488" s="91"/>
      <c r="N488" s="92"/>
      <c r="O488" s="92"/>
      <c r="P488" s="92"/>
      <c r="Q488" s="92"/>
      <c r="R488" s="92"/>
      <c r="S488" s="92"/>
      <c r="T488" s="93"/>
      <c r="AT488" s="90" t="s">
        <v>225</v>
      </c>
      <c r="AU488" s="90" t="s">
        <v>77</v>
      </c>
      <c r="AV488" s="13" t="s">
        <v>75</v>
      </c>
      <c r="AW488" s="13" t="s">
        <v>30</v>
      </c>
      <c r="AX488" s="13" t="s">
        <v>68</v>
      </c>
      <c r="AY488" s="90" t="s">
        <v>216</v>
      </c>
    </row>
    <row r="489" spans="1:65" s="13" customFormat="1">
      <c r="A489" s="313"/>
      <c r="B489" s="314"/>
      <c r="C489" s="313"/>
      <c r="D489" s="315" t="s">
        <v>225</v>
      </c>
      <c r="E489" s="316" t="s">
        <v>3</v>
      </c>
      <c r="F489" s="317" t="s">
        <v>675</v>
      </c>
      <c r="G489" s="313"/>
      <c r="H489" s="316" t="s">
        <v>3</v>
      </c>
      <c r="I489" s="259"/>
      <c r="J489" s="259"/>
      <c r="K489" s="313"/>
      <c r="L489" s="89"/>
      <c r="M489" s="91"/>
      <c r="N489" s="92"/>
      <c r="O489" s="92"/>
      <c r="P489" s="92"/>
      <c r="Q489" s="92"/>
      <c r="R489" s="92"/>
      <c r="S489" s="92"/>
      <c r="T489" s="93"/>
      <c r="AT489" s="90" t="s">
        <v>225</v>
      </c>
      <c r="AU489" s="90" t="s">
        <v>77</v>
      </c>
      <c r="AV489" s="13" t="s">
        <v>75</v>
      </c>
      <c r="AW489" s="13" t="s">
        <v>30</v>
      </c>
      <c r="AX489" s="13" t="s">
        <v>68</v>
      </c>
      <c r="AY489" s="90" t="s">
        <v>216</v>
      </c>
    </row>
    <row r="490" spans="1:65" s="14" customFormat="1">
      <c r="A490" s="318"/>
      <c r="B490" s="319"/>
      <c r="C490" s="318"/>
      <c r="D490" s="315" t="s">
        <v>225</v>
      </c>
      <c r="E490" s="320" t="s">
        <v>3</v>
      </c>
      <c r="F490" s="321" t="s">
        <v>676</v>
      </c>
      <c r="G490" s="318"/>
      <c r="H490" s="322">
        <v>17.335999999999999</v>
      </c>
      <c r="I490" s="260"/>
      <c r="J490" s="260"/>
      <c r="K490" s="318"/>
      <c r="L490" s="94"/>
      <c r="M490" s="96"/>
      <c r="N490" s="97"/>
      <c r="O490" s="97"/>
      <c r="P490" s="97"/>
      <c r="Q490" s="97"/>
      <c r="R490" s="97"/>
      <c r="S490" s="97"/>
      <c r="T490" s="98"/>
      <c r="AT490" s="95" t="s">
        <v>225</v>
      </c>
      <c r="AU490" s="95" t="s">
        <v>77</v>
      </c>
      <c r="AV490" s="14" t="s">
        <v>77</v>
      </c>
      <c r="AW490" s="14" t="s">
        <v>30</v>
      </c>
      <c r="AX490" s="14" t="s">
        <v>68</v>
      </c>
      <c r="AY490" s="95" t="s">
        <v>216</v>
      </c>
    </row>
    <row r="491" spans="1:65" s="14" customFormat="1">
      <c r="A491" s="318"/>
      <c r="B491" s="319"/>
      <c r="C491" s="318"/>
      <c r="D491" s="315" t="s">
        <v>225</v>
      </c>
      <c r="E491" s="320" t="s">
        <v>3</v>
      </c>
      <c r="F491" s="321" t="s">
        <v>677</v>
      </c>
      <c r="G491" s="318"/>
      <c r="H491" s="322">
        <v>3.5459999999999998</v>
      </c>
      <c r="I491" s="260"/>
      <c r="J491" s="260"/>
      <c r="K491" s="318"/>
      <c r="L491" s="94"/>
      <c r="M491" s="96"/>
      <c r="N491" s="97"/>
      <c r="O491" s="97"/>
      <c r="P491" s="97"/>
      <c r="Q491" s="97"/>
      <c r="R491" s="97"/>
      <c r="S491" s="97"/>
      <c r="T491" s="98"/>
      <c r="AT491" s="95" t="s">
        <v>225</v>
      </c>
      <c r="AU491" s="95" t="s">
        <v>77</v>
      </c>
      <c r="AV491" s="14" t="s">
        <v>77</v>
      </c>
      <c r="AW491" s="14" t="s">
        <v>30</v>
      </c>
      <c r="AX491" s="14" t="s">
        <v>68</v>
      </c>
      <c r="AY491" s="95" t="s">
        <v>216</v>
      </c>
    </row>
    <row r="492" spans="1:65" s="16" customFormat="1">
      <c r="A492" s="329"/>
      <c r="B492" s="330"/>
      <c r="C492" s="329"/>
      <c r="D492" s="315" t="s">
        <v>225</v>
      </c>
      <c r="E492" s="331" t="s">
        <v>3</v>
      </c>
      <c r="F492" s="332" t="s">
        <v>254</v>
      </c>
      <c r="G492" s="329"/>
      <c r="H492" s="333">
        <v>20.882000000000001</v>
      </c>
      <c r="I492" s="262"/>
      <c r="J492" s="262"/>
      <c r="K492" s="329"/>
      <c r="L492" s="106"/>
      <c r="M492" s="108"/>
      <c r="N492" s="109"/>
      <c r="O492" s="109"/>
      <c r="P492" s="109"/>
      <c r="Q492" s="109"/>
      <c r="R492" s="109"/>
      <c r="S492" s="109"/>
      <c r="T492" s="110"/>
      <c r="AT492" s="107" t="s">
        <v>225</v>
      </c>
      <c r="AU492" s="107" t="s">
        <v>77</v>
      </c>
      <c r="AV492" s="16" t="s">
        <v>223</v>
      </c>
      <c r="AW492" s="16" t="s">
        <v>30</v>
      </c>
      <c r="AX492" s="16" t="s">
        <v>75</v>
      </c>
      <c r="AY492" s="107" t="s">
        <v>216</v>
      </c>
    </row>
    <row r="493" spans="1:65" s="2" customFormat="1" ht="14.45" customHeight="1">
      <c r="A493" s="269"/>
      <c r="B493" s="270"/>
      <c r="C493" s="308" t="s">
        <v>678</v>
      </c>
      <c r="D493" s="308" t="s">
        <v>218</v>
      </c>
      <c r="E493" s="309" t="s">
        <v>679</v>
      </c>
      <c r="F493" s="310" t="s">
        <v>680</v>
      </c>
      <c r="G493" s="311" t="s">
        <v>291</v>
      </c>
      <c r="H493" s="312">
        <v>2</v>
      </c>
      <c r="I493" s="82">
        <v>0</v>
      </c>
      <c r="J493" s="82">
        <f>ROUND(I493*H493,2)</f>
        <v>0</v>
      </c>
      <c r="K493" s="310" t="s">
        <v>3</v>
      </c>
      <c r="L493" s="24"/>
      <c r="M493" s="83" t="s">
        <v>3</v>
      </c>
      <c r="N493" s="84" t="s">
        <v>39</v>
      </c>
      <c r="O493" s="85">
        <v>0.93899999999999995</v>
      </c>
      <c r="P493" s="85">
        <f>O493*H493</f>
        <v>1.8779999999999999</v>
      </c>
      <c r="Q493" s="85">
        <v>0</v>
      </c>
      <c r="R493" s="85">
        <f>Q493*H493</f>
        <v>0</v>
      </c>
      <c r="S493" s="85">
        <v>7.5999999999999998E-2</v>
      </c>
      <c r="T493" s="86">
        <f>S493*H493</f>
        <v>0.152</v>
      </c>
      <c r="U493" s="23"/>
      <c r="V493" s="23"/>
      <c r="W493" s="23"/>
      <c r="X493" s="23"/>
      <c r="Y493" s="23"/>
      <c r="Z493" s="23"/>
      <c r="AA493" s="23"/>
      <c r="AB493" s="23"/>
      <c r="AC493" s="23"/>
      <c r="AD493" s="23"/>
      <c r="AE493" s="23"/>
      <c r="AR493" s="87" t="s">
        <v>223</v>
      </c>
      <c r="AT493" s="87" t="s">
        <v>218</v>
      </c>
      <c r="AU493" s="87" t="s">
        <v>77</v>
      </c>
      <c r="AY493" s="19" t="s">
        <v>216</v>
      </c>
      <c r="BE493" s="88">
        <f>IF(N493="základní",J493,0)</f>
        <v>0</v>
      </c>
      <c r="BF493" s="88">
        <f>IF(N493="snížená",J493,0)</f>
        <v>0</v>
      </c>
      <c r="BG493" s="88">
        <f>IF(N493="zákl. přenesená",J493,0)</f>
        <v>0</v>
      </c>
      <c r="BH493" s="88">
        <f>IF(N493="sníž. přenesená",J493,0)</f>
        <v>0</v>
      </c>
      <c r="BI493" s="88">
        <f>IF(N493="nulová",J493,0)</f>
        <v>0</v>
      </c>
      <c r="BJ493" s="19" t="s">
        <v>75</v>
      </c>
      <c r="BK493" s="88">
        <f>ROUND(I493*H493,2)</f>
        <v>0</v>
      </c>
      <c r="BL493" s="19" t="s">
        <v>223</v>
      </c>
      <c r="BM493" s="87" t="s">
        <v>681</v>
      </c>
    </row>
    <row r="494" spans="1:65" s="2" customFormat="1" ht="39">
      <c r="A494" s="269"/>
      <c r="B494" s="270"/>
      <c r="C494" s="269"/>
      <c r="D494" s="315" t="s">
        <v>231</v>
      </c>
      <c r="E494" s="269"/>
      <c r="F494" s="323" t="s">
        <v>674</v>
      </c>
      <c r="G494" s="269"/>
      <c r="H494" s="269"/>
      <c r="I494" s="248"/>
      <c r="J494" s="248"/>
      <c r="K494" s="269"/>
      <c r="L494" s="24"/>
      <c r="M494" s="99"/>
      <c r="N494" s="100"/>
      <c r="O494" s="32"/>
      <c r="P494" s="32"/>
      <c r="Q494" s="32"/>
      <c r="R494" s="32"/>
      <c r="S494" s="32"/>
      <c r="T494" s="33"/>
      <c r="U494" s="23"/>
      <c r="V494" s="23"/>
      <c r="W494" s="23"/>
      <c r="X494" s="23"/>
      <c r="Y494" s="23"/>
      <c r="Z494" s="23"/>
      <c r="AA494" s="23"/>
      <c r="AB494" s="23"/>
      <c r="AC494" s="23"/>
      <c r="AD494" s="23"/>
      <c r="AE494" s="23"/>
      <c r="AT494" s="19" t="s">
        <v>231</v>
      </c>
      <c r="AU494" s="19" t="s">
        <v>77</v>
      </c>
    </row>
    <row r="495" spans="1:65" s="13" customFormat="1">
      <c r="A495" s="313"/>
      <c r="B495" s="314"/>
      <c r="C495" s="313"/>
      <c r="D495" s="315" t="s">
        <v>225</v>
      </c>
      <c r="E495" s="316" t="s">
        <v>3</v>
      </c>
      <c r="F495" s="317" t="s">
        <v>241</v>
      </c>
      <c r="G495" s="313"/>
      <c r="H495" s="316" t="s">
        <v>3</v>
      </c>
      <c r="I495" s="259"/>
      <c r="J495" s="259"/>
      <c r="K495" s="313"/>
      <c r="L495" s="89"/>
      <c r="M495" s="91"/>
      <c r="N495" s="92"/>
      <c r="O495" s="92"/>
      <c r="P495" s="92"/>
      <c r="Q495" s="92"/>
      <c r="R495" s="92"/>
      <c r="S495" s="92"/>
      <c r="T495" s="93"/>
      <c r="AT495" s="90" t="s">
        <v>225</v>
      </c>
      <c r="AU495" s="90" t="s">
        <v>77</v>
      </c>
      <c r="AV495" s="13" t="s">
        <v>75</v>
      </c>
      <c r="AW495" s="13" t="s">
        <v>30</v>
      </c>
      <c r="AX495" s="13" t="s">
        <v>68</v>
      </c>
      <c r="AY495" s="90" t="s">
        <v>216</v>
      </c>
    </row>
    <row r="496" spans="1:65" s="13" customFormat="1">
      <c r="A496" s="313"/>
      <c r="B496" s="314"/>
      <c r="C496" s="313"/>
      <c r="D496" s="315" t="s">
        <v>225</v>
      </c>
      <c r="E496" s="316" t="s">
        <v>3</v>
      </c>
      <c r="F496" s="317" t="s">
        <v>682</v>
      </c>
      <c r="G496" s="313"/>
      <c r="H496" s="316" t="s">
        <v>3</v>
      </c>
      <c r="I496" s="259"/>
      <c r="J496" s="259"/>
      <c r="K496" s="313"/>
      <c r="L496" s="89"/>
      <c r="M496" s="91"/>
      <c r="N496" s="92"/>
      <c r="O496" s="92"/>
      <c r="P496" s="92"/>
      <c r="Q496" s="92"/>
      <c r="R496" s="92"/>
      <c r="S496" s="92"/>
      <c r="T496" s="93"/>
      <c r="AT496" s="90" t="s">
        <v>225</v>
      </c>
      <c r="AU496" s="90" t="s">
        <v>77</v>
      </c>
      <c r="AV496" s="13" t="s">
        <v>75</v>
      </c>
      <c r="AW496" s="13" t="s">
        <v>30</v>
      </c>
      <c r="AX496" s="13" t="s">
        <v>68</v>
      </c>
      <c r="AY496" s="90" t="s">
        <v>216</v>
      </c>
    </row>
    <row r="497" spans="1:65" s="14" customFormat="1">
      <c r="A497" s="318"/>
      <c r="B497" s="319"/>
      <c r="C497" s="318"/>
      <c r="D497" s="315" t="s">
        <v>225</v>
      </c>
      <c r="E497" s="320" t="s">
        <v>3</v>
      </c>
      <c r="F497" s="321" t="s">
        <v>77</v>
      </c>
      <c r="G497" s="318"/>
      <c r="H497" s="322">
        <v>2</v>
      </c>
      <c r="I497" s="260"/>
      <c r="J497" s="260"/>
      <c r="K497" s="318"/>
      <c r="L497" s="94"/>
      <c r="M497" s="96"/>
      <c r="N497" s="97"/>
      <c r="O497" s="97"/>
      <c r="P497" s="97"/>
      <c r="Q497" s="97"/>
      <c r="R497" s="97"/>
      <c r="S497" s="97"/>
      <c r="T497" s="98"/>
      <c r="AT497" s="95" t="s">
        <v>225</v>
      </c>
      <c r="AU497" s="95" t="s">
        <v>77</v>
      </c>
      <c r="AV497" s="14" t="s">
        <v>77</v>
      </c>
      <c r="AW497" s="14" t="s">
        <v>30</v>
      </c>
      <c r="AX497" s="14" t="s">
        <v>75</v>
      </c>
      <c r="AY497" s="95" t="s">
        <v>216</v>
      </c>
    </row>
    <row r="498" spans="1:65" s="2" customFormat="1" ht="32.450000000000003" customHeight="1">
      <c r="A498" s="269"/>
      <c r="B498" s="270"/>
      <c r="C498" s="308" t="s">
        <v>683</v>
      </c>
      <c r="D498" s="308" t="s">
        <v>218</v>
      </c>
      <c r="E498" s="309" t="s">
        <v>684</v>
      </c>
      <c r="F498" s="310" t="s">
        <v>685</v>
      </c>
      <c r="G498" s="311" t="s">
        <v>291</v>
      </c>
      <c r="H498" s="312">
        <v>2</v>
      </c>
      <c r="I498" s="82">
        <v>0</v>
      </c>
      <c r="J498" s="82">
        <f>ROUND(I498*H498,2)</f>
        <v>0</v>
      </c>
      <c r="K498" s="310" t="s">
        <v>222</v>
      </c>
      <c r="L498" s="24"/>
      <c r="M498" s="83" t="s">
        <v>3</v>
      </c>
      <c r="N498" s="84" t="s">
        <v>39</v>
      </c>
      <c r="O498" s="85">
        <v>1.611</v>
      </c>
      <c r="P498" s="85">
        <f>O498*H498</f>
        <v>3.222</v>
      </c>
      <c r="Q498" s="85">
        <v>0</v>
      </c>
      <c r="R498" s="85">
        <f>Q498*H498</f>
        <v>0</v>
      </c>
      <c r="S498" s="85">
        <v>0.124</v>
      </c>
      <c r="T498" s="86">
        <f>S498*H498</f>
        <v>0.248</v>
      </c>
      <c r="U498" s="23"/>
      <c r="V498" s="23"/>
      <c r="W498" s="23"/>
      <c r="X498" s="23"/>
      <c r="Y498" s="23"/>
      <c r="Z498" s="23"/>
      <c r="AA498" s="23"/>
      <c r="AB498" s="23"/>
      <c r="AC498" s="23"/>
      <c r="AD498" s="23"/>
      <c r="AE498" s="23"/>
      <c r="AR498" s="87" t="s">
        <v>223</v>
      </c>
      <c r="AT498" s="87" t="s">
        <v>218</v>
      </c>
      <c r="AU498" s="87" t="s">
        <v>77</v>
      </c>
      <c r="AY498" s="19" t="s">
        <v>216</v>
      </c>
      <c r="BE498" s="88">
        <f>IF(N498="základní",J498,0)</f>
        <v>0</v>
      </c>
      <c r="BF498" s="88">
        <f>IF(N498="snížená",J498,0)</f>
        <v>0</v>
      </c>
      <c r="BG498" s="88">
        <f>IF(N498="zákl. přenesená",J498,0)</f>
        <v>0</v>
      </c>
      <c r="BH498" s="88">
        <f>IF(N498="sníž. přenesená",J498,0)</f>
        <v>0</v>
      </c>
      <c r="BI498" s="88">
        <f>IF(N498="nulová",J498,0)</f>
        <v>0</v>
      </c>
      <c r="BJ498" s="19" t="s">
        <v>75</v>
      </c>
      <c r="BK498" s="88">
        <f>ROUND(I498*H498,2)</f>
        <v>0</v>
      </c>
      <c r="BL498" s="19" t="s">
        <v>223</v>
      </c>
      <c r="BM498" s="87" t="s">
        <v>686</v>
      </c>
    </row>
    <row r="499" spans="1:65" s="13" customFormat="1">
      <c r="A499" s="313"/>
      <c r="B499" s="314"/>
      <c r="C499" s="313"/>
      <c r="D499" s="315" t="s">
        <v>225</v>
      </c>
      <c r="E499" s="316" t="s">
        <v>3</v>
      </c>
      <c r="F499" s="317" t="s">
        <v>241</v>
      </c>
      <c r="G499" s="313"/>
      <c r="H499" s="316" t="s">
        <v>3</v>
      </c>
      <c r="I499" s="259"/>
      <c r="J499" s="259"/>
      <c r="K499" s="313"/>
      <c r="L499" s="89"/>
      <c r="M499" s="91"/>
      <c r="N499" s="92"/>
      <c r="O499" s="92"/>
      <c r="P499" s="92"/>
      <c r="Q499" s="92"/>
      <c r="R499" s="92"/>
      <c r="S499" s="92"/>
      <c r="T499" s="93"/>
      <c r="AT499" s="90" t="s">
        <v>225</v>
      </c>
      <c r="AU499" s="90" t="s">
        <v>77</v>
      </c>
      <c r="AV499" s="13" t="s">
        <v>75</v>
      </c>
      <c r="AW499" s="13" t="s">
        <v>30</v>
      </c>
      <c r="AX499" s="13" t="s">
        <v>68</v>
      </c>
      <c r="AY499" s="90" t="s">
        <v>216</v>
      </c>
    </row>
    <row r="500" spans="1:65" s="13" customFormat="1">
      <c r="A500" s="313"/>
      <c r="B500" s="314"/>
      <c r="C500" s="313"/>
      <c r="D500" s="315" t="s">
        <v>225</v>
      </c>
      <c r="E500" s="316" t="s">
        <v>3</v>
      </c>
      <c r="F500" s="317" t="s">
        <v>687</v>
      </c>
      <c r="G500" s="313"/>
      <c r="H500" s="316" t="s">
        <v>3</v>
      </c>
      <c r="I500" s="259"/>
      <c r="J500" s="259"/>
      <c r="K500" s="313"/>
      <c r="L500" s="89"/>
      <c r="M500" s="91"/>
      <c r="N500" s="92"/>
      <c r="O500" s="92"/>
      <c r="P500" s="92"/>
      <c r="Q500" s="92"/>
      <c r="R500" s="92"/>
      <c r="S500" s="92"/>
      <c r="T500" s="93"/>
      <c r="AT500" s="90" t="s">
        <v>225</v>
      </c>
      <c r="AU500" s="90" t="s">
        <v>77</v>
      </c>
      <c r="AV500" s="13" t="s">
        <v>75</v>
      </c>
      <c r="AW500" s="13" t="s">
        <v>30</v>
      </c>
      <c r="AX500" s="13" t="s">
        <v>68</v>
      </c>
      <c r="AY500" s="90" t="s">
        <v>216</v>
      </c>
    </row>
    <row r="501" spans="1:65" s="14" customFormat="1">
      <c r="A501" s="318"/>
      <c r="B501" s="319"/>
      <c r="C501" s="318"/>
      <c r="D501" s="315" t="s">
        <v>225</v>
      </c>
      <c r="E501" s="320" t="s">
        <v>3</v>
      </c>
      <c r="F501" s="321" t="s">
        <v>77</v>
      </c>
      <c r="G501" s="318"/>
      <c r="H501" s="322">
        <v>2</v>
      </c>
      <c r="I501" s="260"/>
      <c r="J501" s="260"/>
      <c r="K501" s="318"/>
      <c r="L501" s="94"/>
      <c r="M501" s="96"/>
      <c r="N501" s="97"/>
      <c r="O501" s="97"/>
      <c r="P501" s="97"/>
      <c r="Q501" s="97"/>
      <c r="R501" s="97"/>
      <c r="S501" s="97"/>
      <c r="T501" s="98"/>
      <c r="AT501" s="95" t="s">
        <v>225</v>
      </c>
      <c r="AU501" s="95" t="s">
        <v>77</v>
      </c>
      <c r="AV501" s="14" t="s">
        <v>77</v>
      </c>
      <c r="AW501" s="14" t="s">
        <v>30</v>
      </c>
      <c r="AX501" s="14" t="s">
        <v>75</v>
      </c>
      <c r="AY501" s="95" t="s">
        <v>216</v>
      </c>
    </row>
    <row r="502" spans="1:65" s="2" customFormat="1" ht="32.450000000000003" customHeight="1">
      <c r="A502" s="269"/>
      <c r="B502" s="270"/>
      <c r="C502" s="308" t="s">
        <v>688</v>
      </c>
      <c r="D502" s="308" t="s">
        <v>218</v>
      </c>
      <c r="E502" s="309" t="s">
        <v>689</v>
      </c>
      <c r="F502" s="310" t="s">
        <v>690</v>
      </c>
      <c r="G502" s="311" t="s">
        <v>291</v>
      </c>
      <c r="H502" s="312">
        <v>2</v>
      </c>
      <c r="I502" s="82">
        <v>0</v>
      </c>
      <c r="J502" s="82">
        <f>ROUND(I502*H502,2)</f>
        <v>0</v>
      </c>
      <c r="K502" s="310" t="s">
        <v>222</v>
      </c>
      <c r="L502" s="24"/>
      <c r="M502" s="83" t="s">
        <v>3</v>
      </c>
      <c r="N502" s="84" t="s">
        <v>39</v>
      </c>
      <c r="O502" s="85">
        <v>2.3079999999999998</v>
      </c>
      <c r="P502" s="85">
        <f>O502*H502</f>
        <v>4.6159999999999997</v>
      </c>
      <c r="Q502" s="85">
        <v>0</v>
      </c>
      <c r="R502" s="85">
        <f>Q502*H502</f>
        <v>0</v>
      </c>
      <c r="S502" s="85">
        <v>0.14899999999999999</v>
      </c>
      <c r="T502" s="86">
        <f>S502*H502</f>
        <v>0.29799999999999999</v>
      </c>
      <c r="U502" s="23"/>
      <c r="V502" s="23"/>
      <c r="W502" s="23"/>
      <c r="X502" s="23"/>
      <c r="Y502" s="23"/>
      <c r="Z502" s="23"/>
      <c r="AA502" s="23"/>
      <c r="AB502" s="23"/>
      <c r="AC502" s="23"/>
      <c r="AD502" s="23"/>
      <c r="AE502" s="23"/>
      <c r="AR502" s="87" t="s">
        <v>223</v>
      </c>
      <c r="AT502" s="87" t="s">
        <v>218</v>
      </c>
      <c r="AU502" s="87" t="s">
        <v>77</v>
      </c>
      <c r="AY502" s="19" t="s">
        <v>216</v>
      </c>
      <c r="BE502" s="88">
        <f>IF(N502="základní",J502,0)</f>
        <v>0</v>
      </c>
      <c r="BF502" s="88">
        <f>IF(N502="snížená",J502,0)</f>
        <v>0</v>
      </c>
      <c r="BG502" s="88">
        <f>IF(N502="zákl. přenesená",J502,0)</f>
        <v>0</v>
      </c>
      <c r="BH502" s="88">
        <f>IF(N502="sníž. přenesená",J502,0)</f>
        <v>0</v>
      </c>
      <c r="BI502" s="88">
        <f>IF(N502="nulová",J502,0)</f>
        <v>0</v>
      </c>
      <c r="BJ502" s="19" t="s">
        <v>75</v>
      </c>
      <c r="BK502" s="88">
        <f>ROUND(I502*H502,2)</f>
        <v>0</v>
      </c>
      <c r="BL502" s="19" t="s">
        <v>223</v>
      </c>
      <c r="BM502" s="87" t="s">
        <v>691</v>
      </c>
    </row>
    <row r="503" spans="1:65" s="13" customFormat="1">
      <c r="A503" s="313"/>
      <c r="B503" s="314"/>
      <c r="C503" s="313"/>
      <c r="D503" s="315" t="s">
        <v>225</v>
      </c>
      <c r="E503" s="316" t="s">
        <v>3</v>
      </c>
      <c r="F503" s="317" t="s">
        <v>241</v>
      </c>
      <c r="G503" s="313"/>
      <c r="H503" s="316" t="s">
        <v>3</v>
      </c>
      <c r="I503" s="259"/>
      <c r="J503" s="259"/>
      <c r="K503" s="313"/>
      <c r="L503" s="89"/>
      <c r="M503" s="91"/>
      <c r="N503" s="92"/>
      <c r="O503" s="92"/>
      <c r="P503" s="92"/>
      <c r="Q503" s="92"/>
      <c r="R503" s="92"/>
      <c r="S503" s="92"/>
      <c r="T503" s="93"/>
      <c r="AT503" s="90" t="s">
        <v>225</v>
      </c>
      <c r="AU503" s="90" t="s">
        <v>77</v>
      </c>
      <c r="AV503" s="13" t="s">
        <v>75</v>
      </c>
      <c r="AW503" s="13" t="s">
        <v>30</v>
      </c>
      <c r="AX503" s="13" t="s">
        <v>68</v>
      </c>
      <c r="AY503" s="90" t="s">
        <v>216</v>
      </c>
    </row>
    <row r="504" spans="1:65" s="13" customFormat="1">
      <c r="A504" s="313"/>
      <c r="B504" s="314"/>
      <c r="C504" s="313"/>
      <c r="D504" s="315" t="s">
        <v>225</v>
      </c>
      <c r="E504" s="316" t="s">
        <v>3</v>
      </c>
      <c r="F504" s="317" t="s">
        <v>687</v>
      </c>
      <c r="G504" s="313"/>
      <c r="H504" s="316" t="s">
        <v>3</v>
      </c>
      <c r="I504" s="259"/>
      <c r="J504" s="259"/>
      <c r="K504" s="313"/>
      <c r="L504" s="89"/>
      <c r="M504" s="91"/>
      <c r="N504" s="92"/>
      <c r="O504" s="92"/>
      <c r="P504" s="92"/>
      <c r="Q504" s="92"/>
      <c r="R504" s="92"/>
      <c r="S504" s="92"/>
      <c r="T504" s="93"/>
      <c r="AT504" s="90" t="s">
        <v>225</v>
      </c>
      <c r="AU504" s="90" t="s">
        <v>77</v>
      </c>
      <c r="AV504" s="13" t="s">
        <v>75</v>
      </c>
      <c r="AW504" s="13" t="s">
        <v>30</v>
      </c>
      <c r="AX504" s="13" t="s">
        <v>68</v>
      </c>
      <c r="AY504" s="90" t="s">
        <v>216</v>
      </c>
    </row>
    <row r="505" spans="1:65" s="14" customFormat="1">
      <c r="A505" s="318"/>
      <c r="B505" s="319"/>
      <c r="C505" s="318"/>
      <c r="D505" s="315" t="s">
        <v>225</v>
      </c>
      <c r="E505" s="320" t="s">
        <v>3</v>
      </c>
      <c r="F505" s="321" t="s">
        <v>692</v>
      </c>
      <c r="G505" s="318"/>
      <c r="H505" s="322">
        <v>2</v>
      </c>
      <c r="I505" s="260"/>
      <c r="J505" s="260"/>
      <c r="K505" s="318"/>
      <c r="L505" s="94"/>
      <c r="M505" s="96"/>
      <c r="N505" s="97"/>
      <c r="O505" s="97"/>
      <c r="P505" s="97"/>
      <c r="Q505" s="97"/>
      <c r="R505" s="97"/>
      <c r="S505" s="97"/>
      <c r="T505" s="98"/>
      <c r="AT505" s="95" t="s">
        <v>225</v>
      </c>
      <c r="AU505" s="95" t="s">
        <v>77</v>
      </c>
      <c r="AV505" s="14" t="s">
        <v>77</v>
      </c>
      <c r="AW505" s="14" t="s">
        <v>30</v>
      </c>
      <c r="AX505" s="14" t="s">
        <v>75</v>
      </c>
      <c r="AY505" s="95" t="s">
        <v>216</v>
      </c>
    </row>
    <row r="506" spans="1:65" s="2" customFormat="1" ht="32.450000000000003" customHeight="1">
      <c r="A506" s="269"/>
      <c r="B506" s="270"/>
      <c r="C506" s="308" t="s">
        <v>693</v>
      </c>
      <c r="D506" s="308" t="s">
        <v>218</v>
      </c>
      <c r="E506" s="309" t="s">
        <v>694</v>
      </c>
      <c r="F506" s="310" t="s">
        <v>695</v>
      </c>
      <c r="G506" s="311" t="s">
        <v>291</v>
      </c>
      <c r="H506" s="312">
        <v>3</v>
      </c>
      <c r="I506" s="82">
        <v>0</v>
      </c>
      <c r="J506" s="82">
        <f>ROUND(I506*H506,2)</f>
        <v>0</v>
      </c>
      <c r="K506" s="310" t="s">
        <v>222</v>
      </c>
      <c r="L506" s="24"/>
      <c r="M506" s="83" t="s">
        <v>3</v>
      </c>
      <c r="N506" s="84" t="s">
        <v>39</v>
      </c>
      <c r="O506" s="85">
        <v>2.4159999999999999</v>
      </c>
      <c r="P506" s="85">
        <f>O506*H506</f>
        <v>7.2479999999999993</v>
      </c>
      <c r="Q506" s="85">
        <v>0</v>
      </c>
      <c r="R506" s="85">
        <f>Q506*H506</f>
        <v>0</v>
      </c>
      <c r="S506" s="85">
        <v>0.34399999999999997</v>
      </c>
      <c r="T506" s="86">
        <f>S506*H506</f>
        <v>1.032</v>
      </c>
      <c r="U506" s="23"/>
      <c r="V506" s="23"/>
      <c r="W506" s="23"/>
      <c r="X506" s="23"/>
      <c r="Y506" s="23"/>
      <c r="Z506" s="23"/>
      <c r="AA506" s="23"/>
      <c r="AB506" s="23"/>
      <c r="AC506" s="23"/>
      <c r="AD506" s="23"/>
      <c r="AE506" s="23"/>
      <c r="AR506" s="87" t="s">
        <v>223</v>
      </c>
      <c r="AT506" s="87" t="s">
        <v>218</v>
      </c>
      <c r="AU506" s="87" t="s">
        <v>77</v>
      </c>
      <c r="AY506" s="19" t="s">
        <v>216</v>
      </c>
      <c r="BE506" s="88">
        <f>IF(N506="základní",J506,0)</f>
        <v>0</v>
      </c>
      <c r="BF506" s="88">
        <f>IF(N506="snížená",J506,0)</f>
        <v>0</v>
      </c>
      <c r="BG506" s="88">
        <f>IF(N506="zákl. přenesená",J506,0)</f>
        <v>0</v>
      </c>
      <c r="BH506" s="88">
        <f>IF(N506="sníž. přenesená",J506,0)</f>
        <v>0</v>
      </c>
      <c r="BI506" s="88">
        <f>IF(N506="nulová",J506,0)</f>
        <v>0</v>
      </c>
      <c r="BJ506" s="19" t="s">
        <v>75</v>
      </c>
      <c r="BK506" s="88">
        <f>ROUND(I506*H506,2)</f>
        <v>0</v>
      </c>
      <c r="BL506" s="19" t="s">
        <v>223</v>
      </c>
      <c r="BM506" s="87" t="s">
        <v>696</v>
      </c>
    </row>
    <row r="507" spans="1:65" s="13" customFormat="1">
      <c r="A507" s="313"/>
      <c r="B507" s="314"/>
      <c r="C507" s="313"/>
      <c r="D507" s="315" t="s">
        <v>225</v>
      </c>
      <c r="E507" s="316" t="s">
        <v>3</v>
      </c>
      <c r="F507" s="317" t="s">
        <v>241</v>
      </c>
      <c r="G507" s="313"/>
      <c r="H507" s="316" t="s">
        <v>3</v>
      </c>
      <c r="I507" s="259"/>
      <c r="J507" s="259"/>
      <c r="K507" s="313"/>
      <c r="L507" s="89"/>
      <c r="M507" s="91"/>
      <c r="N507" s="92"/>
      <c r="O507" s="92"/>
      <c r="P507" s="92"/>
      <c r="Q507" s="92"/>
      <c r="R507" s="92"/>
      <c r="S507" s="92"/>
      <c r="T507" s="93"/>
      <c r="AT507" s="90" t="s">
        <v>225</v>
      </c>
      <c r="AU507" s="90" t="s">
        <v>77</v>
      </c>
      <c r="AV507" s="13" t="s">
        <v>75</v>
      </c>
      <c r="AW507" s="13" t="s">
        <v>30</v>
      </c>
      <c r="AX507" s="13" t="s">
        <v>68</v>
      </c>
      <c r="AY507" s="90" t="s">
        <v>216</v>
      </c>
    </row>
    <row r="508" spans="1:65" s="13" customFormat="1">
      <c r="A508" s="313"/>
      <c r="B508" s="314"/>
      <c r="C508" s="313"/>
      <c r="D508" s="315" t="s">
        <v>225</v>
      </c>
      <c r="E508" s="316" t="s">
        <v>3</v>
      </c>
      <c r="F508" s="317" t="s">
        <v>687</v>
      </c>
      <c r="G508" s="313"/>
      <c r="H508" s="316" t="s">
        <v>3</v>
      </c>
      <c r="I508" s="259"/>
      <c r="J508" s="259"/>
      <c r="K508" s="313"/>
      <c r="L508" s="89"/>
      <c r="M508" s="91"/>
      <c r="N508" s="92"/>
      <c r="O508" s="92"/>
      <c r="P508" s="92"/>
      <c r="Q508" s="92"/>
      <c r="R508" s="92"/>
      <c r="S508" s="92"/>
      <c r="T508" s="93"/>
      <c r="AT508" s="90" t="s">
        <v>225</v>
      </c>
      <c r="AU508" s="90" t="s">
        <v>77</v>
      </c>
      <c r="AV508" s="13" t="s">
        <v>75</v>
      </c>
      <c r="AW508" s="13" t="s">
        <v>30</v>
      </c>
      <c r="AX508" s="13" t="s">
        <v>68</v>
      </c>
      <c r="AY508" s="90" t="s">
        <v>216</v>
      </c>
    </row>
    <row r="509" spans="1:65" s="14" customFormat="1">
      <c r="A509" s="318"/>
      <c r="B509" s="319"/>
      <c r="C509" s="318"/>
      <c r="D509" s="315" t="s">
        <v>225</v>
      </c>
      <c r="E509" s="320" t="s">
        <v>3</v>
      </c>
      <c r="F509" s="321" t="s">
        <v>100</v>
      </c>
      <c r="G509" s="318"/>
      <c r="H509" s="322">
        <v>3</v>
      </c>
      <c r="I509" s="260"/>
      <c r="J509" s="260"/>
      <c r="K509" s="318"/>
      <c r="L509" s="94"/>
      <c r="M509" s="96"/>
      <c r="N509" s="97"/>
      <c r="O509" s="97"/>
      <c r="P509" s="97"/>
      <c r="Q509" s="97"/>
      <c r="R509" s="97"/>
      <c r="S509" s="97"/>
      <c r="T509" s="98"/>
      <c r="AT509" s="95" t="s">
        <v>225</v>
      </c>
      <c r="AU509" s="95" t="s">
        <v>77</v>
      </c>
      <c r="AV509" s="14" t="s">
        <v>77</v>
      </c>
      <c r="AW509" s="14" t="s">
        <v>30</v>
      </c>
      <c r="AX509" s="14" t="s">
        <v>75</v>
      </c>
      <c r="AY509" s="95" t="s">
        <v>216</v>
      </c>
    </row>
    <row r="510" spans="1:65" s="2" customFormat="1" ht="32.450000000000003" customHeight="1">
      <c r="A510" s="269"/>
      <c r="B510" s="270"/>
      <c r="C510" s="308" t="s">
        <v>697</v>
      </c>
      <c r="D510" s="308" t="s">
        <v>218</v>
      </c>
      <c r="E510" s="309" t="s">
        <v>698</v>
      </c>
      <c r="F510" s="310" t="s">
        <v>699</v>
      </c>
      <c r="G510" s="311" t="s">
        <v>291</v>
      </c>
      <c r="H510" s="312">
        <v>4</v>
      </c>
      <c r="I510" s="82">
        <v>0</v>
      </c>
      <c r="J510" s="82">
        <f>ROUND(I510*H510,2)</f>
        <v>0</v>
      </c>
      <c r="K510" s="310" t="s">
        <v>222</v>
      </c>
      <c r="L510" s="24"/>
      <c r="M510" s="83" t="s">
        <v>3</v>
      </c>
      <c r="N510" s="84" t="s">
        <v>39</v>
      </c>
      <c r="O510" s="85">
        <v>2.9420000000000002</v>
      </c>
      <c r="P510" s="85">
        <f>O510*H510</f>
        <v>11.768000000000001</v>
      </c>
      <c r="Q510" s="85">
        <v>0</v>
      </c>
      <c r="R510" s="85">
        <f>Q510*H510</f>
        <v>0</v>
      </c>
      <c r="S510" s="85">
        <v>0.41299999999999998</v>
      </c>
      <c r="T510" s="86">
        <f>S510*H510</f>
        <v>1.6519999999999999</v>
      </c>
      <c r="U510" s="23"/>
      <c r="V510" s="23"/>
      <c r="W510" s="23"/>
      <c r="X510" s="23"/>
      <c r="Y510" s="23"/>
      <c r="Z510" s="23"/>
      <c r="AA510" s="23"/>
      <c r="AB510" s="23"/>
      <c r="AC510" s="23"/>
      <c r="AD510" s="23"/>
      <c r="AE510" s="23"/>
      <c r="AR510" s="87" t="s">
        <v>223</v>
      </c>
      <c r="AT510" s="87" t="s">
        <v>218</v>
      </c>
      <c r="AU510" s="87" t="s">
        <v>77</v>
      </c>
      <c r="AY510" s="19" t="s">
        <v>216</v>
      </c>
      <c r="BE510" s="88">
        <f>IF(N510="základní",J510,0)</f>
        <v>0</v>
      </c>
      <c r="BF510" s="88">
        <f>IF(N510="snížená",J510,0)</f>
        <v>0</v>
      </c>
      <c r="BG510" s="88">
        <f>IF(N510="zákl. přenesená",J510,0)</f>
        <v>0</v>
      </c>
      <c r="BH510" s="88">
        <f>IF(N510="sníž. přenesená",J510,0)</f>
        <v>0</v>
      </c>
      <c r="BI510" s="88">
        <f>IF(N510="nulová",J510,0)</f>
        <v>0</v>
      </c>
      <c r="BJ510" s="19" t="s">
        <v>75</v>
      </c>
      <c r="BK510" s="88">
        <f>ROUND(I510*H510,2)</f>
        <v>0</v>
      </c>
      <c r="BL510" s="19" t="s">
        <v>223</v>
      </c>
      <c r="BM510" s="87" t="s">
        <v>700</v>
      </c>
    </row>
    <row r="511" spans="1:65" s="13" customFormat="1">
      <c r="A511" s="313"/>
      <c r="B511" s="314"/>
      <c r="C511" s="313"/>
      <c r="D511" s="315" t="s">
        <v>225</v>
      </c>
      <c r="E511" s="316" t="s">
        <v>3</v>
      </c>
      <c r="F511" s="317" t="s">
        <v>241</v>
      </c>
      <c r="G511" s="313"/>
      <c r="H511" s="316" t="s">
        <v>3</v>
      </c>
      <c r="I511" s="259"/>
      <c r="J511" s="259"/>
      <c r="K511" s="313"/>
      <c r="L511" s="89"/>
      <c r="M511" s="91"/>
      <c r="N511" s="92"/>
      <c r="O511" s="92"/>
      <c r="P511" s="92"/>
      <c r="Q511" s="92"/>
      <c r="R511" s="92"/>
      <c r="S511" s="92"/>
      <c r="T511" s="93"/>
      <c r="AT511" s="90" t="s">
        <v>225</v>
      </c>
      <c r="AU511" s="90" t="s">
        <v>77</v>
      </c>
      <c r="AV511" s="13" t="s">
        <v>75</v>
      </c>
      <c r="AW511" s="13" t="s">
        <v>30</v>
      </c>
      <c r="AX511" s="13" t="s">
        <v>68</v>
      </c>
      <c r="AY511" s="90" t="s">
        <v>216</v>
      </c>
    </row>
    <row r="512" spans="1:65" s="13" customFormat="1">
      <c r="A512" s="313"/>
      <c r="B512" s="314"/>
      <c r="C512" s="313"/>
      <c r="D512" s="315" t="s">
        <v>225</v>
      </c>
      <c r="E512" s="316" t="s">
        <v>3</v>
      </c>
      <c r="F512" s="317" t="s">
        <v>687</v>
      </c>
      <c r="G512" s="313"/>
      <c r="H512" s="316" t="s">
        <v>3</v>
      </c>
      <c r="I512" s="259"/>
      <c r="J512" s="259"/>
      <c r="K512" s="313"/>
      <c r="L512" s="89"/>
      <c r="M512" s="91"/>
      <c r="N512" s="92"/>
      <c r="O512" s="92"/>
      <c r="P512" s="92"/>
      <c r="Q512" s="92"/>
      <c r="R512" s="92"/>
      <c r="S512" s="92"/>
      <c r="T512" s="93"/>
      <c r="AT512" s="90" t="s">
        <v>225</v>
      </c>
      <c r="AU512" s="90" t="s">
        <v>77</v>
      </c>
      <c r="AV512" s="13" t="s">
        <v>75</v>
      </c>
      <c r="AW512" s="13" t="s">
        <v>30</v>
      </c>
      <c r="AX512" s="13" t="s">
        <v>68</v>
      </c>
      <c r="AY512" s="90" t="s">
        <v>216</v>
      </c>
    </row>
    <row r="513" spans="1:65" s="14" customFormat="1">
      <c r="A513" s="318"/>
      <c r="B513" s="319"/>
      <c r="C513" s="318"/>
      <c r="D513" s="315" t="s">
        <v>225</v>
      </c>
      <c r="E513" s="320" t="s">
        <v>3</v>
      </c>
      <c r="F513" s="321" t="s">
        <v>75</v>
      </c>
      <c r="G513" s="318"/>
      <c r="H513" s="322">
        <v>1</v>
      </c>
      <c r="I513" s="260"/>
      <c r="J513" s="260"/>
      <c r="K513" s="318"/>
      <c r="L513" s="94"/>
      <c r="M513" s="96"/>
      <c r="N513" s="97"/>
      <c r="O513" s="97"/>
      <c r="P513" s="97"/>
      <c r="Q513" s="97"/>
      <c r="R513" s="97"/>
      <c r="S513" s="97"/>
      <c r="T513" s="98"/>
      <c r="AT513" s="95" t="s">
        <v>225</v>
      </c>
      <c r="AU513" s="95" t="s">
        <v>77</v>
      </c>
      <c r="AV513" s="14" t="s">
        <v>77</v>
      </c>
      <c r="AW513" s="14" t="s">
        <v>30</v>
      </c>
      <c r="AX513" s="14" t="s">
        <v>68</v>
      </c>
      <c r="AY513" s="95" t="s">
        <v>216</v>
      </c>
    </row>
    <row r="514" spans="1:65" s="14" customFormat="1">
      <c r="A514" s="318"/>
      <c r="B514" s="319"/>
      <c r="C514" s="318"/>
      <c r="D514" s="315" t="s">
        <v>225</v>
      </c>
      <c r="E514" s="320" t="s">
        <v>3</v>
      </c>
      <c r="F514" s="321" t="s">
        <v>75</v>
      </c>
      <c r="G514" s="318"/>
      <c r="H514" s="322">
        <v>1</v>
      </c>
      <c r="I514" s="260"/>
      <c r="J514" s="260"/>
      <c r="K514" s="318"/>
      <c r="L514" s="94"/>
      <c r="M514" s="96"/>
      <c r="N514" s="97"/>
      <c r="O514" s="97"/>
      <c r="P514" s="97"/>
      <c r="Q514" s="97"/>
      <c r="R514" s="97"/>
      <c r="S514" s="97"/>
      <c r="T514" s="98"/>
      <c r="AT514" s="95" t="s">
        <v>225</v>
      </c>
      <c r="AU514" s="95" t="s">
        <v>77</v>
      </c>
      <c r="AV514" s="14" t="s">
        <v>77</v>
      </c>
      <c r="AW514" s="14" t="s">
        <v>30</v>
      </c>
      <c r="AX514" s="14" t="s">
        <v>68</v>
      </c>
      <c r="AY514" s="95" t="s">
        <v>216</v>
      </c>
    </row>
    <row r="515" spans="1:65" s="14" customFormat="1">
      <c r="A515" s="318"/>
      <c r="B515" s="319"/>
      <c r="C515" s="318"/>
      <c r="D515" s="315" t="s">
        <v>225</v>
      </c>
      <c r="E515" s="320" t="s">
        <v>3</v>
      </c>
      <c r="F515" s="321" t="s">
        <v>77</v>
      </c>
      <c r="G515" s="318"/>
      <c r="H515" s="322">
        <v>2</v>
      </c>
      <c r="I515" s="260"/>
      <c r="J515" s="260"/>
      <c r="K515" s="318"/>
      <c r="L515" s="94"/>
      <c r="M515" s="96"/>
      <c r="N515" s="97"/>
      <c r="O515" s="97"/>
      <c r="P515" s="97"/>
      <c r="Q515" s="97"/>
      <c r="R515" s="97"/>
      <c r="S515" s="97"/>
      <c r="T515" s="98"/>
      <c r="AT515" s="95" t="s">
        <v>225</v>
      </c>
      <c r="AU515" s="95" t="s">
        <v>77</v>
      </c>
      <c r="AV515" s="14" t="s">
        <v>77</v>
      </c>
      <c r="AW515" s="14" t="s">
        <v>30</v>
      </c>
      <c r="AX515" s="14" t="s">
        <v>68</v>
      </c>
      <c r="AY515" s="95" t="s">
        <v>216</v>
      </c>
    </row>
    <row r="516" spans="1:65" s="16" customFormat="1">
      <c r="A516" s="329"/>
      <c r="B516" s="330"/>
      <c r="C516" s="329"/>
      <c r="D516" s="315" t="s">
        <v>225</v>
      </c>
      <c r="E516" s="331" t="s">
        <v>3</v>
      </c>
      <c r="F516" s="332" t="s">
        <v>254</v>
      </c>
      <c r="G516" s="329"/>
      <c r="H516" s="333">
        <v>4</v>
      </c>
      <c r="I516" s="262"/>
      <c r="J516" s="262"/>
      <c r="K516" s="329"/>
      <c r="L516" s="106"/>
      <c r="M516" s="108"/>
      <c r="N516" s="109"/>
      <c r="O516" s="109"/>
      <c r="P516" s="109"/>
      <c r="Q516" s="109"/>
      <c r="R516" s="109"/>
      <c r="S516" s="109"/>
      <c r="T516" s="110"/>
      <c r="AT516" s="107" t="s">
        <v>225</v>
      </c>
      <c r="AU516" s="107" t="s">
        <v>77</v>
      </c>
      <c r="AV516" s="16" t="s">
        <v>223</v>
      </c>
      <c r="AW516" s="16" t="s">
        <v>30</v>
      </c>
      <c r="AX516" s="16" t="s">
        <v>75</v>
      </c>
      <c r="AY516" s="107" t="s">
        <v>216</v>
      </c>
    </row>
    <row r="517" spans="1:65" s="2" customFormat="1" ht="21.6" customHeight="1">
      <c r="A517" s="269"/>
      <c r="B517" s="270"/>
      <c r="C517" s="308" t="s">
        <v>701</v>
      </c>
      <c r="D517" s="308" t="s">
        <v>218</v>
      </c>
      <c r="E517" s="309" t="s">
        <v>702</v>
      </c>
      <c r="F517" s="310" t="s">
        <v>703</v>
      </c>
      <c r="G517" s="311" t="s">
        <v>221</v>
      </c>
      <c r="H517" s="312">
        <v>1.0580000000000001</v>
      </c>
      <c r="I517" s="82">
        <v>0</v>
      </c>
      <c r="J517" s="82">
        <f>ROUND(I517*H517,2)</f>
        <v>0</v>
      </c>
      <c r="K517" s="310" t="s">
        <v>222</v>
      </c>
      <c r="L517" s="24"/>
      <c r="M517" s="83" t="s">
        <v>3</v>
      </c>
      <c r="N517" s="84" t="s">
        <v>39</v>
      </c>
      <c r="O517" s="85">
        <v>6.6609999999999996</v>
      </c>
      <c r="P517" s="85">
        <f>O517*H517</f>
        <v>7.0473379999999999</v>
      </c>
      <c r="Q517" s="85">
        <v>0</v>
      </c>
      <c r="R517" s="85">
        <f>Q517*H517</f>
        <v>0</v>
      </c>
      <c r="S517" s="85">
        <v>1.8</v>
      </c>
      <c r="T517" s="86">
        <f>S517*H517</f>
        <v>1.9044000000000001</v>
      </c>
      <c r="U517" s="23"/>
      <c r="V517" s="23"/>
      <c r="W517" s="23"/>
      <c r="X517" s="23"/>
      <c r="Y517" s="23"/>
      <c r="Z517" s="23"/>
      <c r="AA517" s="23"/>
      <c r="AB517" s="23"/>
      <c r="AC517" s="23"/>
      <c r="AD517" s="23"/>
      <c r="AE517" s="23"/>
      <c r="AR517" s="87" t="s">
        <v>223</v>
      </c>
      <c r="AT517" s="87" t="s">
        <v>218</v>
      </c>
      <c r="AU517" s="87" t="s">
        <v>77</v>
      </c>
      <c r="AY517" s="19" t="s">
        <v>216</v>
      </c>
      <c r="BE517" s="88">
        <f>IF(N517="základní",J517,0)</f>
        <v>0</v>
      </c>
      <c r="BF517" s="88">
        <f>IF(N517="snížená",J517,0)</f>
        <v>0</v>
      </c>
      <c r="BG517" s="88">
        <f>IF(N517="zákl. přenesená",J517,0)</f>
        <v>0</v>
      </c>
      <c r="BH517" s="88">
        <f>IF(N517="sníž. přenesená",J517,0)</f>
        <v>0</v>
      </c>
      <c r="BI517" s="88">
        <f>IF(N517="nulová",J517,0)</f>
        <v>0</v>
      </c>
      <c r="BJ517" s="19" t="s">
        <v>75</v>
      </c>
      <c r="BK517" s="88">
        <f>ROUND(I517*H517,2)</f>
        <v>0</v>
      </c>
      <c r="BL517" s="19" t="s">
        <v>223</v>
      </c>
      <c r="BM517" s="87" t="s">
        <v>704</v>
      </c>
    </row>
    <row r="518" spans="1:65" s="13" customFormat="1">
      <c r="A518" s="313"/>
      <c r="B518" s="314"/>
      <c r="C518" s="313"/>
      <c r="D518" s="315" t="s">
        <v>225</v>
      </c>
      <c r="E518" s="316" t="s">
        <v>3</v>
      </c>
      <c r="F518" s="317" t="s">
        <v>241</v>
      </c>
      <c r="G518" s="313"/>
      <c r="H518" s="316" t="s">
        <v>3</v>
      </c>
      <c r="I518" s="259"/>
      <c r="J518" s="259"/>
      <c r="K518" s="313"/>
      <c r="L518" s="89"/>
      <c r="M518" s="91"/>
      <c r="N518" s="92"/>
      <c r="O518" s="92"/>
      <c r="P518" s="92"/>
      <c r="Q518" s="92"/>
      <c r="R518" s="92"/>
      <c r="S518" s="92"/>
      <c r="T518" s="93"/>
      <c r="AT518" s="90" t="s">
        <v>225</v>
      </c>
      <c r="AU518" s="90" t="s">
        <v>77</v>
      </c>
      <c r="AV518" s="13" t="s">
        <v>75</v>
      </c>
      <c r="AW518" s="13" t="s">
        <v>30</v>
      </c>
      <c r="AX518" s="13" t="s">
        <v>68</v>
      </c>
      <c r="AY518" s="90" t="s">
        <v>216</v>
      </c>
    </row>
    <row r="519" spans="1:65" s="13" customFormat="1">
      <c r="A519" s="313"/>
      <c r="B519" s="314"/>
      <c r="C519" s="313"/>
      <c r="D519" s="315" t="s">
        <v>225</v>
      </c>
      <c r="E519" s="316" t="s">
        <v>3</v>
      </c>
      <c r="F519" s="317" t="s">
        <v>687</v>
      </c>
      <c r="G519" s="313"/>
      <c r="H519" s="316" t="s">
        <v>3</v>
      </c>
      <c r="I519" s="259"/>
      <c r="J519" s="259"/>
      <c r="K519" s="313"/>
      <c r="L519" s="89"/>
      <c r="M519" s="91"/>
      <c r="N519" s="92"/>
      <c r="O519" s="92"/>
      <c r="P519" s="92"/>
      <c r="Q519" s="92"/>
      <c r="R519" s="92"/>
      <c r="S519" s="92"/>
      <c r="T519" s="93"/>
      <c r="AT519" s="90" t="s">
        <v>225</v>
      </c>
      <c r="AU519" s="90" t="s">
        <v>77</v>
      </c>
      <c r="AV519" s="13" t="s">
        <v>75</v>
      </c>
      <c r="AW519" s="13" t="s">
        <v>30</v>
      </c>
      <c r="AX519" s="13" t="s">
        <v>68</v>
      </c>
      <c r="AY519" s="90" t="s">
        <v>216</v>
      </c>
    </row>
    <row r="520" spans="1:65" s="14" customFormat="1">
      <c r="A520" s="318"/>
      <c r="B520" s="319"/>
      <c r="C520" s="318"/>
      <c r="D520" s="315" t="s">
        <v>225</v>
      </c>
      <c r="E520" s="320" t="s">
        <v>3</v>
      </c>
      <c r="F520" s="321" t="s">
        <v>705</v>
      </c>
      <c r="G520" s="318"/>
      <c r="H520" s="322">
        <v>0.80300000000000005</v>
      </c>
      <c r="I520" s="260"/>
      <c r="J520" s="260"/>
      <c r="K520" s="318"/>
      <c r="L520" s="94"/>
      <c r="M520" s="96"/>
      <c r="N520" s="97"/>
      <c r="O520" s="97"/>
      <c r="P520" s="97"/>
      <c r="Q520" s="97"/>
      <c r="R520" s="97"/>
      <c r="S520" s="97"/>
      <c r="T520" s="98"/>
      <c r="AT520" s="95" t="s">
        <v>225</v>
      </c>
      <c r="AU520" s="95" t="s">
        <v>77</v>
      </c>
      <c r="AV520" s="14" t="s">
        <v>77</v>
      </c>
      <c r="AW520" s="14" t="s">
        <v>30</v>
      </c>
      <c r="AX520" s="14" t="s">
        <v>68</v>
      </c>
      <c r="AY520" s="95" t="s">
        <v>216</v>
      </c>
    </row>
    <row r="521" spans="1:65" s="14" customFormat="1">
      <c r="A521" s="318"/>
      <c r="B521" s="319"/>
      <c r="C521" s="318"/>
      <c r="D521" s="315" t="s">
        <v>225</v>
      </c>
      <c r="E521" s="320" t="s">
        <v>3</v>
      </c>
      <c r="F521" s="321" t="s">
        <v>706</v>
      </c>
      <c r="G521" s="318"/>
      <c r="H521" s="322">
        <v>0.255</v>
      </c>
      <c r="I521" s="260"/>
      <c r="J521" s="260"/>
      <c r="K521" s="318"/>
      <c r="L521" s="94"/>
      <c r="M521" s="96"/>
      <c r="N521" s="97"/>
      <c r="O521" s="97"/>
      <c r="P521" s="97"/>
      <c r="Q521" s="97"/>
      <c r="R521" s="97"/>
      <c r="S521" s="97"/>
      <c r="T521" s="98"/>
      <c r="AT521" s="95" t="s">
        <v>225</v>
      </c>
      <c r="AU521" s="95" t="s">
        <v>77</v>
      </c>
      <c r="AV521" s="14" t="s">
        <v>77</v>
      </c>
      <c r="AW521" s="14" t="s">
        <v>30</v>
      </c>
      <c r="AX521" s="14" t="s">
        <v>68</v>
      </c>
      <c r="AY521" s="95" t="s">
        <v>216</v>
      </c>
    </row>
    <row r="522" spans="1:65" s="16" customFormat="1">
      <c r="A522" s="329"/>
      <c r="B522" s="330"/>
      <c r="C522" s="329"/>
      <c r="D522" s="315" t="s">
        <v>225</v>
      </c>
      <c r="E522" s="331" t="s">
        <v>3</v>
      </c>
      <c r="F522" s="332" t="s">
        <v>254</v>
      </c>
      <c r="G522" s="329"/>
      <c r="H522" s="333">
        <v>1.0580000000000001</v>
      </c>
      <c r="I522" s="262"/>
      <c r="J522" s="262"/>
      <c r="K522" s="329"/>
      <c r="L522" s="106"/>
      <c r="M522" s="108"/>
      <c r="N522" s="109"/>
      <c r="O522" s="109"/>
      <c r="P522" s="109"/>
      <c r="Q522" s="109"/>
      <c r="R522" s="109"/>
      <c r="S522" s="109"/>
      <c r="T522" s="110"/>
      <c r="AT522" s="107" t="s">
        <v>225</v>
      </c>
      <c r="AU522" s="107" t="s">
        <v>77</v>
      </c>
      <c r="AV522" s="16" t="s">
        <v>223</v>
      </c>
      <c r="AW522" s="16" t="s">
        <v>30</v>
      </c>
      <c r="AX522" s="16" t="s">
        <v>75</v>
      </c>
      <c r="AY522" s="107" t="s">
        <v>216</v>
      </c>
    </row>
    <row r="523" spans="1:65" s="2" customFormat="1" ht="21.6" customHeight="1">
      <c r="A523" s="269"/>
      <c r="B523" s="270"/>
      <c r="C523" s="308" t="s">
        <v>707</v>
      </c>
      <c r="D523" s="308" t="s">
        <v>218</v>
      </c>
      <c r="E523" s="309" t="s">
        <v>708</v>
      </c>
      <c r="F523" s="310" t="s">
        <v>709</v>
      </c>
      <c r="G523" s="311" t="s">
        <v>221</v>
      </c>
      <c r="H523" s="312">
        <v>2.2559999999999998</v>
      </c>
      <c r="I523" s="82">
        <v>0</v>
      </c>
      <c r="J523" s="82">
        <f>ROUND(I523*H523,2)</f>
        <v>0</v>
      </c>
      <c r="K523" s="310" t="s">
        <v>222</v>
      </c>
      <c r="L523" s="24"/>
      <c r="M523" s="83" t="s">
        <v>3</v>
      </c>
      <c r="N523" s="84" t="s">
        <v>39</v>
      </c>
      <c r="O523" s="85">
        <v>7.2510000000000003</v>
      </c>
      <c r="P523" s="85">
        <f>O523*H523</f>
        <v>16.358256000000001</v>
      </c>
      <c r="Q523" s="85">
        <v>0</v>
      </c>
      <c r="R523" s="85">
        <f>Q523*H523</f>
        <v>0</v>
      </c>
      <c r="S523" s="85">
        <v>1.8</v>
      </c>
      <c r="T523" s="86">
        <f>S523*H523</f>
        <v>4.0607999999999995</v>
      </c>
      <c r="U523" s="23"/>
      <c r="V523" s="23"/>
      <c r="W523" s="23"/>
      <c r="X523" s="23"/>
      <c r="Y523" s="23"/>
      <c r="Z523" s="23"/>
      <c r="AA523" s="23"/>
      <c r="AB523" s="23"/>
      <c r="AC523" s="23"/>
      <c r="AD523" s="23"/>
      <c r="AE523" s="23"/>
      <c r="AR523" s="87" t="s">
        <v>223</v>
      </c>
      <c r="AT523" s="87" t="s">
        <v>218</v>
      </c>
      <c r="AU523" s="87" t="s">
        <v>77</v>
      </c>
      <c r="AY523" s="19" t="s">
        <v>216</v>
      </c>
      <c r="BE523" s="88">
        <f>IF(N523="základní",J523,0)</f>
        <v>0</v>
      </c>
      <c r="BF523" s="88">
        <f>IF(N523="snížená",J523,0)</f>
        <v>0</v>
      </c>
      <c r="BG523" s="88">
        <f>IF(N523="zákl. přenesená",J523,0)</f>
        <v>0</v>
      </c>
      <c r="BH523" s="88">
        <f>IF(N523="sníž. přenesená",J523,0)</f>
        <v>0</v>
      </c>
      <c r="BI523" s="88">
        <f>IF(N523="nulová",J523,0)</f>
        <v>0</v>
      </c>
      <c r="BJ523" s="19" t="s">
        <v>75</v>
      </c>
      <c r="BK523" s="88">
        <f>ROUND(I523*H523,2)</f>
        <v>0</v>
      </c>
      <c r="BL523" s="19" t="s">
        <v>223</v>
      </c>
      <c r="BM523" s="87" t="s">
        <v>710</v>
      </c>
    </row>
    <row r="524" spans="1:65" s="13" customFormat="1">
      <c r="A524" s="313"/>
      <c r="B524" s="314"/>
      <c r="C524" s="313"/>
      <c r="D524" s="315" t="s">
        <v>225</v>
      </c>
      <c r="E524" s="316" t="s">
        <v>3</v>
      </c>
      <c r="F524" s="317" t="s">
        <v>241</v>
      </c>
      <c r="G524" s="313"/>
      <c r="H524" s="316" t="s">
        <v>3</v>
      </c>
      <c r="I524" s="259"/>
      <c r="J524" s="259"/>
      <c r="K524" s="313"/>
      <c r="L524" s="89"/>
      <c r="M524" s="91"/>
      <c r="N524" s="92"/>
      <c r="O524" s="92"/>
      <c r="P524" s="92"/>
      <c r="Q524" s="92"/>
      <c r="R524" s="92"/>
      <c r="S524" s="92"/>
      <c r="T524" s="93"/>
      <c r="AT524" s="90" t="s">
        <v>225</v>
      </c>
      <c r="AU524" s="90" t="s">
        <v>77</v>
      </c>
      <c r="AV524" s="13" t="s">
        <v>75</v>
      </c>
      <c r="AW524" s="13" t="s">
        <v>30</v>
      </c>
      <c r="AX524" s="13" t="s">
        <v>68</v>
      </c>
      <c r="AY524" s="90" t="s">
        <v>216</v>
      </c>
    </row>
    <row r="525" spans="1:65" s="13" customFormat="1">
      <c r="A525" s="313"/>
      <c r="B525" s="314"/>
      <c r="C525" s="313"/>
      <c r="D525" s="315" t="s">
        <v>225</v>
      </c>
      <c r="E525" s="316" t="s">
        <v>3</v>
      </c>
      <c r="F525" s="317" t="s">
        <v>687</v>
      </c>
      <c r="G525" s="313"/>
      <c r="H525" s="316" t="s">
        <v>3</v>
      </c>
      <c r="I525" s="259"/>
      <c r="J525" s="259"/>
      <c r="K525" s="313"/>
      <c r="L525" s="89"/>
      <c r="M525" s="91"/>
      <c r="N525" s="92"/>
      <c r="O525" s="92"/>
      <c r="P525" s="92"/>
      <c r="Q525" s="92"/>
      <c r="R525" s="92"/>
      <c r="S525" s="92"/>
      <c r="T525" s="93"/>
      <c r="AT525" s="90" t="s">
        <v>225</v>
      </c>
      <c r="AU525" s="90" t="s">
        <v>77</v>
      </c>
      <c r="AV525" s="13" t="s">
        <v>75</v>
      </c>
      <c r="AW525" s="13" t="s">
        <v>30</v>
      </c>
      <c r="AX525" s="13" t="s">
        <v>68</v>
      </c>
      <c r="AY525" s="90" t="s">
        <v>216</v>
      </c>
    </row>
    <row r="526" spans="1:65" s="14" customFormat="1">
      <c r="A526" s="318"/>
      <c r="B526" s="319"/>
      <c r="C526" s="318"/>
      <c r="D526" s="315" t="s">
        <v>225</v>
      </c>
      <c r="E526" s="320" t="s">
        <v>3</v>
      </c>
      <c r="F526" s="321" t="s">
        <v>711</v>
      </c>
      <c r="G526" s="318"/>
      <c r="H526" s="322">
        <v>0.252</v>
      </c>
      <c r="I526" s="260"/>
      <c r="J526" s="260"/>
      <c r="K526" s="318"/>
      <c r="L526" s="94"/>
      <c r="M526" s="96"/>
      <c r="N526" s="97"/>
      <c r="O526" s="97"/>
      <c r="P526" s="97"/>
      <c r="Q526" s="97"/>
      <c r="R526" s="97"/>
      <c r="S526" s="97"/>
      <c r="T526" s="98"/>
      <c r="AT526" s="95" t="s">
        <v>225</v>
      </c>
      <c r="AU526" s="95" t="s">
        <v>77</v>
      </c>
      <c r="AV526" s="14" t="s">
        <v>77</v>
      </c>
      <c r="AW526" s="14" t="s">
        <v>30</v>
      </c>
      <c r="AX526" s="14" t="s">
        <v>68</v>
      </c>
      <c r="AY526" s="95" t="s">
        <v>216</v>
      </c>
    </row>
    <row r="527" spans="1:65" s="14" customFormat="1">
      <c r="A527" s="318"/>
      <c r="B527" s="319"/>
      <c r="C527" s="318"/>
      <c r="D527" s="315" t="s">
        <v>225</v>
      </c>
      <c r="E527" s="320" t="s">
        <v>3</v>
      </c>
      <c r="F527" s="321" t="s">
        <v>712</v>
      </c>
      <c r="G527" s="318"/>
      <c r="H527" s="322">
        <v>0.20399999999999999</v>
      </c>
      <c r="I527" s="260"/>
      <c r="J527" s="260"/>
      <c r="K527" s="318"/>
      <c r="L527" s="94"/>
      <c r="M527" s="96"/>
      <c r="N527" s="97"/>
      <c r="O527" s="97"/>
      <c r="P527" s="97"/>
      <c r="Q527" s="97"/>
      <c r="R527" s="97"/>
      <c r="S527" s="97"/>
      <c r="T527" s="98"/>
      <c r="AT527" s="95" t="s">
        <v>225</v>
      </c>
      <c r="AU527" s="95" t="s">
        <v>77</v>
      </c>
      <c r="AV527" s="14" t="s">
        <v>77</v>
      </c>
      <c r="AW527" s="14" t="s">
        <v>30</v>
      </c>
      <c r="AX527" s="14" t="s">
        <v>68</v>
      </c>
      <c r="AY527" s="95" t="s">
        <v>216</v>
      </c>
    </row>
    <row r="528" spans="1:65" s="13" customFormat="1">
      <c r="A528" s="313"/>
      <c r="B528" s="314"/>
      <c r="C528" s="313"/>
      <c r="D528" s="315" t="s">
        <v>225</v>
      </c>
      <c r="E528" s="316" t="s">
        <v>3</v>
      </c>
      <c r="F528" s="317" t="s">
        <v>713</v>
      </c>
      <c r="G528" s="313"/>
      <c r="H528" s="316" t="s">
        <v>3</v>
      </c>
      <c r="I528" s="259"/>
      <c r="J528" s="259"/>
      <c r="K528" s="313"/>
      <c r="L528" s="89"/>
      <c r="M528" s="91"/>
      <c r="N528" s="92"/>
      <c r="O528" s="92"/>
      <c r="P528" s="92"/>
      <c r="Q528" s="92"/>
      <c r="R528" s="92"/>
      <c r="S528" s="92"/>
      <c r="T528" s="93"/>
      <c r="AT528" s="90" t="s">
        <v>225</v>
      </c>
      <c r="AU528" s="90" t="s">
        <v>77</v>
      </c>
      <c r="AV528" s="13" t="s">
        <v>75</v>
      </c>
      <c r="AW528" s="13" t="s">
        <v>30</v>
      </c>
      <c r="AX528" s="13" t="s">
        <v>68</v>
      </c>
      <c r="AY528" s="90" t="s">
        <v>216</v>
      </c>
    </row>
    <row r="529" spans="1:65" s="14" customFormat="1">
      <c r="A529" s="318"/>
      <c r="B529" s="319"/>
      <c r="C529" s="318"/>
      <c r="D529" s="315" t="s">
        <v>225</v>
      </c>
      <c r="E529" s="320" t="s">
        <v>3</v>
      </c>
      <c r="F529" s="321" t="s">
        <v>714</v>
      </c>
      <c r="G529" s="318"/>
      <c r="H529" s="322">
        <v>0.72899999999999998</v>
      </c>
      <c r="I529" s="260"/>
      <c r="J529" s="260"/>
      <c r="K529" s="318"/>
      <c r="L529" s="94"/>
      <c r="M529" s="96"/>
      <c r="N529" s="97"/>
      <c r="O529" s="97"/>
      <c r="P529" s="97"/>
      <c r="Q529" s="97"/>
      <c r="R529" s="97"/>
      <c r="S529" s="97"/>
      <c r="T529" s="98"/>
      <c r="AT529" s="95" t="s">
        <v>225</v>
      </c>
      <c r="AU529" s="95" t="s">
        <v>77</v>
      </c>
      <c r="AV529" s="14" t="s">
        <v>77</v>
      </c>
      <c r="AW529" s="14" t="s">
        <v>30</v>
      </c>
      <c r="AX529" s="14" t="s">
        <v>68</v>
      </c>
      <c r="AY529" s="95" t="s">
        <v>216</v>
      </c>
    </row>
    <row r="530" spans="1:65" s="14" customFormat="1">
      <c r="A530" s="318"/>
      <c r="B530" s="319"/>
      <c r="C530" s="318"/>
      <c r="D530" s="315" t="s">
        <v>225</v>
      </c>
      <c r="E530" s="320" t="s">
        <v>3</v>
      </c>
      <c r="F530" s="321" t="s">
        <v>715</v>
      </c>
      <c r="G530" s="318"/>
      <c r="H530" s="322">
        <v>1.071</v>
      </c>
      <c r="I530" s="260"/>
      <c r="J530" s="260"/>
      <c r="K530" s="318"/>
      <c r="L530" s="94"/>
      <c r="M530" s="96"/>
      <c r="N530" s="97"/>
      <c r="O530" s="97"/>
      <c r="P530" s="97"/>
      <c r="Q530" s="97"/>
      <c r="R530" s="97"/>
      <c r="S530" s="97"/>
      <c r="T530" s="98"/>
      <c r="AT530" s="95" t="s">
        <v>225</v>
      </c>
      <c r="AU530" s="95" t="s">
        <v>77</v>
      </c>
      <c r="AV530" s="14" t="s">
        <v>77</v>
      </c>
      <c r="AW530" s="14" t="s">
        <v>30</v>
      </c>
      <c r="AX530" s="14" t="s">
        <v>68</v>
      </c>
      <c r="AY530" s="95" t="s">
        <v>216</v>
      </c>
    </row>
    <row r="531" spans="1:65" s="16" customFormat="1">
      <c r="A531" s="329"/>
      <c r="B531" s="330"/>
      <c r="C531" s="329"/>
      <c r="D531" s="315" t="s">
        <v>225</v>
      </c>
      <c r="E531" s="331" t="s">
        <v>3</v>
      </c>
      <c r="F531" s="332" t="s">
        <v>254</v>
      </c>
      <c r="G531" s="329"/>
      <c r="H531" s="333">
        <v>2.2559999999999998</v>
      </c>
      <c r="I531" s="262"/>
      <c r="J531" s="262"/>
      <c r="K531" s="329"/>
      <c r="L531" s="106"/>
      <c r="M531" s="108"/>
      <c r="N531" s="109"/>
      <c r="O531" s="109"/>
      <c r="P531" s="109"/>
      <c r="Q531" s="109"/>
      <c r="R531" s="109"/>
      <c r="S531" s="109"/>
      <c r="T531" s="110"/>
      <c r="AT531" s="107" t="s">
        <v>225</v>
      </c>
      <c r="AU531" s="107" t="s">
        <v>77</v>
      </c>
      <c r="AV531" s="16" t="s">
        <v>223</v>
      </c>
      <c r="AW531" s="16" t="s">
        <v>30</v>
      </c>
      <c r="AX531" s="16" t="s">
        <v>75</v>
      </c>
      <c r="AY531" s="107" t="s">
        <v>216</v>
      </c>
    </row>
    <row r="532" spans="1:65" s="2" customFormat="1" ht="21.6" customHeight="1">
      <c r="A532" s="269"/>
      <c r="B532" s="270"/>
      <c r="C532" s="308" t="s">
        <v>716</v>
      </c>
      <c r="D532" s="308" t="s">
        <v>218</v>
      </c>
      <c r="E532" s="309" t="s">
        <v>717</v>
      </c>
      <c r="F532" s="310" t="s">
        <v>718</v>
      </c>
      <c r="G532" s="311" t="s">
        <v>364</v>
      </c>
      <c r="H532" s="312">
        <v>55</v>
      </c>
      <c r="I532" s="82">
        <v>0</v>
      </c>
      <c r="J532" s="82">
        <f>ROUND(I532*H532,2)</f>
        <v>0</v>
      </c>
      <c r="K532" s="310" t="s">
        <v>222</v>
      </c>
      <c r="L532" s="24"/>
      <c r="M532" s="83" t="s">
        <v>3</v>
      </c>
      <c r="N532" s="84" t="s">
        <v>39</v>
      </c>
      <c r="O532" s="85">
        <v>0.42199999999999999</v>
      </c>
      <c r="P532" s="85">
        <f>O532*H532</f>
        <v>23.21</v>
      </c>
      <c r="Q532" s="85">
        <v>0</v>
      </c>
      <c r="R532" s="85">
        <f>Q532*H532</f>
        <v>0</v>
      </c>
      <c r="S532" s="85">
        <v>2.7E-2</v>
      </c>
      <c r="T532" s="86">
        <f>S532*H532</f>
        <v>1.4849999999999999</v>
      </c>
      <c r="U532" s="23"/>
      <c r="V532" s="23"/>
      <c r="W532" s="23"/>
      <c r="X532" s="23"/>
      <c r="Y532" s="23"/>
      <c r="Z532" s="23"/>
      <c r="AA532" s="23"/>
      <c r="AB532" s="23"/>
      <c r="AC532" s="23"/>
      <c r="AD532" s="23"/>
      <c r="AE532" s="23"/>
      <c r="AR532" s="87" t="s">
        <v>223</v>
      </c>
      <c r="AT532" s="87" t="s">
        <v>218</v>
      </c>
      <c r="AU532" s="87" t="s">
        <v>77</v>
      </c>
      <c r="AY532" s="19" t="s">
        <v>216</v>
      </c>
      <c r="BE532" s="88">
        <f>IF(N532="základní",J532,0)</f>
        <v>0</v>
      </c>
      <c r="BF532" s="88">
        <f>IF(N532="snížená",J532,0)</f>
        <v>0</v>
      </c>
      <c r="BG532" s="88">
        <f>IF(N532="zákl. přenesená",J532,0)</f>
        <v>0</v>
      </c>
      <c r="BH532" s="88">
        <f>IF(N532="sníž. přenesená",J532,0)</f>
        <v>0</v>
      </c>
      <c r="BI532" s="88">
        <f>IF(N532="nulová",J532,0)</f>
        <v>0</v>
      </c>
      <c r="BJ532" s="19" t="s">
        <v>75</v>
      </c>
      <c r="BK532" s="88">
        <f>ROUND(I532*H532,2)</f>
        <v>0</v>
      </c>
      <c r="BL532" s="19" t="s">
        <v>223</v>
      </c>
      <c r="BM532" s="87" t="s">
        <v>719</v>
      </c>
    </row>
    <row r="533" spans="1:65" s="13" customFormat="1">
      <c r="A533" s="313"/>
      <c r="B533" s="314"/>
      <c r="C533" s="313"/>
      <c r="D533" s="315" t="s">
        <v>225</v>
      </c>
      <c r="E533" s="316" t="s">
        <v>3</v>
      </c>
      <c r="F533" s="317" t="s">
        <v>241</v>
      </c>
      <c r="G533" s="313"/>
      <c r="H533" s="316" t="s">
        <v>3</v>
      </c>
      <c r="I533" s="259"/>
      <c r="J533" s="259"/>
      <c r="K533" s="313"/>
      <c r="L533" s="89"/>
      <c r="M533" s="91"/>
      <c r="N533" s="92"/>
      <c r="O533" s="92"/>
      <c r="P533" s="92"/>
      <c r="Q533" s="92"/>
      <c r="R533" s="92"/>
      <c r="S533" s="92"/>
      <c r="T533" s="93"/>
      <c r="AT533" s="90" t="s">
        <v>225</v>
      </c>
      <c r="AU533" s="90" t="s">
        <v>77</v>
      </c>
      <c r="AV533" s="13" t="s">
        <v>75</v>
      </c>
      <c r="AW533" s="13" t="s">
        <v>30</v>
      </c>
      <c r="AX533" s="13" t="s">
        <v>68</v>
      </c>
      <c r="AY533" s="90" t="s">
        <v>216</v>
      </c>
    </row>
    <row r="534" spans="1:65" s="13" customFormat="1">
      <c r="A534" s="313"/>
      <c r="B534" s="314"/>
      <c r="C534" s="313"/>
      <c r="D534" s="315" t="s">
        <v>225</v>
      </c>
      <c r="E534" s="316" t="s">
        <v>3</v>
      </c>
      <c r="F534" s="317" t="s">
        <v>720</v>
      </c>
      <c r="G534" s="313"/>
      <c r="H534" s="316" t="s">
        <v>3</v>
      </c>
      <c r="I534" s="259"/>
      <c r="J534" s="259"/>
      <c r="K534" s="313"/>
      <c r="L534" s="89"/>
      <c r="M534" s="91"/>
      <c r="N534" s="92"/>
      <c r="O534" s="92"/>
      <c r="P534" s="92"/>
      <c r="Q534" s="92"/>
      <c r="R534" s="92"/>
      <c r="S534" s="92"/>
      <c r="T534" s="93"/>
      <c r="AT534" s="90" t="s">
        <v>225</v>
      </c>
      <c r="AU534" s="90" t="s">
        <v>77</v>
      </c>
      <c r="AV534" s="13" t="s">
        <v>75</v>
      </c>
      <c r="AW534" s="13" t="s">
        <v>30</v>
      </c>
      <c r="AX534" s="13" t="s">
        <v>68</v>
      </c>
      <c r="AY534" s="90" t="s">
        <v>216</v>
      </c>
    </row>
    <row r="535" spans="1:65" s="14" customFormat="1">
      <c r="A535" s="318"/>
      <c r="B535" s="319"/>
      <c r="C535" s="318"/>
      <c r="D535" s="315" t="s">
        <v>225</v>
      </c>
      <c r="E535" s="320" t="s">
        <v>3</v>
      </c>
      <c r="F535" s="321" t="s">
        <v>721</v>
      </c>
      <c r="G535" s="318"/>
      <c r="H535" s="322">
        <v>55</v>
      </c>
      <c r="I535" s="260"/>
      <c r="J535" s="260"/>
      <c r="K535" s="318"/>
      <c r="L535" s="94"/>
      <c r="M535" s="96"/>
      <c r="N535" s="97"/>
      <c r="O535" s="97"/>
      <c r="P535" s="97"/>
      <c r="Q535" s="97"/>
      <c r="R535" s="97"/>
      <c r="S535" s="97"/>
      <c r="T535" s="98"/>
      <c r="AT535" s="95" t="s">
        <v>225</v>
      </c>
      <c r="AU535" s="95" t="s">
        <v>77</v>
      </c>
      <c r="AV535" s="14" t="s">
        <v>77</v>
      </c>
      <c r="AW535" s="14" t="s">
        <v>30</v>
      </c>
      <c r="AX535" s="14" t="s">
        <v>75</v>
      </c>
      <c r="AY535" s="95" t="s">
        <v>216</v>
      </c>
    </row>
    <row r="536" spans="1:65" s="2" customFormat="1" ht="21.6" customHeight="1">
      <c r="A536" s="269"/>
      <c r="B536" s="270"/>
      <c r="C536" s="308" t="s">
        <v>722</v>
      </c>
      <c r="D536" s="308" t="s">
        <v>218</v>
      </c>
      <c r="E536" s="309" t="s">
        <v>723</v>
      </c>
      <c r="F536" s="310" t="s">
        <v>724</v>
      </c>
      <c r="G536" s="311" t="s">
        <v>364</v>
      </c>
      <c r="H536" s="312">
        <v>70</v>
      </c>
      <c r="I536" s="82">
        <v>0</v>
      </c>
      <c r="J536" s="82">
        <f>ROUND(I536*H536,2)</f>
        <v>0</v>
      </c>
      <c r="K536" s="310" t="s">
        <v>222</v>
      </c>
      <c r="L536" s="24"/>
      <c r="M536" s="83" t="s">
        <v>3</v>
      </c>
      <c r="N536" s="84" t="s">
        <v>39</v>
      </c>
      <c r="O536" s="85">
        <v>0.72899999999999998</v>
      </c>
      <c r="P536" s="85">
        <f>O536*H536</f>
        <v>51.03</v>
      </c>
      <c r="Q536" s="85">
        <v>0</v>
      </c>
      <c r="R536" s="85">
        <f>Q536*H536</f>
        <v>0</v>
      </c>
      <c r="S536" s="85">
        <v>5.3999999999999999E-2</v>
      </c>
      <c r="T536" s="86">
        <f>S536*H536</f>
        <v>3.78</v>
      </c>
      <c r="U536" s="23"/>
      <c r="V536" s="23"/>
      <c r="W536" s="23"/>
      <c r="X536" s="23"/>
      <c r="Y536" s="23"/>
      <c r="Z536" s="23"/>
      <c r="AA536" s="23"/>
      <c r="AB536" s="23"/>
      <c r="AC536" s="23"/>
      <c r="AD536" s="23"/>
      <c r="AE536" s="23"/>
      <c r="AR536" s="87" t="s">
        <v>223</v>
      </c>
      <c r="AT536" s="87" t="s">
        <v>218</v>
      </c>
      <c r="AU536" s="87" t="s">
        <v>77</v>
      </c>
      <c r="AY536" s="19" t="s">
        <v>216</v>
      </c>
      <c r="BE536" s="88">
        <f>IF(N536="základní",J536,0)</f>
        <v>0</v>
      </c>
      <c r="BF536" s="88">
        <f>IF(N536="snížená",J536,0)</f>
        <v>0</v>
      </c>
      <c r="BG536" s="88">
        <f>IF(N536="zákl. přenesená",J536,0)</f>
        <v>0</v>
      </c>
      <c r="BH536" s="88">
        <f>IF(N536="sníž. přenesená",J536,0)</f>
        <v>0</v>
      </c>
      <c r="BI536" s="88">
        <f>IF(N536="nulová",J536,0)</f>
        <v>0</v>
      </c>
      <c r="BJ536" s="19" t="s">
        <v>75</v>
      </c>
      <c r="BK536" s="88">
        <f>ROUND(I536*H536,2)</f>
        <v>0</v>
      </c>
      <c r="BL536" s="19" t="s">
        <v>223</v>
      </c>
      <c r="BM536" s="87" t="s">
        <v>725</v>
      </c>
    </row>
    <row r="537" spans="1:65" s="13" customFormat="1">
      <c r="A537" s="313"/>
      <c r="B537" s="314"/>
      <c r="C537" s="313"/>
      <c r="D537" s="315" t="s">
        <v>225</v>
      </c>
      <c r="E537" s="316" t="s">
        <v>3</v>
      </c>
      <c r="F537" s="317" t="s">
        <v>241</v>
      </c>
      <c r="G537" s="313"/>
      <c r="H537" s="316" t="s">
        <v>3</v>
      </c>
      <c r="I537" s="259"/>
      <c r="J537" s="259"/>
      <c r="K537" s="313"/>
      <c r="L537" s="89"/>
      <c r="M537" s="91"/>
      <c r="N537" s="92"/>
      <c r="O537" s="92"/>
      <c r="P537" s="92"/>
      <c r="Q537" s="92"/>
      <c r="R537" s="92"/>
      <c r="S537" s="92"/>
      <c r="T537" s="93"/>
      <c r="AT537" s="90" t="s">
        <v>225</v>
      </c>
      <c r="AU537" s="90" t="s">
        <v>77</v>
      </c>
      <c r="AV537" s="13" t="s">
        <v>75</v>
      </c>
      <c r="AW537" s="13" t="s">
        <v>30</v>
      </c>
      <c r="AX537" s="13" t="s">
        <v>68</v>
      </c>
      <c r="AY537" s="90" t="s">
        <v>216</v>
      </c>
    </row>
    <row r="538" spans="1:65" s="13" customFormat="1">
      <c r="A538" s="313"/>
      <c r="B538" s="314"/>
      <c r="C538" s="313"/>
      <c r="D538" s="315" t="s">
        <v>225</v>
      </c>
      <c r="E538" s="316" t="s">
        <v>3</v>
      </c>
      <c r="F538" s="317" t="s">
        <v>720</v>
      </c>
      <c r="G538" s="313"/>
      <c r="H538" s="316" t="s">
        <v>3</v>
      </c>
      <c r="I538" s="259"/>
      <c r="J538" s="259"/>
      <c r="K538" s="313"/>
      <c r="L538" s="89"/>
      <c r="M538" s="91"/>
      <c r="N538" s="92"/>
      <c r="O538" s="92"/>
      <c r="P538" s="92"/>
      <c r="Q538" s="92"/>
      <c r="R538" s="92"/>
      <c r="S538" s="92"/>
      <c r="T538" s="93"/>
      <c r="AT538" s="90" t="s">
        <v>225</v>
      </c>
      <c r="AU538" s="90" t="s">
        <v>77</v>
      </c>
      <c r="AV538" s="13" t="s">
        <v>75</v>
      </c>
      <c r="AW538" s="13" t="s">
        <v>30</v>
      </c>
      <c r="AX538" s="13" t="s">
        <v>68</v>
      </c>
      <c r="AY538" s="90" t="s">
        <v>216</v>
      </c>
    </row>
    <row r="539" spans="1:65" s="14" customFormat="1">
      <c r="A539" s="318"/>
      <c r="B539" s="319"/>
      <c r="C539" s="318"/>
      <c r="D539" s="315" t="s">
        <v>225</v>
      </c>
      <c r="E539" s="320" t="s">
        <v>3</v>
      </c>
      <c r="F539" s="321" t="s">
        <v>726</v>
      </c>
      <c r="G539" s="318"/>
      <c r="H539" s="322">
        <v>70</v>
      </c>
      <c r="I539" s="260"/>
      <c r="J539" s="260"/>
      <c r="K539" s="318"/>
      <c r="L539" s="94"/>
      <c r="M539" s="96"/>
      <c r="N539" s="97"/>
      <c r="O539" s="97"/>
      <c r="P539" s="97"/>
      <c r="Q539" s="97"/>
      <c r="R539" s="97"/>
      <c r="S539" s="97"/>
      <c r="T539" s="98"/>
      <c r="AT539" s="95" t="s">
        <v>225</v>
      </c>
      <c r="AU539" s="95" t="s">
        <v>77</v>
      </c>
      <c r="AV539" s="14" t="s">
        <v>77</v>
      </c>
      <c r="AW539" s="14" t="s">
        <v>30</v>
      </c>
      <c r="AX539" s="14" t="s">
        <v>75</v>
      </c>
      <c r="AY539" s="95" t="s">
        <v>216</v>
      </c>
    </row>
    <row r="540" spans="1:65" s="2" customFormat="1" ht="21.6" customHeight="1">
      <c r="A540" s="269"/>
      <c r="B540" s="270"/>
      <c r="C540" s="308" t="s">
        <v>727</v>
      </c>
      <c r="D540" s="308" t="s">
        <v>218</v>
      </c>
      <c r="E540" s="309" t="s">
        <v>728</v>
      </c>
      <c r="F540" s="310" t="s">
        <v>729</v>
      </c>
      <c r="G540" s="311" t="s">
        <v>364</v>
      </c>
      <c r="H540" s="312">
        <v>45</v>
      </c>
      <c r="I540" s="82">
        <v>0</v>
      </c>
      <c r="J540" s="82">
        <f>ROUND(I540*H540,2)</f>
        <v>0</v>
      </c>
      <c r="K540" s="310" t="s">
        <v>222</v>
      </c>
      <c r="L540" s="24"/>
      <c r="M540" s="83" t="s">
        <v>3</v>
      </c>
      <c r="N540" s="84" t="s">
        <v>39</v>
      </c>
      <c r="O540" s="85">
        <v>0.71499999999999997</v>
      </c>
      <c r="P540" s="85">
        <f>O540*H540</f>
        <v>32.174999999999997</v>
      </c>
      <c r="Q540" s="85">
        <v>0</v>
      </c>
      <c r="R540" s="85">
        <f>Q540*H540</f>
        <v>0</v>
      </c>
      <c r="S540" s="85">
        <v>4.2000000000000003E-2</v>
      </c>
      <c r="T540" s="86">
        <f>S540*H540</f>
        <v>1.8900000000000001</v>
      </c>
      <c r="U540" s="23"/>
      <c r="V540" s="23"/>
      <c r="W540" s="23"/>
      <c r="X540" s="23"/>
      <c r="Y540" s="23"/>
      <c r="Z540" s="23"/>
      <c r="AA540" s="23"/>
      <c r="AB540" s="23"/>
      <c r="AC540" s="23"/>
      <c r="AD540" s="23"/>
      <c r="AE540" s="23"/>
      <c r="AR540" s="87" t="s">
        <v>223</v>
      </c>
      <c r="AT540" s="87" t="s">
        <v>218</v>
      </c>
      <c r="AU540" s="87" t="s">
        <v>77</v>
      </c>
      <c r="AY540" s="19" t="s">
        <v>216</v>
      </c>
      <c r="BE540" s="88">
        <f>IF(N540="základní",J540,0)</f>
        <v>0</v>
      </c>
      <c r="BF540" s="88">
        <f>IF(N540="snížená",J540,0)</f>
        <v>0</v>
      </c>
      <c r="BG540" s="88">
        <f>IF(N540="zákl. přenesená",J540,0)</f>
        <v>0</v>
      </c>
      <c r="BH540" s="88">
        <f>IF(N540="sníž. přenesená",J540,0)</f>
        <v>0</v>
      </c>
      <c r="BI540" s="88">
        <f>IF(N540="nulová",J540,0)</f>
        <v>0</v>
      </c>
      <c r="BJ540" s="19" t="s">
        <v>75</v>
      </c>
      <c r="BK540" s="88">
        <f>ROUND(I540*H540,2)</f>
        <v>0</v>
      </c>
      <c r="BL540" s="19" t="s">
        <v>223</v>
      </c>
      <c r="BM540" s="87" t="s">
        <v>730</v>
      </c>
    </row>
    <row r="541" spans="1:65" s="13" customFormat="1">
      <c r="A541" s="313"/>
      <c r="B541" s="314"/>
      <c r="C541" s="313"/>
      <c r="D541" s="315" t="s">
        <v>225</v>
      </c>
      <c r="E541" s="316" t="s">
        <v>3</v>
      </c>
      <c r="F541" s="317" t="s">
        <v>372</v>
      </c>
      <c r="G541" s="313"/>
      <c r="H541" s="316" t="s">
        <v>3</v>
      </c>
      <c r="I541" s="259"/>
      <c r="J541" s="259"/>
      <c r="K541" s="313"/>
      <c r="L541" s="89"/>
      <c r="M541" s="91"/>
      <c r="N541" s="92"/>
      <c r="O541" s="92"/>
      <c r="P541" s="92"/>
      <c r="Q541" s="92"/>
      <c r="R541" s="92"/>
      <c r="S541" s="92"/>
      <c r="T541" s="93"/>
      <c r="AT541" s="90" t="s">
        <v>225</v>
      </c>
      <c r="AU541" s="90" t="s">
        <v>77</v>
      </c>
      <c r="AV541" s="13" t="s">
        <v>75</v>
      </c>
      <c r="AW541" s="13" t="s">
        <v>30</v>
      </c>
      <c r="AX541" s="13" t="s">
        <v>68</v>
      </c>
      <c r="AY541" s="90" t="s">
        <v>216</v>
      </c>
    </row>
    <row r="542" spans="1:65" s="14" customFormat="1">
      <c r="A542" s="318"/>
      <c r="B542" s="319"/>
      <c r="C542" s="318"/>
      <c r="D542" s="315" t="s">
        <v>225</v>
      </c>
      <c r="E542" s="320" t="s">
        <v>3</v>
      </c>
      <c r="F542" s="321" t="s">
        <v>731</v>
      </c>
      <c r="G542" s="318"/>
      <c r="H542" s="322">
        <v>3</v>
      </c>
      <c r="I542" s="260"/>
      <c r="J542" s="260"/>
      <c r="K542" s="318"/>
      <c r="L542" s="94"/>
      <c r="M542" s="96"/>
      <c r="N542" s="97"/>
      <c r="O542" s="97"/>
      <c r="P542" s="97"/>
      <c r="Q542" s="97"/>
      <c r="R542" s="97"/>
      <c r="S542" s="97"/>
      <c r="T542" s="98"/>
      <c r="AT542" s="95" t="s">
        <v>225</v>
      </c>
      <c r="AU542" s="95" t="s">
        <v>77</v>
      </c>
      <c r="AV542" s="14" t="s">
        <v>77</v>
      </c>
      <c r="AW542" s="14" t="s">
        <v>30</v>
      </c>
      <c r="AX542" s="14" t="s">
        <v>68</v>
      </c>
      <c r="AY542" s="95" t="s">
        <v>216</v>
      </c>
    </row>
    <row r="543" spans="1:65" s="14" customFormat="1">
      <c r="A543" s="318"/>
      <c r="B543" s="319"/>
      <c r="C543" s="318"/>
      <c r="D543" s="315" t="s">
        <v>225</v>
      </c>
      <c r="E543" s="320" t="s">
        <v>3</v>
      </c>
      <c r="F543" s="321" t="s">
        <v>732</v>
      </c>
      <c r="G543" s="318"/>
      <c r="H543" s="322">
        <v>4.4000000000000004</v>
      </c>
      <c r="I543" s="260"/>
      <c r="J543" s="260"/>
      <c r="K543" s="318"/>
      <c r="L543" s="94"/>
      <c r="M543" s="96"/>
      <c r="N543" s="97"/>
      <c r="O543" s="97"/>
      <c r="P543" s="97"/>
      <c r="Q543" s="97"/>
      <c r="R543" s="97"/>
      <c r="S543" s="97"/>
      <c r="T543" s="98"/>
      <c r="AT543" s="95" t="s">
        <v>225</v>
      </c>
      <c r="AU543" s="95" t="s">
        <v>77</v>
      </c>
      <c r="AV543" s="14" t="s">
        <v>77</v>
      </c>
      <c r="AW543" s="14" t="s">
        <v>30</v>
      </c>
      <c r="AX543" s="14" t="s">
        <v>68</v>
      </c>
      <c r="AY543" s="95" t="s">
        <v>216</v>
      </c>
    </row>
    <row r="544" spans="1:65" s="14" customFormat="1">
      <c r="A544" s="318"/>
      <c r="B544" s="319"/>
      <c r="C544" s="318"/>
      <c r="D544" s="315" t="s">
        <v>225</v>
      </c>
      <c r="E544" s="320" t="s">
        <v>3</v>
      </c>
      <c r="F544" s="321" t="s">
        <v>733</v>
      </c>
      <c r="G544" s="318"/>
      <c r="H544" s="322">
        <v>13.2</v>
      </c>
      <c r="I544" s="260"/>
      <c r="J544" s="260"/>
      <c r="K544" s="318"/>
      <c r="L544" s="94"/>
      <c r="M544" s="96"/>
      <c r="N544" s="97"/>
      <c r="O544" s="97"/>
      <c r="P544" s="97"/>
      <c r="Q544" s="97"/>
      <c r="R544" s="97"/>
      <c r="S544" s="97"/>
      <c r="T544" s="98"/>
      <c r="AT544" s="95" t="s">
        <v>225</v>
      </c>
      <c r="AU544" s="95" t="s">
        <v>77</v>
      </c>
      <c r="AV544" s="14" t="s">
        <v>77</v>
      </c>
      <c r="AW544" s="14" t="s">
        <v>30</v>
      </c>
      <c r="AX544" s="14" t="s">
        <v>68</v>
      </c>
      <c r="AY544" s="95" t="s">
        <v>216</v>
      </c>
    </row>
    <row r="545" spans="1:65" s="14" customFormat="1">
      <c r="A545" s="318"/>
      <c r="B545" s="319"/>
      <c r="C545" s="318"/>
      <c r="D545" s="315" t="s">
        <v>225</v>
      </c>
      <c r="E545" s="320" t="s">
        <v>3</v>
      </c>
      <c r="F545" s="321" t="s">
        <v>734</v>
      </c>
      <c r="G545" s="318"/>
      <c r="H545" s="322">
        <v>3.2</v>
      </c>
      <c r="I545" s="260"/>
      <c r="J545" s="260"/>
      <c r="K545" s="318"/>
      <c r="L545" s="94"/>
      <c r="M545" s="96"/>
      <c r="N545" s="97"/>
      <c r="O545" s="97"/>
      <c r="P545" s="97"/>
      <c r="Q545" s="97"/>
      <c r="R545" s="97"/>
      <c r="S545" s="97"/>
      <c r="T545" s="98"/>
      <c r="AT545" s="95" t="s">
        <v>225</v>
      </c>
      <c r="AU545" s="95" t="s">
        <v>77</v>
      </c>
      <c r="AV545" s="14" t="s">
        <v>77</v>
      </c>
      <c r="AW545" s="14" t="s">
        <v>30</v>
      </c>
      <c r="AX545" s="14" t="s">
        <v>68</v>
      </c>
      <c r="AY545" s="95" t="s">
        <v>216</v>
      </c>
    </row>
    <row r="546" spans="1:65" s="14" customFormat="1">
      <c r="A546" s="318"/>
      <c r="B546" s="319"/>
      <c r="C546" s="318"/>
      <c r="D546" s="315" t="s">
        <v>225</v>
      </c>
      <c r="E546" s="320" t="s">
        <v>3</v>
      </c>
      <c r="F546" s="321" t="s">
        <v>735</v>
      </c>
      <c r="G546" s="318"/>
      <c r="H546" s="322">
        <v>3.4</v>
      </c>
      <c r="I546" s="260"/>
      <c r="J546" s="260"/>
      <c r="K546" s="318"/>
      <c r="L546" s="94"/>
      <c r="M546" s="96"/>
      <c r="N546" s="97"/>
      <c r="O546" s="97"/>
      <c r="P546" s="97"/>
      <c r="Q546" s="97"/>
      <c r="R546" s="97"/>
      <c r="S546" s="97"/>
      <c r="T546" s="98"/>
      <c r="AT546" s="95" t="s">
        <v>225</v>
      </c>
      <c r="AU546" s="95" t="s">
        <v>77</v>
      </c>
      <c r="AV546" s="14" t="s">
        <v>77</v>
      </c>
      <c r="AW546" s="14" t="s">
        <v>30</v>
      </c>
      <c r="AX546" s="14" t="s">
        <v>68</v>
      </c>
      <c r="AY546" s="95" t="s">
        <v>216</v>
      </c>
    </row>
    <row r="547" spans="1:65" s="14" customFormat="1">
      <c r="A547" s="318"/>
      <c r="B547" s="319"/>
      <c r="C547" s="318"/>
      <c r="D547" s="315" t="s">
        <v>225</v>
      </c>
      <c r="E547" s="320" t="s">
        <v>3</v>
      </c>
      <c r="F547" s="321" t="s">
        <v>736</v>
      </c>
      <c r="G547" s="318"/>
      <c r="H547" s="322">
        <v>7</v>
      </c>
      <c r="I547" s="260"/>
      <c r="J547" s="260"/>
      <c r="K547" s="318"/>
      <c r="L547" s="94"/>
      <c r="M547" s="96"/>
      <c r="N547" s="97"/>
      <c r="O547" s="97"/>
      <c r="P547" s="97"/>
      <c r="Q547" s="97"/>
      <c r="R547" s="97"/>
      <c r="S547" s="97"/>
      <c r="T547" s="98"/>
      <c r="AT547" s="95" t="s">
        <v>225</v>
      </c>
      <c r="AU547" s="95" t="s">
        <v>77</v>
      </c>
      <c r="AV547" s="14" t="s">
        <v>77</v>
      </c>
      <c r="AW547" s="14" t="s">
        <v>30</v>
      </c>
      <c r="AX547" s="14" t="s">
        <v>68</v>
      </c>
      <c r="AY547" s="95" t="s">
        <v>216</v>
      </c>
    </row>
    <row r="548" spans="1:65" s="14" customFormat="1">
      <c r="A548" s="318"/>
      <c r="B548" s="319"/>
      <c r="C548" s="318"/>
      <c r="D548" s="315" t="s">
        <v>225</v>
      </c>
      <c r="E548" s="320" t="s">
        <v>3</v>
      </c>
      <c r="F548" s="321" t="s">
        <v>737</v>
      </c>
      <c r="G548" s="318"/>
      <c r="H548" s="322">
        <v>10.8</v>
      </c>
      <c r="I548" s="260"/>
      <c r="J548" s="260"/>
      <c r="K548" s="318"/>
      <c r="L548" s="94"/>
      <c r="M548" s="96"/>
      <c r="N548" s="97"/>
      <c r="O548" s="97"/>
      <c r="P548" s="97"/>
      <c r="Q548" s="97"/>
      <c r="R548" s="97"/>
      <c r="S548" s="97"/>
      <c r="T548" s="98"/>
      <c r="AT548" s="95" t="s">
        <v>225</v>
      </c>
      <c r="AU548" s="95" t="s">
        <v>77</v>
      </c>
      <c r="AV548" s="14" t="s">
        <v>77</v>
      </c>
      <c r="AW548" s="14" t="s">
        <v>30</v>
      </c>
      <c r="AX548" s="14" t="s">
        <v>68</v>
      </c>
      <c r="AY548" s="95" t="s">
        <v>216</v>
      </c>
    </row>
    <row r="549" spans="1:65" s="16" customFormat="1">
      <c r="A549" s="329"/>
      <c r="B549" s="330"/>
      <c r="C549" s="329"/>
      <c r="D549" s="315" t="s">
        <v>225</v>
      </c>
      <c r="E549" s="331" t="s">
        <v>3</v>
      </c>
      <c r="F549" s="332" t="s">
        <v>254</v>
      </c>
      <c r="G549" s="329"/>
      <c r="H549" s="333">
        <v>45</v>
      </c>
      <c r="I549" s="262"/>
      <c r="J549" s="262"/>
      <c r="K549" s="329"/>
      <c r="L549" s="106"/>
      <c r="M549" s="108"/>
      <c r="N549" s="109"/>
      <c r="O549" s="109"/>
      <c r="P549" s="109"/>
      <c r="Q549" s="109"/>
      <c r="R549" s="109"/>
      <c r="S549" s="109"/>
      <c r="T549" s="110"/>
      <c r="AT549" s="107" t="s">
        <v>225</v>
      </c>
      <c r="AU549" s="107" t="s">
        <v>77</v>
      </c>
      <c r="AV549" s="16" t="s">
        <v>223</v>
      </c>
      <c r="AW549" s="16" t="s">
        <v>30</v>
      </c>
      <c r="AX549" s="16" t="s">
        <v>75</v>
      </c>
      <c r="AY549" s="107" t="s">
        <v>216</v>
      </c>
    </row>
    <row r="550" spans="1:65" s="2" customFormat="1" ht="21.6" customHeight="1">
      <c r="A550" s="269"/>
      <c r="B550" s="270"/>
      <c r="C550" s="308" t="s">
        <v>738</v>
      </c>
      <c r="D550" s="308" t="s">
        <v>218</v>
      </c>
      <c r="E550" s="309" t="s">
        <v>739</v>
      </c>
      <c r="F550" s="310" t="s">
        <v>740</v>
      </c>
      <c r="G550" s="311" t="s">
        <v>364</v>
      </c>
      <c r="H550" s="312">
        <v>0.7</v>
      </c>
      <c r="I550" s="82">
        <v>0</v>
      </c>
      <c r="J550" s="82">
        <f>ROUND(I550*H550,2)</f>
        <v>0</v>
      </c>
      <c r="K550" s="310" t="s">
        <v>222</v>
      </c>
      <c r="L550" s="24"/>
      <c r="M550" s="83" t="s">
        <v>3</v>
      </c>
      <c r="N550" s="84" t="s">
        <v>39</v>
      </c>
      <c r="O550" s="85">
        <v>0.93</v>
      </c>
      <c r="P550" s="85">
        <f>O550*H550</f>
        <v>0.65100000000000002</v>
      </c>
      <c r="Q550" s="85">
        <v>0</v>
      </c>
      <c r="R550" s="85">
        <f>Q550*H550</f>
        <v>0</v>
      </c>
      <c r="S550" s="85">
        <v>6.5000000000000002E-2</v>
      </c>
      <c r="T550" s="86">
        <f>S550*H550</f>
        <v>4.5499999999999999E-2</v>
      </c>
      <c r="U550" s="23"/>
      <c r="V550" s="23"/>
      <c r="W550" s="23"/>
      <c r="X550" s="23"/>
      <c r="Y550" s="23"/>
      <c r="Z550" s="23"/>
      <c r="AA550" s="23"/>
      <c r="AB550" s="23"/>
      <c r="AC550" s="23"/>
      <c r="AD550" s="23"/>
      <c r="AE550" s="23"/>
      <c r="AR550" s="87" t="s">
        <v>223</v>
      </c>
      <c r="AT550" s="87" t="s">
        <v>218</v>
      </c>
      <c r="AU550" s="87" t="s">
        <v>77</v>
      </c>
      <c r="AY550" s="19" t="s">
        <v>216</v>
      </c>
      <c r="BE550" s="88">
        <f>IF(N550="základní",J550,0)</f>
        <v>0</v>
      </c>
      <c r="BF550" s="88">
        <f>IF(N550="snížená",J550,0)</f>
        <v>0</v>
      </c>
      <c r="BG550" s="88">
        <f>IF(N550="zákl. přenesená",J550,0)</f>
        <v>0</v>
      </c>
      <c r="BH550" s="88">
        <f>IF(N550="sníž. přenesená",J550,0)</f>
        <v>0</v>
      </c>
      <c r="BI550" s="88">
        <f>IF(N550="nulová",J550,0)</f>
        <v>0</v>
      </c>
      <c r="BJ550" s="19" t="s">
        <v>75</v>
      </c>
      <c r="BK550" s="88">
        <f>ROUND(I550*H550,2)</f>
        <v>0</v>
      </c>
      <c r="BL550" s="19" t="s">
        <v>223</v>
      </c>
      <c r="BM550" s="87" t="s">
        <v>741</v>
      </c>
    </row>
    <row r="551" spans="1:65" s="13" customFormat="1">
      <c r="A551" s="313"/>
      <c r="B551" s="314"/>
      <c r="C551" s="313"/>
      <c r="D551" s="315" t="s">
        <v>225</v>
      </c>
      <c r="E551" s="316" t="s">
        <v>3</v>
      </c>
      <c r="F551" s="317" t="s">
        <v>372</v>
      </c>
      <c r="G551" s="313"/>
      <c r="H551" s="316" t="s">
        <v>3</v>
      </c>
      <c r="I551" s="259"/>
      <c r="J551" s="259"/>
      <c r="K551" s="313"/>
      <c r="L551" s="89"/>
      <c r="M551" s="91"/>
      <c r="N551" s="92"/>
      <c r="O551" s="92"/>
      <c r="P551" s="92"/>
      <c r="Q551" s="92"/>
      <c r="R551" s="92"/>
      <c r="S551" s="92"/>
      <c r="T551" s="93"/>
      <c r="AT551" s="90" t="s">
        <v>225</v>
      </c>
      <c r="AU551" s="90" t="s">
        <v>77</v>
      </c>
      <c r="AV551" s="13" t="s">
        <v>75</v>
      </c>
      <c r="AW551" s="13" t="s">
        <v>30</v>
      </c>
      <c r="AX551" s="13" t="s">
        <v>68</v>
      </c>
      <c r="AY551" s="90" t="s">
        <v>216</v>
      </c>
    </row>
    <row r="552" spans="1:65" s="14" customFormat="1">
      <c r="A552" s="318"/>
      <c r="B552" s="319"/>
      <c r="C552" s="318"/>
      <c r="D552" s="315" t="s">
        <v>225</v>
      </c>
      <c r="E552" s="320" t="s">
        <v>3</v>
      </c>
      <c r="F552" s="321" t="s">
        <v>742</v>
      </c>
      <c r="G552" s="318"/>
      <c r="H552" s="322">
        <v>0.7</v>
      </c>
      <c r="I552" s="260"/>
      <c r="J552" s="260"/>
      <c r="K552" s="318"/>
      <c r="L552" s="94"/>
      <c r="M552" s="96"/>
      <c r="N552" s="97"/>
      <c r="O552" s="97"/>
      <c r="P552" s="97"/>
      <c r="Q552" s="97"/>
      <c r="R552" s="97"/>
      <c r="S552" s="97"/>
      <c r="T552" s="98"/>
      <c r="AT552" s="95" t="s">
        <v>225</v>
      </c>
      <c r="AU552" s="95" t="s">
        <v>77</v>
      </c>
      <c r="AV552" s="14" t="s">
        <v>77</v>
      </c>
      <c r="AW552" s="14" t="s">
        <v>30</v>
      </c>
      <c r="AX552" s="14" t="s">
        <v>75</v>
      </c>
      <c r="AY552" s="95" t="s">
        <v>216</v>
      </c>
    </row>
    <row r="553" spans="1:65" s="2" customFormat="1" ht="21.6" customHeight="1">
      <c r="A553" s="269"/>
      <c r="B553" s="270"/>
      <c r="C553" s="308" t="s">
        <v>743</v>
      </c>
      <c r="D553" s="308" t="s">
        <v>218</v>
      </c>
      <c r="E553" s="309" t="s">
        <v>744</v>
      </c>
      <c r="F553" s="310" t="s">
        <v>745</v>
      </c>
      <c r="G553" s="311" t="s">
        <v>364</v>
      </c>
      <c r="H553" s="312">
        <v>45.5</v>
      </c>
      <c r="I553" s="82">
        <v>0</v>
      </c>
      <c r="J553" s="82">
        <f>ROUND(I553*H553,2)</f>
        <v>0</v>
      </c>
      <c r="K553" s="310" t="s">
        <v>222</v>
      </c>
      <c r="L553" s="24"/>
      <c r="M553" s="83" t="s">
        <v>3</v>
      </c>
      <c r="N553" s="84" t="s">
        <v>39</v>
      </c>
      <c r="O553" s="85">
        <v>0.76</v>
      </c>
      <c r="P553" s="85">
        <f>O553*H553</f>
        <v>34.58</v>
      </c>
      <c r="Q553" s="85">
        <v>0</v>
      </c>
      <c r="R553" s="85">
        <f>Q553*H553</f>
        <v>0</v>
      </c>
      <c r="S553" s="85">
        <v>2.1999999999999999E-2</v>
      </c>
      <c r="T553" s="86">
        <f>S553*H553</f>
        <v>1.0009999999999999</v>
      </c>
      <c r="U553" s="23"/>
      <c r="V553" s="23"/>
      <c r="W553" s="23"/>
      <c r="X553" s="23"/>
      <c r="Y553" s="23"/>
      <c r="Z553" s="23"/>
      <c r="AA553" s="23"/>
      <c r="AB553" s="23"/>
      <c r="AC553" s="23"/>
      <c r="AD553" s="23"/>
      <c r="AE553" s="23"/>
      <c r="AR553" s="87" t="s">
        <v>223</v>
      </c>
      <c r="AT553" s="87" t="s">
        <v>218</v>
      </c>
      <c r="AU553" s="87" t="s">
        <v>77</v>
      </c>
      <c r="AY553" s="19" t="s">
        <v>216</v>
      </c>
      <c r="BE553" s="88">
        <f>IF(N553="základní",J553,0)</f>
        <v>0</v>
      </c>
      <c r="BF553" s="88">
        <f>IF(N553="snížená",J553,0)</f>
        <v>0</v>
      </c>
      <c r="BG553" s="88">
        <f>IF(N553="zákl. přenesená",J553,0)</f>
        <v>0</v>
      </c>
      <c r="BH553" s="88">
        <f>IF(N553="sníž. přenesená",J553,0)</f>
        <v>0</v>
      </c>
      <c r="BI553" s="88">
        <f>IF(N553="nulová",J553,0)</f>
        <v>0</v>
      </c>
      <c r="BJ553" s="19" t="s">
        <v>75</v>
      </c>
      <c r="BK553" s="88">
        <f>ROUND(I553*H553,2)</f>
        <v>0</v>
      </c>
      <c r="BL553" s="19" t="s">
        <v>223</v>
      </c>
      <c r="BM553" s="87" t="s">
        <v>746</v>
      </c>
    </row>
    <row r="554" spans="1:65" s="13" customFormat="1">
      <c r="A554" s="313"/>
      <c r="B554" s="314"/>
      <c r="C554" s="313"/>
      <c r="D554" s="315" t="s">
        <v>225</v>
      </c>
      <c r="E554" s="316" t="s">
        <v>3</v>
      </c>
      <c r="F554" s="317" t="s">
        <v>241</v>
      </c>
      <c r="G554" s="313"/>
      <c r="H554" s="316" t="s">
        <v>3</v>
      </c>
      <c r="I554" s="259"/>
      <c r="J554" s="259"/>
      <c r="K554" s="313"/>
      <c r="L554" s="89"/>
      <c r="M554" s="91"/>
      <c r="N554" s="92"/>
      <c r="O554" s="92"/>
      <c r="P554" s="92"/>
      <c r="Q554" s="92"/>
      <c r="R554" s="92"/>
      <c r="S554" s="92"/>
      <c r="T554" s="93"/>
      <c r="AT554" s="90" t="s">
        <v>225</v>
      </c>
      <c r="AU554" s="90" t="s">
        <v>77</v>
      </c>
      <c r="AV554" s="13" t="s">
        <v>75</v>
      </c>
      <c r="AW554" s="13" t="s">
        <v>30</v>
      </c>
      <c r="AX554" s="13" t="s">
        <v>68</v>
      </c>
      <c r="AY554" s="90" t="s">
        <v>216</v>
      </c>
    </row>
    <row r="555" spans="1:65" s="13" customFormat="1">
      <c r="A555" s="313"/>
      <c r="B555" s="314"/>
      <c r="C555" s="313"/>
      <c r="D555" s="315" t="s">
        <v>225</v>
      </c>
      <c r="E555" s="316" t="s">
        <v>3</v>
      </c>
      <c r="F555" s="317" t="s">
        <v>747</v>
      </c>
      <c r="G555" s="313"/>
      <c r="H555" s="316" t="s">
        <v>3</v>
      </c>
      <c r="I555" s="259"/>
      <c r="J555" s="259"/>
      <c r="K555" s="313"/>
      <c r="L555" s="89"/>
      <c r="M555" s="91"/>
      <c r="N555" s="92"/>
      <c r="O555" s="92"/>
      <c r="P555" s="92"/>
      <c r="Q555" s="92"/>
      <c r="R555" s="92"/>
      <c r="S555" s="92"/>
      <c r="T555" s="93"/>
      <c r="AT555" s="90" t="s">
        <v>225</v>
      </c>
      <c r="AU555" s="90" t="s">
        <v>77</v>
      </c>
      <c r="AV555" s="13" t="s">
        <v>75</v>
      </c>
      <c r="AW555" s="13" t="s">
        <v>30</v>
      </c>
      <c r="AX555" s="13" t="s">
        <v>68</v>
      </c>
      <c r="AY555" s="90" t="s">
        <v>216</v>
      </c>
    </row>
    <row r="556" spans="1:65" s="14" customFormat="1">
      <c r="A556" s="318"/>
      <c r="B556" s="319"/>
      <c r="C556" s="318"/>
      <c r="D556" s="315" t="s">
        <v>225</v>
      </c>
      <c r="E556" s="320" t="s">
        <v>3</v>
      </c>
      <c r="F556" s="321" t="s">
        <v>748</v>
      </c>
      <c r="G556" s="318"/>
      <c r="H556" s="322">
        <v>45.5</v>
      </c>
      <c r="I556" s="260"/>
      <c r="J556" s="260"/>
      <c r="K556" s="318"/>
      <c r="L556" s="94"/>
      <c r="M556" s="96"/>
      <c r="N556" s="97"/>
      <c r="O556" s="97"/>
      <c r="P556" s="97"/>
      <c r="Q556" s="97"/>
      <c r="R556" s="97"/>
      <c r="S556" s="97"/>
      <c r="T556" s="98"/>
      <c r="AT556" s="95" t="s">
        <v>225</v>
      </c>
      <c r="AU556" s="95" t="s">
        <v>77</v>
      </c>
      <c r="AV556" s="14" t="s">
        <v>77</v>
      </c>
      <c r="AW556" s="14" t="s">
        <v>30</v>
      </c>
      <c r="AX556" s="14" t="s">
        <v>75</v>
      </c>
      <c r="AY556" s="95" t="s">
        <v>216</v>
      </c>
    </row>
    <row r="557" spans="1:65" s="2" customFormat="1" ht="21.6" customHeight="1">
      <c r="A557" s="269"/>
      <c r="B557" s="270"/>
      <c r="C557" s="308" t="s">
        <v>749</v>
      </c>
      <c r="D557" s="308" t="s">
        <v>218</v>
      </c>
      <c r="E557" s="309" t="s">
        <v>750</v>
      </c>
      <c r="F557" s="310" t="s">
        <v>751</v>
      </c>
      <c r="G557" s="311" t="s">
        <v>364</v>
      </c>
      <c r="H557" s="312">
        <v>4</v>
      </c>
      <c r="I557" s="82">
        <v>0</v>
      </c>
      <c r="J557" s="82">
        <f>ROUND(I557*H557,2)</f>
        <v>0</v>
      </c>
      <c r="K557" s="310" t="s">
        <v>222</v>
      </c>
      <c r="L557" s="24"/>
      <c r="M557" s="83" t="s">
        <v>3</v>
      </c>
      <c r="N557" s="84" t="s">
        <v>39</v>
      </c>
      <c r="O557" s="85">
        <v>1.3680000000000001</v>
      </c>
      <c r="P557" s="85">
        <f>O557*H557</f>
        <v>5.4720000000000004</v>
      </c>
      <c r="Q557" s="85">
        <v>0</v>
      </c>
      <c r="R557" s="85">
        <f>Q557*H557</f>
        <v>0</v>
      </c>
      <c r="S557" s="85">
        <v>6.6000000000000003E-2</v>
      </c>
      <c r="T557" s="86">
        <f>S557*H557</f>
        <v>0.26400000000000001</v>
      </c>
      <c r="U557" s="23"/>
      <c r="V557" s="23"/>
      <c r="W557" s="23"/>
      <c r="X557" s="23"/>
      <c r="Y557" s="23"/>
      <c r="Z557" s="23"/>
      <c r="AA557" s="23"/>
      <c r="AB557" s="23"/>
      <c r="AC557" s="23"/>
      <c r="AD557" s="23"/>
      <c r="AE557" s="23"/>
      <c r="AR557" s="87" t="s">
        <v>223</v>
      </c>
      <c r="AT557" s="87" t="s">
        <v>218</v>
      </c>
      <c r="AU557" s="87" t="s">
        <v>77</v>
      </c>
      <c r="AY557" s="19" t="s">
        <v>216</v>
      </c>
      <c r="BE557" s="88">
        <f>IF(N557="základní",J557,0)</f>
        <v>0</v>
      </c>
      <c r="BF557" s="88">
        <f>IF(N557="snížená",J557,0)</f>
        <v>0</v>
      </c>
      <c r="BG557" s="88">
        <f>IF(N557="zákl. přenesená",J557,0)</f>
        <v>0</v>
      </c>
      <c r="BH557" s="88">
        <f>IF(N557="sníž. přenesená",J557,0)</f>
        <v>0</v>
      </c>
      <c r="BI557" s="88">
        <f>IF(N557="nulová",J557,0)</f>
        <v>0</v>
      </c>
      <c r="BJ557" s="19" t="s">
        <v>75</v>
      </c>
      <c r="BK557" s="88">
        <f>ROUND(I557*H557,2)</f>
        <v>0</v>
      </c>
      <c r="BL557" s="19" t="s">
        <v>223</v>
      </c>
      <c r="BM557" s="87" t="s">
        <v>752</v>
      </c>
    </row>
    <row r="558" spans="1:65" s="13" customFormat="1">
      <c r="A558" s="313"/>
      <c r="B558" s="314"/>
      <c r="C558" s="313"/>
      <c r="D558" s="315" t="s">
        <v>225</v>
      </c>
      <c r="E558" s="316" t="s">
        <v>3</v>
      </c>
      <c r="F558" s="317" t="s">
        <v>241</v>
      </c>
      <c r="G558" s="313"/>
      <c r="H558" s="316" t="s">
        <v>3</v>
      </c>
      <c r="I558" s="259"/>
      <c r="J558" s="259"/>
      <c r="K558" s="313"/>
      <c r="L558" s="89"/>
      <c r="M558" s="91"/>
      <c r="N558" s="92"/>
      <c r="O558" s="92"/>
      <c r="P558" s="92"/>
      <c r="Q558" s="92"/>
      <c r="R558" s="92"/>
      <c r="S558" s="92"/>
      <c r="T558" s="93"/>
      <c r="AT558" s="90" t="s">
        <v>225</v>
      </c>
      <c r="AU558" s="90" t="s">
        <v>77</v>
      </c>
      <c r="AV558" s="13" t="s">
        <v>75</v>
      </c>
      <c r="AW558" s="13" t="s">
        <v>30</v>
      </c>
      <c r="AX558" s="13" t="s">
        <v>68</v>
      </c>
      <c r="AY558" s="90" t="s">
        <v>216</v>
      </c>
    </row>
    <row r="559" spans="1:65" s="13" customFormat="1">
      <c r="A559" s="313"/>
      <c r="B559" s="314"/>
      <c r="C559" s="313"/>
      <c r="D559" s="315" t="s">
        <v>225</v>
      </c>
      <c r="E559" s="316" t="s">
        <v>3</v>
      </c>
      <c r="F559" s="317" t="s">
        <v>747</v>
      </c>
      <c r="G559" s="313"/>
      <c r="H559" s="316" t="s">
        <v>3</v>
      </c>
      <c r="I559" s="259"/>
      <c r="J559" s="259"/>
      <c r="K559" s="313"/>
      <c r="L559" s="89"/>
      <c r="M559" s="91"/>
      <c r="N559" s="92"/>
      <c r="O559" s="92"/>
      <c r="P559" s="92"/>
      <c r="Q559" s="92"/>
      <c r="R559" s="92"/>
      <c r="S559" s="92"/>
      <c r="T559" s="93"/>
      <c r="AT559" s="90" t="s">
        <v>225</v>
      </c>
      <c r="AU559" s="90" t="s">
        <v>77</v>
      </c>
      <c r="AV559" s="13" t="s">
        <v>75</v>
      </c>
      <c r="AW559" s="13" t="s">
        <v>30</v>
      </c>
      <c r="AX559" s="13" t="s">
        <v>68</v>
      </c>
      <c r="AY559" s="90" t="s">
        <v>216</v>
      </c>
    </row>
    <row r="560" spans="1:65" s="14" customFormat="1">
      <c r="A560" s="318"/>
      <c r="B560" s="319"/>
      <c r="C560" s="318"/>
      <c r="D560" s="315" t="s">
        <v>225</v>
      </c>
      <c r="E560" s="320" t="s">
        <v>3</v>
      </c>
      <c r="F560" s="321" t="s">
        <v>753</v>
      </c>
      <c r="G560" s="318"/>
      <c r="H560" s="322">
        <v>4</v>
      </c>
      <c r="I560" s="260"/>
      <c r="J560" s="260"/>
      <c r="K560" s="318"/>
      <c r="L560" s="94"/>
      <c r="M560" s="96"/>
      <c r="N560" s="97"/>
      <c r="O560" s="97"/>
      <c r="P560" s="97"/>
      <c r="Q560" s="97"/>
      <c r="R560" s="97"/>
      <c r="S560" s="97"/>
      <c r="T560" s="98"/>
      <c r="AT560" s="95" t="s">
        <v>225</v>
      </c>
      <c r="AU560" s="95" t="s">
        <v>77</v>
      </c>
      <c r="AV560" s="14" t="s">
        <v>77</v>
      </c>
      <c r="AW560" s="14" t="s">
        <v>30</v>
      </c>
      <c r="AX560" s="14" t="s">
        <v>75</v>
      </c>
      <c r="AY560" s="95" t="s">
        <v>216</v>
      </c>
    </row>
    <row r="561" spans="1:65" s="2" customFormat="1" ht="21.6" customHeight="1">
      <c r="A561" s="269"/>
      <c r="B561" s="270"/>
      <c r="C561" s="308" t="s">
        <v>754</v>
      </c>
      <c r="D561" s="308" t="s">
        <v>218</v>
      </c>
      <c r="E561" s="309" t="s">
        <v>755</v>
      </c>
      <c r="F561" s="310" t="s">
        <v>756</v>
      </c>
      <c r="G561" s="311" t="s">
        <v>364</v>
      </c>
      <c r="H561" s="312">
        <v>4</v>
      </c>
      <c r="I561" s="82">
        <v>0</v>
      </c>
      <c r="J561" s="82">
        <f>ROUND(I561*H561,2)</f>
        <v>0</v>
      </c>
      <c r="K561" s="310" t="s">
        <v>222</v>
      </c>
      <c r="L561" s="24"/>
      <c r="M561" s="83" t="s">
        <v>3</v>
      </c>
      <c r="N561" s="84" t="s">
        <v>39</v>
      </c>
      <c r="O561" s="85">
        <v>0.32500000000000001</v>
      </c>
      <c r="P561" s="85">
        <f>O561*H561</f>
        <v>1.3</v>
      </c>
      <c r="Q561" s="85">
        <v>0</v>
      </c>
      <c r="R561" s="85">
        <f>Q561*H561</f>
        <v>0</v>
      </c>
      <c r="S561" s="85">
        <v>2.1999999999999999E-2</v>
      </c>
      <c r="T561" s="86">
        <f>S561*H561</f>
        <v>8.7999999999999995E-2</v>
      </c>
      <c r="U561" s="23"/>
      <c r="V561" s="23"/>
      <c r="W561" s="23"/>
      <c r="X561" s="23"/>
      <c r="Y561" s="23"/>
      <c r="Z561" s="23"/>
      <c r="AA561" s="23"/>
      <c r="AB561" s="23"/>
      <c r="AC561" s="23"/>
      <c r="AD561" s="23"/>
      <c r="AE561" s="23"/>
      <c r="AR561" s="87" t="s">
        <v>223</v>
      </c>
      <c r="AT561" s="87" t="s">
        <v>218</v>
      </c>
      <c r="AU561" s="87" t="s">
        <v>77</v>
      </c>
      <c r="AY561" s="19" t="s">
        <v>216</v>
      </c>
      <c r="BE561" s="88">
        <f>IF(N561="základní",J561,0)</f>
        <v>0</v>
      </c>
      <c r="BF561" s="88">
        <f>IF(N561="snížená",J561,0)</f>
        <v>0</v>
      </c>
      <c r="BG561" s="88">
        <f>IF(N561="zákl. přenesená",J561,0)</f>
        <v>0</v>
      </c>
      <c r="BH561" s="88">
        <f>IF(N561="sníž. přenesená",J561,0)</f>
        <v>0</v>
      </c>
      <c r="BI561" s="88">
        <f>IF(N561="nulová",J561,0)</f>
        <v>0</v>
      </c>
      <c r="BJ561" s="19" t="s">
        <v>75</v>
      </c>
      <c r="BK561" s="88">
        <f>ROUND(I561*H561,2)</f>
        <v>0</v>
      </c>
      <c r="BL561" s="19" t="s">
        <v>223</v>
      </c>
      <c r="BM561" s="87" t="s">
        <v>757</v>
      </c>
    </row>
    <row r="562" spans="1:65" s="13" customFormat="1">
      <c r="A562" s="313"/>
      <c r="B562" s="314"/>
      <c r="C562" s="313"/>
      <c r="D562" s="315" t="s">
        <v>225</v>
      </c>
      <c r="E562" s="316" t="s">
        <v>3</v>
      </c>
      <c r="F562" s="317" t="s">
        <v>241</v>
      </c>
      <c r="G562" s="313"/>
      <c r="H562" s="316" t="s">
        <v>3</v>
      </c>
      <c r="I562" s="259"/>
      <c r="J562" s="259"/>
      <c r="K562" s="313"/>
      <c r="L562" s="89"/>
      <c r="M562" s="91"/>
      <c r="N562" s="92"/>
      <c r="O562" s="92"/>
      <c r="P562" s="92"/>
      <c r="Q562" s="92"/>
      <c r="R562" s="92"/>
      <c r="S562" s="92"/>
      <c r="T562" s="93"/>
      <c r="AT562" s="90" t="s">
        <v>225</v>
      </c>
      <c r="AU562" s="90" t="s">
        <v>77</v>
      </c>
      <c r="AV562" s="13" t="s">
        <v>75</v>
      </c>
      <c r="AW562" s="13" t="s">
        <v>30</v>
      </c>
      <c r="AX562" s="13" t="s">
        <v>68</v>
      </c>
      <c r="AY562" s="90" t="s">
        <v>216</v>
      </c>
    </row>
    <row r="563" spans="1:65" s="13" customFormat="1">
      <c r="A563" s="313"/>
      <c r="B563" s="314"/>
      <c r="C563" s="313"/>
      <c r="D563" s="315" t="s">
        <v>225</v>
      </c>
      <c r="E563" s="316" t="s">
        <v>3</v>
      </c>
      <c r="F563" s="317" t="s">
        <v>747</v>
      </c>
      <c r="G563" s="313"/>
      <c r="H563" s="316" t="s">
        <v>3</v>
      </c>
      <c r="I563" s="259"/>
      <c r="J563" s="259"/>
      <c r="K563" s="313"/>
      <c r="L563" s="89"/>
      <c r="M563" s="91"/>
      <c r="N563" s="92"/>
      <c r="O563" s="92"/>
      <c r="P563" s="92"/>
      <c r="Q563" s="92"/>
      <c r="R563" s="92"/>
      <c r="S563" s="92"/>
      <c r="T563" s="93"/>
      <c r="AT563" s="90" t="s">
        <v>225</v>
      </c>
      <c r="AU563" s="90" t="s">
        <v>77</v>
      </c>
      <c r="AV563" s="13" t="s">
        <v>75</v>
      </c>
      <c r="AW563" s="13" t="s">
        <v>30</v>
      </c>
      <c r="AX563" s="13" t="s">
        <v>68</v>
      </c>
      <c r="AY563" s="90" t="s">
        <v>216</v>
      </c>
    </row>
    <row r="564" spans="1:65" s="14" customFormat="1">
      <c r="A564" s="318"/>
      <c r="B564" s="319"/>
      <c r="C564" s="318"/>
      <c r="D564" s="315" t="s">
        <v>225</v>
      </c>
      <c r="E564" s="320" t="s">
        <v>3</v>
      </c>
      <c r="F564" s="321" t="s">
        <v>753</v>
      </c>
      <c r="G564" s="318"/>
      <c r="H564" s="322">
        <v>4</v>
      </c>
      <c r="I564" s="260"/>
      <c r="J564" s="260"/>
      <c r="K564" s="318"/>
      <c r="L564" s="94"/>
      <c r="M564" s="96"/>
      <c r="N564" s="97"/>
      <c r="O564" s="97"/>
      <c r="P564" s="97"/>
      <c r="Q564" s="97"/>
      <c r="R564" s="97"/>
      <c r="S564" s="97"/>
      <c r="T564" s="98"/>
      <c r="AT564" s="95" t="s">
        <v>225</v>
      </c>
      <c r="AU564" s="95" t="s">
        <v>77</v>
      </c>
      <c r="AV564" s="14" t="s">
        <v>77</v>
      </c>
      <c r="AW564" s="14" t="s">
        <v>30</v>
      </c>
      <c r="AX564" s="14" t="s">
        <v>75</v>
      </c>
      <c r="AY564" s="95" t="s">
        <v>216</v>
      </c>
    </row>
    <row r="565" spans="1:65" s="2" customFormat="1" ht="21.6" customHeight="1">
      <c r="A565" s="269"/>
      <c r="B565" s="270"/>
      <c r="C565" s="308" t="s">
        <v>758</v>
      </c>
      <c r="D565" s="308" t="s">
        <v>218</v>
      </c>
      <c r="E565" s="309" t="s">
        <v>759</v>
      </c>
      <c r="F565" s="310" t="s">
        <v>760</v>
      </c>
      <c r="G565" s="311" t="s">
        <v>364</v>
      </c>
      <c r="H565" s="312">
        <v>26.2</v>
      </c>
      <c r="I565" s="82">
        <v>0</v>
      </c>
      <c r="J565" s="82">
        <f>ROUND(I565*H565,2)</f>
        <v>0</v>
      </c>
      <c r="K565" s="310" t="s">
        <v>222</v>
      </c>
      <c r="L565" s="24"/>
      <c r="M565" s="83" t="s">
        <v>3</v>
      </c>
      <c r="N565" s="84" t="s">
        <v>39</v>
      </c>
      <c r="O565" s="85">
        <v>2.036</v>
      </c>
      <c r="P565" s="85">
        <f>O565*H565</f>
        <v>53.343199999999996</v>
      </c>
      <c r="Q565" s="85">
        <v>0</v>
      </c>
      <c r="R565" s="85">
        <f>Q565*H565</f>
        <v>0</v>
      </c>
      <c r="S565" s="85">
        <v>0.13200000000000001</v>
      </c>
      <c r="T565" s="86">
        <f>S565*H565</f>
        <v>3.4584000000000001</v>
      </c>
      <c r="U565" s="23"/>
      <c r="V565" s="23"/>
      <c r="W565" s="23"/>
      <c r="X565" s="23"/>
      <c r="Y565" s="23"/>
      <c r="Z565" s="23"/>
      <c r="AA565" s="23"/>
      <c r="AB565" s="23"/>
      <c r="AC565" s="23"/>
      <c r="AD565" s="23"/>
      <c r="AE565" s="23"/>
      <c r="AR565" s="87" t="s">
        <v>223</v>
      </c>
      <c r="AT565" s="87" t="s">
        <v>218</v>
      </c>
      <c r="AU565" s="87" t="s">
        <v>77</v>
      </c>
      <c r="AY565" s="19" t="s">
        <v>216</v>
      </c>
      <c r="BE565" s="88">
        <f>IF(N565="základní",J565,0)</f>
        <v>0</v>
      </c>
      <c r="BF565" s="88">
        <f>IF(N565="snížená",J565,0)</f>
        <v>0</v>
      </c>
      <c r="BG565" s="88">
        <f>IF(N565="zákl. přenesená",J565,0)</f>
        <v>0</v>
      </c>
      <c r="BH565" s="88">
        <f>IF(N565="sníž. přenesená",J565,0)</f>
        <v>0</v>
      </c>
      <c r="BI565" s="88">
        <f>IF(N565="nulová",J565,0)</f>
        <v>0</v>
      </c>
      <c r="BJ565" s="19" t="s">
        <v>75</v>
      </c>
      <c r="BK565" s="88">
        <f>ROUND(I565*H565,2)</f>
        <v>0</v>
      </c>
      <c r="BL565" s="19" t="s">
        <v>223</v>
      </c>
      <c r="BM565" s="87" t="s">
        <v>761</v>
      </c>
    </row>
    <row r="566" spans="1:65" s="13" customFormat="1">
      <c r="A566" s="313"/>
      <c r="B566" s="314"/>
      <c r="C566" s="313"/>
      <c r="D566" s="315" t="s">
        <v>225</v>
      </c>
      <c r="E566" s="316" t="s">
        <v>3</v>
      </c>
      <c r="F566" s="317" t="s">
        <v>241</v>
      </c>
      <c r="G566" s="313"/>
      <c r="H566" s="316" t="s">
        <v>3</v>
      </c>
      <c r="I566" s="259"/>
      <c r="J566" s="259"/>
      <c r="K566" s="313"/>
      <c r="L566" s="89"/>
      <c r="M566" s="91"/>
      <c r="N566" s="92"/>
      <c r="O566" s="92"/>
      <c r="P566" s="92"/>
      <c r="Q566" s="92"/>
      <c r="R566" s="92"/>
      <c r="S566" s="92"/>
      <c r="T566" s="93"/>
      <c r="AT566" s="90" t="s">
        <v>225</v>
      </c>
      <c r="AU566" s="90" t="s">
        <v>77</v>
      </c>
      <c r="AV566" s="13" t="s">
        <v>75</v>
      </c>
      <c r="AW566" s="13" t="s">
        <v>30</v>
      </c>
      <c r="AX566" s="13" t="s">
        <v>68</v>
      </c>
      <c r="AY566" s="90" t="s">
        <v>216</v>
      </c>
    </row>
    <row r="567" spans="1:65" s="13" customFormat="1">
      <c r="A567" s="313"/>
      <c r="B567" s="314"/>
      <c r="C567" s="313"/>
      <c r="D567" s="315" t="s">
        <v>225</v>
      </c>
      <c r="E567" s="316" t="s">
        <v>3</v>
      </c>
      <c r="F567" s="317" t="s">
        <v>242</v>
      </c>
      <c r="G567" s="313"/>
      <c r="H567" s="316" t="s">
        <v>3</v>
      </c>
      <c r="I567" s="259"/>
      <c r="J567" s="259"/>
      <c r="K567" s="313"/>
      <c r="L567" s="89"/>
      <c r="M567" s="91"/>
      <c r="N567" s="92"/>
      <c r="O567" s="92"/>
      <c r="P567" s="92"/>
      <c r="Q567" s="92"/>
      <c r="R567" s="92"/>
      <c r="S567" s="92"/>
      <c r="T567" s="93"/>
      <c r="AT567" s="90" t="s">
        <v>225</v>
      </c>
      <c r="AU567" s="90" t="s">
        <v>77</v>
      </c>
      <c r="AV567" s="13" t="s">
        <v>75</v>
      </c>
      <c r="AW567" s="13" t="s">
        <v>30</v>
      </c>
      <c r="AX567" s="13" t="s">
        <v>68</v>
      </c>
      <c r="AY567" s="90" t="s">
        <v>216</v>
      </c>
    </row>
    <row r="568" spans="1:65" s="14" customFormat="1">
      <c r="A568" s="318"/>
      <c r="B568" s="319"/>
      <c r="C568" s="318"/>
      <c r="D568" s="315" t="s">
        <v>225</v>
      </c>
      <c r="E568" s="320" t="s">
        <v>3</v>
      </c>
      <c r="F568" s="321" t="s">
        <v>762</v>
      </c>
      <c r="G568" s="318"/>
      <c r="H568" s="322">
        <v>26.2</v>
      </c>
      <c r="I568" s="260"/>
      <c r="J568" s="260"/>
      <c r="K568" s="318"/>
      <c r="L568" s="94"/>
      <c r="M568" s="96"/>
      <c r="N568" s="97"/>
      <c r="O568" s="97"/>
      <c r="P568" s="97"/>
      <c r="Q568" s="97"/>
      <c r="R568" s="97"/>
      <c r="S568" s="97"/>
      <c r="T568" s="98"/>
      <c r="AT568" s="95" t="s">
        <v>225</v>
      </c>
      <c r="AU568" s="95" t="s">
        <v>77</v>
      </c>
      <c r="AV568" s="14" t="s">
        <v>77</v>
      </c>
      <c r="AW568" s="14" t="s">
        <v>30</v>
      </c>
      <c r="AX568" s="14" t="s">
        <v>75</v>
      </c>
      <c r="AY568" s="95" t="s">
        <v>216</v>
      </c>
    </row>
    <row r="569" spans="1:65" s="2" customFormat="1" ht="21.6" customHeight="1">
      <c r="A569" s="269"/>
      <c r="B569" s="270"/>
      <c r="C569" s="308" t="s">
        <v>763</v>
      </c>
      <c r="D569" s="308" t="s">
        <v>218</v>
      </c>
      <c r="E569" s="309" t="s">
        <v>764</v>
      </c>
      <c r="F569" s="310" t="s">
        <v>765</v>
      </c>
      <c r="G569" s="311" t="s">
        <v>364</v>
      </c>
      <c r="H569" s="312">
        <v>262</v>
      </c>
      <c r="I569" s="82">
        <v>0</v>
      </c>
      <c r="J569" s="82">
        <f>ROUND(I569*H569,2)</f>
        <v>0</v>
      </c>
      <c r="K569" s="310" t="s">
        <v>222</v>
      </c>
      <c r="L569" s="24"/>
      <c r="M569" s="83" t="s">
        <v>3</v>
      </c>
      <c r="N569" s="84" t="s">
        <v>39</v>
      </c>
      <c r="O569" s="85">
        <v>0.51</v>
      </c>
      <c r="P569" s="85">
        <f>O569*H569</f>
        <v>133.62</v>
      </c>
      <c r="Q569" s="85">
        <v>0</v>
      </c>
      <c r="R569" s="85">
        <f>Q569*H569</f>
        <v>0</v>
      </c>
      <c r="S569" s="85">
        <v>4.3999999999999997E-2</v>
      </c>
      <c r="T569" s="86">
        <f>S569*H569</f>
        <v>11.527999999999999</v>
      </c>
      <c r="U569" s="23"/>
      <c r="V569" s="23"/>
      <c r="W569" s="23"/>
      <c r="X569" s="23"/>
      <c r="Y569" s="23"/>
      <c r="Z569" s="23"/>
      <c r="AA569" s="23"/>
      <c r="AB569" s="23"/>
      <c r="AC569" s="23"/>
      <c r="AD569" s="23"/>
      <c r="AE569" s="23"/>
      <c r="AR569" s="87" t="s">
        <v>223</v>
      </c>
      <c r="AT569" s="87" t="s">
        <v>218</v>
      </c>
      <c r="AU569" s="87" t="s">
        <v>77</v>
      </c>
      <c r="AY569" s="19" t="s">
        <v>216</v>
      </c>
      <c r="BE569" s="88">
        <f>IF(N569="základní",J569,0)</f>
        <v>0</v>
      </c>
      <c r="BF569" s="88">
        <f>IF(N569="snížená",J569,0)</f>
        <v>0</v>
      </c>
      <c r="BG569" s="88">
        <f>IF(N569="zákl. přenesená",J569,0)</f>
        <v>0</v>
      </c>
      <c r="BH569" s="88">
        <f>IF(N569="sníž. přenesená",J569,0)</f>
        <v>0</v>
      </c>
      <c r="BI569" s="88">
        <f>IF(N569="nulová",J569,0)</f>
        <v>0</v>
      </c>
      <c r="BJ569" s="19" t="s">
        <v>75</v>
      </c>
      <c r="BK569" s="88">
        <f>ROUND(I569*H569,2)</f>
        <v>0</v>
      </c>
      <c r="BL569" s="19" t="s">
        <v>223</v>
      </c>
      <c r="BM569" s="87" t="s">
        <v>766</v>
      </c>
    </row>
    <row r="570" spans="1:65" s="13" customFormat="1">
      <c r="A570" s="313"/>
      <c r="B570" s="314"/>
      <c r="C570" s="313"/>
      <c r="D570" s="315" t="s">
        <v>225</v>
      </c>
      <c r="E570" s="316" t="s">
        <v>3</v>
      </c>
      <c r="F570" s="317" t="s">
        <v>241</v>
      </c>
      <c r="G570" s="313"/>
      <c r="H570" s="316" t="s">
        <v>3</v>
      </c>
      <c r="I570" s="259"/>
      <c r="J570" s="259"/>
      <c r="K570" s="313"/>
      <c r="L570" s="89"/>
      <c r="M570" s="91"/>
      <c r="N570" s="92"/>
      <c r="O570" s="92"/>
      <c r="P570" s="92"/>
      <c r="Q570" s="92"/>
      <c r="R570" s="92"/>
      <c r="S570" s="92"/>
      <c r="T570" s="93"/>
      <c r="AT570" s="90" t="s">
        <v>225</v>
      </c>
      <c r="AU570" s="90" t="s">
        <v>77</v>
      </c>
      <c r="AV570" s="13" t="s">
        <v>75</v>
      </c>
      <c r="AW570" s="13" t="s">
        <v>30</v>
      </c>
      <c r="AX570" s="13" t="s">
        <v>68</v>
      </c>
      <c r="AY570" s="90" t="s">
        <v>216</v>
      </c>
    </row>
    <row r="571" spans="1:65" s="13" customFormat="1">
      <c r="A571" s="313"/>
      <c r="B571" s="314"/>
      <c r="C571" s="313"/>
      <c r="D571" s="315" t="s">
        <v>225</v>
      </c>
      <c r="E571" s="316" t="s">
        <v>3</v>
      </c>
      <c r="F571" s="317" t="s">
        <v>242</v>
      </c>
      <c r="G571" s="313"/>
      <c r="H571" s="316" t="s">
        <v>3</v>
      </c>
      <c r="I571" s="259"/>
      <c r="J571" s="259"/>
      <c r="K571" s="313"/>
      <c r="L571" s="89"/>
      <c r="M571" s="91"/>
      <c r="N571" s="92"/>
      <c r="O571" s="92"/>
      <c r="P571" s="92"/>
      <c r="Q571" s="92"/>
      <c r="R571" s="92"/>
      <c r="S571" s="92"/>
      <c r="T571" s="93"/>
      <c r="AT571" s="90" t="s">
        <v>225</v>
      </c>
      <c r="AU571" s="90" t="s">
        <v>77</v>
      </c>
      <c r="AV571" s="13" t="s">
        <v>75</v>
      </c>
      <c r="AW571" s="13" t="s">
        <v>30</v>
      </c>
      <c r="AX571" s="13" t="s">
        <v>68</v>
      </c>
      <c r="AY571" s="90" t="s">
        <v>216</v>
      </c>
    </row>
    <row r="572" spans="1:65" s="14" customFormat="1">
      <c r="A572" s="318"/>
      <c r="B572" s="319"/>
      <c r="C572" s="318"/>
      <c r="D572" s="315" t="s">
        <v>225</v>
      </c>
      <c r="E572" s="320" t="s">
        <v>3</v>
      </c>
      <c r="F572" s="321" t="s">
        <v>767</v>
      </c>
      <c r="G572" s="318"/>
      <c r="H572" s="322">
        <v>262</v>
      </c>
      <c r="I572" s="260"/>
      <c r="J572" s="260"/>
      <c r="K572" s="318"/>
      <c r="L572" s="94"/>
      <c r="M572" s="96"/>
      <c r="N572" s="97"/>
      <c r="O572" s="97"/>
      <c r="P572" s="97"/>
      <c r="Q572" s="97"/>
      <c r="R572" s="97"/>
      <c r="S572" s="97"/>
      <c r="T572" s="98"/>
      <c r="AT572" s="95" t="s">
        <v>225</v>
      </c>
      <c r="AU572" s="95" t="s">
        <v>77</v>
      </c>
      <c r="AV572" s="14" t="s">
        <v>77</v>
      </c>
      <c r="AW572" s="14" t="s">
        <v>30</v>
      </c>
      <c r="AX572" s="14" t="s">
        <v>75</v>
      </c>
      <c r="AY572" s="95" t="s">
        <v>216</v>
      </c>
    </row>
    <row r="573" spans="1:65" s="2" customFormat="1" ht="14.45" customHeight="1">
      <c r="A573" s="269"/>
      <c r="B573" s="270"/>
      <c r="C573" s="308" t="s">
        <v>768</v>
      </c>
      <c r="D573" s="308" t="s">
        <v>218</v>
      </c>
      <c r="E573" s="309" t="s">
        <v>769</v>
      </c>
      <c r="F573" s="310" t="s">
        <v>770</v>
      </c>
      <c r="G573" s="311" t="s">
        <v>364</v>
      </c>
      <c r="H573" s="312">
        <v>1200</v>
      </c>
      <c r="I573" s="82">
        <v>0</v>
      </c>
      <c r="J573" s="82">
        <f>ROUND(I573*H573,2)</f>
        <v>0</v>
      </c>
      <c r="K573" s="310" t="s">
        <v>222</v>
      </c>
      <c r="L573" s="24"/>
      <c r="M573" s="83" t="s">
        <v>3</v>
      </c>
      <c r="N573" s="84" t="s">
        <v>39</v>
      </c>
      <c r="O573" s="85">
        <v>0.125</v>
      </c>
      <c r="P573" s="85">
        <f>O573*H573</f>
        <v>150</v>
      </c>
      <c r="Q573" s="85">
        <v>0</v>
      </c>
      <c r="R573" s="85">
        <f>Q573*H573</f>
        <v>0</v>
      </c>
      <c r="S573" s="85">
        <v>2E-3</v>
      </c>
      <c r="T573" s="86">
        <f>S573*H573</f>
        <v>2.4</v>
      </c>
      <c r="U573" s="23"/>
      <c r="V573" s="23"/>
      <c r="W573" s="23"/>
      <c r="X573" s="23"/>
      <c r="Y573" s="23"/>
      <c r="Z573" s="23"/>
      <c r="AA573" s="23"/>
      <c r="AB573" s="23"/>
      <c r="AC573" s="23"/>
      <c r="AD573" s="23"/>
      <c r="AE573" s="23"/>
      <c r="AR573" s="87" t="s">
        <v>223</v>
      </c>
      <c r="AT573" s="87" t="s">
        <v>218</v>
      </c>
      <c r="AU573" s="87" t="s">
        <v>77</v>
      </c>
      <c r="AY573" s="19" t="s">
        <v>216</v>
      </c>
      <c r="BE573" s="88">
        <f>IF(N573="základní",J573,0)</f>
        <v>0</v>
      </c>
      <c r="BF573" s="88">
        <f>IF(N573="snížená",J573,0)</f>
        <v>0</v>
      </c>
      <c r="BG573" s="88">
        <f>IF(N573="zákl. přenesená",J573,0)</f>
        <v>0</v>
      </c>
      <c r="BH573" s="88">
        <f>IF(N573="sníž. přenesená",J573,0)</f>
        <v>0</v>
      </c>
      <c r="BI573" s="88">
        <f>IF(N573="nulová",J573,0)</f>
        <v>0</v>
      </c>
      <c r="BJ573" s="19" t="s">
        <v>75</v>
      </c>
      <c r="BK573" s="88">
        <f>ROUND(I573*H573,2)</f>
        <v>0</v>
      </c>
      <c r="BL573" s="19" t="s">
        <v>223</v>
      </c>
      <c r="BM573" s="87" t="s">
        <v>771</v>
      </c>
    </row>
    <row r="574" spans="1:65" s="13" customFormat="1">
      <c r="A574" s="313"/>
      <c r="B574" s="314"/>
      <c r="C574" s="313"/>
      <c r="D574" s="315" t="s">
        <v>225</v>
      </c>
      <c r="E574" s="316" t="s">
        <v>3</v>
      </c>
      <c r="F574" s="317" t="s">
        <v>241</v>
      </c>
      <c r="G574" s="313"/>
      <c r="H574" s="316" t="s">
        <v>3</v>
      </c>
      <c r="I574" s="259"/>
      <c r="J574" s="259"/>
      <c r="K574" s="313"/>
      <c r="L574" s="89"/>
      <c r="M574" s="91"/>
      <c r="N574" s="92"/>
      <c r="O574" s="92"/>
      <c r="P574" s="92"/>
      <c r="Q574" s="92"/>
      <c r="R574" s="92"/>
      <c r="S574" s="92"/>
      <c r="T574" s="93"/>
      <c r="AT574" s="90" t="s">
        <v>225</v>
      </c>
      <c r="AU574" s="90" t="s">
        <v>77</v>
      </c>
      <c r="AV574" s="13" t="s">
        <v>75</v>
      </c>
      <c r="AW574" s="13" t="s">
        <v>30</v>
      </c>
      <c r="AX574" s="13" t="s">
        <v>68</v>
      </c>
      <c r="AY574" s="90" t="s">
        <v>216</v>
      </c>
    </row>
    <row r="575" spans="1:65" s="13" customFormat="1">
      <c r="A575" s="313"/>
      <c r="B575" s="314"/>
      <c r="C575" s="313"/>
      <c r="D575" s="315" t="s">
        <v>225</v>
      </c>
      <c r="E575" s="316" t="s">
        <v>3</v>
      </c>
      <c r="F575" s="317" t="s">
        <v>720</v>
      </c>
      <c r="G575" s="313"/>
      <c r="H575" s="316" t="s">
        <v>3</v>
      </c>
      <c r="I575" s="259"/>
      <c r="J575" s="259"/>
      <c r="K575" s="313"/>
      <c r="L575" s="89"/>
      <c r="M575" s="91"/>
      <c r="N575" s="92"/>
      <c r="O575" s="92"/>
      <c r="P575" s="92"/>
      <c r="Q575" s="92"/>
      <c r="R575" s="92"/>
      <c r="S575" s="92"/>
      <c r="T575" s="93"/>
      <c r="AT575" s="90" t="s">
        <v>225</v>
      </c>
      <c r="AU575" s="90" t="s">
        <v>77</v>
      </c>
      <c r="AV575" s="13" t="s">
        <v>75</v>
      </c>
      <c r="AW575" s="13" t="s">
        <v>30</v>
      </c>
      <c r="AX575" s="13" t="s">
        <v>68</v>
      </c>
      <c r="AY575" s="90" t="s">
        <v>216</v>
      </c>
    </row>
    <row r="576" spans="1:65" s="14" customFormat="1">
      <c r="A576" s="318"/>
      <c r="B576" s="319"/>
      <c r="C576" s="318"/>
      <c r="D576" s="315" t="s">
        <v>225</v>
      </c>
      <c r="E576" s="320" t="s">
        <v>3</v>
      </c>
      <c r="F576" s="321" t="s">
        <v>772</v>
      </c>
      <c r="G576" s="318"/>
      <c r="H576" s="322">
        <v>1200</v>
      </c>
      <c r="I576" s="260"/>
      <c r="J576" s="260"/>
      <c r="K576" s="318"/>
      <c r="L576" s="94"/>
      <c r="M576" s="96"/>
      <c r="N576" s="97"/>
      <c r="O576" s="97"/>
      <c r="P576" s="97"/>
      <c r="Q576" s="97"/>
      <c r="R576" s="97"/>
      <c r="S576" s="97"/>
      <c r="T576" s="98"/>
      <c r="AT576" s="95" t="s">
        <v>225</v>
      </c>
      <c r="AU576" s="95" t="s">
        <v>77</v>
      </c>
      <c r="AV576" s="14" t="s">
        <v>77</v>
      </c>
      <c r="AW576" s="14" t="s">
        <v>30</v>
      </c>
      <c r="AX576" s="14" t="s">
        <v>75</v>
      </c>
      <c r="AY576" s="95" t="s">
        <v>216</v>
      </c>
    </row>
    <row r="577" spans="1:65" s="2" customFormat="1" ht="14.45" customHeight="1">
      <c r="A577" s="269"/>
      <c r="B577" s="270"/>
      <c r="C577" s="308" t="s">
        <v>773</v>
      </c>
      <c r="D577" s="308" t="s">
        <v>218</v>
      </c>
      <c r="E577" s="309" t="s">
        <v>774</v>
      </c>
      <c r="F577" s="310" t="s">
        <v>775</v>
      </c>
      <c r="G577" s="311" t="s">
        <v>364</v>
      </c>
      <c r="H577" s="312">
        <v>200</v>
      </c>
      <c r="I577" s="82">
        <v>0</v>
      </c>
      <c r="J577" s="82">
        <f>ROUND(I577*H577,2)</f>
        <v>0</v>
      </c>
      <c r="K577" s="310" t="s">
        <v>222</v>
      </c>
      <c r="L577" s="24"/>
      <c r="M577" s="83" t="s">
        <v>3</v>
      </c>
      <c r="N577" s="84" t="s">
        <v>39</v>
      </c>
      <c r="O577" s="85">
        <v>0.14499999999999999</v>
      </c>
      <c r="P577" s="85">
        <f>O577*H577</f>
        <v>28.999999999999996</v>
      </c>
      <c r="Q577" s="85">
        <v>0</v>
      </c>
      <c r="R577" s="85">
        <f>Q577*H577</f>
        <v>0</v>
      </c>
      <c r="S577" s="85">
        <v>3.0000000000000001E-3</v>
      </c>
      <c r="T577" s="86">
        <f>S577*H577</f>
        <v>0.6</v>
      </c>
      <c r="U577" s="23"/>
      <c r="V577" s="23"/>
      <c r="W577" s="23"/>
      <c r="X577" s="23"/>
      <c r="Y577" s="23"/>
      <c r="Z577" s="23"/>
      <c r="AA577" s="23"/>
      <c r="AB577" s="23"/>
      <c r="AC577" s="23"/>
      <c r="AD577" s="23"/>
      <c r="AE577" s="23"/>
      <c r="AR577" s="87" t="s">
        <v>223</v>
      </c>
      <c r="AT577" s="87" t="s">
        <v>218</v>
      </c>
      <c r="AU577" s="87" t="s">
        <v>77</v>
      </c>
      <c r="AY577" s="19" t="s">
        <v>216</v>
      </c>
      <c r="BE577" s="88">
        <f>IF(N577="základní",J577,0)</f>
        <v>0</v>
      </c>
      <c r="BF577" s="88">
        <f>IF(N577="snížená",J577,0)</f>
        <v>0</v>
      </c>
      <c r="BG577" s="88">
        <f>IF(N577="zákl. přenesená",J577,0)</f>
        <v>0</v>
      </c>
      <c r="BH577" s="88">
        <f>IF(N577="sníž. přenesená",J577,0)</f>
        <v>0</v>
      </c>
      <c r="BI577" s="88">
        <f>IF(N577="nulová",J577,0)</f>
        <v>0</v>
      </c>
      <c r="BJ577" s="19" t="s">
        <v>75</v>
      </c>
      <c r="BK577" s="88">
        <f>ROUND(I577*H577,2)</f>
        <v>0</v>
      </c>
      <c r="BL577" s="19" t="s">
        <v>223</v>
      </c>
      <c r="BM577" s="87" t="s">
        <v>776</v>
      </c>
    </row>
    <row r="578" spans="1:65" s="13" customFormat="1">
      <c r="A578" s="313"/>
      <c r="B578" s="314"/>
      <c r="C578" s="313"/>
      <c r="D578" s="315" t="s">
        <v>225</v>
      </c>
      <c r="E578" s="316" t="s">
        <v>3</v>
      </c>
      <c r="F578" s="317" t="s">
        <v>241</v>
      </c>
      <c r="G578" s="313"/>
      <c r="H578" s="316" t="s">
        <v>3</v>
      </c>
      <c r="I578" s="259"/>
      <c r="J578" s="259"/>
      <c r="K578" s="313"/>
      <c r="L578" s="89"/>
      <c r="M578" s="91"/>
      <c r="N578" s="92"/>
      <c r="O578" s="92"/>
      <c r="P578" s="92"/>
      <c r="Q578" s="92"/>
      <c r="R578" s="92"/>
      <c r="S578" s="92"/>
      <c r="T578" s="93"/>
      <c r="AT578" s="90" t="s">
        <v>225</v>
      </c>
      <c r="AU578" s="90" t="s">
        <v>77</v>
      </c>
      <c r="AV578" s="13" t="s">
        <v>75</v>
      </c>
      <c r="AW578" s="13" t="s">
        <v>30</v>
      </c>
      <c r="AX578" s="13" t="s">
        <v>68</v>
      </c>
      <c r="AY578" s="90" t="s">
        <v>216</v>
      </c>
    </row>
    <row r="579" spans="1:65" s="13" customFormat="1">
      <c r="A579" s="313"/>
      <c r="B579" s="314"/>
      <c r="C579" s="313"/>
      <c r="D579" s="315" t="s">
        <v>225</v>
      </c>
      <c r="E579" s="316" t="s">
        <v>3</v>
      </c>
      <c r="F579" s="317" t="s">
        <v>720</v>
      </c>
      <c r="G579" s="313"/>
      <c r="H579" s="316" t="s">
        <v>3</v>
      </c>
      <c r="I579" s="259"/>
      <c r="J579" s="259"/>
      <c r="K579" s="313"/>
      <c r="L579" s="89"/>
      <c r="M579" s="91"/>
      <c r="N579" s="92"/>
      <c r="O579" s="92"/>
      <c r="P579" s="92"/>
      <c r="Q579" s="92"/>
      <c r="R579" s="92"/>
      <c r="S579" s="92"/>
      <c r="T579" s="93"/>
      <c r="AT579" s="90" t="s">
        <v>225</v>
      </c>
      <c r="AU579" s="90" t="s">
        <v>77</v>
      </c>
      <c r="AV579" s="13" t="s">
        <v>75</v>
      </c>
      <c r="AW579" s="13" t="s">
        <v>30</v>
      </c>
      <c r="AX579" s="13" t="s">
        <v>68</v>
      </c>
      <c r="AY579" s="90" t="s">
        <v>216</v>
      </c>
    </row>
    <row r="580" spans="1:65" s="14" customFormat="1">
      <c r="A580" s="318"/>
      <c r="B580" s="319"/>
      <c r="C580" s="318"/>
      <c r="D580" s="315" t="s">
        <v>225</v>
      </c>
      <c r="E580" s="320" t="s">
        <v>3</v>
      </c>
      <c r="F580" s="321" t="s">
        <v>777</v>
      </c>
      <c r="G580" s="318"/>
      <c r="H580" s="322">
        <v>200</v>
      </c>
      <c r="I580" s="260"/>
      <c r="J580" s="260"/>
      <c r="K580" s="318"/>
      <c r="L580" s="94"/>
      <c r="M580" s="96"/>
      <c r="N580" s="97"/>
      <c r="O580" s="97"/>
      <c r="P580" s="97"/>
      <c r="Q580" s="97"/>
      <c r="R580" s="97"/>
      <c r="S580" s="97"/>
      <c r="T580" s="98"/>
      <c r="AT580" s="95" t="s">
        <v>225</v>
      </c>
      <c r="AU580" s="95" t="s">
        <v>77</v>
      </c>
      <c r="AV580" s="14" t="s">
        <v>77</v>
      </c>
      <c r="AW580" s="14" t="s">
        <v>30</v>
      </c>
      <c r="AX580" s="14" t="s">
        <v>75</v>
      </c>
      <c r="AY580" s="95" t="s">
        <v>216</v>
      </c>
    </row>
    <row r="581" spans="1:65" s="2" customFormat="1" ht="21.6" customHeight="1">
      <c r="A581" s="269"/>
      <c r="B581" s="270"/>
      <c r="C581" s="308" t="s">
        <v>778</v>
      </c>
      <c r="D581" s="308" t="s">
        <v>218</v>
      </c>
      <c r="E581" s="309" t="s">
        <v>779</v>
      </c>
      <c r="F581" s="310" t="s">
        <v>780</v>
      </c>
      <c r="G581" s="311" t="s">
        <v>364</v>
      </c>
      <c r="H581" s="312">
        <v>200</v>
      </c>
      <c r="I581" s="82">
        <v>0</v>
      </c>
      <c r="J581" s="82">
        <f>ROUND(I581*H581,2)</f>
        <v>0</v>
      </c>
      <c r="K581" s="310" t="s">
        <v>222</v>
      </c>
      <c r="L581" s="24"/>
      <c r="M581" s="83" t="s">
        <v>3</v>
      </c>
      <c r="N581" s="84" t="s">
        <v>39</v>
      </c>
      <c r="O581" s="85">
        <v>0.23100000000000001</v>
      </c>
      <c r="P581" s="85">
        <f>O581*H581</f>
        <v>46.2</v>
      </c>
      <c r="Q581" s="85">
        <v>0</v>
      </c>
      <c r="R581" s="85">
        <f>Q581*H581</f>
        <v>0</v>
      </c>
      <c r="S581" s="85">
        <v>2E-3</v>
      </c>
      <c r="T581" s="86">
        <f>S581*H581</f>
        <v>0.4</v>
      </c>
      <c r="U581" s="23"/>
      <c r="V581" s="23"/>
      <c r="W581" s="23"/>
      <c r="X581" s="23"/>
      <c r="Y581" s="23"/>
      <c r="Z581" s="23"/>
      <c r="AA581" s="23"/>
      <c r="AB581" s="23"/>
      <c r="AC581" s="23"/>
      <c r="AD581" s="23"/>
      <c r="AE581" s="23"/>
      <c r="AR581" s="87" t="s">
        <v>223</v>
      </c>
      <c r="AT581" s="87" t="s">
        <v>218</v>
      </c>
      <c r="AU581" s="87" t="s">
        <v>77</v>
      </c>
      <c r="AY581" s="19" t="s">
        <v>216</v>
      </c>
      <c r="BE581" s="88">
        <f>IF(N581="základní",J581,0)</f>
        <v>0</v>
      </c>
      <c r="BF581" s="88">
        <f>IF(N581="snížená",J581,0)</f>
        <v>0</v>
      </c>
      <c r="BG581" s="88">
        <f>IF(N581="zákl. přenesená",J581,0)</f>
        <v>0</v>
      </c>
      <c r="BH581" s="88">
        <f>IF(N581="sníž. přenesená",J581,0)</f>
        <v>0</v>
      </c>
      <c r="BI581" s="88">
        <f>IF(N581="nulová",J581,0)</f>
        <v>0</v>
      </c>
      <c r="BJ581" s="19" t="s">
        <v>75</v>
      </c>
      <c r="BK581" s="88">
        <f>ROUND(I581*H581,2)</f>
        <v>0</v>
      </c>
      <c r="BL581" s="19" t="s">
        <v>223</v>
      </c>
      <c r="BM581" s="87" t="s">
        <v>781</v>
      </c>
    </row>
    <row r="582" spans="1:65" s="13" customFormat="1">
      <c r="A582" s="313"/>
      <c r="B582" s="314"/>
      <c r="C582" s="313"/>
      <c r="D582" s="315" t="s">
        <v>225</v>
      </c>
      <c r="E582" s="316" t="s">
        <v>3</v>
      </c>
      <c r="F582" s="317" t="s">
        <v>241</v>
      </c>
      <c r="G582" s="313"/>
      <c r="H582" s="316" t="s">
        <v>3</v>
      </c>
      <c r="I582" s="259"/>
      <c r="J582" s="259"/>
      <c r="K582" s="313"/>
      <c r="L582" s="89"/>
      <c r="M582" s="91"/>
      <c r="N582" s="92"/>
      <c r="O582" s="92"/>
      <c r="P582" s="92"/>
      <c r="Q582" s="92"/>
      <c r="R582" s="92"/>
      <c r="S582" s="92"/>
      <c r="T582" s="93"/>
      <c r="AT582" s="90" t="s">
        <v>225</v>
      </c>
      <c r="AU582" s="90" t="s">
        <v>77</v>
      </c>
      <c r="AV582" s="13" t="s">
        <v>75</v>
      </c>
      <c r="AW582" s="13" t="s">
        <v>30</v>
      </c>
      <c r="AX582" s="13" t="s">
        <v>68</v>
      </c>
      <c r="AY582" s="90" t="s">
        <v>216</v>
      </c>
    </row>
    <row r="583" spans="1:65" s="13" customFormat="1">
      <c r="A583" s="313"/>
      <c r="B583" s="314"/>
      <c r="C583" s="313"/>
      <c r="D583" s="315" t="s">
        <v>225</v>
      </c>
      <c r="E583" s="316" t="s">
        <v>3</v>
      </c>
      <c r="F583" s="317" t="s">
        <v>720</v>
      </c>
      <c r="G583" s="313"/>
      <c r="H583" s="316" t="s">
        <v>3</v>
      </c>
      <c r="I583" s="259"/>
      <c r="J583" s="259"/>
      <c r="K583" s="313"/>
      <c r="L583" s="89"/>
      <c r="M583" s="91"/>
      <c r="N583" s="92"/>
      <c r="O583" s="92"/>
      <c r="P583" s="92"/>
      <c r="Q583" s="92"/>
      <c r="R583" s="92"/>
      <c r="S583" s="92"/>
      <c r="T583" s="93"/>
      <c r="AT583" s="90" t="s">
        <v>225</v>
      </c>
      <c r="AU583" s="90" t="s">
        <v>77</v>
      </c>
      <c r="AV583" s="13" t="s">
        <v>75</v>
      </c>
      <c r="AW583" s="13" t="s">
        <v>30</v>
      </c>
      <c r="AX583" s="13" t="s">
        <v>68</v>
      </c>
      <c r="AY583" s="90" t="s">
        <v>216</v>
      </c>
    </row>
    <row r="584" spans="1:65" s="14" customFormat="1">
      <c r="A584" s="318"/>
      <c r="B584" s="319"/>
      <c r="C584" s="318"/>
      <c r="D584" s="315" t="s">
        <v>225</v>
      </c>
      <c r="E584" s="320" t="s">
        <v>3</v>
      </c>
      <c r="F584" s="321" t="s">
        <v>777</v>
      </c>
      <c r="G584" s="318"/>
      <c r="H584" s="322">
        <v>200</v>
      </c>
      <c r="I584" s="260"/>
      <c r="J584" s="260"/>
      <c r="K584" s="318"/>
      <c r="L584" s="94"/>
      <c r="M584" s="96"/>
      <c r="N584" s="97"/>
      <c r="O584" s="97"/>
      <c r="P584" s="97"/>
      <c r="Q584" s="97"/>
      <c r="R584" s="97"/>
      <c r="S584" s="97"/>
      <c r="T584" s="98"/>
      <c r="AT584" s="95" t="s">
        <v>225</v>
      </c>
      <c r="AU584" s="95" t="s">
        <v>77</v>
      </c>
      <c r="AV584" s="14" t="s">
        <v>77</v>
      </c>
      <c r="AW584" s="14" t="s">
        <v>30</v>
      </c>
      <c r="AX584" s="14" t="s">
        <v>75</v>
      </c>
      <c r="AY584" s="95" t="s">
        <v>216</v>
      </c>
    </row>
    <row r="585" spans="1:65" s="2" customFormat="1" ht="21.6" customHeight="1">
      <c r="A585" s="269"/>
      <c r="B585" s="270"/>
      <c r="C585" s="308" t="s">
        <v>782</v>
      </c>
      <c r="D585" s="308" t="s">
        <v>218</v>
      </c>
      <c r="E585" s="309" t="s">
        <v>783</v>
      </c>
      <c r="F585" s="310" t="s">
        <v>784</v>
      </c>
      <c r="G585" s="311" t="s">
        <v>364</v>
      </c>
      <c r="H585" s="312">
        <v>15</v>
      </c>
      <c r="I585" s="82">
        <v>0</v>
      </c>
      <c r="J585" s="82">
        <f>ROUND(I585*H585,2)</f>
        <v>0</v>
      </c>
      <c r="K585" s="310" t="s">
        <v>222</v>
      </c>
      <c r="L585" s="24"/>
      <c r="M585" s="83" t="s">
        <v>3</v>
      </c>
      <c r="N585" s="84" t="s">
        <v>39</v>
      </c>
      <c r="O585" s="85">
        <v>10.194000000000001</v>
      </c>
      <c r="P585" s="85">
        <f>O585*H585</f>
        <v>152.91000000000003</v>
      </c>
      <c r="Q585" s="85">
        <v>0.11903</v>
      </c>
      <c r="R585" s="85">
        <f>Q585*H585</f>
        <v>1.78545</v>
      </c>
      <c r="S585" s="85">
        <v>0</v>
      </c>
      <c r="T585" s="86">
        <f>S585*H585</f>
        <v>0</v>
      </c>
      <c r="U585" s="23"/>
      <c r="V585" s="23"/>
      <c r="W585" s="23"/>
      <c r="X585" s="23"/>
      <c r="Y585" s="23"/>
      <c r="Z585" s="23"/>
      <c r="AA585" s="23"/>
      <c r="AB585" s="23"/>
      <c r="AC585" s="23"/>
      <c r="AD585" s="23"/>
      <c r="AE585" s="23"/>
      <c r="AR585" s="87" t="s">
        <v>223</v>
      </c>
      <c r="AT585" s="87" t="s">
        <v>218</v>
      </c>
      <c r="AU585" s="87" t="s">
        <v>77</v>
      </c>
      <c r="AY585" s="19" t="s">
        <v>216</v>
      </c>
      <c r="BE585" s="88">
        <f>IF(N585="základní",J585,0)</f>
        <v>0</v>
      </c>
      <c r="BF585" s="88">
        <f>IF(N585="snížená",J585,0)</f>
        <v>0</v>
      </c>
      <c r="BG585" s="88">
        <f>IF(N585="zákl. přenesená",J585,0)</f>
        <v>0</v>
      </c>
      <c r="BH585" s="88">
        <f>IF(N585="sníž. přenesená",J585,0)</f>
        <v>0</v>
      </c>
      <c r="BI585" s="88">
        <f>IF(N585="nulová",J585,0)</f>
        <v>0</v>
      </c>
      <c r="BJ585" s="19" t="s">
        <v>75</v>
      </c>
      <c r="BK585" s="88">
        <f>ROUND(I585*H585,2)</f>
        <v>0</v>
      </c>
      <c r="BL585" s="19" t="s">
        <v>223</v>
      </c>
      <c r="BM585" s="87" t="s">
        <v>785</v>
      </c>
    </row>
    <row r="586" spans="1:65" s="2" customFormat="1" ht="107.25">
      <c r="A586" s="269"/>
      <c r="B586" s="270"/>
      <c r="C586" s="269"/>
      <c r="D586" s="315" t="s">
        <v>231</v>
      </c>
      <c r="E586" s="269"/>
      <c r="F586" s="323" t="s">
        <v>786</v>
      </c>
      <c r="G586" s="269"/>
      <c r="H586" s="269"/>
      <c r="I586" s="248"/>
      <c r="J586" s="248"/>
      <c r="K586" s="269"/>
      <c r="L586" s="24"/>
      <c r="M586" s="99"/>
      <c r="N586" s="100"/>
      <c r="O586" s="32"/>
      <c r="P586" s="32"/>
      <c r="Q586" s="32"/>
      <c r="R586" s="32"/>
      <c r="S586" s="32"/>
      <c r="T586" s="33"/>
      <c r="U586" s="23"/>
      <c r="V586" s="23"/>
      <c r="W586" s="23"/>
      <c r="X586" s="23"/>
      <c r="Y586" s="23"/>
      <c r="Z586" s="23"/>
      <c r="AA586" s="23"/>
      <c r="AB586" s="23"/>
      <c r="AC586" s="23"/>
      <c r="AD586" s="23"/>
      <c r="AE586" s="23"/>
      <c r="AT586" s="19" t="s">
        <v>231</v>
      </c>
      <c r="AU586" s="19" t="s">
        <v>77</v>
      </c>
    </row>
    <row r="587" spans="1:65" s="13" customFormat="1">
      <c r="A587" s="313"/>
      <c r="B587" s="314"/>
      <c r="C587" s="313"/>
      <c r="D587" s="315" t="s">
        <v>225</v>
      </c>
      <c r="E587" s="316" t="s">
        <v>3</v>
      </c>
      <c r="F587" s="317" t="s">
        <v>372</v>
      </c>
      <c r="G587" s="313"/>
      <c r="H587" s="316" t="s">
        <v>3</v>
      </c>
      <c r="I587" s="259"/>
      <c r="J587" s="259"/>
      <c r="K587" s="313"/>
      <c r="L587" s="89"/>
      <c r="M587" s="91"/>
      <c r="N587" s="92"/>
      <c r="O587" s="92"/>
      <c r="P587" s="92"/>
      <c r="Q587" s="92"/>
      <c r="R587" s="92"/>
      <c r="S587" s="92"/>
      <c r="T587" s="93"/>
      <c r="AT587" s="90" t="s">
        <v>225</v>
      </c>
      <c r="AU587" s="90" t="s">
        <v>77</v>
      </c>
      <c r="AV587" s="13" t="s">
        <v>75</v>
      </c>
      <c r="AW587" s="13" t="s">
        <v>30</v>
      </c>
      <c r="AX587" s="13" t="s">
        <v>68</v>
      </c>
      <c r="AY587" s="90" t="s">
        <v>216</v>
      </c>
    </row>
    <row r="588" spans="1:65" s="14" customFormat="1">
      <c r="A588" s="318"/>
      <c r="B588" s="319"/>
      <c r="C588" s="318"/>
      <c r="D588" s="315" t="s">
        <v>225</v>
      </c>
      <c r="E588" s="320" t="s">
        <v>3</v>
      </c>
      <c r="F588" s="321" t="s">
        <v>787</v>
      </c>
      <c r="G588" s="318"/>
      <c r="H588" s="322">
        <v>15</v>
      </c>
      <c r="I588" s="260"/>
      <c r="J588" s="260"/>
      <c r="K588" s="318"/>
      <c r="L588" s="94"/>
      <c r="M588" s="96"/>
      <c r="N588" s="97"/>
      <c r="O588" s="97"/>
      <c r="P588" s="97"/>
      <c r="Q588" s="97"/>
      <c r="R588" s="97"/>
      <c r="S588" s="97"/>
      <c r="T588" s="98"/>
      <c r="AT588" s="95" t="s">
        <v>225</v>
      </c>
      <c r="AU588" s="95" t="s">
        <v>77</v>
      </c>
      <c r="AV588" s="14" t="s">
        <v>77</v>
      </c>
      <c r="AW588" s="14" t="s">
        <v>30</v>
      </c>
      <c r="AX588" s="14" t="s">
        <v>75</v>
      </c>
      <c r="AY588" s="95" t="s">
        <v>216</v>
      </c>
    </row>
    <row r="589" spans="1:65" s="2" customFormat="1" ht="21.6" customHeight="1">
      <c r="A589" s="269"/>
      <c r="B589" s="270"/>
      <c r="C589" s="308" t="s">
        <v>788</v>
      </c>
      <c r="D589" s="308" t="s">
        <v>218</v>
      </c>
      <c r="E589" s="309" t="s">
        <v>789</v>
      </c>
      <c r="F589" s="310" t="s">
        <v>790</v>
      </c>
      <c r="G589" s="311" t="s">
        <v>364</v>
      </c>
      <c r="H589" s="312">
        <v>15</v>
      </c>
      <c r="I589" s="82">
        <v>0</v>
      </c>
      <c r="J589" s="82">
        <f>ROUND(I589*H589,2)</f>
        <v>0</v>
      </c>
      <c r="K589" s="310" t="s">
        <v>222</v>
      </c>
      <c r="L589" s="24"/>
      <c r="M589" s="83" t="s">
        <v>3</v>
      </c>
      <c r="N589" s="84" t="s">
        <v>39</v>
      </c>
      <c r="O589" s="85">
        <v>14.164</v>
      </c>
      <c r="P589" s="85">
        <f>O589*H589</f>
        <v>212.46</v>
      </c>
      <c r="Q589" s="85">
        <v>0.1389</v>
      </c>
      <c r="R589" s="85">
        <f>Q589*H589</f>
        <v>2.0834999999999999</v>
      </c>
      <c r="S589" s="85">
        <v>0</v>
      </c>
      <c r="T589" s="86">
        <f>S589*H589</f>
        <v>0</v>
      </c>
      <c r="U589" s="23"/>
      <c r="V589" s="23"/>
      <c r="W589" s="23"/>
      <c r="X589" s="23"/>
      <c r="Y589" s="23"/>
      <c r="Z589" s="23"/>
      <c r="AA589" s="23"/>
      <c r="AB589" s="23"/>
      <c r="AC589" s="23"/>
      <c r="AD589" s="23"/>
      <c r="AE589" s="23"/>
      <c r="AR589" s="87" t="s">
        <v>223</v>
      </c>
      <c r="AT589" s="87" t="s">
        <v>218</v>
      </c>
      <c r="AU589" s="87" t="s">
        <v>77</v>
      </c>
      <c r="AY589" s="19" t="s">
        <v>216</v>
      </c>
      <c r="BE589" s="88">
        <f>IF(N589="základní",J589,0)</f>
        <v>0</v>
      </c>
      <c r="BF589" s="88">
        <f>IF(N589="snížená",J589,0)</f>
        <v>0</v>
      </c>
      <c r="BG589" s="88">
        <f>IF(N589="zákl. přenesená",J589,0)</f>
        <v>0</v>
      </c>
      <c r="BH589" s="88">
        <f>IF(N589="sníž. přenesená",J589,0)</f>
        <v>0</v>
      </c>
      <c r="BI589" s="88">
        <f>IF(N589="nulová",J589,0)</f>
        <v>0</v>
      </c>
      <c r="BJ589" s="19" t="s">
        <v>75</v>
      </c>
      <c r="BK589" s="88">
        <f>ROUND(I589*H589,2)</f>
        <v>0</v>
      </c>
      <c r="BL589" s="19" t="s">
        <v>223</v>
      </c>
      <c r="BM589" s="87" t="s">
        <v>791</v>
      </c>
    </row>
    <row r="590" spans="1:65" s="2" customFormat="1" ht="107.25">
      <c r="A590" s="269"/>
      <c r="B590" s="270"/>
      <c r="C590" s="269"/>
      <c r="D590" s="315" t="s">
        <v>231</v>
      </c>
      <c r="E590" s="269"/>
      <c r="F590" s="323" t="s">
        <v>786</v>
      </c>
      <c r="G590" s="269"/>
      <c r="H590" s="269"/>
      <c r="I590" s="248"/>
      <c r="J590" s="248"/>
      <c r="K590" s="269"/>
      <c r="L590" s="24"/>
      <c r="M590" s="99"/>
      <c r="N590" s="100"/>
      <c r="O590" s="32"/>
      <c r="P590" s="32"/>
      <c r="Q590" s="32"/>
      <c r="R590" s="32"/>
      <c r="S590" s="32"/>
      <c r="T590" s="33"/>
      <c r="U590" s="23"/>
      <c r="V590" s="23"/>
      <c r="W590" s="23"/>
      <c r="X590" s="23"/>
      <c r="Y590" s="23"/>
      <c r="Z590" s="23"/>
      <c r="AA590" s="23"/>
      <c r="AB590" s="23"/>
      <c r="AC590" s="23"/>
      <c r="AD590" s="23"/>
      <c r="AE590" s="23"/>
      <c r="AT590" s="19" t="s">
        <v>231</v>
      </c>
      <c r="AU590" s="19" t="s">
        <v>77</v>
      </c>
    </row>
    <row r="591" spans="1:65" s="13" customFormat="1">
      <c r="A591" s="313"/>
      <c r="B591" s="314"/>
      <c r="C591" s="313"/>
      <c r="D591" s="315" t="s">
        <v>225</v>
      </c>
      <c r="E591" s="316" t="s">
        <v>3</v>
      </c>
      <c r="F591" s="317" t="s">
        <v>372</v>
      </c>
      <c r="G591" s="313"/>
      <c r="H591" s="316" t="s">
        <v>3</v>
      </c>
      <c r="I591" s="259"/>
      <c r="J591" s="259"/>
      <c r="K591" s="313"/>
      <c r="L591" s="89"/>
      <c r="M591" s="91"/>
      <c r="N591" s="92"/>
      <c r="O591" s="92"/>
      <c r="P591" s="92"/>
      <c r="Q591" s="92"/>
      <c r="R591" s="92"/>
      <c r="S591" s="92"/>
      <c r="T591" s="93"/>
      <c r="AT591" s="90" t="s">
        <v>225</v>
      </c>
      <c r="AU591" s="90" t="s">
        <v>77</v>
      </c>
      <c r="AV591" s="13" t="s">
        <v>75</v>
      </c>
      <c r="AW591" s="13" t="s">
        <v>30</v>
      </c>
      <c r="AX591" s="13" t="s">
        <v>68</v>
      </c>
      <c r="AY591" s="90" t="s">
        <v>216</v>
      </c>
    </row>
    <row r="592" spans="1:65" s="14" customFormat="1">
      <c r="A592" s="318"/>
      <c r="B592" s="319"/>
      <c r="C592" s="318"/>
      <c r="D592" s="315" t="s">
        <v>225</v>
      </c>
      <c r="E592" s="320" t="s">
        <v>3</v>
      </c>
      <c r="F592" s="321" t="s">
        <v>787</v>
      </c>
      <c r="G592" s="318"/>
      <c r="H592" s="322">
        <v>15</v>
      </c>
      <c r="I592" s="260"/>
      <c r="J592" s="260"/>
      <c r="K592" s="318"/>
      <c r="L592" s="94"/>
      <c r="M592" s="96"/>
      <c r="N592" s="97"/>
      <c r="O592" s="97"/>
      <c r="P592" s="97"/>
      <c r="Q592" s="97"/>
      <c r="R592" s="97"/>
      <c r="S592" s="97"/>
      <c r="T592" s="98"/>
      <c r="AT592" s="95" t="s">
        <v>225</v>
      </c>
      <c r="AU592" s="95" t="s">
        <v>77</v>
      </c>
      <c r="AV592" s="14" t="s">
        <v>77</v>
      </c>
      <c r="AW592" s="14" t="s">
        <v>30</v>
      </c>
      <c r="AX592" s="14" t="s">
        <v>75</v>
      </c>
      <c r="AY592" s="95" t="s">
        <v>216</v>
      </c>
    </row>
    <row r="593" spans="1:65" s="2" customFormat="1" ht="21.6" customHeight="1">
      <c r="A593" s="269"/>
      <c r="B593" s="270"/>
      <c r="C593" s="308" t="s">
        <v>792</v>
      </c>
      <c r="D593" s="308" t="s">
        <v>218</v>
      </c>
      <c r="E593" s="309" t="s">
        <v>793</v>
      </c>
      <c r="F593" s="310" t="s">
        <v>794</v>
      </c>
      <c r="G593" s="311" t="s">
        <v>364</v>
      </c>
      <c r="H593" s="312">
        <v>6.2</v>
      </c>
      <c r="I593" s="82">
        <v>0</v>
      </c>
      <c r="J593" s="82">
        <f>ROUND(I593*H593,2)</f>
        <v>0</v>
      </c>
      <c r="K593" s="310" t="s">
        <v>222</v>
      </c>
      <c r="L593" s="24"/>
      <c r="M593" s="83" t="s">
        <v>3</v>
      </c>
      <c r="N593" s="84" t="s">
        <v>39</v>
      </c>
      <c r="O593" s="85">
        <v>0.6</v>
      </c>
      <c r="P593" s="85">
        <f>O593*H593</f>
        <v>3.7199999999999998</v>
      </c>
      <c r="Q593" s="85">
        <v>7.3999999999999999E-4</v>
      </c>
      <c r="R593" s="85">
        <f>Q593*H593</f>
        <v>4.5880000000000001E-3</v>
      </c>
      <c r="S593" s="85">
        <v>8.0000000000000002E-3</v>
      </c>
      <c r="T593" s="86">
        <f>S593*H593</f>
        <v>4.9600000000000005E-2</v>
      </c>
      <c r="U593" s="23"/>
      <c r="V593" s="23"/>
      <c r="W593" s="23"/>
      <c r="X593" s="23"/>
      <c r="Y593" s="23"/>
      <c r="Z593" s="23"/>
      <c r="AA593" s="23"/>
      <c r="AB593" s="23"/>
      <c r="AC593" s="23"/>
      <c r="AD593" s="23"/>
      <c r="AE593" s="23"/>
      <c r="AR593" s="87" t="s">
        <v>223</v>
      </c>
      <c r="AT593" s="87" t="s">
        <v>218</v>
      </c>
      <c r="AU593" s="87" t="s">
        <v>77</v>
      </c>
      <c r="AY593" s="19" t="s">
        <v>216</v>
      </c>
      <c r="BE593" s="88">
        <f>IF(N593="základní",J593,0)</f>
        <v>0</v>
      </c>
      <c r="BF593" s="88">
        <f>IF(N593="snížená",J593,0)</f>
        <v>0</v>
      </c>
      <c r="BG593" s="88">
        <f>IF(N593="zákl. přenesená",J593,0)</f>
        <v>0</v>
      </c>
      <c r="BH593" s="88">
        <f>IF(N593="sníž. přenesená",J593,0)</f>
        <v>0</v>
      </c>
      <c r="BI593" s="88">
        <f>IF(N593="nulová",J593,0)</f>
        <v>0</v>
      </c>
      <c r="BJ593" s="19" t="s">
        <v>75</v>
      </c>
      <c r="BK593" s="88">
        <f>ROUND(I593*H593,2)</f>
        <v>0</v>
      </c>
      <c r="BL593" s="19" t="s">
        <v>223</v>
      </c>
      <c r="BM593" s="87" t="s">
        <v>795</v>
      </c>
    </row>
    <row r="594" spans="1:65" s="2" customFormat="1" ht="48.75">
      <c r="A594" s="269"/>
      <c r="B594" s="270"/>
      <c r="C594" s="269"/>
      <c r="D594" s="315" t="s">
        <v>231</v>
      </c>
      <c r="E594" s="269"/>
      <c r="F594" s="323" t="s">
        <v>796</v>
      </c>
      <c r="G594" s="269"/>
      <c r="H594" s="269"/>
      <c r="I594" s="248"/>
      <c r="J594" s="248"/>
      <c r="K594" s="269"/>
      <c r="L594" s="24"/>
      <c r="M594" s="99"/>
      <c r="N594" s="100"/>
      <c r="O594" s="32"/>
      <c r="P594" s="32"/>
      <c r="Q594" s="32"/>
      <c r="R594" s="32"/>
      <c r="S594" s="32"/>
      <c r="T594" s="33"/>
      <c r="U594" s="23"/>
      <c r="V594" s="23"/>
      <c r="W594" s="23"/>
      <c r="X594" s="23"/>
      <c r="Y594" s="23"/>
      <c r="Z594" s="23"/>
      <c r="AA594" s="23"/>
      <c r="AB594" s="23"/>
      <c r="AC594" s="23"/>
      <c r="AD594" s="23"/>
      <c r="AE594" s="23"/>
      <c r="AT594" s="19" t="s">
        <v>231</v>
      </c>
      <c r="AU594" s="19" t="s">
        <v>77</v>
      </c>
    </row>
    <row r="595" spans="1:65" s="13" customFormat="1">
      <c r="A595" s="313"/>
      <c r="B595" s="314"/>
      <c r="C595" s="313"/>
      <c r="D595" s="315" t="s">
        <v>225</v>
      </c>
      <c r="E595" s="316" t="s">
        <v>3</v>
      </c>
      <c r="F595" s="317" t="s">
        <v>241</v>
      </c>
      <c r="G595" s="313"/>
      <c r="H595" s="316" t="s">
        <v>3</v>
      </c>
      <c r="I595" s="259"/>
      <c r="J595" s="259"/>
      <c r="K595" s="313"/>
      <c r="L595" s="89"/>
      <c r="M595" s="91"/>
      <c r="N595" s="92"/>
      <c r="O595" s="92"/>
      <c r="P595" s="92"/>
      <c r="Q595" s="92"/>
      <c r="R595" s="92"/>
      <c r="S595" s="92"/>
      <c r="T595" s="93"/>
      <c r="AT595" s="90" t="s">
        <v>225</v>
      </c>
      <c r="AU595" s="90" t="s">
        <v>77</v>
      </c>
      <c r="AV595" s="13" t="s">
        <v>75</v>
      </c>
      <c r="AW595" s="13" t="s">
        <v>30</v>
      </c>
      <c r="AX595" s="13" t="s">
        <v>68</v>
      </c>
      <c r="AY595" s="90" t="s">
        <v>216</v>
      </c>
    </row>
    <row r="596" spans="1:65" s="13" customFormat="1">
      <c r="A596" s="313"/>
      <c r="B596" s="314"/>
      <c r="C596" s="313"/>
      <c r="D596" s="315" t="s">
        <v>225</v>
      </c>
      <c r="E596" s="316" t="s">
        <v>3</v>
      </c>
      <c r="F596" s="317" t="s">
        <v>797</v>
      </c>
      <c r="G596" s="313"/>
      <c r="H596" s="316" t="s">
        <v>3</v>
      </c>
      <c r="I596" s="259"/>
      <c r="J596" s="259"/>
      <c r="K596" s="313"/>
      <c r="L596" s="89"/>
      <c r="M596" s="91"/>
      <c r="N596" s="92"/>
      <c r="O596" s="92"/>
      <c r="P596" s="92"/>
      <c r="Q596" s="92"/>
      <c r="R596" s="92"/>
      <c r="S596" s="92"/>
      <c r="T596" s="93"/>
      <c r="AT596" s="90" t="s">
        <v>225</v>
      </c>
      <c r="AU596" s="90" t="s">
        <v>77</v>
      </c>
      <c r="AV596" s="13" t="s">
        <v>75</v>
      </c>
      <c r="AW596" s="13" t="s">
        <v>30</v>
      </c>
      <c r="AX596" s="13" t="s">
        <v>68</v>
      </c>
      <c r="AY596" s="90" t="s">
        <v>216</v>
      </c>
    </row>
    <row r="597" spans="1:65" s="14" customFormat="1">
      <c r="A597" s="318"/>
      <c r="B597" s="319"/>
      <c r="C597" s="318"/>
      <c r="D597" s="315" t="s">
        <v>225</v>
      </c>
      <c r="E597" s="320" t="s">
        <v>3</v>
      </c>
      <c r="F597" s="321" t="s">
        <v>798</v>
      </c>
      <c r="G597" s="318"/>
      <c r="H597" s="322">
        <v>6.2</v>
      </c>
      <c r="I597" s="260"/>
      <c r="J597" s="260"/>
      <c r="K597" s="318"/>
      <c r="L597" s="94"/>
      <c r="M597" s="96"/>
      <c r="N597" s="97"/>
      <c r="O597" s="97"/>
      <c r="P597" s="97"/>
      <c r="Q597" s="97"/>
      <c r="R597" s="97"/>
      <c r="S597" s="97"/>
      <c r="T597" s="98"/>
      <c r="AT597" s="95" t="s">
        <v>225</v>
      </c>
      <c r="AU597" s="95" t="s">
        <v>77</v>
      </c>
      <c r="AV597" s="14" t="s">
        <v>77</v>
      </c>
      <c r="AW597" s="14" t="s">
        <v>30</v>
      </c>
      <c r="AX597" s="14" t="s">
        <v>75</v>
      </c>
      <c r="AY597" s="95" t="s">
        <v>216</v>
      </c>
    </row>
    <row r="598" spans="1:65" s="2" customFormat="1" ht="21.6" customHeight="1">
      <c r="A598" s="269"/>
      <c r="B598" s="270"/>
      <c r="C598" s="308" t="s">
        <v>799</v>
      </c>
      <c r="D598" s="308" t="s">
        <v>218</v>
      </c>
      <c r="E598" s="309" t="s">
        <v>800</v>
      </c>
      <c r="F598" s="310" t="s">
        <v>801</v>
      </c>
      <c r="G598" s="311" t="s">
        <v>364</v>
      </c>
      <c r="H598" s="312">
        <v>5.8</v>
      </c>
      <c r="I598" s="82">
        <v>0</v>
      </c>
      <c r="J598" s="82">
        <f>ROUND(I598*H598,2)</f>
        <v>0</v>
      </c>
      <c r="K598" s="310" t="s">
        <v>222</v>
      </c>
      <c r="L598" s="24"/>
      <c r="M598" s="83" t="s">
        <v>3</v>
      </c>
      <c r="N598" s="84" t="s">
        <v>39</v>
      </c>
      <c r="O598" s="85">
        <v>1</v>
      </c>
      <c r="P598" s="85">
        <f>O598*H598</f>
        <v>5.8</v>
      </c>
      <c r="Q598" s="85">
        <v>8.4000000000000003E-4</v>
      </c>
      <c r="R598" s="85">
        <f>Q598*H598</f>
        <v>4.8720000000000005E-3</v>
      </c>
      <c r="S598" s="85">
        <v>0.02</v>
      </c>
      <c r="T598" s="86">
        <f>S598*H598</f>
        <v>0.11599999999999999</v>
      </c>
      <c r="U598" s="23"/>
      <c r="V598" s="23"/>
      <c r="W598" s="23"/>
      <c r="X598" s="23"/>
      <c r="Y598" s="23"/>
      <c r="Z598" s="23"/>
      <c r="AA598" s="23"/>
      <c r="AB598" s="23"/>
      <c r="AC598" s="23"/>
      <c r="AD598" s="23"/>
      <c r="AE598" s="23"/>
      <c r="AR598" s="87" t="s">
        <v>223</v>
      </c>
      <c r="AT598" s="87" t="s">
        <v>218</v>
      </c>
      <c r="AU598" s="87" t="s">
        <v>77</v>
      </c>
      <c r="AY598" s="19" t="s">
        <v>216</v>
      </c>
      <c r="BE598" s="88">
        <f>IF(N598="základní",J598,0)</f>
        <v>0</v>
      </c>
      <c r="BF598" s="88">
        <f>IF(N598="snížená",J598,0)</f>
        <v>0</v>
      </c>
      <c r="BG598" s="88">
        <f>IF(N598="zákl. přenesená",J598,0)</f>
        <v>0</v>
      </c>
      <c r="BH598" s="88">
        <f>IF(N598="sníž. přenesená",J598,0)</f>
        <v>0</v>
      </c>
      <c r="BI598" s="88">
        <f>IF(N598="nulová",J598,0)</f>
        <v>0</v>
      </c>
      <c r="BJ598" s="19" t="s">
        <v>75</v>
      </c>
      <c r="BK598" s="88">
        <f>ROUND(I598*H598,2)</f>
        <v>0</v>
      </c>
      <c r="BL598" s="19" t="s">
        <v>223</v>
      </c>
      <c r="BM598" s="87" t="s">
        <v>802</v>
      </c>
    </row>
    <row r="599" spans="1:65" s="2" customFormat="1" ht="48.75">
      <c r="A599" s="269"/>
      <c r="B599" s="270"/>
      <c r="C599" s="269"/>
      <c r="D599" s="315" t="s">
        <v>231</v>
      </c>
      <c r="E599" s="269"/>
      <c r="F599" s="323" t="s">
        <v>796</v>
      </c>
      <c r="G599" s="269"/>
      <c r="H599" s="269"/>
      <c r="I599" s="248"/>
      <c r="J599" s="248"/>
      <c r="K599" s="269"/>
      <c r="L599" s="24"/>
      <c r="M599" s="99"/>
      <c r="N599" s="100"/>
      <c r="O599" s="32"/>
      <c r="P599" s="32"/>
      <c r="Q599" s="32"/>
      <c r="R599" s="32"/>
      <c r="S599" s="32"/>
      <c r="T599" s="33"/>
      <c r="U599" s="23"/>
      <c r="V599" s="23"/>
      <c r="W599" s="23"/>
      <c r="X599" s="23"/>
      <c r="Y599" s="23"/>
      <c r="Z599" s="23"/>
      <c r="AA599" s="23"/>
      <c r="AB599" s="23"/>
      <c r="AC599" s="23"/>
      <c r="AD599" s="23"/>
      <c r="AE599" s="23"/>
      <c r="AT599" s="19" t="s">
        <v>231</v>
      </c>
      <c r="AU599" s="19" t="s">
        <v>77</v>
      </c>
    </row>
    <row r="600" spans="1:65" s="13" customFormat="1">
      <c r="A600" s="313"/>
      <c r="B600" s="314"/>
      <c r="C600" s="313"/>
      <c r="D600" s="315" t="s">
        <v>225</v>
      </c>
      <c r="E600" s="316" t="s">
        <v>3</v>
      </c>
      <c r="F600" s="317" t="s">
        <v>241</v>
      </c>
      <c r="G600" s="313"/>
      <c r="H600" s="316" t="s">
        <v>3</v>
      </c>
      <c r="I600" s="259"/>
      <c r="J600" s="259"/>
      <c r="K600" s="313"/>
      <c r="L600" s="89"/>
      <c r="M600" s="91"/>
      <c r="N600" s="92"/>
      <c r="O600" s="92"/>
      <c r="P600" s="92"/>
      <c r="Q600" s="92"/>
      <c r="R600" s="92"/>
      <c r="S600" s="92"/>
      <c r="T600" s="93"/>
      <c r="AT600" s="90" t="s">
        <v>225</v>
      </c>
      <c r="AU600" s="90" t="s">
        <v>77</v>
      </c>
      <c r="AV600" s="13" t="s">
        <v>75</v>
      </c>
      <c r="AW600" s="13" t="s">
        <v>30</v>
      </c>
      <c r="AX600" s="13" t="s">
        <v>68</v>
      </c>
      <c r="AY600" s="90" t="s">
        <v>216</v>
      </c>
    </row>
    <row r="601" spans="1:65" s="13" customFormat="1">
      <c r="A601" s="313"/>
      <c r="B601" s="314"/>
      <c r="C601" s="313"/>
      <c r="D601" s="315" t="s">
        <v>225</v>
      </c>
      <c r="E601" s="316" t="s">
        <v>3</v>
      </c>
      <c r="F601" s="317" t="s">
        <v>797</v>
      </c>
      <c r="G601" s="313"/>
      <c r="H601" s="316" t="s">
        <v>3</v>
      </c>
      <c r="I601" s="259"/>
      <c r="J601" s="259"/>
      <c r="K601" s="313"/>
      <c r="L601" s="89"/>
      <c r="M601" s="91"/>
      <c r="N601" s="92"/>
      <c r="O601" s="92"/>
      <c r="P601" s="92"/>
      <c r="Q601" s="92"/>
      <c r="R601" s="92"/>
      <c r="S601" s="92"/>
      <c r="T601" s="93"/>
      <c r="AT601" s="90" t="s">
        <v>225</v>
      </c>
      <c r="AU601" s="90" t="s">
        <v>77</v>
      </c>
      <c r="AV601" s="13" t="s">
        <v>75</v>
      </c>
      <c r="AW601" s="13" t="s">
        <v>30</v>
      </c>
      <c r="AX601" s="13" t="s">
        <v>68</v>
      </c>
      <c r="AY601" s="90" t="s">
        <v>216</v>
      </c>
    </row>
    <row r="602" spans="1:65" s="14" customFormat="1">
      <c r="A602" s="318"/>
      <c r="B602" s="319"/>
      <c r="C602" s="318"/>
      <c r="D602" s="315" t="s">
        <v>225</v>
      </c>
      <c r="E602" s="320" t="s">
        <v>3</v>
      </c>
      <c r="F602" s="321" t="s">
        <v>803</v>
      </c>
      <c r="G602" s="318"/>
      <c r="H602" s="322">
        <v>5.8</v>
      </c>
      <c r="I602" s="260"/>
      <c r="J602" s="260"/>
      <c r="K602" s="318"/>
      <c r="L602" s="94"/>
      <c r="M602" s="96"/>
      <c r="N602" s="97"/>
      <c r="O602" s="97"/>
      <c r="P602" s="97"/>
      <c r="Q602" s="97"/>
      <c r="R602" s="97"/>
      <c r="S602" s="97"/>
      <c r="T602" s="98"/>
      <c r="AT602" s="95" t="s">
        <v>225</v>
      </c>
      <c r="AU602" s="95" t="s">
        <v>77</v>
      </c>
      <c r="AV602" s="14" t="s">
        <v>77</v>
      </c>
      <c r="AW602" s="14" t="s">
        <v>30</v>
      </c>
      <c r="AX602" s="14" t="s">
        <v>75</v>
      </c>
      <c r="AY602" s="95" t="s">
        <v>216</v>
      </c>
    </row>
    <row r="603" spans="1:65" s="2" customFormat="1" ht="21.6" customHeight="1">
      <c r="A603" s="269"/>
      <c r="B603" s="270"/>
      <c r="C603" s="308" t="s">
        <v>804</v>
      </c>
      <c r="D603" s="308" t="s">
        <v>218</v>
      </c>
      <c r="E603" s="309" t="s">
        <v>805</v>
      </c>
      <c r="F603" s="310" t="s">
        <v>806</v>
      </c>
      <c r="G603" s="311" t="s">
        <v>364</v>
      </c>
      <c r="H603" s="312">
        <v>5.6</v>
      </c>
      <c r="I603" s="82">
        <v>0</v>
      </c>
      <c r="J603" s="82">
        <f>ROUND(I603*H603,2)</f>
        <v>0</v>
      </c>
      <c r="K603" s="310" t="s">
        <v>222</v>
      </c>
      <c r="L603" s="24"/>
      <c r="M603" s="83" t="s">
        <v>3</v>
      </c>
      <c r="N603" s="84" t="s">
        <v>39</v>
      </c>
      <c r="O603" s="85">
        <v>1.5</v>
      </c>
      <c r="P603" s="85">
        <f>O603*H603</f>
        <v>8.3999999999999986</v>
      </c>
      <c r="Q603" s="85">
        <v>9.6000000000000002E-4</v>
      </c>
      <c r="R603" s="85">
        <f>Q603*H603</f>
        <v>5.3759999999999997E-3</v>
      </c>
      <c r="S603" s="85">
        <v>3.1E-2</v>
      </c>
      <c r="T603" s="86">
        <f>S603*H603</f>
        <v>0.17359999999999998</v>
      </c>
      <c r="U603" s="23"/>
      <c r="V603" s="23"/>
      <c r="W603" s="23"/>
      <c r="X603" s="23"/>
      <c r="Y603" s="23"/>
      <c r="Z603" s="23"/>
      <c r="AA603" s="23"/>
      <c r="AB603" s="23"/>
      <c r="AC603" s="23"/>
      <c r="AD603" s="23"/>
      <c r="AE603" s="23"/>
      <c r="AR603" s="87" t="s">
        <v>223</v>
      </c>
      <c r="AT603" s="87" t="s">
        <v>218</v>
      </c>
      <c r="AU603" s="87" t="s">
        <v>77</v>
      </c>
      <c r="AY603" s="19" t="s">
        <v>216</v>
      </c>
      <c r="BE603" s="88">
        <f>IF(N603="základní",J603,0)</f>
        <v>0</v>
      </c>
      <c r="BF603" s="88">
        <f>IF(N603="snížená",J603,0)</f>
        <v>0</v>
      </c>
      <c r="BG603" s="88">
        <f>IF(N603="zákl. přenesená",J603,0)</f>
        <v>0</v>
      </c>
      <c r="BH603" s="88">
        <f>IF(N603="sníž. přenesená",J603,0)</f>
        <v>0</v>
      </c>
      <c r="BI603" s="88">
        <f>IF(N603="nulová",J603,0)</f>
        <v>0</v>
      </c>
      <c r="BJ603" s="19" t="s">
        <v>75</v>
      </c>
      <c r="BK603" s="88">
        <f>ROUND(I603*H603,2)</f>
        <v>0</v>
      </c>
      <c r="BL603" s="19" t="s">
        <v>223</v>
      </c>
      <c r="BM603" s="87" t="s">
        <v>807</v>
      </c>
    </row>
    <row r="604" spans="1:65" s="2" customFormat="1" ht="48.75">
      <c r="A604" s="269"/>
      <c r="B604" s="270"/>
      <c r="C604" s="269"/>
      <c r="D604" s="315" t="s">
        <v>231</v>
      </c>
      <c r="E604" s="269"/>
      <c r="F604" s="323" t="s">
        <v>796</v>
      </c>
      <c r="G604" s="269"/>
      <c r="H604" s="269"/>
      <c r="I604" s="248"/>
      <c r="J604" s="248"/>
      <c r="K604" s="269"/>
      <c r="L604" s="24"/>
      <c r="M604" s="99"/>
      <c r="N604" s="100"/>
      <c r="O604" s="32"/>
      <c r="P604" s="32"/>
      <c r="Q604" s="32"/>
      <c r="R604" s="32"/>
      <c r="S604" s="32"/>
      <c r="T604" s="33"/>
      <c r="U604" s="23"/>
      <c r="V604" s="23"/>
      <c r="W604" s="23"/>
      <c r="X604" s="23"/>
      <c r="Y604" s="23"/>
      <c r="Z604" s="23"/>
      <c r="AA604" s="23"/>
      <c r="AB604" s="23"/>
      <c r="AC604" s="23"/>
      <c r="AD604" s="23"/>
      <c r="AE604" s="23"/>
      <c r="AT604" s="19" t="s">
        <v>231</v>
      </c>
      <c r="AU604" s="19" t="s">
        <v>77</v>
      </c>
    </row>
    <row r="605" spans="1:65" s="13" customFormat="1">
      <c r="A605" s="313"/>
      <c r="B605" s="314"/>
      <c r="C605" s="313"/>
      <c r="D605" s="315" t="s">
        <v>225</v>
      </c>
      <c r="E605" s="316" t="s">
        <v>3</v>
      </c>
      <c r="F605" s="317" t="s">
        <v>241</v>
      </c>
      <c r="G605" s="313"/>
      <c r="H605" s="316" t="s">
        <v>3</v>
      </c>
      <c r="I605" s="259"/>
      <c r="J605" s="259"/>
      <c r="K605" s="313"/>
      <c r="L605" s="89"/>
      <c r="M605" s="91"/>
      <c r="N605" s="92"/>
      <c r="O605" s="92"/>
      <c r="P605" s="92"/>
      <c r="Q605" s="92"/>
      <c r="R605" s="92"/>
      <c r="S605" s="92"/>
      <c r="T605" s="93"/>
      <c r="AT605" s="90" t="s">
        <v>225</v>
      </c>
      <c r="AU605" s="90" t="s">
        <v>77</v>
      </c>
      <c r="AV605" s="13" t="s">
        <v>75</v>
      </c>
      <c r="AW605" s="13" t="s">
        <v>30</v>
      </c>
      <c r="AX605" s="13" t="s">
        <v>68</v>
      </c>
      <c r="AY605" s="90" t="s">
        <v>216</v>
      </c>
    </row>
    <row r="606" spans="1:65" s="13" customFormat="1">
      <c r="A606" s="313"/>
      <c r="B606" s="314"/>
      <c r="C606" s="313"/>
      <c r="D606" s="315" t="s">
        <v>225</v>
      </c>
      <c r="E606" s="316" t="s">
        <v>3</v>
      </c>
      <c r="F606" s="317" t="s">
        <v>797</v>
      </c>
      <c r="G606" s="313"/>
      <c r="H606" s="316" t="s">
        <v>3</v>
      </c>
      <c r="I606" s="259"/>
      <c r="J606" s="259"/>
      <c r="K606" s="313"/>
      <c r="L606" s="89"/>
      <c r="M606" s="91"/>
      <c r="N606" s="92"/>
      <c r="O606" s="92"/>
      <c r="P606" s="92"/>
      <c r="Q606" s="92"/>
      <c r="R606" s="92"/>
      <c r="S606" s="92"/>
      <c r="T606" s="93"/>
      <c r="AT606" s="90" t="s">
        <v>225</v>
      </c>
      <c r="AU606" s="90" t="s">
        <v>77</v>
      </c>
      <c r="AV606" s="13" t="s">
        <v>75</v>
      </c>
      <c r="AW606" s="13" t="s">
        <v>30</v>
      </c>
      <c r="AX606" s="13" t="s">
        <v>68</v>
      </c>
      <c r="AY606" s="90" t="s">
        <v>216</v>
      </c>
    </row>
    <row r="607" spans="1:65" s="14" customFormat="1">
      <c r="A607" s="318"/>
      <c r="B607" s="319"/>
      <c r="C607" s="318"/>
      <c r="D607" s="315" t="s">
        <v>225</v>
      </c>
      <c r="E607" s="320" t="s">
        <v>3</v>
      </c>
      <c r="F607" s="321" t="s">
        <v>808</v>
      </c>
      <c r="G607" s="318"/>
      <c r="H607" s="322">
        <v>5.6</v>
      </c>
      <c r="I607" s="260"/>
      <c r="J607" s="260"/>
      <c r="K607" s="318"/>
      <c r="L607" s="94"/>
      <c r="M607" s="96"/>
      <c r="N607" s="97"/>
      <c r="O607" s="97"/>
      <c r="P607" s="97"/>
      <c r="Q607" s="97"/>
      <c r="R607" s="97"/>
      <c r="S607" s="97"/>
      <c r="T607" s="98"/>
      <c r="AT607" s="95" t="s">
        <v>225</v>
      </c>
      <c r="AU607" s="95" t="s">
        <v>77</v>
      </c>
      <c r="AV607" s="14" t="s">
        <v>77</v>
      </c>
      <c r="AW607" s="14" t="s">
        <v>30</v>
      </c>
      <c r="AX607" s="14" t="s">
        <v>75</v>
      </c>
      <c r="AY607" s="95" t="s">
        <v>216</v>
      </c>
    </row>
    <row r="608" spans="1:65" s="2" customFormat="1" ht="21.6" customHeight="1">
      <c r="A608" s="269"/>
      <c r="B608" s="270"/>
      <c r="C608" s="308" t="s">
        <v>809</v>
      </c>
      <c r="D608" s="308" t="s">
        <v>218</v>
      </c>
      <c r="E608" s="309" t="s">
        <v>810</v>
      </c>
      <c r="F608" s="310" t="s">
        <v>811</v>
      </c>
      <c r="G608" s="311" t="s">
        <v>364</v>
      </c>
      <c r="H608" s="312">
        <v>1.825</v>
      </c>
      <c r="I608" s="82">
        <v>0</v>
      </c>
      <c r="J608" s="82">
        <f>ROUND(I608*H608,2)</f>
        <v>0</v>
      </c>
      <c r="K608" s="310" t="s">
        <v>222</v>
      </c>
      <c r="L608" s="24"/>
      <c r="M608" s="83" t="s">
        <v>3</v>
      </c>
      <c r="N608" s="84" t="s">
        <v>39</v>
      </c>
      <c r="O608" s="85">
        <v>2.6</v>
      </c>
      <c r="P608" s="85">
        <f>O608*H608</f>
        <v>4.7450000000000001</v>
      </c>
      <c r="Q608" s="85">
        <v>2.82E-3</v>
      </c>
      <c r="R608" s="85">
        <f>Q608*H608</f>
        <v>5.1465E-3</v>
      </c>
      <c r="S608" s="85">
        <v>0.10100000000000001</v>
      </c>
      <c r="T608" s="86">
        <f>S608*H608</f>
        <v>0.18432500000000002</v>
      </c>
      <c r="U608" s="23"/>
      <c r="V608" s="23"/>
      <c r="W608" s="23"/>
      <c r="X608" s="23"/>
      <c r="Y608" s="23"/>
      <c r="Z608" s="23"/>
      <c r="AA608" s="23"/>
      <c r="AB608" s="23"/>
      <c r="AC608" s="23"/>
      <c r="AD608" s="23"/>
      <c r="AE608" s="23"/>
      <c r="AR608" s="87" t="s">
        <v>223</v>
      </c>
      <c r="AT608" s="87" t="s">
        <v>218</v>
      </c>
      <c r="AU608" s="87" t="s">
        <v>77</v>
      </c>
      <c r="AY608" s="19" t="s">
        <v>216</v>
      </c>
      <c r="BE608" s="88">
        <f>IF(N608="základní",J608,0)</f>
        <v>0</v>
      </c>
      <c r="BF608" s="88">
        <f>IF(N608="snížená",J608,0)</f>
        <v>0</v>
      </c>
      <c r="BG608" s="88">
        <f>IF(N608="zákl. přenesená",J608,0)</f>
        <v>0</v>
      </c>
      <c r="BH608" s="88">
        <f>IF(N608="sníž. přenesená",J608,0)</f>
        <v>0</v>
      </c>
      <c r="BI608" s="88">
        <f>IF(N608="nulová",J608,0)</f>
        <v>0</v>
      </c>
      <c r="BJ608" s="19" t="s">
        <v>75</v>
      </c>
      <c r="BK608" s="88">
        <f>ROUND(I608*H608,2)</f>
        <v>0</v>
      </c>
      <c r="BL608" s="19" t="s">
        <v>223</v>
      </c>
      <c r="BM608" s="87" t="s">
        <v>812</v>
      </c>
    </row>
    <row r="609" spans="1:65" s="2" customFormat="1" ht="48.75">
      <c r="A609" s="269"/>
      <c r="B609" s="270"/>
      <c r="C609" s="269"/>
      <c r="D609" s="315" t="s">
        <v>231</v>
      </c>
      <c r="E609" s="269"/>
      <c r="F609" s="323" t="s">
        <v>796</v>
      </c>
      <c r="G609" s="269"/>
      <c r="H609" s="269"/>
      <c r="I609" s="248"/>
      <c r="J609" s="248"/>
      <c r="K609" s="269"/>
      <c r="L609" s="24"/>
      <c r="M609" s="99"/>
      <c r="N609" s="100"/>
      <c r="O609" s="32"/>
      <c r="P609" s="32"/>
      <c r="Q609" s="32"/>
      <c r="R609" s="32"/>
      <c r="S609" s="32"/>
      <c r="T609" s="33"/>
      <c r="U609" s="23"/>
      <c r="V609" s="23"/>
      <c r="W609" s="23"/>
      <c r="X609" s="23"/>
      <c r="Y609" s="23"/>
      <c r="Z609" s="23"/>
      <c r="AA609" s="23"/>
      <c r="AB609" s="23"/>
      <c r="AC609" s="23"/>
      <c r="AD609" s="23"/>
      <c r="AE609" s="23"/>
      <c r="AT609" s="19" t="s">
        <v>231</v>
      </c>
      <c r="AU609" s="19" t="s">
        <v>77</v>
      </c>
    </row>
    <row r="610" spans="1:65" s="13" customFormat="1">
      <c r="A610" s="313"/>
      <c r="B610" s="314"/>
      <c r="C610" s="313"/>
      <c r="D610" s="315" t="s">
        <v>225</v>
      </c>
      <c r="E610" s="316" t="s">
        <v>3</v>
      </c>
      <c r="F610" s="317" t="s">
        <v>241</v>
      </c>
      <c r="G610" s="313"/>
      <c r="H610" s="316" t="s">
        <v>3</v>
      </c>
      <c r="I610" s="259"/>
      <c r="J610" s="259"/>
      <c r="K610" s="313"/>
      <c r="L610" s="89"/>
      <c r="M610" s="91"/>
      <c r="N610" s="92"/>
      <c r="O610" s="92"/>
      <c r="P610" s="92"/>
      <c r="Q610" s="92"/>
      <c r="R610" s="92"/>
      <c r="S610" s="92"/>
      <c r="T610" s="93"/>
      <c r="AT610" s="90" t="s">
        <v>225</v>
      </c>
      <c r="AU610" s="90" t="s">
        <v>77</v>
      </c>
      <c r="AV610" s="13" t="s">
        <v>75</v>
      </c>
      <c r="AW610" s="13" t="s">
        <v>30</v>
      </c>
      <c r="AX610" s="13" t="s">
        <v>68</v>
      </c>
      <c r="AY610" s="90" t="s">
        <v>216</v>
      </c>
    </row>
    <row r="611" spans="1:65" s="13" customFormat="1">
      <c r="A611" s="313"/>
      <c r="B611" s="314"/>
      <c r="C611" s="313"/>
      <c r="D611" s="315" t="s">
        <v>225</v>
      </c>
      <c r="E611" s="316" t="s">
        <v>3</v>
      </c>
      <c r="F611" s="317" t="s">
        <v>813</v>
      </c>
      <c r="G611" s="313"/>
      <c r="H611" s="316" t="s">
        <v>3</v>
      </c>
      <c r="I611" s="259"/>
      <c r="J611" s="259"/>
      <c r="K611" s="313"/>
      <c r="L611" s="89"/>
      <c r="M611" s="91"/>
      <c r="N611" s="92"/>
      <c r="O611" s="92"/>
      <c r="P611" s="92"/>
      <c r="Q611" s="92"/>
      <c r="R611" s="92"/>
      <c r="S611" s="92"/>
      <c r="T611" s="93"/>
      <c r="AT611" s="90" t="s">
        <v>225</v>
      </c>
      <c r="AU611" s="90" t="s">
        <v>77</v>
      </c>
      <c r="AV611" s="13" t="s">
        <v>75</v>
      </c>
      <c r="AW611" s="13" t="s">
        <v>30</v>
      </c>
      <c r="AX611" s="13" t="s">
        <v>68</v>
      </c>
      <c r="AY611" s="90" t="s">
        <v>216</v>
      </c>
    </row>
    <row r="612" spans="1:65" s="14" customFormat="1">
      <c r="A612" s="318"/>
      <c r="B612" s="319"/>
      <c r="C612" s="318"/>
      <c r="D612" s="315" t="s">
        <v>225</v>
      </c>
      <c r="E612" s="320" t="s">
        <v>3</v>
      </c>
      <c r="F612" s="321" t="s">
        <v>814</v>
      </c>
      <c r="G612" s="318"/>
      <c r="H612" s="322">
        <v>0.92500000000000004</v>
      </c>
      <c r="I612" s="260"/>
      <c r="J612" s="260"/>
      <c r="K612" s="318"/>
      <c r="L612" s="94"/>
      <c r="M612" s="96"/>
      <c r="N612" s="97"/>
      <c r="O612" s="97"/>
      <c r="P612" s="97"/>
      <c r="Q612" s="97"/>
      <c r="R612" s="97"/>
      <c r="S612" s="97"/>
      <c r="T612" s="98"/>
      <c r="AT612" s="95" t="s">
        <v>225</v>
      </c>
      <c r="AU612" s="95" t="s">
        <v>77</v>
      </c>
      <c r="AV612" s="14" t="s">
        <v>77</v>
      </c>
      <c r="AW612" s="14" t="s">
        <v>30</v>
      </c>
      <c r="AX612" s="14" t="s">
        <v>68</v>
      </c>
      <c r="AY612" s="95" t="s">
        <v>216</v>
      </c>
    </row>
    <row r="613" spans="1:65" s="13" customFormat="1">
      <c r="A613" s="313"/>
      <c r="B613" s="314"/>
      <c r="C613" s="313"/>
      <c r="D613" s="315" t="s">
        <v>225</v>
      </c>
      <c r="E613" s="316" t="s">
        <v>3</v>
      </c>
      <c r="F613" s="317" t="s">
        <v>797</v>
      </c>
      <c r="G613" s="313"/>
      <c r="H613" s="316" t="s">
        <v>3</v>
      </c>
      <c r="I613" s="259"/>
      <c r="J613" s="259"/>
      <c r="K613" s="313"/>
      <c r="L613" s="89"/>
      <c r="M613" s="91"/>
      <c r="N613" s="92"/>
      <c r="O613" s="92"/>
      <c r="P613" s="92"/>
      <c r="Q613" s="92"/>
      <c r="R613" s="92"/>
      <c r="S613" s="92"/>
      <c r="T613" s="93"/>
      <c r="AT613" s="90" t="s">
        <v>225</v>
      </c>
      <c r="AU613" s="90" t="s">
        <v>77</v>
      </c>
      <c r="AV613" s="13" t="s">
        <v>75</v>
      </c>
      <c r="AW613" s="13" t="s">
        <v>30</v>
      </c>
      <c r="AX613" s="13" t="s">
        <v>68</v>
      </c>
      <c r="AY613" s="90" t="s">
        <v>216</v>
      </c>
    </row>
    <row r="614" spans="1:65" s="14" customFormat="1">
      <c r="A614" s="318"/>
      <c r="B614" s="319"/>
      <c r="C614" s="318"/>
      <c r="D614" s="315" t="s">
        <v>225</v>
      </c>
      <c r="E614" s="320" t="s">
        <v>3</v>
      </c>
      <c r="F614" s="321" t="s">
        <v>815</v>
      </c>
      <c r="G614" s="318"/>
      <c r="H614" s="322">
        <v>0.9</v>
      </c>
      <c r="I614" s="260"/>
      <c r="J614" s="260"/>
      <c r="K614" s="318"/>
      <c r="L614" s="94"/>
      <c r="M614" s="96"/>
      <c r="N614" s="97"/>
      <c r="O614" s="97"/>
      <c r="P614" s="97"/>
      <c r="Q614" s="97"/>
      <c r="R614" s="97"/>
      <c r="S614" s="97"/>
      <c r="T614" s="98"/>
      <c r="AT614" s="95" t="s">
        <v>225</v>
      </c>
      <c r="AU614" s="95" t="s">
        <v>77</v>
      </c>
      <c r="AV614" s="14" t="s">
        <v>77</v>
      </c>
      <c r="AW614" s="14" t="s">
        <v>30</v>
      </c>
      <c r="AX614" s="14" t="s">
        <v>68</v>
      </c>
      <c r="AY614" s="95" t="s">
        <v>216</v>
      </c>
    </row>
    <row r="615" spans="1:65" s="16" customFormat="1">
      <c r="A615" s="329"/>
      <c r="B615" s="330"/>
      <c r="C615" s="329"/>
      <c r="D615" s="315" t="s">
        <v>225</v>
      </c>
      <c r="E615" s="331" t="s">
        <v>3</v>
      </c>
      <c r="F615" s="332" t="s">
        <v>254</v>
      </c>
      <c r="G615" s="329"/>
      <c r="H615" s="333">
        <v>1.825</v>
      </c>
      <c r="I615" s="262"/>
      <c r="J615" s="262"/>
      <c r="K615" s="329"/>
      <c r="L615" s="106"/>
      <c r="M615" s="108"/>
      <c r="N615" s="109"/>
      <c r="O615" s="109"/>
      <c r="P615" s="109"/>
      <c r="Q615" s="109"/>
      <c r="R615" s="109"/>
      <c r="S615" s="109"/>
      <c r="T615" s="110"/>
      <c r="AT615" s="107" t="s">
        <v>225</v>
      </c>
      <c r="AU615" s="107" t="s">
        <v>77</v>
      </c>
      <c r="AV615" s="16" t="s">
        <v>223</v>
      </c>
      <c r="AW615" s="16" t="s">
        <v>30</v>
      </c>
      <c r="AX615" s="16" t="s">
        <v>75</v>
      </c>
      <c r="AY615" s="107" t="s">
        <v>216</v>
      </c>
    </row>
    <row r="616" spans="1:65" s="2" customFormat="1" ht="21.6" customHeight="1">
      <c r="A616" s="269"/>
      <c r="B616" s="270"/>
      <c r="C616" s="308" t="s">
        <v>816</v>
      </c>
      <c r="D616" s="308" t="s">
        <v>218</v>
      </c>
      <c r="E616" s="309" t="s">
        <v>817</v>
      </c>
      <c r="F616" s="310" t="s">
        <v>818</v>
      </c>
      <c r="G616" s="311" t="s">
        <v>364</v>
      </c>
      <c r="H616" s="312">
        <v>1.4</v>
      </c>
      <c r="I616" s="82">
        <v>0</v>
      </c>
      <c r="J616" s="82">
        <f>ROUND(I616*H616,2)</f>
        <v>0</v>
      </c>
      <c r="K616" s="310" t="s">
        <v>222</v>
      </c>
      <c r="L616" s="24"/>
      <c r="M616" s="83" t="s">
        <v>3</v>
      </c>
      <c r="N616" s="84" t="s">
        <v>39</v>
      </c>
      <c r="O616" s="85">
        <v>3.2</v>
      </c>
      <c r="P616" s="85">
        <f>O616*H616</f>
        <v>4.4799999999999995</v>
      </c>
      <c r="Q616" s="85">
        <v>3.0899999999999999E-3</v>
      </c>
      <c r="R616" s="85">
        <f>Q616*H616</f>
        <v>4.3259999999999991E-3</v>
      </c>
      <c r="S616" s="85">
        <v>0.126</v>
      </c>
      <c r="T616" s="86">
        <f>S616*H616</f>
        <v>0.1764</v>
      </c>
      <c r="U616" s="23"/>
      <c r="V616" s="23"/>
      <c r="W616" s="23"/>
      <c r="X616" s="23"/>
      <c r="Y616" s="23"/>
      <c r="Z616" s="23"/>
      <c r="AA616" s="23"/>
      <c r="AB616" s="23"/>
      <c r="AC616" s="23"/>
      <c r="AD616" s="23"/>
      <c r="AE616" s="23"/>
      <c r="AR616" s="87" t="s">
        <v>223</v>
      </c>
      <c r="AT616" s="87" t="s">
        <v>218</v>
      </c>
      <c r="AU616" s="87" t="s">
        <v>77</v>
      </c>
      <c r="AY616" s="19" t="s">
        <v>216</v>
      </c>
      <c r="BE616" s="88">
        <f>IF(N616="základní",J616,0)</f>
        <v>0</v>
      </c>
      <c r="BF616" s="88">
        <f>IF(N616="snížená",J616,0)</f>
        <v>0</v>
      </c>
      <c r="BG616" s="88">
        <f>IF(N616="zákl. přenesená",J616,0)</f>
        <v>0</v>
      </c>
      <c r="BH616" s="88">
        <f>IF(N616="sníž. přenesená",J616,0)</f>
        <v>0</v>
      </c>
      <c r="BI616" s="88">
        <f>IF(N616="nulová",J616,0)</f>
        <v>0</v>
      </c>
      <c r="BJ616" s="19" t="s">
        <v>75</v>
      </c>
      <c r="BK616" s="88">
        <f>ROUND(I616*H616,2)</f>
        <v>0</v>
      </c>
      <c r="BL616" s="19" t="s">
        <v>223</v>
      </c>
      <c r="BM616" s="87" t="s">
        <v>819</v>
      </c>
    </row>
    <row r="617" spans="1:65" s="2" customFormat="1" ht="48.75">
      <c r="A617" s="269"/>
      <c r="B617" s="270"/>
      <c r="C617" s="269"/>
      <c r="D617" s="315" t="s">
        <v>231</v>
      </c>
      <c r="E617" s="269"/>
      <c r="F617" s="323" t="s">
        <v>796</v>
      </c>
      <c r="G617" s="269"/>
      <c r="H617" s="269"/>
      <c r="I617" s="248"/>
      <c r="J617" s="248"/>
      <c r="K617" s="269"/>
      <c r="L617" s="24"/>
      <c r="M617" s="99"/>
      <c r="N617" s="100"/>
      <c r="O617" s="32"/>
      <c r="P617" s="32"/>
      <c r="Q617" s="32"/>
      <c r="R617" s="32"/>
      <c r="S617" s="32"/>
      <c r="T617" s="33"/>
      <c r="U617" s="23"/>
      <c r="V617" s="23"/>
      <c r="W617" s="23"/>
      <c r="X617" s="23"/>
      <c r="Y617" s="23"/>
      <c r="Z617" s="23"/>
      <c r="AA617" s="23"/>
      <c r="AB617" s="23"/>
      <c r="AC617" s="23"/>
      <c r="AD617" s="23"/>
      <c r="AE617" s="23"/>
      <c r="AT617" s="19" t="s">
        <v>231</v>
      </c>
      <c r="AU617" s="19" t="s">
        <v>77</v>
      </c>
    </row>
    <row r="618" spans="1:65" s="13" customFormat="1">
      <c r="A618" s="313"/>
      <c r="B618" s="314"/>
      <c r="C618" s="313"/>
      <c r="D618" s="315" t="s">
        <v>225</v>
      </c>
      <c r="E618" s="316" t="s">
        <v>3</v>
      </c>
      <c r="F618" s="317" t="s">
        <v>241</v>
      </c>
      <c r="G618" s="313"/>
      <c r="H618" s="316" t="s">
        <v>3</v>
      </c>
      <c r="I618" s="259"/>
      <c r="J618" s="259"/>
      <c r="K618" s="313"/>
      <c r="L618" s="89"/>
      <c r="M618" s="91"/>
      <c r="N618" s="92"/>
      <c r="O618" s="92"/>
      <c r="P618" s="92"/>
      <c r="Q618" s="92"/>
      <c r="R618" s="92"/>
      <c r="S618" s="92"/>
      <c r="T618" s="93"/>
      <c r="AT618" s="90" t="s">
        <v>225</v>
      </c>
      <c r="AU618" s="90" t="s">
        <v>77</v>
      </c>
      <c r="AV618" s="13" t="s">
        <v>75</v>
      </c>
      <c r="AW618" s="13" t="s">
        <v>30</v>
      </c>
      <c r="AX618" s="13" t="s">
        <v>68</v>
      </c>
      <c r="AY618" s="90" t="s">
        <v>216</v>
      </c>
    </row>
    <row r="619" spans="1:65" s="13" customFormat="1">
      <c r="A619" s="313"/>
      <c r="B619" s="314"/>
      <c r="C619" s="313"/>
      <c r="D619" s="315" t="s">
        <v>225</v>
      </c>
      <c r="E619" s="316" t="s">
        <v>3</v>
      </c>
      <c r="F619" s="317" t="s">
        <v>813</v>
      </c>
      <c r="G619" s="313"/>
      <c r="H619" s="316" t="s">
        <v>3</v>
      </c>
      <c r="I619" s="259"/>
      <c r="J619" s="259"/>
      <c r="K619" s="313"/>
      <c r="L619" s="89"/>
      <c r="M619" s="91"/>
      <c r="N619" s="92"/>
      <c r="O619" s="92"/>
      <c r="P619" s="92"/>
      <c r="Q619" s="92"/>
      <c r="R619" s="92"/>
      <c r="S619" s="92"/>
      <c r="T619" s="93"/>
      <c r="AT619" s="90" t="s">
        <v>225</v>
      </c>
      <c r="AU619" s="90" t="s">
        <v>77</v>
      </c>
      <c r="AV619" s="13" t="s">
        <v>75</v>
      </c>
      <c r="AW619" s="13" t="s">
        <v>30</v>
      </c>
      <c r="AX619" s="13" t="s">
        <v>68</v>
      </c>
      <c r="AY619" s="90" t="s">
        <v>216</v>
      </c>
    </row>
    <row r="620" spans="1:65" s="14" customFormat="1">
      <c r="A620" s="318"/>
      <c r="B620" s="319"/>
      <c r="C620" s="318"/>
      <c r="D620" s="315" t="s">
        <v>225</v>
      </c>
      <c r="E620" s="320" t="s">
        <v>3</v>
      </c>
      <c r="F620" s="321" t="s">
        <v>820</v>
      </c>
      <c r="G620" s="318"/>
      <c r="H620" s="322">
        <v>1.4</v>
      </c>
      <c r="I620" s="260"/>
      <c r="J620" s="260"/>
      <c r="K620" s="318"/>
      <c r="L620" s="94"/>
      <c r="M620" s="96"/>
      <c r="N620" s="97"/>
      <c r="O620" s="97"/>
      <c r="P620" s="97"/>
      <c r="Q620" s="97"/>
      <c r="R620" s="97"/>
      <c r="S620" s="97"/>
      <c r="T620" s="98"/>
      <c r="AT620" s="95" t="s">
        <v>225</v>
      </c>
      <c r="AU620" s="95" t="s">
        <v>77</v>
      </c>
      <c r="AV620" s="14" t="s">
        <v>77</v>
      </c>
      <c r="AW620" s="14" t="s">
        <v>30</v>
      </c>
      <c r="AX620" s="14" t="s">
        <v>75</v>
      </c>
      <c r="AY620" s="95" t="s">
        <v>216</v>
      </c>
    </row>
    <row r="621" spans="1:65" s="2" customFormat="1" ht="21.6" customHeight="1">
      <c r="A621" s="269"/>
      <c r="B621" s="270"/>
      <c r="C621" s="308" t="s">
        <v>821</v>
      </c>
      <c r="D621" s="308" t="s">
        <v>218</v>
      </c>
      <c r="E621" s="309" t="s">
        <v>822</v>
      </c>
      <c r="F621" s="310" t="s">
        <v>823</v>
      </c>
      <c r="G621" s="311" t="s">
        <v>364</v>
      </c>
      <c r="H621" s="312">
        <v>2.7</v>
      </c>
      <c r="I621" s="82">
        <v>0</v>
      </c>
      <c r="J621" s="82">
        <f>ROUND(I621*H621,2)</f>
        <v>0</v>
      </c>
      <c r="K621" s="310" t="s">
        <v>222</v>
      </c>
      <c r="L621" s="24"/>
      <c r="M621" s="83" t="s">
        <v>3</v>
      </c>
      <c r="N621" s="84" t="s">
        <v>39</v>
      </c>
      <c r="O621" s="85">
        <v>6</v>
      </c>
      <c r="P621" s="85">
        <f>O621*H621</f>
        <v>16.200000000000003</v>
      </c>
      <c r="Q621" s="85">
        <v>4.7699999999999999E-3</v>
      </c>
      <c r="R621" s="85">
        <f>Q621*H621</f>
        <v>1.2879E-2</v>
      </c>
      <c r="S621" s="85">
        <v>0.38400000000000001</v>
      </c>
      <c r="T621" s="86">
        <f>S621*H621</f>
        <v>1.0368000000000002</v>
      </c>
      <c r="U621" s="23"/>
      <c r="V621" s="23"/>
      <c r="W621" s="23"/>
      <c r="X621" s="23"/>
      <c r="Y621" s="23"/>
      <c r="Z621" s="23"/>
      <c r="AA621" s="23"/>
      <c r="AB621" s="23"/>
      <c r="AC621" s="23"/>
      <c r="AD621" s="23"/>
      <c r="AE621" s="23"/>
      <c r="AR621" s="87" t="s">
        <v>223</v>
      </c>
      <c r="AT621" s="87" t="s">
        <v>218</v>
      </c>
      <c r="AU621" s="87" t="s">
        <v>77</v>
      </c>
      <c r="AY621" s="19" t="s">
        <v>216</v>
      </c>
      <c r="BE621" s="88">
        <f>IF(N621="základní",J621,0)</f>
        <v>0</v>
      </c>
      <c r="BF621" s="88">
        <f>IF(N621="snížená",J621,0)</f>
        <v>0</v>
      </c>
      <c r="BG621" s="88">
        <f>IF(N621="zákl. přenesená",J621,0)</f>
        <v>0</v>
      </c>
      <c r="BH621" s="88">
        <f>IF(N621="sníž. přenesená",J621,0)</f>
        <v>0</v>
      </c>
      <c r="BI621" s="88">
        <f>IF(N621="nulová",J621,0)</f>
        <v>0</v>
      </c>
      <c r="BJ621" s="19" t="s">
        <v>75</v>
      </c>
      <c r="BK621" s="88">
        <f>ROUND(I621*H621,2)</f>
        <v>0</v>
      </c>
      <c r="BL621" s="19" t="s">
        <v>223</v>
      </c>
      <c r="BM621" s="87" t="s">
        <v>824</v>
      </c>
    </row>
    <row r="622" spans="1:65" s="2" customFormat="1" ht="48.75">
      <c r="A622" s="269"/>
      <c r="B622" s="270"/>
      <c r="C622" s="269"/>
      <c r="D622" s="315" t="s">
        <v>231</v>
      </c>
      <c r="E622" s="269"/>
      <c r="F622" s="323" t="s">
        <v>796</v>
      </c>
      <c r="G622" s="269"/>
      <c r="H622" s="269"/>
      <c r="I622" s="248"/>
      <c r="J622" s="248"/>
      <c r="K622" s="269"/>
      <c r="L622" s="24"/>
      <c r="M622" s="99"/>
      <c r="N622" s="100"/>
      <c r="O622" s="32"/>
      <c r="P622" s="32"/>
      <c r="Q622" s="32"/>
      <c r="R622" s="32"/>
      <c r="S622" s="32"/>
      <c r="T622" s="33"/>
      <c r="U622" s="23"/>
      <c r="V622" s="23"/>
      <c r="W622" s="23"/>
      <c r="X622" s="23"/>
      <c r="Y622" s="23"/>
      <c r="Z622" s="23"/>
      <c r="AA622" s="23"/>
      <c r="AB622" s="23"/>
      <c r="AC622" s="23"/>
      <c r="AD622" s="23"/>
      <c r="AE622" s="23"/>
      <c r="AT622" s="19" t="s">
        <v>231</v>
      </c>
      <c r="AU622" s="19" t="s">
        <v>77</v>
      </c>
    </row>
    <row r="623" spans="1:65" s="13" customFormat="1">
      <c r="A623" s="313"/>
      <c r="B623" s="314"/>
      <c r="C623" s="313"/>
      <c r="D623" s="315" t="s">
        <v>225</v>
      </c>
      <c r="E623" s="316" t="s">
        <v>3</v>
      </c>
      <c r="F623" s="317" t="s">
        <v>241</v>
      </c>
      <c r="G623" s="313"/>
      <c r="H623" s="316" t="s">
        <v>3</v>
      </c>
      <c r="I623" s="259"/>
      <c r="J623" s="259"/>
      <c r="K623" s="313"/>
      <c r="L623" s="89"/>
      <c r="M623" s="91"/>
      <c r="N623" s="92"/>
      <c r="O623" s="92"/>
      <c r="P623" s="92"/>
      <c r="Q623" s="92"/>
      <c r="R623" s="92"/>
      <c r="S623" s="92"/>
      <c r="T623" s="93"/>
      <c r="AT623" s="90" t="s">
        <v>225</v>
      </c>
      <c r="AU623" s="90" t="s">
        <v>77</v>
      </c>
      <c r="AV623" s="13" t="s">
        <v>75</v>
      </c>
      <c r="AW623" s="13" t="s">
        <v>30</v>
      </c>
      <c r="AX623" s="13" t="s">
        <v>68</v>
      </c>
      <c r="AY623" s="90" t="s">
        <v>216</v>
      </c>
    </row>
    <row r="624" spans="1:65" s="13" customFormat="1">
      <c r="A624" s="313"/>
      <c r="B624" s="314"/>
      <c r="C624" s="313"/>
      <c r="D624" s="315" t="s">
        <v>225</v>
      </c>
      <c r="E624" s="316" t="s">
        <v>3</v>
      </c>
      <c r="F624" s="317" t="s">
        <v>813</v>
      </c>
      <c r="G624" s="313"/>
      <c r="H624" s="316" t="s">
        <v>3</v>
      </c>
      <c r="I624" s="259"/>
      <c r="J624" s="259"/>
      <c r="K624" s="313"/>
      <c r="L624" s="89"/>
      <c r="M624" s="91"/>
      <c r="N624" s="92"/>
      <c r="O624" s="92"/>
      <c r="P624" s="92"/>
      <c r="Q624" s="92"/>
      <c r="R624" s="92"/>
      <c r="S624" s="92"/>
      <c r="T624" s="93"/>
      <c r="AT624" s="90" t="s">
        <v>225</v>
      </c>
      <c r="AU624" s="90" t="s">
        <v>77</v>
      </c>
      <c r="AV624" s="13" t="s">
        <v>75</v>
      </c>
      <c r="AW624" s="13" t="s">
        <v>30</v>
      </c>
      <c r="AX624" s="13" t="s">
        <v>68</v>
      </c>
      <c r="AY624" s="90" t="s">
        <v>216</v>
      </c>
    </row>
    <row r="625" spans="1:65" s="14" customFormat="1">
      <c r="A625" s="318"/>
      <c r="B625" s="319"/>
      <c r="C625" s="318"/>
      <c r="D625" s="315" t="s">
        <v>225</v>
      </c>
      <c r="E625" s="320" t="s">
        <v>3</v>
      </c>
      <c r="F625" s="321" t="s">
        <v>815</v>
      </c>
      <c r="G625" s="318"/>
      <c r="H625" s="322">
        <v>0.9</v>
      </c>
      <c r="I625" s="260"/>
      <c r="J625" s="260"/>
      <c r="K625" s="318"/>
      <c r="L625" s="94"/>
      <c r="M625" s="96"/>
      <c r="N625" s="97"/>
      <c r="O625" s="97"/>
      <c r="P625" s="97"/>
      <c r="Q625" s="97"/>
      <c r="R625" s="97"/>
      <c r="S625" s="97"/>
      <c r="T625" s="98"/>
      <c r="AT625" s="95" t="s">
        <v>225</v>
      </c>
      <c r="AU625" s="95" t="s">
        <v>77</v>
      </c>
      <c r="AV625" s="14" t="s">
        <v>77</v>
      </c>
      <c r="AW625" s="14" t="s">
        <v>30</v>
      </c>
      <c r="AX625" s="14" t="s">
        <v>68</v>
      </c>
      <c r="AY625" s="95" t="s">
        <v>216</v>
      </c>
    </row>
    <row r="626" spans="1:65" s="13" customFormat="1">
      <c r="A626" s="313"/>
      <c r="B626" s="314"/>
      <c r="C626" s="313"/>
      <c r="D626" s="315" t="s">
        <v>225</v>
      </c>
      <c r="E626" s="316" t="s">
        <v>3</v>
      </c>
      <c r="F626" s="317" t="s">
        <v>797</v>
      </c>
      <c r="G626" s="313"/>
      <c r="H626" s="316" t="s">
        <v>3</v>
      </c>
      <c r="I626" s="259"/>
      <c r="J626" s="259"/>
      <c r="K626" s="313"/>
      <c r="L626" s="89"/>
      <c r="M626" s="91"/>
      <c r="N626" s="92"/>
      <c r="O626" s="92"/>
      <c r="P626" s="92"/>
      <c r="Q626" s="92"/>
      <c r="R626" s="92"/>
      <c r="S626" s="92"/>
      <c r="T626" s="93"/>
      <c r="AT626" s="90" t="s">
        <v>225</v>
      </c>
      <c r="AU626" s="90" t="s">
        <v>77</v>
      </c>
      <c r="AV626" s="13" t="s">
        <v>75</v>
      </c>
      <c r="AW626" s="13" t="s">
        <v>30</v>
      </c>
      <c r="AX626" s="13" t="s">
        <v>68</v>
      </c>
      <c r="AY626" s="90" t="s">
        <v>216</v>
      </c>
    </row>
    <row r="627" spans="1:65" s="14" customFormat="1">
      <c r="A627" s="318"/>
      <c r="B627" s="319"/>
      <c r="C627" s="318"/>
      <c r="D627" s="315" t="s">
        <v>225</v>
      </c>
      <c r="E627" s="320" t="s">
        <v>3</v>
      </c>
      <c r="F627" s="321" t="s">
        <v>825</v>
      </c>
      <c r="G627" s="318"/>
      <c r="H627" s="322">
        <v>1.8</v>
      </c>
      <c r="I627" s="260"/>
      <c r="J627" s="260"/>
      <c r="K627" s="318"/>
      <c r="L627" s="94"/>
      <c r="M627" s="96"/>
      <c r="N627" s="97"/>
      <c r="O627" s="97"/>
      <c r="P627" s="97"/>
      <c r="Q627" s="97"/>
      <c r="R627" s="97"/>
      <c r="S627" s="97"/>
      <c r="T627" s="98"/>
      <c r="AT627" s="95" t="s">
        <v>225</v>
      </c>
      <c r="AU627" s="95" t="s">
        <v>77</v>
      </c>
      <c r="AV627" s="14" t="s">
        <v>77</v>
      </c>
      <c r="AW627" s="14" t="s">
        <v>30</v>
      </c>
      <c r="AX627" s="14" t="s">
        <v>68</v>
      </c>
      <c r="AY627" s="95" t="s">
        <v>216</v>
      </c>
    </row>
    <row r="628" spans="1:65" s="16" customFormat="1">
      <c r="A628" s="329"/>
      <c r="B628" s="330"/>
      <c r="C628" s="329"/>
      <c r="D628" s="315" t="s">
        <v>225</v>
      </c>
      <c r="E628" s="331" t="s">
        <v>3</v>
      </c>
      <c r="F628" s="332" t="s">
        <v>254</v>
      </c>
      <c r="G628" s="329"/>
      <c r="H628" s="333">
        <v>2.7</v>
      </c>
      <c r="I628" s="262"/>
      <c r="J628" s="262"/>
      <c r="K628" s="329"/>
      <c r="L628" s="106"/>
      <c r="M628" s="108"/>
      <c r="N628" s="109"/>
      <c r="O628" s="109"/>
      <c r="P628" s="109"/>
      <c r="Q628" s="109"/>
      <c r="R628" s="109"/>
      <c r="S628" s="109"/>
      <c r="T628" s="110"/>
      <c r="AT628" s="107" t="s">
        <v>225</v>
      </c>
      <c r="AU628" s="107" t="s">
        <v>77</v>
      </c>
      <c r="AV628" s="16" t="s">
        <v>223</v>
      </c>
      <c r="AW628" s="16" t="s">
        <v>30</v>
      </c>
      <c r="AX628" s="16" t="s">
        <v>75</v>
      </c>
      <c r="AY628" s="107" t="s">
        <v>216</v>
      </c>
    </row>
    <row r="629" spans="1:65" s="2" customFormat="1" ht="14.45" customHeight="1">
      <c r="A629" s="269"/>
      <c r="B629" s="270"/>
      <c r="C629" s="308" t="s">
        <v>826</v>
      </c>
      <c r="D629" s="308" t="s">
        <v>218</v>
      </c>
      <c r="E629" s="309" t="s">
        <v>827</v>
      </c>
      <c r="F629" s="310" t="s">
        <v>828</v>
      </c>
      <c r="G629" s="311" t="s">
        <v>364</v>
      </c>
      <c r="H629" s="312">
        <v>91</v>
      </c>
      <c r="I629" s="82">
        <v>0</v>
      </c>
      <c r="J629" s="82">
        <f>ROUND(I629*H629,2)</f>
        <v>0</v>
      </c>
      <c r="K629" s="310" t="s">
        <v>222</v>
      </c>
      <c r="L629" s="24"/>
      <c r="M629" s="83" t="s">
        <v>3</v>
      </c>
      <c r="N629" s="84" t="s">
        <v>39</v>
      </c>
      <c r="O629" s="85">
        <v>0.378</v>
      </c>
      <c r="P629" s="85">
        <f>O629*H629</f>
        <v>34.398000000000003</v>
      </c>
      <c r="Q629" s="85">
        <v>0</v>
      </c>
      <c r="R629" s="85">
        <f>Q629*H629</f>
        <v>0</v>
      </c>
      <c r="S629" s="85">
        <v>0</v>
      </c>
      <c r="T629" s="86">
        <f>S629*H629</f>
        <v>0</v>
      </c>
      <c r="U629" s="23"/>
      <c r="V629" s="23"/>
      <c r="W629" s="23"/>
      <c r="X629" s="23"/>
      <c r="Y629" s="23"/>
      <c r="Z629" s="23"/>
      <c r="AA629" s="23"/>
      <c r="AB629" s="23"/>
      <c r="AC629" s="23"/>
      <c r="AD629" s="23"/>
      <c r="AE629" s="23"/>
      <c r="AR629" s="87" t="s">
        <v>223</v>
      </c>
      <c r="AT629" s="87" t="s">
        <v>218</v>
      </c>
      <c r="AU629" s="87" t="s">
        <v>77</v>
      </c>
      <c r="AY629" s="19" t="s">
        <v>216</v>
      </c>
      <c r="BE629" s="88">
        <f>IF(N629="základní",J629,0)</f>
        <v>0</v>
      </c>
      <c r="BF629" s="88">
        <f>IF(N629="snížená",J629,0)</f>
        <v>0</v>
      </c>
      <c r="BG629" s="88">
        <f>IF(N629="zákl. přenesená",J629,0)</f>
        <v>0</v>
      </c>
      <c r="BH629" s="88">
        <f>IF(N629="sníž. přenesená",J629,0)</f>
        <v>0</v>
      </c>
      <c r="BI629" s="88">
        <f>IF(N629="nulová",J629,0)</f>
        <v>0</v>
      </c>
      <c r="BJ629" s="19" t="s">
        <v>75</v>
      </c>
      <c r="BK629" s="88">
        <f>ROUND(I629*H629,2)</f>
        <v>0</v>
      </c>
      <c r="BL629" s="19" t="s">
        <v>223</v>
      </c>
      <c r="BM629" s="87" t="s">
        <v>829</v>
      </c>
    </row>
    <row r="630" spans="1:65" s="13" customFormat="1">
      <c r="A630" s="313"/>
      <c r="B630" s="314"/>
      <c r="C630" s="313"/>
      <c r="D630" s="315" t="s">
        <v>225</v>
      </c>
      <c r="E630" s="316" t="s">
        <v>3</v>
      </c>
      <c r="F630" s="317" t="s">
        <v>241</v>
      </c>
      <c r="G630" s="313"/>
      <c r="H630" s="316" t="s">
        <v>3</v>
      </c>
      <c r="I630" s="259"/>
      <c r="J630" s="259"/>
      <c r="K630" s="313"/>
      <c r="L630" s="89"/>
      <c r="M630" s="91"/>
      <c r="N630" s="92"/>
      <c r="O630" s="92"/>
      <c r="P630" s="92"/>
      <c r="Q630" s="92"/>
      <c r="R630" s="92"/>
      <c r="S630" s="92"/>
      <c r="T630" s="93"/>
      <c r="AT630" s="90" t="s">
        <v>225</v>
      </c>
      <c r="AU630" s="90" t="s">
        <v>77</v>
      </c>
      <c r="AV630" s="13" t="s">
        <v>75</v>
      </c>
      <c r="AW630" s="13" t="s">
        <v>30</v>
      </c>
      <c r="AX630" s="13" t="s">
        <v>68</v>
      </c>
      <c r="AY630" s="90" t="s">
        <v>216</v>
      </c>
    </row>
    <row r="631" spans="1:65" s="13" customFormat="1">
      <c r="A631" s="313"/>
      <c r="B631" s="314"/>
      <c r="C631" s="313"/>
      <c r="D631" s="315" t="s">
        <v>225</v>
      </c>
      <c r="E631" s="316" t="s">
        <v>3</v>
      </c>
      <c r="F631" s="317" t="s">
        <v>747</v>
      </c>
      <c r="G631" s="313"/>
      <c r="H631" s="316" t="s">
        <v>3</v>
      </c>
      <c r="I631" s="259"/>
      <c r="J631" s="259"/>
      <c r="K631" s="313"/>
      <c r="L631" s="89"/>
      <c r="M631" s="91"/>
      <c r="N631" s="92"/>
      <c r="O631" s="92"/>
      <c r="P631" s="92"/>
      <c r="Q631" s="92"/>
      <c r="R631" s="92"/>
      <c r="S631" s="92"/>
      <c r="T631" s="93"/>
      <c r="AT631" s="90" t="s">
        <v>225</v>
      </c>
      <c r="AU631" s="90" t="s">
        <v>77</v>
      </c>
      <c r="AV631" s="13" t="s">
        <v>75</v>
      </c>
      <c r="AW631" s="13" t="s">
        <v>30</v>
      </c>
      <c r="AX631" s="13" t="s">
        <v>68</v>
      </c>
      <c r="AY631" s="90" t="s">
        <v>216</v>
      </c>
    </row>
    <row r="632" spans="1:65" s="14" customFormat="1">
      <c r="A632" s="318"/>
      <c r="B632" s="319"/>
      <c r="C632" s="318"/>
      <c r="D632" s="315" t="s">
        <v>225</v>
      </c>
      <c r="E632" s="320" t="s">
        <v>3</v>
      </c>
      <c r="F632" s="321" t="s">
        <v>830</v>
      </c>
      <c r="G632" s="318"/>
      <c r="H632" s="322">
        <v>91</v>
      </c>
      <c r="I632" s="260"/>
      <c r="J632" s="260"/>
      <c r="K632" s="318"/>
      <c r="L632" s="94"/>
      <c r="M632" s="96"/>
      <c r="N632" s="97"/>
      <c r="O632" s="97"/>
      <c r="P632" s="97"/>
      <c r="Q632" s="97"/>
      <c r="R632" s="97"/>
      <c r="S632" s="97"/>
      <c r="T632" s="98"/>
      <c r="AT632" s="95" t="s">
        <v>225</v>
      </c>
      <c r="AU632" s="95" t="s">
        <v>77</v>
      </c>
      <c r="AV632" s="14" t="s">
        <v>77</v>
      </c>
      <c r="AW632" s="14" t="s">
        <v>30</v>
      </c>
      <c r="AX632" s="14" t="s">
        <v>75</v>
      </c>
      <c r="AY632" s="95" t="s">
        <v>216</v>
      </c>
    </row>
    <row r="633" spans="1:65" s="2" customFormat="1" ht="14.45" customHeight="1">
      <c r="A633" s="269"/>
      <c r="B633" s="270"/>
      <c r="C633" s="308" t="s">
        <v>831</v>
      </c>
      <c r="D633" s="308" t="s">
        <v>218</v>
      </c>
      <c r="E633" s="309" t="s">
        <v>832</v>
      </c>
      <c r="F633" s="310" t="s">
        <v>833</v>
      </c>
      <c r="G633" s="311" t="s">
        <v>364</v>
      </c>
      <c r="H633" s="312">
        <v>81.2</v>
      </c>
      <c r="I633" s="82">
        <v>0</v>
      </c>
      <c r="J633" s="82">
        <f>ROUND(I633*H633,2)</f>
        <v>0</v>
      </c>
      <c r="K633" s="310" t="s">
        <v>222</v>
      </c>
      <c r="L633" s="24"/>
      <c r="M633" s="83" t="s">
        <v>3</v>
      </c>
      <c r="N633" s="84" t="s">
        <v>39</v>
      </c>
      <c r="O633" s="85">
        <v>0.83399999999999996</v>
      </c>
      <c r="P633" s="85">
        <f>O633*H633</f>
        <v>67.720799999999997</v>
      </c>
      <c r="Q633" s="85">
        <v>1.0000000000000001E-5</v>
      </c>
      <c r="R633" s="85">
        <f>Q633*H633</f>
        <v>8.1200000000000011E-4</v>
      </c>
      <c r="S633" s="85">
        <v>0</v>
      </c>
      <c r="T633" s="86">
        <f>S633*H633</f>
        <v>0</v>
      </c>
      <c r="U633" s="23"/>
      <c r="V633" s="23"/>
      <c r="W633" s="23"/>
      <c r="X633" s="23"/>
      <c r="Y633" s="23"/>
      <c r="Z633" s="23"/>
      <c r="AA633" s="23"/>
      <c r="AB633" s="23"/>
      <c r="AC633" s="23"/>
      <c r="AD633" s="23"/>
      <c r="AE633" s="23"/>
      <c r="AR633" s="87" t="s">
        <v>223</v>
      </c>
      <c r="AT633" s="87" t="s">
        <v>218</v>
      </c>
      <c r="AU633" s="87" t="s">
        <v>77</v>
      </c>
      <c r="AY633" s="19" t="s">
        <v>216</v>
      </c>
      <c r="BE633" s="88">
        <f>IF(N633="základní",J633,0)</f>
        <v>0</v>
      </c>
      <c r="BF633" s="88">
        <f>IF(N633="snížená",J633,0)</f>
        <v>0</v>
      </c>
      <c r="BG633" s="88">
        <f>IF(N633="zákl. přenesená",J633,0)</f>
        <v>0</v>
      </c>
      <c r="BH633" s="88">
        <f>IF(N633="sníž. přenesená",J633,0)</f>
        <v>0</v>
      </c>
      <c r="BI633" s="88">
        <f>IF(N633="nulová",J633,0)</f>
        <v>0</v>
      </c>
      <c r="BJ633" s="19" t="s">
        <v>75</v>
      </c>
      <c r="BK633" s="88">
        <f>ROUND(I633*H633,2)</f>
        <v>0</v>
      </c>
      <c r="BL633" s="19" t="s">
        <v>223</v>
      </c>
      <c r="BM633" s="87" t="s">
        <v>834</v>
      </c>
    </row>
    <row r="634" spans="1:65" s="13" customFormat="1">
      <c r="A634" s="313"/>
      <c r="B634" s="314"/>
      <c r="C634" s="313"/>
      <c r="D634" s="315" t="s">
        <v>225</v>
      </c>
      <c r="E634" s="316" t="s">
        <v>3</v>
      </c>
      <c r="F634" s="317" t="s">
        <v>241</v>
      </c>
      <c r="G634" s="313"/>
      <c r="H634" s="316" t="s">
        <v>3</v>
      </c>
      <c r="I634" s="259"/>
      <c r="J634" s="259"/>
      <c r="K634" s="313"/>
      <c r="L634" s="89"/>
      <c r="M634" s="91"/>
      <c r="N634" s="92"/>
      <c r="O634" s="92"/>
      <c r="P634" s="92"/>
      <c r="Q634" s="92"/>
      <c r="R634" s="92"/>
      <c r="S634" s="92"/>
      <c r="T634" s="93"/>
      <c r="AT634" s="90" t="s">
        <v>225</v>
      </c>
      <c r="AU634" s="90" t="s">
        <v>77</v>
      </c>
      <c r="AV634" s="13" t="s">
        <v>75</v>
      </c>
      <c r="AW634" s="13" t="s">
        <v>30</v>
      </c>
      <c r="AX634" s="13" t="s">
        <v>68</v>
      </c>
      <c r="AY634" s="90" t="s">
        <v>216</v>
      </c>
    </row>
    <row r="635" spans="1:65" s="13" customFormat="1">
      <c r="A635" s="313"/>
      <c r="B635" s="314"/>
      <c r="C635" s="313"/>
      <c r="D635" s="315" t="s">
        <v>225</v>
      </c>
      <c r="E635" s="316" t="s">
        <v>3</v>
      </c>
      <c r="F635" s="317" t="s">
        <v>242</v>
      </c>
      <c r="G635" s="313"/>
      <c r="H635" s="316" t="s">
        <v>3</v>
      </c>
      <c r="I635" s="259"/>
      <c r="J635" s="259"/>
      <c r="K635" s="313"/>
      <c r="L635" s="89"/>
      <c r="M635" s="91"/>
      <c r="N635" s="92"/>
      <c r="O635" s="92"/>
      <c r="P635" s="92"/>
      <c r="Q635" s="92"/>
      <c r="R635" s="92"/>
      <c r="S635" s="92"/>
      <c r="T635" s="93"/>
      <c r="AT635" s="90" t="s">
        <v>225</v>
      </c>
      <c r="AU635" s="90" t="s">
        <v>77</v>
      </c>
      <c r="AV635" s="13" t="s">
        <v>75</v>
      </c>
      <c r="AW635" s="13" t="s">
        <v>30</v>
      </c>
      <c r="AX635" s="13" t="s">
        <v>68</v>
      </c>
      <c r="AY635" s="90" t="s">
        <v>216</v>
      </c>
    </row>
    <row r="636" spans="1:65" s="14" customFormat="1">
      <c r="A636" s="318"/>
      <c r="B636" s="319"/>
      <c r="C636" s="318"/>
      <c r="D636" s="315" t="s">
        <v>225</v>
      </c>
      <c r="E636" s="320" t="s">
        <v>3</v>
      </c>
      <c r="F636" s="321" t="s">
        <v>835</v>
      </c>
      <c r="G636" s="318"/>
      <c r="H636" s="322">
        <v>52.4</v>
      </c>
      <c r="I636" s="260"/>
      <c r="J636" s="260"/>
      <c r="K636" s="318"/>
      <c r="L636" s="94"/>
      <c r="M636" s="96"/>
      <c r="N636" s="97"/>
      <c r="O636" s="97"/>
      <c r="P636" s="97"/>
      <c r="Q636" s="97"/>
      <c r="R636" s="97"/>
      <c r="S636" s="97"/>
      <c r="T636" s="98"/>
      <c r="AT636" s="95" t="s">
        <v>225</v>
      </c>
      <c r="AU636" s="95" t="s">
        <v>77</v>
      </c>
      <c r="AV636" s="14" t="s">
        <v>77</v>
      </c>
      <c r="AW636" s="14" t="s">
        <v>30</v>
      </c>
      <c r="AX636" s="14" t="s">
        <v>68</v>
      </c>
      <c r="AY636" s="95" t="s">
        <v>216</v>
      </c>
    </row>
    <row r="637" spans="1:65" s="15" customFormat="1">
      <c r="A637" s="324"/>
      <c r="B637" s="325"/>
      <c r="C637" s="324"/>
      <c r="D637" s="315" t="s">
        <v>225</v>
      </c>
      <c r="E637" s="326" t="s">
        <v>3</v>
      </c>
      <c r="F637" s="327" t="s">
        <v>252</v>
      </c>
      <c r="G637" s="324"/>
      <c r="H637" s="328">
        <v>52.4</v>
      </c>
      <c r="I637" s="261"/>
      <c r="J637" s="261"/>
      <c r="K637" s="324"/>
      <c r="L637" s="101"/>
      <c r="M637" s="103"/>
      <c r="N637" s="104"/>
      <c r="O637" s="104"/>
      <c r="P637" s="104"/>
      <c r="Q637" s="104"/>
      <c r="R637" s="104"/>
      <c r="S637" s="104"/>
      <c r="T637" s="105"/>
      <c r="AT637" s="102" t="s">
        <v>225</v>
      </c>
      <c r="AU637" s="102" t="s">
        <v>77</v>
      </c>
      <c r="AV637" s="15" t="s">
        <v>100</v>
      </c>
      <c r="AW637" s="15" t="s">
        <v>30</v>
      </c>
      <c r="AX637" s="15" t="s">
        <v>68</v>
      </c>
      <c r="AY637" s="102" t="s">
        <v>216</v>
      </c>
    </row>
    <row r="638" spans="1:65" s="13" customFormat="1">
      <c r="A638" s="313"/>
      <c r="B638" s="314"/>
      <c r="C638" s="313"/>
      <c r="D638" s="315" t="s">
        <v>225</v>
      </c>
      <c r="E638" s="316" t="s">
        <v>3</v>
      </c>
      <c r="F638" s="317" t="s">
        <v>550</v>
      </c>
      <c r="G638" s="313"/>
      <c r="H638" s="316" t="s">
        <v>3</v>
      </c>
      <c r="I638" s="259"/>
      <c r="J638" s="259"/>
      <c r="K638" s="313"/>
      <c r="L638" s="89"/>
      <c r="M638" s="91"/>
      <c r="N638" s="92"/>
      <c r="O638" s="92"/>
      <c r="P638" s="92"/>
      <c r="Q638" s="92"/>
      <c r="R638" s="92"/>
      <c r="S638" s="92"/>
      <c r="T638" s="93"/>
      <c r="AT638" s="90" t="s">
        <v>225</v>
      </c>
      <c r="AU638" s="90" t="s">
        <v>77</v>
      </c>
      <c r="AV638" s="13" t="s">
        <v>75</v>
      </c>
      <c r="AW638" s="13" t="s">
        <v>30</v>
      </c>
      <c r="AX638" s="13" t="s">
        <v>68</v>
      </c>
      <c r="AY638" s="90" t="s">
        <v>216</v>
      </c>
    </row>
    <row r="639" spans="1:65" s="14" customFormat="1">
      <c r="A639" s="318"/>
      <c r="B639" s="319"/>
      <c r="C639" s="318"/>
      <c r="D639" s="315" t="s">
        <v>225</v>
      </c>
      <c r="E639" s="320" t="s">
        <v>3</v>
      </c>
      <c r="F639" s="321" t="s">
        <v>836</v>
      </c>
      <c r="G639" s="318"/>
      <c r="H639" s="322">
        <v>28.8</v>
      </c>
      <c r="I639" s="260"/>
      <c r="J639" s="260"/>
      <c r="K639" s="318"/>
      <c r="L639" s="94"/>
      <c r="M639" s="96"/>
      <c r="N639" s="97"/>
      <c r="O639" s="97"/>
      <c r="P639" s="97"/>
      <c r="Q639" s="97"/>
      <c r="R639" s="97"/>
      <c r="S639" s="97"/>
      <c r="T639" s="98"/>
      <c r="AT639" s="95" t="s">
        <v>225</v>
      </c>
      <c r="AU639" s="95" t="s">
        <v>77</v>
      </c>
      <c r="AV639" s="14" t="s">
        <v>77</v>
      </c>
      <c r="AW639" s="14" t="s">
        <v>30</v>
      </c>
      <c r="AX639" s="14" t="s">
        <v>68</v>
      </c>
      <c r="AY639" s="95" t="s">
        <v>216</v>
      </c>
    </row>
    <row r="640" spans="1:65" s="15" customFormat="1">
      <c r="A640" s="324"/>
      <c r="B640" s="325"/>
      <c r="C640" s="324"/>
      <c r="D640" s="315" t="s">
        <v>225</v>
      </c>
      <c r="E640" s="326" t="s">
        <v>3</v>
      </c>
      <c r="F640" s="327" t="s">
        <v>252</v>
      </c>
      <c r="G640" s="324"/>
      <c r="H640" s="328">
        <v>28.8</v>
      </c>
      <c r="I640" s="261"/>
      <c r="J640" s="261"/>
      <c r="K640" s="324"/>
      <c r="L640" s="101"/>
      <c r="M640" s="103"/>
      <c r="N640" s="104"/>
      <c r="O640" s="104"/>
      <c r="P640" s="104"/>
      <c r="Q640" s="104"/>
      <c r="R640" s="104"/>
      <c r="S640" s="104"/>
      <c r="T640" s="105"/>
      <c r="AT640" s="102" t="s">
        <v>225</v>
      </c>
      <c r="AU640" s="102" t="s">
        <v>77</v>
      </c>
      <c r="AV640" s="15" t="s">
        <v>100</v>
      </c>
      <c r="AW640" s="15" t="s">
        <v>30</v>
      </c>
      <c r="AX640" s="15" t="s">
        <v>68</v>
      </c>
      <c r="AY640" s="102" t="s">
        <v>216</v>
      </c>
    </row>
    <row r="641" spans="1:65" s="16" customFormat="1">
      <c r="A641" s="329"/>
      <c r="B641" s="330"/>
      <c r="C641" s="329"/>
      <c r="D641" s="315" t="s">
        <v>225</v>
      </c>
      <c r="E641" s="331" t="s">
        <v>3</v>
      </c>
      <c r="F641" s="332" t="s">
        <v>254</v>
      </c>
      <c r="G641" s="329"/>
      <c r="H641" s="333">
        <v>81.2</v>
      </c>
      <c r="I641" s="262"/>
      <c r="J641" s="262"/>
      <c r="K641" s="329"/>
      <c r="L641" s="106"/>
      <c r="M641" s="108"/>
      <c r="N641" s="109"/>
      <c r="O641" s="109"/>
      <c r="P641" s="109"/>
      <c r="Q641" s="109"/>
      <c r="R641" s="109"/>
      <c r="S641" s="109"/>
      <c r="T641" s="110"/>
      <c r="AT641" s="107" t="s">
        <v>225</v>
      </c>
      <c r="AU641" s="107" t="s">
        <v>77</v>
      </c>
      <c r="AV641" s="16" t="s">
        <v>223</v>
      </c>
      <c r="AW641" s="16" t="s">
        <v>30</v>
      </c>
      <c r="AX641" s="16" t="s">
        <v>75</v>
      </c>
      <c r="AY641" s="107" t="s">
        <v>216</v>
      </c>
    </row>
    <row r="642" spans="1:65" s="2" customFormat="1" ht="21.6" customHeight="1">
      <c r="A642" s="269"/>
      <c r="B642" s="270"/>
      <c r="C642" s="308" t="s">
        <v>837</v>
      </c>
      <c r="D642" s="308" t="s">
        <v>218</v>
      </c>
      <c r="E642" s="309" t="s">
        <v>838</v>
      </c>
      <c r="F642" s="310" t="s">
        <v>839</v>
      </c>
      <c r="G642" s="311" t="s">
        <v>286</v>
      </c>
      <c r="H642" s="312">
        <v>52.3</v>
      </c>
      <c r="I642" s="82">
        <v>0</v>
      </c>
      <c r="J642" s="82">
        <f>ROUND(I642*H642,2)</f>
        <v>0</v>
      </c>
      <c r="K642" s="310" t="s">
        <v>222</v>
      </c>
      <c r="L642" s="24"/>
      <c r="M642" s="83" t="s">
        <v>3</v>
      </c>
      <c r="N642" s="84" t="s">
        <v>39</v>
      </c>
      <c r="O642" s="85">
        <v>0.17</v>
      </c>
      <c r="P642" s="85">
        <f>O642*H642</f>
        <v>8.891</v>
      </c>
      <c r="Q642" s="85">
        <v>0</v>
      </c>
      <c r="R642" s="85">
        <f>Q642*H642</f>
        <v>0</v>
      </c>
      <c r="S642" s="85">
        <v>0.02</v>
      </c>
      <c r="T642" s="86">
        <f>S642*H642</f>
        <v>1.046</v>
      </c>
      <c r="U642" s="23"/>
      <c r="V642" s="23"/>
      <c r="W642" s="23"/>
      <c r="X642" s="23"/>
      <c r="Y642" s="23"/>
      <c r="Z642" s="23"/>
      <c r="AA642" s="23"/>
      <c r="AB642" s="23"/>
      <c r="AC642" s="23"/>
      <c r="AD642" s="23"/>
      <c r="AE642" s="23"/>
      <c r="AR642" s="87" t="s">
        <v>223</v>
      </c>
      <c r="AT642" s="87" t="s">
        <v>218</v>
      </c>
      <c r="AU642" s="87" t="s">
        <v>77</v>
      </c>
      <c r="AY642" s="19" t="s">
        <v>216</v>
      </c>
      <c r="BE642" s="88">
        <f>IF(N642="základní",J642,0)</f>
        <v>0</v>
      </c>
      <c r="BF642" s="88">
        <f>IF(N642="snížená",J642,0)</f>
        <v>0</v>
      </c>
      <c r="BG642" s="88">
        <f>IF(N642="zákl. přenesená",J642,0)</f>
        <v>0</v>
      </c>
      <c r="BH642" s="88">
        <f>IF(N642="sníž. přenesená",J642,0)</f>
        <v>0</v>
      </c>
      <c r="BI642" s="88">
        <f>IF(N642="nulová",J642,0)</f>
        <v>0</v>
      </c>
      <c r="BJ642" s="19" t="s">
        <v>75</v>
      </c>
      <c r="BK642" s="88">
        <f>ROUND(I642*H642,2)</f>
        <v>0</v>
      </c>
      <c r="BL642" s="19" t="s">
        <v>223</v>
      </c>
      <c r="BM642" s="87" t="s">
        <v>840</v>
      </c>
    </row>
    <row r="643" spans="1:65" s="2" customFormat="1" ht="29.25">
      <c r="A643" s="269"/>
      <c r="B643" s="270"/>
      <c r="C643" s="269"/>
      <c r="D643" s="315" t="s">
        <v>231</v>
      </c>
      <c r="E643" s="269"/>
      <c r="F643" s="323" t="s">
        <v>841</v>
      </c>
      <c r="G643" s="269"/>
      <c r="H643" s="269"/>
      <c r="I643" s="248"/>
      <c r="J643" s="248"/>
      <c r="K643" s="269"/>
      <c r="L643" s="24"/>
      <c r="M643" s="99"/>
      <c r="N643" s="100"/>
      <c r="O643" s="32"/>
      <c r="P643" s="32"/>
      <c r="Q643" s="32"/>
      <c r="R643" s="32"/>
      <c r="S643" s="32"/>
      <c r="T643" s="33"/>
      <c r="U643" s="23"/>
      <c r="V643" s="23"/>
      <c r="W643" s="23"/>
      <c r="X643" s="23"/>
      <c r="Y643" s="23"/>
      <c r="Z643" s="23"/>
      <c r="AA643" s="23"/>
      <c r="AB643" s="23"/>
      <c r="AC643" s="23"/>
      <c r="AD643" s="23"/>
      <c r="AE643" s="23"/>
      <c r="AT643" s="19" t="s">
        <v>231</v>
      </c>
      <c r="AU643" s="19" t="s">
        <v>77</v>
      </c>
    </row>
    <row r="644" spans="1:65" s="13" customFormat="1">
      <c r="A644" s="313"/>
      <c r="B644" s="314"/>
      <c r="C644" s="313"/>
      <c r="D644" s="315" t="s">
        <v>225</v>
      </c>
      <c r="E644" s="316" t="s">
        <v>3</v>
      </c>
      <c r="F644" s="317" t="s">
        <v>241</v>
      </c>
      <c r="G644" s="313"/>
      <c r="H644" s="316" t="s">
        <v>3</v>
      </c>
      <c r="I644" s="259"/>
      <c r="J644" s="259"/>
      <c r="K644" s="313"/>
      <c r="L644" s="89"/>
      <c r="M644" s="91"/>
      <c r="N644" s="92"/>
      <c r="O644" s="92"/>
      <c r="P644" s="92"/>
      <c r="Q644" s="92"/>
      <c r="R644" s="92"/>
      <c r="S644" s="92"/>
      <c r="T644" s="93"/>
      <c r="AT644" s="90" t="s">
        <v>225</v>
      </c>
      <c r="AU644" s="90" t="s">
        <v>77</v>
      </c>
      <c r="AV644" s="13" t="s">
        <v>75</v>
      </c>
      <c r="AW644" s="13" t="s">
        <v>30</v>
      </c>
      <c r="AX644" s="13" t="s">
        <v>68</v>
      </c>
      <c r="AY644" s="90" t="s">
        <v>216</v>
      </c>
    </row>
    <row r="645" spans="1:65" s="14" customFormat="1">
      <c r="A645" s="318"/>
      <c r="B645" s="319"/>
      <c r="C645" s="318"/>
      <c r="D645" s="315" t="s">
        <v>225</v>
      </c>
      <c r="E645" s="320" t="s">
        <v>3</v>
      </c>
      <c r="F645" s="321" t="s">
        <v>842</v>
      </c>
      <c r="G645" s="318"/>
      <c r="H645" s="322">
        <v>52.3</v>
      </c>
      <c r="I645" s="260"/>
      <c r="J645" s="260"/>
      <c r="K645" s="318"/>
      <c r="L645" s="94"/>
      <c r="M645" s="96"/>
      <c r="N645" s="97"/>
      <c r="O645" s="97"/>
      <c r="P645" s="97"/>
      <c r="Q645" s="97"/>
      <c r="R645" s="97"/>
      <c r="S645" s="97"/>
      <c r="T645" s="98"/>
      <c r="AT645" s="95" t="s">
        <v>225</v>
      </c>
      <c r="AU645" s="95" t="s">
        <v>77</v>
      </c>
      <c r="AV645" s="14" t="s">
        <v>77</v>
      </c>
      <c r="AW645" s="14" t="s">
        <v>30</v>
      </c>
      <c r="AX645" s="14" t="s">
        <v>75</v>
      </c>
      <c r="AY645" s="95" t="s">
        <v>216</v>
      </c>
    </row>
    <row r="646" spans="1:65" s="2" customFormat="1" ht="21.6" customHeight="1">
      <c r="A646" s="269"/>
      <c r="B646" s="270"/>
      <c r="C646" s="308" t="s">
        <v>843</v>
      </c>
      <c r="D646" s="308" t="s">
        <v>218</v>
      </c>
      <c r="E646" s="309" t="s">
        <v>844</v>
      </c>
      <c r="F646" s="310" t="s">
        <v>845</v>
      </c>
      <c r="G646" s="311" t="s">
        <v>286</v>
      </c>
      <c r="H646" s="312">
        <v>279</v>
      </c>
      <c r="I646" s="82">
        <v>0</v>
      </c>
      <c r="J646" s="82">
        <f>ROUND(I646*H646,2)</f>
        <v>0</v>
      </c>
      <c r="K646" s="310" t="s">
        <v>222</v>
      </c>
      <c r="L646" s="24"/>
      <c r="M646" s="83" t="s">
        <v>3</v>
      </c>
      <c r="N646" s="84" t="s">
        <v>39</v>
      </c>
      <c r="O646" s="85">
        <v>0.33</v>
      </c>
      <c r="P646" s="85">
        <f>O646*H646</f>
        <v>92.070000000000007</v>
      </c>
      <c r="Q646" s="85">
        <v>0</v>
      </c>
      <c r="R646" s="85">
        <f>Q646*H646</f>
        <v>0</v>
      </c>
      <c r="S646" s="85">
        <v>0.05</v>
      </c>
      <c r="T646" s="86">
        <f>S646*H646</f>
        <v>13.950000000000001</v>
      </c>
      <c r="U646" s="23"/>
      <c r="V646" s="23"/>
      <c r="W646" s="23"/>
      <c r="X646" s="23"/>
      <c r="Y646" s="23"/>
      <c r="Z646" s="23"/>
      <c r="AA646" s="23"/>
      <c r="AB646" s="23"/>
      <c r="AC646" s="23"/>
      <c r="AD646" s="23"/>
      <c r="AE646" s="23"/>
      <c r="AR646" s="87" t="s">
        <v>223</v>
      </c>
      <c r="AT646" s="87" t="s">
        <v>218</v>
      </c>
      <c r="AU646" s="87" t="s">
        <v>77</v>
      </c>
      <c r="AY646" s="19" t="s">
        <v>216</v>
      </c>
      <c r="BE646" s="88">
        <f>IF(N646="základní",J646,0)</f>
        <v>0</v>
      </c>
      <c r="BF646" s="88">
        <f>IF(N646="snížená",J646,0)</f>
        <v>0</v>
      </c>
      <c r="BG646" s="88">
        <f>IF(N646="zákl. přenesená",J646,0)</f>
        <v>0</v>
      </c>
      <c r="BH646" s="88">
        <f>IF(N646="sníž. přenesená",J646,0)</f>
        <v>0</v>
      </c>
      <c r="BI646" s="88">
        <f>IF(N646="nulová",J646,0)</f>
        <v>0</v>
      </c>
      <c r="BJ646" s="19" t="s">
        <v>75</v>
      </c>
      <c r="BK646" s="88">
        <f>ROUND(I646*H646,2)</f>
        <v>0</v>
      </c>
      <c r="BL646" s="19" t="s">
        <v>223</v>
      </c>
      <c r="BM646" s="87" t="s">
        <v>846</v>
      </c>
    </row>
    <row r="647" spans="1:65" s="2" customFormat="1" ht="29.25">
      <c r="A647" s="269"/>
      <c r="B647" s="270"/>
      <c r="C647" s="269"/>
      <c r="D647" s="315" t="s">
        <v>231</v>
      </c>
      <c r="E647" s="269"/>
      <c r="F647" s="323" t="s">
        <v>841</v>
      </c>
      <c r="G647" s="269"/>
      <c r="H647" s="269"/>
      <c r="I647" s="248"/>
      <c r="J647" s="248"/>
      <c r="K647" s="269"/>
      <c r="L647" s="24"/>
      <c r="M647" s="99"/>
      <c r="N647" s="100"/>
      <c r="O647" s="32"/>
      <c r="P647" s="32"/>
      <c r="Q647" s="32"/>
      <c r="R647" s="32"/>
      <c r="S647" s="32"/>
      <c r="T647" s="33"/>
      <c r="U647" s="23"/>
      <c r="V647" s="23"/>
      <c r="W647" s="23"/>
      <c r="X647" s="23"/>
      <c r="Y647" s="23"/>
      <c r="Z647" s="23"/>
      <c r="AA647" s="23"/>
      <c r="AB647" s="23"/>
      <c r="AC647" s="23"/>
      <c r="AD647" s="23"/>
      <c r="AE647" s="23"/>
      <c r="AT647" s="19" t="s">
        <v>231</v>
      </c>
      <c r="AU647" s="19" t="s">
        <v>77</v>
      </c>
    </row>
    <row r="648" spans="1:65" s="13" customFormat="1">
      <c r="A648" s="313"/>
      <c r="B648" s="314"/>
      <c r="C648" s="313"/>
      <c r="D648" s="315" t="s">
        <v>225</v>
      </c>
      <c r="E648" s="316" t="s">
        <v>3</v>
      </c>
      <c r="F648" s="317" t="s">
        <v>241</v>
      </c>
      <c r="G648" s="313"/>
      <c r="H648" s="316" t="s">
        <v>3</v>
      </c>
      <c r="I648" s="259"/>
      <c r="J648" s="259"/>
      <c r="K648" s="313"/>
      <c r="L648" s="89"/>
      <c r="M648" s="91"/>
      <c r="N648" s="92"/>
      <c r="O648" s="92"/>
      <c r="P648" s="92"/>
      <c r="Q648" s="92"/>
      <c r="R648" s="92"/>
      <c r="S648" s="92"/>
      <c r="T648" s="93"/>
      <c r="AT648" s="90" t="s">
        <v>225</v>
      </c>
      <c r="AU648" s="90" t="s">
        <v>77</v>
      </c>
      <c r="AV648" s="13" t="s">
        <v>75</v>
      </c>
      <c r="AW648" s="13" t="s">
        <v>30</v>
      </c>
      <c r="AX648" s="13" t="s">
        <v>68</v>
      </c>
      <c r="AY648" s="90" t="s">
        <v>216</v>
      </c>
    </row>
    <row r="649" spans="1:65" s="14" customFormat="1">
      <c r="A649" s="318"/>
      <c r="B649" s="319"/>
      <c r="C649" s="318"/>
      <c r="D649" s="315" t="s">
        <v>225</v>
      </c>
      <c r="E649" s="320" t="s">
        <v>3</v>
      </c>
      <c r="F649" s="321" t="s">
        <v>847</v>
      </c>
      <c r="G649" s="318"/>
      <c r="H649" s="322">
        <v>279</v>
      </c>
      <c r="I649" s="260"/>
      <c r="J649" s="260"/>
      <c r="K649" s="318"/>
      <c r="L649" s="94"/>
      <c r="M649" s="96"/>
      <c r="N649" s="97"/>
      <c r="O649" s="97"/>
      <c r="P649" s="97"/>
      <c r="Q649" s="97"/>
      <c r="R649" s="97"/>
      <c r="S649" s="97"/>
      <c r="T649" s="98"/>
      <c r="AT649" s="95" t="s">
        <v>225</v>
      </c>
      <c r="AU649" s="95" t="s">
        <v>77</v>
      </c>
      <c r="AV649" s="14" t="s">
        <v>77</v>
      </c>
      <c r="AW649" s="14" t="s">
        <v>30</v>
      </c>
      <c r="AX649" s="14" t="s">
        <v>75</v>
      </c>
      <c r="AY649" s="95" t="s">
        <v>216</v>
      </c>
    </row>
    <row r="650" spans="1:65" s="2" customFormat="1" ht="21.6" customHeight="1">
      <c r="A650" s="269"/>
      <c r="B650" s="270"/>
      <c r="C650" s="308" t="s">
        <v>848</v>
      </c>
      <c r="D650" s="308" t="s">
        <v>218</v>
      </c>
      <c r="E650" s="309" t="s">
        <v>849</v>
      </c>
      <c r="F650" s="310" t="s">
        <v>850</v>
      </c>
      <c r="G650" s="311" t="s">
        <v>286</v>
      </c>
      <c r="H650" s="312">
        <v>195.87100000000001</v>
      </c>
      <c r="I650" s="82">
        <v>0</v>
      </c>
      <c r="J650" s="82">
        <f>ROUND(I650*H650,2)</f>
        <v>0</v>
      </c>
      <c r="K650" s="310" t="s">
        <v>222</v>
      </c>
      <c r="L650" s="24"/>
      <c r="M650" s="83" t="s">
        <v>3</v>
      </c>
      <c r="N650" s="84" t="s">
        <v>39</v>
      </c>
      <c r="O650" s="85">
        <v>0.13</v>
      </c>
      <c r="P650" s="85">
        <f>O650*H650</f>
        <v>25.463230000000003</v>
      </c>
      <c r="Q650" s="85">
        <v>0</v>
      </c>
      <c r="R650" s="85">
        <f>Q650*H650</f>
        <v>0</v>
      </c>
      <c r="S650" s="85">
        <v>0.02</v>
      </c>
      <c r="T650" s="86">
        <f>S650*H650</f>
        <v>3.9174200000000003</v>
      </c>
      <c r="U650" s="23"/>
      <c r="V650" s="23"/>
      <c r="W650" s="23"/>
      <c r="X650" s="23"/>
      <c r="Y650" s="23"/>
      <c r="Z650" s="23"/>
      <c r="AA650" s="23"/>
      <c r="AB650" s="23"/>
      <c r="AC650" s="23"/>
      <c r="AD650" s="23"/>
      <c r="AE650" s="23"/>
      <c r="AR650" s="87" t="s">
        <v>223</v>
      </c>
      <c r="AT650" s="87" t="s">
        <v>218</v>
      </c>
      <c r="AU650" s="87" t="s">
        <v>77</v>
      </c>
      <c r="AY650" s="19" t="s">
        <v>216</v>
      </c>
      <c r="BE650" s="88">
        <f>IF(N650="základní",J650,0)</f>
        <v>0</v>
      </c>
      <c r="BF650" s="88">
        <f>IF(N650="snížená",J650,0)</f>
        <v>0</v>
      </c>
      <c r="BG650" s="88">
        <f>IF(N650="zákl. přenesená",J650,0)</f>
        <v>0</v>
      </c>
      <c r="BH650" s="88">
        <f>IF(N650="sníž. přenesená",J650,0)</f>
        <v>0</v>
      </c>
      <c r="BI650" s="88">
        <f>IF(N650="nulová",J650,0)</f>
        <v>0</v>
      </c>
      <c r="BJ650" s="19" t="s">
        <v>75</v>
      </c>
      <c r="BK650" s="88">
        <f>ROUND(I650*H650,2)</f>
        <v>0</v>
      </c>
      <c r="BL650" s="19" t="s">
        <v>223</v>
      </c>
      <c r="BM650" s="87" t="s">
        <v>851</v>
      </c>
    </row>
    <row r="651" spans="1:65" s="2" customFormat="1" ht="29.25">
      <c r="A651" s="269"/>
      <c r="B651" s="270"/>
      <c r="C651" s="269"/>
      <c r="D651" s="315" t="s">
        <v>231</v>
      </c>
      <c r="E651" s="269"/>
      <c r="F651" s="323" t="s">
        <v>841</v>
      </c>
      <c r="G651" s="269"/>
      <c r="H651" s="269"/>
      <c r="I651" s="248"/>
      <c r="J651" s="248"/>
      <c r="K651" s="269"/>
      <c r="L651" s="24"/>
      <c r="M651" s="99"/>
      <c r="N651" s="100"/>
      <c r="O651" s="32"/>
      <c r="P651" s="32"/>
      <c r="Q651" s="32"/>
      <c r="R651" s="32"/>
      <c r="S651" s="32"/>
      <c r="T651" s="33"/>
      <c r="U651" s="23"/>
      <c r="V651" s="23"/>
      <c r="W651" s="23"/>
      <c r="X651" s="23"/>
      <c r="Y651" s="23"/>
      <c r="Z651" s="23"/>
      <c r="AA651" s="23"/>
      <c r="AB651" s="23"/>
      <c r="AC651" s="23"/>
      <c r="AD651" s="23"/>
      <c r="AE651" s="23"/>
      <c r="AT651" s="19" t="s">
        <v>231</v>
      </c>
      <c r="AU651" s="19" t="s">
        <v>77</v>
      </c>
    </row>
    <row r="652" spans="1:65" s="13" customFormat="1">
      <c r="A652" s="313"/>
      <c r="B652" s="314"/>
      <c r="C652" s="313"/>
      <c r="D652" s="315" t="s">
        <v>225</v>
      </c>
      <c r="E652" s="316" t="s">
        <v>3</v>
      </c>
      <c r="F652" s="317" t="s">
        <v>241</v>
      </c>
      <c r="G652" s="313"/>
      <c r="H652" s="316" t="s">
        <v>3</v>
      </c>
      <c r="I652" s="259"/>
      <c r="J652" s="259"/>
      <c r="K652" s="313"/>
      <c r="L652" s="89"/>
      <c r="M652" s="91"/>
      <c r="N652" s="92"/>
      <c r="O652" s="92"/>
      <c r="P652" s="92"/>
      <c r="Q652" s="92"/>
      <c r="R652" s="92"/>
      <c r="S652" s="92"/>
      <c r="T652" s="93"/>
      <c r="AT652" s="90" t="s">
        <v>225</v>
      </c>
      <c r="AU652" s="90" t="s">
        <v>77</v>
      </c>
      <c r="AV652" s="13" t="s">
        <v>75</v>
      </c>
      <c r="AW652" s="13" t="s">
        <v>30</v>
      </c>
      <c r="AX652" s="13" t="s">
        <v>68</v>
      </c>
      <c r="AY652" s="90" t="s">
        <v>216</v>
      </c>
    </row>
    <row r="653" spans="1:65" s="14" customFormat="1">
      <c r="A653" s="318"/>
      <c r="B653" s="319"/>
      <c r="C653" s="318"/>
      <c r="D653" s="315" t="s">
        <v>225</v>
      </c>
      <c r="E653" s="320" t="s">
        <v>3</v>
      </c>
      <c r="F653" s="321" t="s">
        <v>494</v>
      </c>
      <c r="G653" s="318"/>
      <c r="H653" s="322">
        <v>109.224</v>
      </c>
      <c r="I653" s="260"/>
      <c r="J653" s="260"/>
      <c r="K653" s="318"/>
      <c r="L653" s="94"/>
      <c r="M653" s="96"/>
      <c r="N653" s="97"/>
      <c r="O653" s="97"/>
      <c r="P653" s="97"/>
      <c r="Q653" s="97"/>
      <c r="R653" s="97"/>
      <c r="S653" s="97"/>
      <c r="T653" s="98"/>
      <c r="AT653" s="95" t="s">
        <v>225</v>
      </c>
      <c r="AU653" s="95" t="s">
        <v>77</v>
      </c>
      <c r="AV653" s="14" t="s">
        <v>77</v>
      </c>
      <c r="AW653" s="14" t="s">
        <v>30</v>
      </c>
      <c r="AX653" s="14" t="s">
        <v>68</v>
      </c>
      <c r="AY653" s="95" t="s">
        <v>216</v>
      </c>
    </row>
    <row r="654" spans="1:65" s="14" customFormat="1">
      <c r="A654" s="318"/>
      <c r="B654" s="319"/>
      <c r="C654" s="318"/>
      <c r="D654" s="315" t="s">
        <v>225</v>
      </c>
      <c r="E654" s="320" t="s">
        <v>3</v>
      </c>
      <c r="F654" s="321" t="s">
        <v>492</v>
      </c>
      <c r="G654" s="318"/>
      <c r="H654" s="322">
        <v>40.249000000000002</v>
      </c>
      <c r="I654" s="260"/>
      <c r="J654" s="260"/>
      <c r="K654" s="318"/>
      <c r="L654" s="94"/>
      <c r="M654" s="96"/>
      <c r="N654" s="97"/>
      <c r="O654" s="97"/>
      <c r="P654" s="97"/>
      <c r="Q654" s="97"/>
      <c r="R654" s="97"/>
      <c r="S654" s="97"/>
      <c r="T654" s="98"/>
      <c r="AT654" s="95" t="s">
        <v>225</v>
      </c>
      <c r="AU654" s="95" t="s">
        <v>77</v>
      </c>
      <c r="AV654" s="14" t="s">
        <v>77</v>
      </c>
      <c r="AW654" s="14" t="s">
        <v>30</v>
      </c>
      <c r="AX654" s="14" t="s">
        <v>68</v>
      </c>
      <c r="AY654" s="95" t="s">
        <v>216</v>
      </c>
    </row>
    <row r="655" spans="1:65" s="14" customFormat="1">
      <c r="A655" s="318"/>
      <c r="B655" s="319"/>
      <c r="C655" s="318"/>
      <c r="D655" s="315" t="s">
        <v>225</v>
      </c>
      <c r="E655" s="320" t="s">
        <v>3</v>
      </c>
      <c r="F655" s="321" t="s">
        <v>493</v>
      </c>
      <c r="G655" s="318"/>
      <c r="H655" s="322">
        <v>46.398000000000003</v>
      </c>
      <c r="I655" s="260"/>
      <c r="J655" s="260"/>
      <c r="K655" s="318"/>
      <c r="L655" s="94"/>
      <c r="M655" s="96"/>
      <c r="N655" s="97"/>
      <c r="O655" s="97"/>
      <c r="P655" s="97"/>
      <c r="Q655" s="97"/>
      <c r="R655" s="97"/>
      <c r="S655" s="97"/>
      <c r="T655" s="98"/>
      <c r="AT655" s="95" t="s">
        <v>225</v>
      </c>
      <c r="AU655" s="95" t="s">
        <v>77</v>
      </c>
      <c r="AV655" s="14" t="s">
        <v>77</v>
      </c>
      <c r="AW655" s="14" t="s">
        <v>30</v>
      </c>
      <c r="AX655" s="14" t="s">
        <v>68</v>
      </c>
      <c r="AY655" s="95" t="s">
        <v>216</v>
      </c>
    </row>
    <row r="656" spans="1:65" s="16" customFormat="1">
      <c r="A656" s="329"/>
      <c r="B656" s="330"/>
      <c r="C656" s="329"/>
      <c r="D656" s="315" t="s">
        <v>225</v>
      </c>
      <c r="E656" s="331" t="s">
        <v>3</v>
      </c>
      <c r="F656" s="332" t="s">
        <v>254</v>
      </c>
      <c r="G656" s="329"/>
      <c r="H656" s="333">
        <v>195.87100000000001</v>
      </c>
      <c r="I656" s="262"/>
      <c r="J656" s="262"/>
      <c r="K656" s="329"/>
      <c r="L656" s="106"/>
      <c r="M656" s="108"/>
      <c r="N656" s="109"/>
      <c r="O656" s="109"/>
      <c r="P656" s="109"/>
      <c r="Q656" s="109"/>
      <c r="R656" s="109"/>
      <c r="S656" s="109"/>
      <c r="T656" s="110"/>
      <c r="AT656" s="107" t="s">
        <v>225</v>
      </c>
      <c r="AU656" s="107" t="s">
        <v>77</v>
      </c>
      <c r="AV656" s="16" t="s">
        <v>223</v>
      </c>
      <c r="AW656" s="16" t="s">
        <v>30</v>
      </c>
      <c r="AX656" s="16" t="s">
        <v>75</v>
      </c>
      <c r="AY656" s="107" t="s">
        <v>216</v>
      </c>
    </row>
    <row r="657" spans="1:65" s="2" customFormat="1" ht="21.6" customHeight="1">
      <c r="A657" s="269"/>
      <c r="B657" s="270"/>
      <c r="C657" s="308" t="s">
        <v>852</v>
      </c>
      <c r="D657" s="308" t="s">
        <v>218</v>
      </c>
      <c r="E657" s="309" t="s">
        <v>853</v>
      </c>
      <c r="F657" s="310" t="s">
        <v>854</v>
      </c>
      <c r="G657" s="311" t="s">
        <v>286</v>
      </c>
      <c r="H657" s="312">
        <v>581.66700000000003</v>
      </c>
      <c r="I657" s="82">
        <v>0</v>
      </c>
      <c r="J657" s="82">
        <f>ROUND(I657*H657,2)</f>
        <v>0</v>
      </c>
      <c r="K657" s="310" t="s">
        <v>222</v>
      </c>
      <c r="L657" s="24"/>
      <c r="M657" s="83" t="s">
        <v>3</v>
      </c>
      <c r="N657" s="84" t="s">
        <v>39</v>
      </c>
      <c r="O657" s="85">
        <v>0.26</v>
      </c>
      <c r="P657" s="85">
        <f>O657*H657</f>
        <v>151.23342000000002</v>
      </c>
      <c r="Q657" s="85">
        <v>0</v>
      </c>
      <c r="R657" s="85">
        <f>Q657*H657</f>
        <v>0</v>
      </c>
      <c r="S657" s="85">
        <v>4.5999999999999999E-2</v>
      </c>
      <c r="T657" s="86">
        <f>S657*H657</f>
        <v>26.756682000000001</v>
      </c>
      <c r="U657" s="23"/>
      <c r="V657" s="23"/>
      <c r="W657" s="23"/>
      <c r="X657" s="23"/>
      <c r="Y657" s="23"/>
      <c r="Z657" s="23"/>
      <c r="AA657" s="23"/>
      <c r="AB657" s="23"/>
      <c r="AC657" s="23"/>
      <c r="AD657" s="23"/>
      <c r="AE657" s="23"/>
      <c r="AR657" s="87" t="s">
        <v>223</v>
      </c>
      <c r="AT657" s="87" t="s">
        <v>218</v>
      </c>
      <c r="AU657" s="87" t="s">
        <v>77</v>
      </c>
      <c r="AY657" s="19" t="s">
        <v>216</v>
      </c>
      <c r="BE657" s="88">
        <f>IF(N657="základní",J657,0)</f>
        <v>0</v>
      </c>
      <c r="BF657" s="88">
        <f>IF(N657="snížená",J657,0)</f>
        <v>0</v>
      </c>
      <c r="BG657" s="88">
        <f>IF(N657="zákl. přenesená",J657,0)</f>
        <v>0</v>
      </c>
      <c r="BH657" s="88">
        <f>IF(N657="sníž. přenesená",J657,0)</f>
        <v>0</v>
      </c>
      <c r="BI657" s="88">
        <f>IF(N657="nulová",J657,0)</f>
        <v>0</v>
      </c>
      <c r="BJ657" s="19" t="s">
        <v>75</v>
      </c>
      <c r="BK657" s="88">
        <f>ROUND(I657*H657,2)</f>
        <v>0</v>
      </c>
      <c r="BL657" s="19" t="s">
        <v>223</v>
      </c>
      <c r="BM657" s="87" t="s">
        <v>855</v>
      </c>
    </row>
    <row r="658" spans="1:65" s="2" customFormat="1" ht="29.25">
      <c r="A658" s="269"/>
      <c r="B658" s="270"/>
      <c r="C658" s="269"/>
      <c r="D658" s="315" t="s">
        <v>231</v>
      </c>
      <c r="E658" s="269"/>
      <c r="F658" s="323" t="s">
        <v>841</v>
      </c>
      <c r="G658" s="269"/>
      <c r="H658" s="269"/>
      <c r="I658" s="248"/>
      <c r="J658" s="248"/>
      <c r="K658" s="269"/>
      <c r="L658" s="24"/>
      <c r="M658" s="99"/>
      <c r="N658" s="100"/>
      <c r="O658" s="32"/>
      <c r="P658" s="32"/>
      <c r="Q658" s="32"/>
      <c r="R658" s="32"/>
      <c r="S658" s="32"/>
      <c r="T658" s="33"/>
      <c r="U658" s="23"/>
      <c r="V658" s="23"/>
      <c r="W658" s="23"/>
      <c r="X658" s="23"/>
      <c r="Y658" s="23"/>
      <c r="Z658" s="23"/>
      <c r="AA658" s="23"/>
      <c r="AB658" s="23"/>
      <c r="AC658" s="23"/>
      <c r="AD658" s="23"/>
      <c r="AE658" s="23"/>
      <c r="AT658" s="19" t="s">
        <v>231</v>
      </c>
      <c r="AU658" s="19" t="s">
        <v>77</v>
      </c>
    </row>
    <row r="659" spans="1:65" s="13" customFormat="1">
      <c r="A659" s="313"/>
      <c r="B659" s="314"/>
      <c r="C659" s="313"/>
      <c r="D659" s="315" t="s">
        <v>225</v>
      </c>
      <c r="E659" s="316" t="s">
        <v>3</v>
      </c>
      <c r="F659" s="317" t="s">
        <v>241</v>
      </c>
      <c r="G659" s="313"/>
      <c r="H659" s="316" t="s">
        <v>3</v>
      </c>
      <c r="I659" s="259"/>
      <c r="J659" s="259"/>
      <c r="K659" s="313"/>
      <c r="L659" s="89"/>
      <c r="M659" s="91"/>
      <c r="N659" s="92"/>
      <c r="O659" s="92"/>
      <c r="P659" s="92"/>
      <c r="Q659" s="92"/>
      <c r="R659" s="92"/>
      <c r="S659" s="92"/>
      <c r="T659" s="93"/>
      <c r="AT659" s="90" t="s">
        <v>225</v>
      </c>
      <c r="AU659" s="90" t="s">
        <v>77</v>
      </c>
      <c r="AV659" s="13" t="s">
        <v>75</v>
      </c>
      <c r="AW659" s="13" t="s">
        <v>30</v>
      </c>
      <c r="AX659" s="13" t="s">
        <v>68</v>
      </c>
      <c r="AY659" s="90" t="s">
        <v>216</v>
      </c>
    </row>
    <row r="660" spans="1:65" s="14" customFormat="1">
      <c r="A660" s="318"/>
      <c r="B660" s="319"/>
      <c r="C660" s="318"/>
      <c r="D660" s="315" t="s">
        <v>225</v>
      </c>
      <c r="E660" s="320" t="s">
        <v>3</v>
      </c>
      <c r="F660" s="321" t="s">
        <v>477</v>
      </c>
      <c r="G660" s="318"/>
      <c r="H660" s="322">
        <v>129.54599999999999</v>
      </c>
      <c r="I660" s="260"/>
      <c r="J660" s="260"/>
      <c r="K660" s="318"/>
      <c r="L660" s="94"/>
      <c r="M660" s="96"/>
      <c r="N660" s="97"/>
      <c r="O660" s="97"/>
      <c r="P660" s="97"/>
      <c r="Q660" s="97"/>
      <c r="R660" s="97"/>
      <c r="S660" s="97"/>
      <c r="T660" s="98"/>
      <c r="AT660" s="95" t="s">
        <v>225</v>
      </c>
      <c r="AU660" s="95" t="s">
        <v>77</v>
      </c>
      <c r="AV660" s="14" t="s">
        <v>77</v>
      </c>
      <c r="AW660" s="14" t="s">
        <v>30</v>
      </c>
      <c r="AX660" s="14" t="s">
        <v>68</v>
      </c>
      <c r="AY660" s="95" t="s">
        <v>216</v>
      </c>
    </row>
    <row r="661" spans="1:65" s="14" customFormat="1">
      <c r="A661" s="318"/>
      <c r="B661" s="319"/>
      <c r="C661" s="318"/>
      <c r="D661" s="315" t="s">
        <v>225</v>
      </c>
      <c r="E661" s="320" t="s">
        <v>3</v>
      </c>
      <c r="F661" s="321" t="s">
        <v>478</v>
      </c>
      <c r="G661" s="318"/>
      <c r="H661" s="322">
        <v>81.224000000000004</v>
      </c>
      <c r="I661" s="260"/>
      <c r="J661" s="260"/>
      <c r="K661" s="318"/>
      <c r="L661" s="94"/>
      <c r="M661" s="96"/>
      <c r="N661" s="97"/>
      <c r="O661" s="97"/>
      <c r="P661" s="97"/>
      <c r="Q661" s="97"/>
      <c r="R661" s="97"/>
      <c r="S661" s="97"/>
      <c r="T661" s="98"/>
      <c r="AT661" s="95" t="s">
        <v>225</v>
      </c>
      <c r="AU661" s="95" t="s">
        <v>77</v>
      </c>
      <c r="AV661" s="14" t="s">
        <v>77</v>
      </c>
      <c r="AW661" s="14" t="s">
        <v>30</v>
      </c>
      <c r="AX661" s="14" t="s">
        <v>68</v>
      </c>
      <c r="AY661" s="95" t="s">
        <v>216</v>
      </c>
    </row>
    <row r="662" spans="1:65" s="14" customFormat="1">
      <c r="A662" s="318"/>
      <c r="B662" s="319"/>
      <c r="C662" s="318"/>
      <c r="D662" s="315" t="s">
        <v>225</v>
      </c>
      <c r="E662" s="320" t="s">
        <v>3</v>
      </c>
      <c r="F662" s="321" t="s">
        <v>479</v>
      </c>
      <c r="G662" s="318"/>
      <c r="H662" s="322">
        <v>170.215</v>
      </c>
      <c r="I662" s="260"/>
      <c r="J662" s="260"/>
      <c r="K662" s="318"/>
      <c r="L662" s="94"/>
      <c r="M662" s="96"/>
      <c r="N662" s="97"/>
      <c r="O662" s="97"/>
      <c r="P662" s="97"/>
      <c r="Q662" s="97"/>
      <c r="R662" s="97"/>
      <c r="S662" s="97"/>
      <c r="T662" s="98"/>
      <c r="AT662" s="95" t="s">
        <v>225</v>
      </c>
      <c r="AU662" s="95" t="s">
        <v>77</v>
      </c>
      <c r="AV662" s="14" t="s">
        <v>77</v>
      </c>
      <c r="AW662" s="14" t="s">
        <v>30</v>
      </c>
      <c r="AX662" s="14" t="s">
        <v>68</v>
      </c>
      <c r="AY662" s="95" t="s">
        <v>216</v>
      </c>
    </row>
    <row r="663" spans="1:65" s="14" customFormat="1">
      <c r="A663" s="318"/>
      <c r="B663" s="319"/>
      <c r="C663" s="318"/>
      <c r="D663" s="315" t="s">
        <v>225</v>
      </c>
      <c r="E663" s="320" t="s">
        <v>3</v>
      </c>
      <c r="F663" s="321" t="s">
        <v>480</v>
      </c>
      <c r="G663" s="318"/>
      <c r="H663" s="322">
        <v>112.973</v>
      </c>
      <c r="I663" s="260"/>
      <c r="J663" s="260"/>
      <c r="K663" s="318"/>
      <c r="L663" s="94"/>
      <c r="M663" s="96"/>
      <c r="N663" s="97"/>
      <c r="O663" s="97"/>
      <c r="P663" s="97"/>
      <c r="Q663" s="97"/>
      <c r="R663" s="97"/>
      <c r="S663" s="97"/>
      <c r="T663" s="98"/>
      <c r="AT663" s="95" t="s">
        <v>225</v>
      </c>
      <c r="AU663" s="95" t="s">
        <v>77</v>
      </c>
      <c r="AV663" s="14" t="s">
        <v>77</v>
      </c>
      <c r="AW663" s="14" t="s">
        <v>30</v>
      </c>
      <c r="AX663" s="14" t="s">
        <v>68</v>
      </c>
      <c r="AY663" s="95" t="s">
        <v>216</v>
      </c>
    </row>
    <row r="664" spans="1:65" s="14" customFormat="1">
      <c r="A664" s="318"/>
      <c r="B664" s="319"/>
      <c r="C664" s="318"/>
      <c r="D664" s="315" t="s">
        <v>225</v>
      </c>
      <c r="E664" s="320" t="s">
        <v>3</v>
      </c>
      <c r="F664" s="321" t="s">
        <v>481</v>
      </c>
      <c r="G664" s="318"/>
      <c r="H664" s="322">
        <v>44.396000000000001</v>
      </c>
      <c r="I664" s="260"/>
      <c r="J664" s="260"/>
      <c r="K664" s="318"/>
      <c r="L664" s="94"/>
      <c r="M664" s="96"/>
      <c r="N664" s="97"/>
      <c r="O664" s="97"/>
      <c r="P664" s="97"/>
      <c r="Q664" s="97"/>
      <c r="R664" s="97"/>
      <c r="S664" s="97"/>
      <c r="T664" s="98"/>
      <c r="AT664" s="95" t="s">
        <v>225</v>
      </c>
      <c r="AU664" s="95" t="s">
        <v>77</v>
      </c>
      <c r="AV664" s="14" t="s">
        <v>77</v>
      </c>
      <c r="AW664" s="14" t="s">
        <v>30</v>
      </c>
      <c r="AX664" s="14" t="s">
        <v>68</v>
      </c>
      <c r="AY664" s="95" t="s">
        <v>216</v>
      </c>
    </row>
    <row r="665" spans="1:65" s="14" customFormat="1">
      <c r="A665" s="318"/>
      <c r="B665" s="319"/>
      <c r="C665" s="318"/>
      <c r="D665" s="315" t="s">
        <v>225</v>
      </c>
      <c r="E665" s="320" t="s">
        <v>3</v>
      </c>
      <c r="F665" s="321" t="s">
        <v>482</v>
      </c>
      <c r="G665" s="318"/>
      <c r="H665" s="322">
        <v>43.313000000000002</v>
      </c>
      <c r="I665" s="260"/>
      <c r="J665" s="260"/>
      <c r="K665" s="318"/>
      <c r="L665" s="94"/>
      <c r="M665" s="96"/>
      <c r="N665" s="97"/>
      <c r="O665" s="97"/>
      <c r="P665" s="97"/>
      <c r="Q665" s="97"/>
      <c r="R665" s="97"/>
      <c r="S665" s="97"/>
      <c r="T665" s="98"/>
      <c r="AT665" s="95" t="s">
        <v>225</v>
      </c>
      <c r="AU665" s="95" t="s">
        <v>77</v>
      </c>
      <c r="AV665" s="14" t="s">
        <v>77</v>
      </c>
      <c r="AW665" s="14" t="s">
        <v>30</v>
      </c>
      <c r="AX665" s="14" t="s">
        <v>68</v>
      </c>
      <c r="AY665" s="95" t="s">
        <v>216</v>
      </c>
    </row>
    <row r="666" spans="1:65" s="16" customFormat="1">
      <c r="A666" s="329"/>
      <c r="B666" s="330"/>
      <c r="C666" s="329"/>
      <c r="D666" s="315" t="s">
        <v>225</v>
      </c>
      <c r="E666" s="331" t="s">
        <v>3</v>
      </c>
      <c r="F666" s="332" t="s">
        <v>254</v>
      </c>
      <c r="G666" s="329"/>
      <c r="H666" s="333">
        <v>581.66700000000003</v>
      </c>
      <c r="I666" s="262"/>
      <c r="J666" s="262"/>
      <c r="K666" s="329"/>
      <c r="L666" s="106"/>
      <c r="M666" s="108"/>
      <c r="N666" s="109"/>
      <c r="O666" s="109"/>
      <c r="P666" s="109"/>
      <c r="Q666" s="109"/>
      <c r="R666" s="109"/>
      <c r="S666" s="109"/>
      <c r="T666" s="110"/>
      <c r="AT666" s="107" t="s">
        <v>225</v>
      </c>
      <c r="AU666" s="107" t="s">
        <v>77</v>
      </c>
      <c r="AV666" s="16" t="s">
        <v>223</v>
      </c>
      <c r="AW666" s="16" t="s">
        <v>30</v>
      </c>
      <c r="AX666" s="16" t="s">
        <v>75</v>
      </c>
      <c r="AY666" s="107" t="s">
        <v>216</v>
      </c>
    </row>
    <row r="667" spans="1:65" s="12" customFormat="1" ht="22.9" customHeight="1">
      <c r="A667" s="303"/>
      <c r="B667" s="304"/>
      <c r="C667" s="303"/>
      <c r="D667" s="305" t="s">
        <v>67</v>
      </c>
      <c r="E667" s="307" t="s">
        <v>856</v>
      </c>
      <c r="F667" s="307" t="s">
        <v>857</v>
      </c>
      <c r="G667" s="303"/>
      <c r="H667" s="303"/>
      <c r="I667" s="256"/>
      <c r="J667" s="258">
        <f>BK667</f>
        <v>0</v>
      </c>
      <c r="K667" s="303"/>
      <c r="L667" s="74"/>
      <c r="M667" s="76"/>
      <c r="N667" s="77"/>
      <c r="O667" s="77"/>
      <c r="P667" s="78">
        <f>SUM(P668:P683)</f>
        <v>501.41175499999997</v>
      </c>
      <c r="Q667" s="77"/>
      <c r="R667" s="78">
        <f>SUM(R668:R683)</f>
        <v>0</v>
      </c>
      <c r="S667" s="77"/>
      <c r="T667" s="79">
        <f>SUM(T668:T683)</f>
        <v>0</v>
      </c>
      <c r="AR667" s="75" t="s">
        <v>75</v>
      </c>
      <c r="AT667" s="80" t="s">
        <v>67</v>
      </c>
      <c r="AU667" s="80" t="s">
        <v>75</v>
      </c>
      <c r="AY667" s="75" t="s">
        <v>216</v>
      </c>
      <c r="BK667" s="81">
        <f>SUM(BK668:BK683)</f>
        <v>0</v>
      </c>
    </row>
    <row r="668" spans="1:65" s="2" customFormat="1" ht="21.6" customHeight="1">
      <c r="A668" s="269"/>
      <c r="B668" s="270"/>
      <c r="C668" s="308" t="s">
        <v>146</v>
      </c>
      <c r="D668" s="308" t="s">
        <v>218</v>
      </c>
      <c r="E668" s="309" t="s">
        <v>858</v>
      </c>
      <c r="F668" s="310" t="s">
        <v>859</v>
      </c>
      <c r="G668" s="311" t="s">
        <v>273</v>
      </c>
      <c r="H668" s="312">
        <v>188.14699999999999</v>
      </c>
      <c r="I668" s="82">
        <v>0</v>
      </c>
      <c r="J668" s="82">
        <f>ROUND(I668*H668,2)</f>
        <v>0</v>
      </c>
      <c r="K668" s="310" t="s">
        <v>222</v>
      </c>
      <c r="L668" s="24"/>
      <c r="M668" s="83" t="s">
        <v>3</v>
      </c>
      <c r="N668" s="84" t="s">
        <v>39</v>
      </c>
      <c r="O668" s="85">
        <v>2.42</v>
      </c>
      <c r="P668" s="85">
        <f>O668*H668</f>
        <v>455.31573999999995</v>
      </c>
      <c r="Q668" s="85">
        <v>0</v>
      </c>
      <c r="R668" s="85">
        <f>Q668*H668</f>
        <v>0</v>
      </c>
      <c r="S668" s="85">
        <v>0</v>
      </c>
      <c r="T668" s="86">
        <f>S668*H668</f>
        <v>0</v>
      </c>
      <c r="U668" s="23"/>
      <c r="V668" s="23"/>
      <c r="W668" s="23"/>
      <c r="X668" s="23"/>
      <c r="Y668" s="23"/>
      <c r="Z668" s="23"/>
      <c r="AA668" s="23"/>
      <c r="AB668" s="23"/>
      <c r="AC668" s="23"/>
      <c r="AD668" s="23"/>
      <c r="AE668" s="23"/>
      <c r="AR668" s="87" t="s">
        <v>223</v>
      </c>
      <c r="AT668" s="87" t="s">
        <v>218</v>
      </c>
      <c r="AU668" s="87" t="s">
        <v>77</v>
      </c>
      <c r="AY668" s="19" t="s">
        <v>216</v>
      </c>
      <c r="BE668" s="88">
        <f>IF(N668="základní",J668,0)</f>
        <v>0</v>
      </c>
      <c r="BF668" s="88">
        <f>IF(N668="snížená",J668,0)</f>
        <v>0</v>
      </c>
      <c r="BG668" s="88">
        <f>IF(N668="zákl. přenesená",J668,0)</f>
        <v>0</v>
      </c>
      <c r="BH668" s="88">
        <f>IF(N668="sníž. přenesená",J668,0)</f>
        <v>0</v>
      </c>
      <c r="BI668" s="88">
        <f>IF(N668="nulová",J668,0)</f>
        <v>0</v>
      </c>
      <c r="BJ668" s="19" t="s">
        <v>75</v>
      </c>
      <c r="BK668" s="88">
        <f>ROUND(I668*H668,2)</f>
        <v>0</v>
      </c>
      <c r="BL668" s="19" t="s">
        <v>223</v>
      </c>
      <c r="BM668" s="87" t="s">
        <v>860</v>
      </c>
    </row>
    <row r="669" spans="1:65" s="2" customFormat="1" ht="117">
      <c r="A669" s="269"/>
      <c r="B669" s="270"/>
      <c r="C669" s="269"/>
      <c r="D669" s="315" t="s">
        <v>231</v>
      </c>
      <c r="E669" s="269"/>
      <c r="F669" s="323" t="s">
        <v>861</v>
      </c>
      <c r="G669" s="269"/>
      <c r="H669" s="269"/>
      <c r="I669" s="248"/>
      <c r="J669" s="248"/>
      <c r="K669" s="269"/>
      <c r="L669" s="24"/>
      <c r="M669" s="99"/>
      <c r="N669" s="100"/>
      <c r="O669" s="32"/>
      <c r="P669" s="32"/>
      <c r="Q669" s="32"/>
      <c r="R669" s="32"/>
      <c r="S669" s="32"/>
      <c r="T669" s="33"/>
      <c r="U669" s="23"/>
      <c r="V669" s="23"/>
      <c r="W669" s="23"/>
      <c r="X669" s="23"/>
      <c r="Y669" s="23"/>
      <c r="Z669" s="23"/>
      <c r="AA669" s="23"/>
      <c r="AB669" s="23"/>
      <c r="AC669" s="23"/>
      <c r="AD669" s="23"/>
      <c r="AE669" s="23"/>
      <c r="AT669" s="19" t="s">
        <v>231</v>
      </c>
      <c r="AU669" s="19" t="s">
        <v>77</v>
      </c>
    </row>
    <row r="670" spans="1:65" s="2" customFormat="1" ht="21.6" customHeight="1">
      <c r="A670" s="269"/>
      <c r="B670" s="270"/>
      <c r="C670" s="308" t="s">
        <v>862</v>
      </c>
      <c r="D670" s="308" t="s">
        <v>218</v>
      </c>
      <c r="E670" s="309" t="s">
        <v>863</v>
      </c>
      <c r="F670" s="310" t="s">
        <v>864</v>
      </c>
      <c r="G670" s="311" t="s">
        <v>273</v>
      </c>
      <c r="H670" s="312">
        <v>188.14699999999999</v>
      </c>
      <c r="I670" s="82">
        <v>0</v>
      </c>
      <c r="J670" s="82">
        <f>ROUND(I670*H670,2)</f>
        <v>0</v>
      </c>
      <c r="K670" s="310" t="s">
        <v>222</v>
      </c>
      <c r="L670" s="24"/>
      <c r="M670" s="83" t="s">
        <v>3</v>
      </c>
      <c r="N670" s="84" t="s">
        <v>39</v>
      </c>
      <c r="O670" s="85">
        <v>0.125</v>
      </c>
      <c r="P670" s="85">
        <f>O670*H670</f>
        <v>23.518374999999999</v>
      </c>
      <c r="Q670" s="85">
        <v>0</v>
      </c>
      <c r="R670" s="85">
        <f>Q670*H670</f>
        <v>0</v>
      </c>
      <c r="S670" s="85">
        <v>0</v>
      </c>
      <c r="T670" s="86">
        <f>S670*H670</f>
        <v>0</v>
      </c>
      <c r="U670" s="23"/>
      <c r="V670" s="23"/>
      <c r="W670" s="23"/>
      <c r="X670" s="23"/>
      <c r="Y670" s="23"/>
      <c r="Z670" s="23"/>
      <c r="AA670" s="23"/>
      <c r="AB670" s="23"/>
      <c r="AC670" s="23"/>
      <c r="AD670" s="23"/>
      <c r="AE670" s="23"/>
      <c r="AR670" s="87" t="s">
        <v>223</v>
      </c>
      <c r="AT670" s="87" t="s">
        <v>218</v>
      </c>
      <c r="AU670" s="87" t="s">
        <v>77</v>
      </c>
      <c r="AY670" s="19" t="s">
        <v>216</v>
      </c>
      <c r="BE670" s="88">
        <f>IF(N670="základní",J670,0)</f>
        <v>0</v>
      </c>
      <c r="BF670" s="88">
        <f>IF(N670="snížená",J670,0)</f>
        <v>0</v>
      </c>
      <c r="BG670" s="88">
        <f>IF(N670="zákl. přenesená",J670,0)</f>
        <v>0</v>
      </c>
      <c r="BH670" s="88">
        <f>IF(N670="sníž. přenesená",J670,0)</f>
        <v>0</v>
      </c>
      <c r="BI670" s="88">
        <f>IF(N670="nulová",J670,0)</f>
        <v>0</v>
      </c>
      <c r="BJ670" s="19" t="s">
        <v>75</v>
      </c>
      <c r="BK670" s="88">
        <f>ROUND(I670*H670,2)</f>
        <v>0</v>
      </c>
      <c r="BL670" s="19" t="s">
        <v>223</v>
      </c>
      <c r="BM670" s="87" t="s">
        <v>865</v>
      </c>
    </row>
    <row r="671" spans="1:65" s="2" customFormat="1" ht="78">
      <c r="A671" s="269"/>
      <c r="B671" s="270"/>
      <c r="C671" s="269"/>
      <c r="D671" s="315" t="s">
        <v>231</v>
      </c>
      <c r="E671" s="269"/>
      <c r="F671" s="323" t="s">
        <v>866</v>
      </c>
      <c r="G671" s="269"/>
      <c r="H671" s="269"/>
      <c r="I671" s="248"/>
      <c r="J671" s="248"/>
      <c r="K671" s="269"/>
      <c r="L671" s="24"/>
      <c r="M671" s="99"/>
      <c r="N671" s="100"/>
      <c r="O671" s="32"/>
      <c r="P671" s="32"/>
      <c r="Q671" s="32"/>
      <c r="R671" s="32"/>
      <c r="S671" s="32"/>
      <c r="T671" s="33"/>
      <c r="U671" s="23"/>
      <c r="V671" s="23"/>
      <c r="W671" s="23"/>
      <c r="X671" s="23"/>
      <c r="Y671" s="23"/>
      <c r="Z671" s="23"/>
      <c r="AA671" s="23"/>
      <c r="AB671" s="23"/>
      <c r="AC671" s="23"/>
      <c r="AD671" s="23"/>
      <c r="AE671" s="23"/>
      <c r="AT671" s="19" t="s">
        <v>231</v>
      </c>
      <c r="AU671" s="19" t="s">
        <v>77</v>
      </c>
    </row>
    <row r="672" spans="1:65" s="2" customFormat="1" ht="21.6" customHeight="1">
      <c r="A672" s="269"/>
      <c r="B672" s="270"/>
      <c r="C672" s="308" t="s">
        <v>867</v>
      </c>
      <c r="D672" s="308" t="s">
        <v>218</v>
      </c>
      <c r="E672" s="309" t="s">
        <v>868</v>
      </c>
      <c r="F672" s="310" t="s">
        <v>869</v>
      </c>
      <c r="G672" s="311" t="s">
        <v>273</v>
      </c>
      <c r="H672" s="312">
        <v>3762.94</v>
      </c>
      <c r="I672" s="82">
        <v>0</v>
      </c>
      <c r="J672" s="82">
        <f>ROUND(I672*H672,2)</f>
        <v>0</v>
      </c>
      <c r="K672" s="310" t="s">
        <v>222</v>
      </c>
      <c r="L672" s="24"/>
      <c r="M672" s="83" t="s">
        <v>3</v>
      </c>
      <c r="N672" s="84" t="s">
        <v>39</v>
      </c>
      <c r="O672" s="85">
        <v>6.0000000000000001E-3</v>
      </c>
      <c r="P672" s="85">
        <f>O672*H672</f>
        <v>22.577640000000002</v>
      </c>
      <c r="Q672" s="85">
        <v>0</v>
      </c>
      <c r="R672" s="85">
        <f>Q672*H672</f>
        <v>0</v>
      </c>
      <c r="S672" s="85">
        <v>0</v>
      </c>
      <c r="T672" s="86">
        <f>S672*H672</f>
        <v>0</v>
      </c>
      <c r="U672" s="23"/>
      <c r="V672" s="23"/>
      <c r="W672" s="23"/>
      <c r="X672" s="23"/>
      <c r="Y672" s="23"/>
      <c r="Z672" s="23"/>
      <c r="AA672" s="23"/>
      <c r="AB672" s="23"/>
      <c r="AC672" s="23"/>
      <c r="AD672" s="23"/>
      <c r="AE672" s="23"/>
      <c r="AR672" s="87" t="s">
        <v>223</v>
      </c>
      <c r="AT672" s="87" t="s">
        <v>218</v>
      </c>
      <c r="AU672" s="87" t="s">
        <v>77</v>
      </c>
      <c r="AY672" s="19" t="s">
        <v>216</v>
      </c>
      <c r="BE672" s="88">
        <f>IF(N672="základní",J672,0)</f>
        <v>0</v>
      </c>
      <c r="BF672" s="88">
        <f>IF(N672="snížená",J672,0)</f>
        <v>0</v>
      </c>
      <c r="BG672" s="88">
        <f>IF(N672="zákl. přenesená",J672,0)</f>
        <v>0</v>
      </c>
      <c r="BH672" s="88">
        <f>IF(N672="sníž. přenesená",J672,0)</f>
        <v>0</v>
      </c>
      <c r="BI672" s="88">
        <f>IF(N672="nulová",J672,0)</f>
        <v>0</v>
      </c>
      <c r="BJ672" s="19" t="s">
        <v>75</v>
      </c>
      <c r="BK672" s="88">
        <f>ROUND(I672*H672,2)</f>
        <v>0</v>
      </c>
      <c r="BL672" s="19" t="s">
        <v>223</v>
      </c>
      <c r="BM672" s="87" t="s">
        <v>870</v>
      </c>
    </row>
    <row r="673" spans="1:65" s="2" customFormat="1" ht="78">
      <c r="A673" s="269"/>
      <c r="B673" s="270"/>
      <c r="C673" s="269"/>
      <c r="D673" s="315" t="s">
        <v>231</v>
      </c>
      <c r="E673" s="269"/>
      <c r="F673" s="323" t="s">
        <v>866</v>
      </c>
      <c r="G673" s="269"/>
      <c r="H673" s="269"/>
      <c r="I673" s="248"/>
      <c r="J673" s="248"/>
      <c r="K673" s="269"/>
      <c r="L673" s="24"/>
      <c r="M673" s="99"/>
      <c r="N673" s="100"/>
      <c r="O673" s="32"/>
      <c r="P673" s="32"/>
      <c r="Q673" s="32"/>
      <c r="R673" s="32"/>
      <c r="S673" s="32"/>
      <c r="T673" s="33"/>
      <c r="U673" s="23"/>
      <c r="V673" s="23"/>
      <c r="W673" s="23"/>
      <c r="X673" s="23"/>
      <c r="Y673" s="23"/>
      <c r="Z673" s="23"/>
      <c r="AA673" s="23"/>
      <c r="AB673" s="23"/>
      <c r="AC673" s="23"/>
      <c r="AD673" s="23"/>
      <c r="AE673" s="23"/>
      <c r="AT673" s="19" t="s">
        <v>231</v>
      </c>
      <c r="AU673" s="19" t="s">
        <v>77</v>
      </c>
    </row>
    <row r="674" spans="1:65" s="14" customFormat="1">
      <c r="A674" s="318"/>
      <c r="B674" s="319"/>
      <c r="C674" s="318"/>
      <c r="D674" s="315" t="s">
        <v>225</v>
      </c>
      <c r="E674" s="318"/>
      <c r="F674" s="321" t="s">
        <v>871</v>
      </c>
      <c r="G674" s="318"/>
      <c r="H674" s="322">
        <v>3762.94</v>
      </c>
      <c r="I674" s="260"/>
      <c r="J674" s="260"/>
      <c r="K674" s="318"/>
      <c r="L674" s="94"/>
      <c r="M674" s="96"/>
      <c r="N674" s="97"/>
      <c r="O674" s="97"/>
      <c r="P674" s="97"/>
      <c r="Q674" s="97"/>
      <c r="R674" s="97"/>
      <c r="S674" s="97"/>
      <c r="T674" s="98"/>
      <c r="AT674" s="95" t="s">
        <v>225</v>
      </c>
      <c r="AU674" s="95" t="s">
        <v>77</v>
      </c>
      <c r="AV674" s="14" t="s">
        <v>77</v>
      </c>
      <c r="AW674" s="14" t="s">
        <v>4</v>
      </c>
      <c r="AX674" s="14" t="s">
        <v>75</v>
      </c>
      <c r="AY674" s="95" t="s">
        <v>216</v>
      </c>
    </row>
    <row r="675" spans="1:65" s="2" customFormat="1" ht="32.450000000000003" customHeight="1">
      <c r="A675" s="269"/>
      <c r="B675" s="270"/>
      <c r="C675" s="308" t="s">
        <v>872</v>
      </c>
      <c r="D675" s="308" t="s">
        <v>218</v>
      </c>
      <c r="E675" s="309" t="s">
        <v>873</v>
      </c>
      <c r="F675" s="310" t="s">
        <v>874</v>
      </c>
      <c r="G675" s="311" t="s">
        <v>273</v>
      </c>
      <c r="H675" s="312">
        <v>159.92500000000001</v>
      </c>
      <c r="I675" s="82">
        <v>0</v>
      </c>
      <c r="J675" s="82">
        <f>ROUND(I675*H675,2)</f>
        <v>0</v>
      </c>
      <c r="K675" s="310" t="s">
        <v>222</v>
      </c>
      <c r="L675" s="24"/>
      <c r="M675" s="83" t="s">
        <v>3</v>
      </c>
      <c r="N675" s="84" t="s">
        <v>39</v>
      </c>
      <c r="O675" s="85">
        <v>0</v>
      </c>
      <c r="P675" s="85">
        <f>O675*H675</f>
        <v>0</v>
      </c>
      <c r="Q675" s="85">
        <v>0</v>
      </c>
      <c r="R675" s="85">
        <f>Q675*H675</f>
        <v>0</v>
      </c>
      <c r="S675" s="85">
        <v>0</v>
      </c>
      <c r="T675" s="86">
        <f>S675*H675</f>
        <v>0</v>
      </c>
      <c r="U675" s="23"/>
      <c r="V675" s="23"/>
      <c r="W675" s="23"/>
      <c r="X675" s="23"/>
      <c r="Y675" s="23"/>
      <c r="Z675" s="23"/>
      <c r="AA675" s="23"/>
      <c r="AB675" s="23"/>
      <c r="AC675" s="23"/>
      <c r="AD675" s="23"/>
      <c r="AE675" s="23"/>
      <c r="AR675" s="87" t="s">
        <v>223</v>
      </c>
      <c r="AT675" s="87" t="s">
        <v>218</v>
      </c>
      <c r="AU675" s="87" t="s">
        <v>77</v>
      </c>
      <c r="AY675" s="19" t="s">
        <v>216</v>
      </c>
      <c r="BE675" s="88">
        <f>IF(N675="základní",J675,0)</f>
        <v>0</v>
      </c>
      <c r="BF675" s="88">
        <f>IF(N675="snížená",J675,0)</f>
        <v>0</v>
      </c>
      <c r="BG675" s="88">
        <f>IF(N675="zákl. přenesená",J675,0)</f>
        <v>0</v>
      </c>
      <c r="BH675" s="88">
        <f>IF(N675="sníž. přenesená",J675,0)</f>
        <v>0</v>
      </c>
      <c r="BI675" s="88">
        <f>IF(N675="nulová",J675,0)</f>
        <v>0</v>
      </c>
      <c r="BJ675" s="19" t="s">
        <v>75</v>
      </c>
      <c r="BK675" s="88">
        <f>ROUND(I675*H675,2)</f>
        <v>0</v>
      </c>
      <c r="BL675" s="19" t="s">
        <v>223</v>
      </c>
      <c r="BM675" s="87" t="s">
        <v>875</v>
      </c>
    </row>
    <row r="676" spans="1:65" s="2" customFormat="1" ht="68.25">
      <c r="A676" s="269"/>
      <c r="B676" s="270"/>
      <c r="C676" s="269"/>
      <c r="D676" s="315" t="s">
        <v>231</v>
      </c>
      <c r="E676" s="269"/>
      <c r="F676" s="323" t="s">
        <v>876</v>
      </c>
      <c r="G676" s="269"/>
      <c r="H676" s="269"/>
      <c r="I676" s="248"/>
      <c r="J676" s="248"/>
      <c r="K676" s="269"/>
      <c r="L676" s="24"/>
      <c r="M676" s="99"/>
      <c r="N676" s="100"/>
      <c r="O676" s="32"/>
      <c r="P676" s="32"/>
      <c r="Q676" s="32"/>
      <c r="R676" s="32"/>
      <c r="S676" s="32"/>
      <c r="T676" s="33"/>
      <c r="U676" s="23"/>
      <c r="V676" s="23"/>
      <c r="W676" s="23"/>
      <c r="X676" s="23"/>
      <c r="Y676" s="23"/>
      <c r="Z676" s="23"/>
      <c r="AA676" s="23"/>
      <c r="AB676" s="23"/>
      <c r="AC676" s="23"/>
      <c r="AD676" s="23"/>
      <c r="AE676" s="23"/>
      <c r="AT676" s="19" t="s">
        <v>231</v>
      </c>
      <c r="AU676" s="19" t="s">
        <v>77</v>
      </c>
    </row>
    <row r="677" spans="1:65" s="14" customFormat="1">
      <c r="A677" s="318"/>
      <c r="B677" s="319"/>
      <c r="C677" s="318"/>
      <c r="D677" s="315" t="s">
        <v>225</v>
      </c>
      <c r="E677" s="320" t="s">
        <v>3</v>
      </c>
      <c r="F677" s="321" t="s">
        <v>877</v>
      </c>
      <c r="G677" s="318"/>
      <c r="H677" s="322">
        <v>159.92500000000001</v>
      </c>
      <c r="I677" s="260"/>
      <c r="J677" s="260"/>
      <c r="K677" s="318"/>
      <c r="L677" s="94"/>
      <c r="M677" s="96"/>
      <c r="N677" s="97"/>
      <c r="O677" s="97"/>
      <c r="P677" s="97"/>
      <c r="Q677" s="97"/>
      <c r="R677" s="97"/>
      <c r="S677" s="97"/>
      <c r="T677" s="98"/>
      <c r="AT677" s="95" t="s">
        <v>225</v>
      </c>
      <c r="AU677" s="95" t="s">
        <v>77</v>
      </c>
      <c r="AV677" s="14" t="s">
        <v>77</v>
      </c>
      <c r="AW677" s="14" t="s">
        <v>30</v>
      </c>
      <c r="AX677" s="14" t="s">
        <v>75</v>
      </c>
      <c r="AY677" s="95" t="s">
        <v>216</v>
      </c>
    </row>
    <row r="678" spans="1:65" s="2" customFormat="1" ht="21.6" customHeight="1">
      <c r="A678" s="269"/>
      <c r="B678" s="270"/>
      <c r="C678" s="308" t="s">
        <v>878</v>
      </c>
      <c r="D678" s="308" t="s">
        <v>218</v>
      </c>
      <c r="E678" s="309" t="s">
        <v>879</v>
      </c>
      <c r="F678" s="310" t="s">
        <v>880</v>
      </c>
      <c r="G678" s="311" t="s">
        <v>273</v>
      </c>
      <c r="H678" s="312">
        <v>18.814</v>
      </c>
      <c r="I678" s="82">
        <v>0</v>
      </c>
      <c r="J678" s="82">
        <f>ROUND(I678*H678,2)</f>
        <v>0</v>
      </c>
      <c r="K678" s="310" t="s">
        <v>222</v>
      </c>
      <c r="L678" s="24"/>
      <c r="M678" s="83" t="s">
        <v>3</v>
      </c>
      <c r="N678" s="84" t="s">
        <v>39</v>
      </c>
      <c r="O678" s="85">
        <v>0</v>
      </c>
      <c r="P678" s="85">
        <f>O678*H678</f>
        <v>0</v>
      </c>
      <c r="Q678" s="85">
        <v>0</v>
      </c>
      <c r="R678" s="85">
        <f>Q678*H678</f>
        <v>0</v>
      </c>
      <c r="S678" s="85">
        <v>0</v>
      </c>
      <c r="T678" s="86">
        <f>S678*H678</f>
        <v>0</v>
      </c>
      <c r="U678" s="23"/>
      <c r="V678" s="23"/>
      <c r="W678" s="23"/>
      <c r="X678" s="23"/>
      <c r="Y678" s="23"/>
      <c r="Z678" s="23"/>
      <c r="AA678" s="23"/>
      <c r="AB678" s="23"/>
      <c r="AC678" s="23"/>
      <c r="AD678" s="23"/>
      <c r="AE678" s="23"/>
      <c r="AR678" s="87" t="s">
        <v>223</v>
      </c>
      <c r="AT678" s="87" t="s">
        <v>218</v>
      </c>
      <c r="AU678" s="87" t="s">
        <v>77</v>
      </c>
      <c r="AY678" s="19" t="s">
        <v>216</v>
      </c>
      <c r="BE678" s="88">
        <f>IF(N678="základní",J678,0)</f>
        <v>0</v>
      </c>
      <c r="BF678" s="88">
        <f>IF(N678="snížená",J678,0)</f>
        <v>0</v>
      </c>
      <c r="BG678" s="88">
        <f>IF(N678="zákl. přenesená",J678,0)</f>
        <v>0</v>
      </c>
      <c r="BH678" s="88">
        <f>IF(N678="sníž. přenesená",J678,0)</f>
        <v>0</v>
      </c>
      <c r="BI678" s="88">
        <f>IF(N678="nulová",J678,0)</f>
        <v>0</v>
      </c>
      <c r="BJ678" s="19" t="s">
        <v>75</v>
      </c>
      <c r="BK678" s="88">
        <f>ROUND(I678*H678,2)</f>
        <v>0</v>
      </c>
      <c r="BL678" s="19" t="s">
        <v>223</v>
      </c>
      <c r="BM678" s="87" t="s">
        <v>881</v>
      </c>
    </row>
    <row r="679" spans="1:65" s="2" customFormat="1" ht="68.25">
      <c r="A679" s="269"/>
      <c r="B679" s="270"/>
      <c r="C679" s="269"/>
      <c r="D679" s="315" t="s">
        <v>231</v>
      </c>
      <c r="E679" s="269"/>
      <c r="F679" s="323" t="s">
        <v>876</v>
      </c>
      <c r="G679" s="269"/>
      <c r="H679" s="269"/>
      <c r="I679" s="248"/>
      <c r="J679" s="248"/>
      <c r="K679" s="269"/>
      <c r="L679" s="24"/>
      <c r="M679" s="99"/>
      <c r="N679" s="100"/>
      <c r="O679" s="32"/>
      <c r="P679" s="32"/>
      <c r="Q679" s="32"/>
      <c r="R679" s="32"/>
      <c r="S679" s="32"/>
      <c r="T679" s="33"/>
      <c r="U679" s="23"/>
      <c r="V679" s="23"/>
      <c r="W679" s="23"/>
      <c r="X679" s="23"/>
      <c r="Y679" s="23"/>
      <c r="Z679" s="23"/>
      <c r="AA679" s="23"/>
      <c r="AB679" s="23"/>
      <c r="AC679" s="23"/>
      <c r="AD679" s="23"/>
      <c r="AE679" s="23"/>
      <c r="AT679" s="19" t="s">
        <v>231</v>
      </c>
      <c r="AU679" s="19" t="s">
        <v>77</v>
      </c>
    </row>
    <row r="680" spans="1:65" s="14" customFormat="1">
      <c r="A680" s="318"/>
      <c r="B680" s="319"/>
      <c r="C680" s="318"/>
      <c r="D680" s="315" t="s">
        <v>225</v>
      </c>
      <c r="E680" s="320" t="s">
        <v>3</v>
      </c>
      <c r="F680" s="321" t="s">
        <v>882</v>
      </c>
      <c r="G680" s="318"/>
      <c r="H680" s="322">
        <v>18.814</v>
      </c>
      <c r="I680" s="260"/>
      <c r="J680" s="260"/>
      <c r="K680" s="318"/>
      <c r="L680" s="94"/>
      <c r="M680" s="96"/>
      <c r="N680" s="97"/>
      <c r="O680" s="97"/>
      <c r="P680" s="97"/>
      <c r="Q680" s="97"/>
      <c r="R680" s="97"/>
      <c r="S680" s="97"/>
      <c r="T680" s="98"/>
      <c r="AT680" s="95" t="s">
        <v>225</v>
      </c>
      <c r="AU680" s="95" t="s">
        <v>77</v>
      </c>
      <c r="AV680" s="14" t="s">
        <v>77</v>
      </c>
      <c r="AW680" s="14" t="s">
        <v>30</v>
      </c>
      <c r="AX680" s="14" t="s">
        <v>75</v>
      </c>
      <c r="AY680" s="95" t="s">
        <v>216</v>
      </c>
    </row>
    <row r="681" spans="1:65" s="2" customFormat="1" ht="21.6" customHeight="1">
      <c r="A681" s="269"/>
      <c r="B681" s="270"/>
      <c r="C681" s="308" t="s">
        <v>883</v>
      </c>
      <c r="D681" s="308" t="s">
        <v>218</v>
      </c>
      <c r="E681" s="309" t="s">
        <v>884</v>
      </c>
      <c r="F681" s="310" t="s">
        <v>885</v>
      </c>
      <c r="G681" s="311" t="s">
        <v>273</v>
      </c>
      <c r="H681" s="312">
        <v>9.407</v>
      </c>
      <c r="I681" s="82">
        <v>0</v>
      </c>
      <c r="J681" s="82">
        <f>ROUND(I681*H681,2)</f>
        <v>0</v>
      </c>
      <c r="K681" s="310" t="s">
        <v>222</v>
      </c>
      <c r="L681" s="24"/>
      <c r="M681" s="83" t="s">
        <v>3</v>
      </c>
      <c r="N681" s="84" t="s">
        <v>39</v>
      </c>
      <c r="O681" s="85">
        <v>0</v>
      </c>
      <c r="P681" s="85">
        <f>O681*H681</f>
        <v>0</v>
      </c>
      <c r="Q681" s="85">
        <v>0</v>
      </c>
      <c r="R681" s="85">
        <f>Q681*H681</f>
        <v>0</v>
      </c>
      <c r="S681" s="85">
        <v>0</v>
      </c>
      <c r="T681" s="86">
        <f>S681*H681</f>
        <v>0</v>
      </c>
      <c r="U681" s="23"/>
      <c r="V681" s="23"/>
      <c r="W681" s="23"/>
      <c r="X681" s="23"/>
      <c r="Y681" s="23"/>
      <c r="Z681" s="23"/>
      <c r="AA681" s="23"/>
      <c r="AB681" s="23"/>
      <c r="AC681" s="23"/>
      <c r="AD681" s="23"/>
      <c r="AE681" s="23"/>
      <c r="AR681" s="87" t="s">
        <v>223</v>
      </c>
      <c r="AT681" s="87" t="s">
        <v>218</v>
      </c>
      <c r="AU681" s="87" t="s">
        <v>77</v>
      </c>
      <c r="AY681" s="19" t="s">
        <v>216</v>
      </c>
      <c r="BE681" s="88">
        <f>IF(N681="základní",J681,0)</f>
        <v>0</v>
      </c>
      <c r="BF681" s="88">
        <f>IF(N681="snížená",J681,0)</f>
        <v>0</v>
      </c>
      <c r="BG681" s="88">
        <f>IF(N681="zákl. přenesená",J681,0)</f>
        <v>0</v>
      </c>
      <c r="BH681" s="88">
        <f>IF(N681="sníž. přenesená",J681,0)</f>
        <v>0</v>
      </c>
      <c r="BI681" s="88">
        <f>IF(N681="nulová",J681,0)</f>
        <v>0</v>
      </c>
      <c r="BJ681" s="19" t="s">
        <v>75</v>
      </c>
      <c r="BK681" s="88">
        <f>ROUND(I681*H681,2)</f>
        <v>0</v>
      </c>
      <c r="BL681" s="19" t="s">
        <v>223</v>
      </c>
      <c r="BM681" s="87" t="s">
        <v>886</v>
      </c>
    </row>
    <row r="682" spans="1:65" s="2" customFormat="1" ht="68.25">
      <c r="A682" s="269"/>
      <c r="B682" s="270"/>
      <c r="C682" s="269"/>
      <c r="D682" s="315" t="s">
        <v>231</v>
      </c>
      <c r="E682" s="269"/>
      <c r="F682" s="323" t="s">
        <v>876</v>
      </c>
      <c r="G682" s="269"/>
      <c r="H682" s="269"/>
      <c r="I682" s="248"/>
      <c r="J682" s="248"/>
      <c r="K682" s="269"/>
      <c r="L682" s="24"/>
      <c r="M682" s="99"/>
      <c r="N682" s="100"/>
      <c r="O682" s="32"/>
      <c r="P682" s="32"/>
      <c r="Q682" s="32"/>
      <c r="R682" s="32"/>
      <c r="S682" s="32"/>
      <c r="T682" s="33"/>
      <c r="U682" s="23"/>
      <c r="V682" s="23"/>
      <c r="W682" s="23"/>
      <c r="X682" s="23"/>
      <c r="Y682" s="23"/>
      <c r="Z682" s="23"/>
      <c r="AA682" s="23"/>
      <c r="AB682" s="23"/>
      <c r="AC682" s="23"/>
      <c r="AD682" s="23"/>
      <c r="AE682" s="23"/>
      <c r="AT682" s="19" t="s">
        <v>231</v>
      </c>
      <c r="AU682" s="19" t="s">
        <v>77</v>
      </c>
    </row>
    <row r="683" spans="1:65" s="14" customFormat="1">
      <c r="A683" s="318"/>
      <c r="B683" s="319"/>
      <c r="C683" s="318"/>
      <c r="D683" s="315" t="s">
        <v>225</v>
      </c>
      <c r="E683" s="320" t="s">
        <v>3</v>
      </c>
      <c r="F683" s="321" t="s">
        <v>887</v>
      </c>
      <c r="G683" s="318"/>
      <c r="H683" s="322">
        <v>9.407</v>
      </c>
      <c r="I683" s="260"/>
      <c r="J683" s="260"/>
      <c r="K683" s="318"/>
      <c r="L683" s="94"/>
      <c r="M683" s="96"/>
      <c r="N683" s="97"/>
      <c r="O683" s="97"/>
      <c r="P683" s="97"/>
      <c r="Q683" s="97"/>
      <c r="R683" s="97"/>
      <c r="S683" s="97"/>
      <c r="T683" s="98"/>
      <c r="AT683" s="95" t="s">
        <v>225</v>
      </c>
      <c r="AU683" s="95" t="s">
        <v>77</v>
      </c>
      <c r="AV683" s="14" t="s">
        <v>77</v>
      </c>
      <c r="AW683" s="14" t="s">
        <v>30</v>
      </c>
      <c r="AX683" s="14" t="s">
        <v>75</v>
      </c>
      <c r="AY683" s="95" t="s">
        <v>216</v>
      </c>
    </row>
    <row r="684" spans="1:65" s="12" customFormat="1" ht="22.9" customHeight="1">
      <c r="A684" s="303"/>
      <c r="B684" s="304"/>
      <c r="C684" s="303"/>
      <c r="D684" s="305" t="s">
        <v>67</v>
      </c>
      <c r="E684" s="307" t="s">
        <v>888</v>
      </c>
      <c r="F684" s="307" t="s">
        <v>889</v>
      </c>
      <c r="G684" s="303"/>
      <c r="H684" s="303"/>
      <c r="I684" s="256"/>
      <c r="J684" s="258">
        <f>BK684</f>
        <v>0</v>
      </c>
      <c r="K684" s="303"/>
      <c r="L684" s="74"/>
      <c r="M684" s="76"/>
      <c r="N684" s="77"/>
      <c r="O684" s="77"/>
      <c r="P684" s="78">
        <f>SUM(P685:P686)</f>
        <v>648.68076000000008</v>
      </c>
      <c r="Q684" s="77"/>
      <c r="R684" s="78">
        <f>SUM(R685:R686)</f>
        <v>0</v>
      </c>
      <c r="S684" s="77"/>
      <c r="T684" s="79">
        <f>SUM(T685:T686)</f>
        <v>0</v>
      </c>
      <c r="AR684" s="75" t="s">
        <v>75</v>
      </c>
      <c r="AT684" s="80" t="s">
        <v>67</v>
      </c>
      <c r="AU684" s="80" t="s">
        <v>75</v>
      </c>
      <c r="AY684" s="75" t="s">
        <v>216</v>
      </c>
      <c r="BK684" s="81">
        <f>SUM(BK685:BK686)</f>
        <v>0</v>
      </c>
    </row>
    <row r="685" spans="1:65" s="2" customFormat="1" ht="32.450000000000003" customHeight="1">
      <c r="A685" s="269"/>
      <c r="B685" s="270"/>
      <c r="C685" s="308" t="s">
        <v>890</v>
      </c>
      <c r="D685" s="308" t="s">
        <v>218</v>
      </c>
      <c r="E685" s="309" t="s">
        <v>891</v>
      </c>
      <c r="F685" s="310" t="s">
        <v>892</v>
      </c>
      <c r="G685" s="311" t="s">
        <v>273</v>
      </c>
      <c r="H685" s="312">
        <v>178.209</v>
      </c>
      <c r="I685" s="82">
        <v>0</v>
      </c>
      <c r="J685" s="82">
        <f>ROUND(I685*H685,2)</f>
        <v>0</v>
      </c>
      <c r="K685" s="310" t="s">
        <v>222</v>
      </c>
      <c r="L685" s="24"/>
      <c r="M685" s="83" t="s">
        <v>3</v>
      </c>
      <c r="N685" s="84" t="s">
        <v>39</v>
      </c>
      <c r="O685" s="85">
        <v>3.64</v>
      </c>
      <c r="P685" s="85">
        <f>O685*H685</f>
        <v>648.68076000000008</v>
      </c>
      <c r="Q685" s="85">
        <v>0</v>
      </c>
      <c r="R685" s="85">
        <f>Q685*H685</f>
        <v>0</v>
      </c>
      <c r="S685" s="85">
        <v>0</v>
      </c>
      <c r="T685" s="86">
        <f>S685*H685</f>
        <v>0</v>
      </c>
      <c r="U685" s="23"/>
      <c r="V685" s="23"/>
      <c r="W685" s="23"/>
      <c r="X685" s="23"/>
      <c r="Y685" s="23"/>
      <c r="Z685" s="23"/>
      <c r="AA685" s="23"/>
      <c r="AB685" s="23"/>
      <c r="AC685" s="23"/>
      <c r="AD685" s="23"/>
      <c r="AE685" s="23"/>
      <c r="AR685" s="87" t="s">
        <v>223</v>
      </c>
      <c r="AT685" s="87" t="s">
        <v>218</v>
      </c>
      <c r="AU685" s="87" t="s">
        <v>77</v>
      </c>
      <c r="AY685" s="19" t="s">
        <v>216</v>
      </c>
      <c r="BE685" s="88">
        <f>IF(N685="základní",J685,0)</f>
        <v>0</v>
      </c>
      <c r="BF685" s="88">
        <f>IF(N685="snížená",J685,0)</f>
        <v>0</v>
      </c>
      <c r="BG685" s="88">
        <f>IF(N685="zákl. přenesená",J685,0)</f>
        <v>0</v>
      </c>
      <c r="BH685" s="88">
        <f>IF(N685="sníž. přenesená",J685,0)</f>
        <v>0</v>
      </c>
      <c r="BI685" s="88">
        <f>IF(N685="nulová",J685,0)</f>
        <v>0</v>
      </c>
      <c r="BJ685" s="19" t="s">
        <v>75</v>
      </c>
      <c r="BK685" s="88">
        <f>ROUND(I685*H685,2)</f>
        <v>0</v>
      </c>
      <c r="BL685" s="19" t="s">
        <v>223</v>
      </c>
      <c r="BM685" s="87" t="s">
        <v>893</v>
      </c>
    </row>
    <row r="686" spans="1:65" s="2" customFormat="1" ht="58.5">
      <c r="A686" s="269"/>
      <c r="B686" s="270"/>
      <c r="C686" s="269"/>
      <c r="D686" s="315" t="s">
        <v>231</v>
      </c>
      <c r="E686" s="269"/>
      <c r="F686" s="323" t="s">
        <v>894</v>
      </c>
      <c r="G686" s="269"/>
      <c r="H686" s="269"/>
      <c r="I686" s="248"/>
      <c r="J686" s="248"/>
      <c r="K686" s="269"/>
      <c r="L686" s="24"/>
      <c r="M686" s="99"/>
      <c r="N686" s="100"/>
      <c r="O686" s="32"/>
      <c r="P686" s="32"/>
      <c r="Q686" s="32"/>
      <c r="R686" s="32"/>
      <c r="S686" s="32"/>
      <c r="T686" s="33"/>
      <c r="U686" s="23"/>
      <c r="V686" s="23"/>
      <c r="W686" s="23"/>
      <c r="X686" s="23"/>
      <c r="Y686" s="23"/>
      <c r="Z686" s="23"/>
      <c r="AA686" s="23"/>
      <c r="AB686" s="23"/>
      <c r="AC686" s="23"/>
      <c r="AD686" s="23"/>
      <c r="AE686" s="23"/>
      <c r="AT686" s="19" t="s">
        <v>231</v>
      </c>
      <c r="AU686" s="19" t="s">
        <v>77</v>
      </c>
    </row>
    <row r="687" spans="1:65" s="12" customFormat="1" ht="25.9" customHeight="1">
      <c r="A687" s="303"/>
      <c r="B687" s="304"/>
      <c r="C687" s="303"/>
      <c r="D687" s="305" t="s">
        <v>67</v>
      </c>
      <c r="E687" s="306" t="s">
        <v>895</v>
      </c>
      <c r="F687" s="306" t="s">
        <v>896</v>
      </c>
      <c r="G687" s="303"/>
      <c r="H687" s="303"/>
      <c r="I687" s="256"/>
      <c r="J687" s="257">
        <f>BK687</f>
        <v>0</v>
      </c>
      <c r="K687" s="303"/>
      <c r="L687" s="74"/>
      <c r="M687" s="76"/>
      <c r="N687" s="77"/>
      <c r="O687" s="77"/>
      <c r="P687" s="78">
        <f>P688+P708+P710+P717+P720+P833+P854+P881+P1011+P1022+P1062+P1131+P1141+P1174+P1176+P1178+P1192</f>
        <v>1511.7369510000001</v>
      </c>
      <c r="Q687" s="77"/>
      <c r="R687" s="78">
        <f>R688+R708+R710+R717+R720+R833+R854+R881+R1011+R1022+R1062+R1131+R1141+R1174+R1176+R1178+R1192</f>
        <v>21.618856190000002</v>
      </c>
      <c r="S687" s="77"/>
      <c r="T687" s="79">
        <f>T688+T708+T710+T717+T720+T833+T854+T881+T1011+T1022+T1062+T1131+T1141+T1174+T1176+T1178+T1192</f>
        <v>51.772280859999995</v>
      </c>
      <c r="AR687" s="75" t="s">
        <v>77</v>
      </c>
      <c r="AT687" s="80" t="s">
        <v>67</v>
      </c>
      <c r="AU687" s="80" t="s">
        <v>68</v>
      </c>
      <c r="AY687" s="75" t="s">
        <v>216</v>
      </c>
      <c r="BK687" s="81">
        <f>BK688+BK708+BK710+BK717+BK720+BK833+BK854+BK881+BK1011+BK1022+BK1062+BK1131+BK1141+BK1174+BK1176+BK1178+BK1192</f>
        <v>0</v>
      </c>
    </row>
    <row r="688" spans="1:65" s="12" customFormat="1" ht="22.9" customHeight="1">
      <c r="A688" s="303"/>
      <c r="B688" s="304"/>
      <c r="C688" s="303"/>
      <c r="D688" s="305" t="s">
        <v>67</v>
      </c>
      <c r="E688" s="307" t="s">
        <v>897</v>
      </c>
      <c r="F688" s="307" t="s">
        <v>898</v>
      </c>
      <c r="G688" s="303"/>
      <c r="H688" s="303"/>
      <c r="I688" s="256"/>
      <c r="J688" s="258">
        <f>BK688</f>
        <v>0</v>
      </c>
      <c r="K688" s="303"/>
      <c r="L688" s="74"/>
      <c r="M688" s="76"/>
      <c r="N688" s="77"/>
      <c r="O688" s="77"/>
      <c r="P688" s="78">
        <f>SUM(P689:P707)</f>
        <v>144.77822099999997</v>
      </c>
      <c r="Q688" s="77"/>
      <c r="R688" s="78">
        <f>SUM(R689:R707)</f>
        <v>2.4228179999999995</v>
      </c>
      <c r="S688" s="77"/>
      <c r="T688" s="79">
        <f>SUM(T689:T707)</f>
        <v>0.13624</v>
      </c>
      <c r="AR688" s="75" t="s">
        <v>77</v>
      </c>
      <c r="AT688" s="80" t="s">
        <v>67</v>
      </c>
      <c r="AU688" s="80" t="s">
        <v>75</v>
      </c>
      <c r="AY688" s="75" t="s">
        <v>216</v>
      </c>
      <c r="BK688" s="81">
        <f>SUM(BK689:BK707)</f>
        <v>0</v>
      </c>
    </row>
    <row r="689" spans="1:65" s="2" customFormat="1" ht="21.6" customHeight="1">
      <c r="A689" s="269"/>
      <c r="B689" s="270"/>
      <c r="C689" s="308" t="s">
        <v>899</v>
      </c>
      <c r="D689" s="308" t="s">
        <v>218</v>
      </c>
      <c r="E689" s="309" t="s">
        <v>900</v>
      </c>
      <c r="F689" s="310" t="s">
        <v>901</v>
      </c>
      <c r="G689" s="311" t="s">
        <v>286</v>
      </c>
      <c r="H689" s="312">
        <v>6.9119999999999999</v>
      </c>
      <c r="I689" s="82">
        <v>0</v>
      </c>
      <c r="J689" s="82">
        <f>ROUND(I689*H689,2)</f>
        <v>0</v>
      </c>
      <c r="K689" s="310" t="s">
        <v>222</v>
      </c>
      <c r="L689" s="24"/>
      <c r="M689" s="83" t="s">
        <v>3</v>
      </c>
      <c r="N689" s="84" t="s">
        <v>39</v>
      </c>
      <c r="O689" s="85">
        <v>0.15</v>
      </c>
      <c r="P689" s="85">
        <f>O689*H689</f>
        <v>1.0367999999999999</v>
      </c>
      <c r="Q689" s="85">
        <v>4.0000000000000001E-3</v>
      </c>
      <c r="R689" s="85">
        <f>Q689*H689</f>
        <v>2.7647999999999999E-2</v>
      </c>
      <c r="S689" s="85">
        <v>0</v>
      </c>
      <c r="T689" s="86">
        <f>S689*H689</f>
        <v>0</v>
      </c>
      <c r="U689" s="23"/>
      <c r="V689" s="23"/>
      <c r="W689" s="23"/>
      <c r="X689" s="23"/>
      <c r="Y689" s="23"/>
      <c r="Z689" s="23"/>
      <c r="AA689" s="23"/>
      <c r="AB689" s="23"/>
      <c r="AC689" s="23"/>
      <c r="AD689" s="23"/>
      <c r="AE689" s="23"/>
      <c r="AR689" s="87" t="s">
        <v>305</v>
      </c>
      <c r="AT689" s="87" t="s">
        <v>218</v>
      </c>
      <c r="AU689" s="87" t="s">
        <v>77</v>
      </c>
      <c r="AY689" s="19" t="s">
        <v>216</v>
      </c>
      <c r="BE689" s="88">
        <f>IF(N689="základní",J689,0)</f>
        <v>0</v>
      </c>
      <c r="BF689" s="88">
        <f>IF(N689="snížená",J689,0)</f>
        <v>0</v>
      </c>
      <c r="BG689" s="88">
        <f>IF(N689="zákl. přenesená",J689,0)</f>
        <v>0</v>
      </c>
      <c r="BH689" s="88">
        <f>IF(N689="sníž. přenesená",J689,0)</f>
        <v>0</v>
      </c>
      <c r="BI689" s="88">
        <f>IF(N689="nulová",J689,0)</f>
        <v>0</v>
      </c>
      <c r="BJ689" s="19" t="s">
        <v>75</v>
      </c>
      <c r="BK689" s="88">
        <f>ROUND(I689*H689,2)</f>
        <v>0</v>
      </c>
      <c r="BL689" s="19" t="s">
        <v>305</v>
      </c>
      <c r="BM689" s="87" t="s">
        <v>902</v>
      </c>
    </row>
    <row r="690" spans="1:65" s="13" customFormat="1">
      <c r="A690" s="313"/>
      <c r="B690" s="314"/>
      <c r="C690" s="313"/>
      <c r="D690" s="315" t="s">
        <v>225</v>
      </c>
      <c r="E690" s="316" t="s">
        <v>3</v>
      </c>
      <c r="F690" s="317" t="s">
        <v>304</v>
      </c>
      <c r="G690" s="313"/>
      <c r="H690" s="316" t="s">
        <v>3</v>
      </c>
      <c r="I690" s="259"/>
      <c r="J690" s="259"/>
      <c r="K690" s="313"/>
      <c r="L690" s="89"/>
      <c r="M690" s="91"/>
      <c r="N690" s="92"/>
      <c r="O690" s="92"/>
      <c r="P690" s="92"/>
      <c r="Q690" s="92"/>
      <c r="R690" s="92"/>
      <c r="S690" s="92"/>
      <c r="T690" s="93"/>
      <c r="AT690" s="90" t="s">
        <v>225</v>
      </c>
      <c r="AU690" s="90" t="s">
        <v>77</v>
      </c>
      <c r="AV690" s="13" t="s">
        <v>75</v>
      </c>
      <c r="AW690" s="13" t="s">
        <v>30</v>
      </c>
      <c r="AX690" s="13" t="s">
        <v>68</v>
      </c>
      <c r="AY690" s="90" t="s">
        <v>216</v>
      </c>
    </row>
    <row r="691" spans="1:65" s="13" customFormat="1">
      <c r="A691" s="313"/>
      <c r="B691" s="314"/>
      <c r="C691" s="313"/>
      <c r="D691" s="315" t="s">
        <v>225</v>
      </c>
      <c r="E691" s="316" t="s">
        <v>3</v>
      </c>
      <c r="F691" s="317" t="s">
        <v>550</v>
      </c>
      <c r="G691" s="313"/>
      <c r="H691" s="316" t="s">
        <v>3</v>
      </c>
      <c r="I691" s="259"/>
      <c r="J691" s="259"/>
      <c r="K691" s="313"/>
      <c r="L691" s="89"/>
      <c r="M691" s="91"/>
      <c r="N691" s="92"/>
      <c r="O691" s="92"/>
      <c r="P691" s="92"/>
      <c r="Q691" s="92"/>
      <c r="R691" s="92"/>
      <c r="S691" s="92"/>
      <c r="T691" s="93"/>
      <c r="AT691" s="90" t="s">
        <v>225</v>
      </c>
      <c r="AU691" s="90" t="s">
        <v>77</v>
      </c>
      <c r="AV691" s="13" t="s">
        <v>75</v>
      </c>
      <c r="AW691" s="13" t="s">
        <v>30</v>
      </c>
      <c r="AX691" s="13" t="s">
        <v>68</v>
      </c>
      <c r="AY691" s="90" t="s">
        <v>216</v>
      </c>
    </row>
    <row r="692" spans="1:65" s="14" customFormat="1">
      <c r="A692" s="318"/>
      <c r="B692" s="319"/>
      <c r="C692" s="318"/>
      <c r="D692" s="315" t="s">
        <v>225</v>
      </c>
      <c r="E692" s="320" t="s">
        <v>3</v>
      </c>
      <c r="F692" s="321" t="s">
        <v>903</v>
      </c>
      <c r="G692" s="318"/>
      <c r="H692" s="322">
        <v>6.9119999999999999</v>
      </c>
      <c r="I692" s="260"/>
      <c r="J692" s="260"/>
      <c r="K692" s="318"/>
      <c r="L692" s="94"/>
      <c r="M692" s="96"/>
      <c r="N692" s="97"/>
      <c r="O692" s="97"/>
      <c r="P692" s="97"/>
      <c r="Q692" s="97"/>
      <c r="R692" s="97"/>
      <c r="S692" s="97"/>
      <c r="T692" s="98"/>
      <c r="AT692" s="95" t="s">
        <v>225</v>
      </c>
      <c r="AU692" s="95" t="s">
        <v>77</v>
      </c>
      <c r="AV692" s="14" t="s">
        <v>77</v>
      </c>
      <c r="AW692" s="14" t="s">
        <v>30</v>
      </c>
      <c r="AX692" s="14" t="s">
        <v>75</v>
      </c>
      <c r="AY692" s="95" t="s">
        <v>216</v>
      </c>
    </row>
    <row r="693" spans="1:65" s="2" customFormat="1" ht="14.45" customHeight="1">
      <c r="A693" s="269"/>
      <c r="B693" s="270"/>
      <c r="C693" s="308" t="s">
        <v>904</v>
      </c>
      <c r="D693" s="308" t="s">
        <v>218</v>
      </c>
      <c r="E693" s="309" t="s">
        <v>905</v>
      </c>
      <c r="F693" s="310" t="s">
        <v>906</v>
      </c>
      <c r="G693" s="311" t="s">
        <v>286</v>
      </c>
      <c r="H693" s="312">
        <v>34.06</v>
      </c>
      <c r="I693" s="82">
        <v>0</v>
      </c>
      <c r="J693" s="82">
        <f>ROUND(I693*H693,2)</f>
        <v>0</v>
      </c>
      <c r="K693" s="310" t="s">
        <v>222</v>
      </c>
      <c r="L693" s="24"/>
      <c r="M693" s="83" t="s">
        <v>3</v>
      </c>
      <c r="N693" s="84" t="s">
        <v>39</v>
      </c>
      <c r="O693" s="85">
        <v>3.5000000000000003E-2</v>
      </c>
      <c r="P693" s="85">
        <f>O693*H693</f>
        <v>1.1921000000000002</v>
      </c>
      <c r="Q693" s="85">
        <v>0</v>
      </c>
      <c r="R693" s="85">
        <f>Q693*H693</f>
        <v>0</v>
      </c>
      <c r="S693" s="85">
        <v>4.0000000000000001E-3</v>
      </c>
      <c r="T693" s="86">
        <f>S693*H693</f>
        <v>0.13624</v>
      </c>
      <c r="U693" s="23"/>
      <c r="V693" s="23"/>
      <c r="W693" s="23"/>
      <c r="X693" s="23"/>
      <c r="Y693" s="23"/>
      <c r="Z693" s="23"/>
      <c r="AA693" s="23"/>
      <c r="AB693" s="23"/>
      <c r="AC693" s="23"/>
      <c r="AD693" s="23"/>
      <c r="AE693" s="23"/>
      <c r="AR693" s="87" t="s">
        <v>305</v>
      </c>
      <c r="AT693" s="87" t="s">
        <v>218</v>
      </c>
      <c r="AU693" s="87" t="s">
        <v>77</v>
      </c>
      <c r="AY693" s="19" t="s">
        <v>216</v>
      </c>
      <c r="BE693" s="88">
        <f>IF(N693="základní",J693,0)</f>
        <v>0</v>
      </c>
      <c r="BF693" s="88">
        <f>IF(N693="snížená",J693,0)</f>
        <v>0</v>
      </c>
      <c r="BG693" s="88">
        <f>IF(N693="zákl. přenesená",J693,0)</f>
        <v>0</v>
      </c>
      <c r="BH693" s="88">
        <f>IF(N693="sníž. přenesená",J693,0)</f>
        <v>0</v>
      </c>
      <c r="BI693" s="88">
        <f>IF(N693="nulová",J693,0)</f>
        <v>0</v>
      </c>
      <c r="BJ693" s="19" t="s">
        <v>75</v>
      </c>
      <c r="BK693" s="88">
        <f>ROUND(I693*H693,2)</f>
        <v>0</v>
      </c>
      <c r="BL693" s="19" t="s">
        <v>305</v>
      </c>
      <c r="BM693" s="87" t="s">
        <v>907</v>
      </c>
    </row>
    <row r="694" spans="1:65" s="2" customFormat="1" ht="29.25">
      <c r="A694" s="269"/>
      <c r="B694" s="270"/>
      <c r="C694" s="269"/>
      <c r="D694" s="315" t="s">
        <v>231</v>
      </c>
      <c r="E694" s="269"/>
      <c r="F694" s="323" t="s">
        <v>908</v>
      </c>
      <c r="G694" s="269"/>
      <c r="H694" s="269"/>
      <c r="I694" s="248"/>
      <c r="J694" s="248"/>
      <c r="K694" s="269"/>
      <c r="L694" s="24"/>
      <c r="M694" s="99"/>
      <c r="N694" s="100"/>
      <c r="O694" s="32"/>
      <c r="P694" s="32"/>
      <c r="Q694" s="32"/>
      <c r="R694" s="32"/>
      <c r="S694" s="32"/>
      <c r="T694" s="33"/>
      <c r="U694" s="23"/>
      <c r="V694" s="23"/>
      <c r="W694" s="23"/>
      <c r="X694" s="23"/>
      <c r="Y694" s="23"/>
      <c r="Z694" s="23"/>
      <c r="AA694" s="23"/>
      <c r="AB694" s="23"/>
      <c r="AC694" s="23"/>
      <c r="AD694" s="23"/>
      <c r="AE694" s="23"/>
      <c r="AT694" s="19" t="s">
        <v>231</v>
      </c>
      <c r="AU694" s="19" t="s">
        <v>77</v>
      </c>
    </row>
    <row r="695" spans="1:65" s="13" customFormat="1">
      <c r="A695" s="313"/>
      <c r="B695" s="314"/>
      <c r="C695" s="313"/>
      <c r="D695" s="315" t="s">
        <v>225</v>
      </c>
      <c r="E695" s="316" t="s">
        <v>3</v>
      </c>
      <c r="F695" s="317" t="s">
        <v>241</v>
      </c>
      <c r="G695" s="313"/>
      <c r="H695" s="316" t="s">
        <v>3</v>
      </c>
      <c r="I695" s="259"/>
      <c r="J695" s="259"/>
      <c r="K695" s="313"/>
      <c r="L695" s="89"/>
      <c r="M695" s="91"/>
      <c r="N695" s="92"/>
      <c r="O695" s="92"/>
      <c r="P695" s="92"/>
      <c r="Q695" s="92"/>
      <c r="R695" s="92"/>
      <c r="S695" s="92"/>
      <c r="T695" s="93"/>
      <c r="AT695" s="90" t="s">
        <v>225</v>
      </c>
      <c r="AU695" s="90" t="s">
        <v>77</v>
      </c>
      <c r="AV695" s="13" t="s">
        <v>75</v>
      </c>
      <c r="AW695" s="13" t="s">
        <v>30</v>
      </c>
      <c r="AX695" s="13" t="s">
        <v>68</v>
      </c>
      <c r="AY695" s="90" t="s">
        <v>216</v>
      </c>
    </row>
    <row r="696" spans="1:65" s="13" customFormat="1">
      <c r="A696" s="313"/>
      <c r="B696" s="314"/>
      <c r="C696" s="313"/>
      <c r="D696" s="315" t="s">
        <v>225</v>
      </c>
      <c r="E696" s="316" t="s">
        <v>3</v>
      </c>
      <c r="F696" s="317" t="s">
        <v>242</v>
      </c>
      <c r="G696" s="313"/>
      <c r="H696" s="316" t="s">
        <v>3</v>
      </c>
      <c r="I696" s="259"/>
      <c r="J696" s="259"/>
      <c r="K696" s="313"/>
      <c r="L696" s="89"/>
      <c r="M696" s="91"/>
      <c r="N696" s="92"/>
      <c r="O696" s="92"/>
      <c r="P696" s="92"/>
      <c r="Q696" s="92"/>
      <c r="R696" s="92"/>
      <c r="S696" s="92"/>
      <c r="T696" s="93"/>
      <c r="AT696" s="90" t="s">
        <v>225</v>
      </c>
      <c r="AU696" s="90" t="s">
        <v>77</v>
      </c>
      <c r="AV696" s="13" t="s">
        <v>75</v>
      </c>
      <c r="AW696" s="13" t="s">
        <v>30</v>
      </c>
      <c r="AX696" s="13" t="s">
        <v>68</v>
      </c>
      <c r="AY696" s="90" t="s">
        <v>216</v>
      </c>
    </row>
    <row r="697" spans="1:65" s="14" customFormat="1">
      <c r="A697" s="318"/>
      <c r="B697" s="319"/>
      <c r="C697" s="318"/>
      <c r="D697" s="315" t="s">
        <v>225</v>
      </c>
      <c r="E697" s="320" t="s">
        <v>3</v>
      </c>
      <c r="F697" s="321" t="s">
        <v>909</v>
      </c>
      <c r="G697" s="318"/>
      <c r="H697" s="322">
        <v>34.06</v>
      </c>
      <c r="I697" s="260"/>
      <c r="J697" s="260"/>
      <c r="K697" s="318"/>
      <c r="L697" s="94"/>
      <c r="M697" s="96"/>
      <c r="N697" s="97"/>
      <c r="O697" s="97"/>
      <c r="P697" s="97"/>
      <c r="Q697" s="97"/>
      <c r="R697" s="97"/>
      <c r="S697" s="97"/>
      <c r="T697" s="98"/>
      <c r="AT697" s="95" t="s">
        <v>225</v>
      </c>
      <c r="AU697" s="95" t="s">
        <v>77</v>
      </c>
      <c r="AV697" s="14" t="s">
        <v>77</v>
      </c>
      <c r="AW697" s="14" t="s">
        <v>30</v>
      </c>
      <c r="AX697" s="14" t="s">
        <v>75</v>
      </c>
      <c r="AY697" s="95" t="s">
        <v>216</v>
      </c>
    </row>
    <row r="698" spans="1:65" s="2" customFormat="1" ht="160.5" customHeight="1">
      <c r="A698" s="269"/>
      <c r="B698" s="270"/>
      <c r="C698" s="308" t="s">
        <v>910</v>
      </c>
      <c r="D698" s="308" t="s">
        <v>218</v>
      </c>
      <c r="E698" s="309" t="s">
        <v>911</v>
      </c>
      <c r="F698" s="310" t="s">
        <v>912</v>
      </c>
      <c r="G698" s="311" t="s">
        <v>286</v>
      </c>
      <c r="H698" s="312">
        <v>229.5</v>
      </c>
      <c r="I698" s="82">
        <v>0</v>
      </c>
      <c r="J698" s="82">
        <f>ROUND(I698*H698,2)</f>
        <v>0</v>
      </c>
      <c r="K698" s="310" t="s">
        <v>3</v>
      </c>
      <c r="L698" s="24"/>
      <c r="M698" s="83" t="s">
        <v>3</v>
      </c>
      <c r="N698" s="84" t="s">
        <v>39</v>
      </c>
      <c r="O698" s="85">
        <v>0.3</v>
      </c>
      <c r="P698" s="85">
        <f>O698*H698</f>
        <v>68.849999999999994</v>
      </c>
      <c r="Q698" s="85">
        <v>4.4999999999999997E-3</v>
      </c>
      <c r="R698" s="85">
        <f>Q698*H698</f>
        <v>1.0327499999999998</v>
      </c>
      <c r="S698" s="85">
        <v>0</v>
      </c>
      <c r="T698" s="86">
        <f>S698*H698</f>
        <v>0</v>
      </c>
      <c r="U698" s="23"/>
      <c r="V698" s="23"/>
      <c r="W698" s="23"/>
      <c r="X698" s="23"/>
      <c r="Y698" s="23"/>
      <c r="Z698" s="23"/>
      <c r="AA698" s="23"/>
      <c r="AB698" s="23"/>
      <c r="AC698" s="23"/>
      <c r="AD698" s="23"/>
      <c r="AE698" s="23"/>
      <c r="AR698" s="87" t="s">
        <v>305</v>
      </c>
      <c r="AT698" s="87" t="s">
        <v>218</v>
      </c>
      <c r="AU698" s="87" t="s">
        <v>77</v>
      </c>
      <c r="AY698" s="19" t="s">
        <v>216</v>
      </c>
      <c r="BE698" s="88">
        <f>IF(N698="základní",J698,0)</f>
        <v>0</v>
      </c>
      <c r="BF698" s="88">
        <f>IF(N698="snížená",J698,0)</f>
        <v>0</v>
      </c>
      <c r="BG698" s="88">
        <f>IF(N698="zákl. přenesená",J698,0)</f>
        <v>0</v>
      </c>
      <c r="BH698" s="88">
        <f>IF(N698="sníž. přenesená",J698,0)</f>
        <v>0</v>
      </c>
      <c r="BI698" s="88">
        <f>IF(N698="nulová",J698,0)</f>
        <v>0</v>
      </c>
      <c r="BJ698" s="19" t="s">
        <v>75</v>
      </c>
      <c r="BK698" s="88">
        <f>ROUND(I698*H698,2)</f>
        <v>0</v>
      </c>
      <c r="BL698" s="19" t="s">
        <v>305</v>
      </c>
      <c r="BM698" s="87" t="s">
        <v>913</v>
      </c>
    </row>
    <row r="699" spans="1:65" s="13" customFormat="1">
      <c r="A699" s="313"/>
      <c r="B699" s="314"/>
      <c r="C699" s="313"/>
      <c r="D699" s="315" t="s">
        <v>225</v>
      </c>
      <c r="E699" s="316" t="s">
        <v>3</v>
      </c>
      <c r="F699" s="317" t="s">
        <v>578</v>
      </c>
      <c r="G699" s="313"/>
      <c r="H699" s="316" t="s">
        <v>3</v>
      </c>
      <c r="I699" s="259"/>
      <c r="J699" s="259"/>
      <c r="K699" s="313"/>
      <c r="L699" s="89"/>
      <c r="M699" s="91"/>
      <c r="N699" s="92"/>
      <c r="O699" s="92"/>
      <c r="P699" s="92"/>
      <c r="Q699" s="92"/>
      <c r="R699" s="92"/>
      <c r="S699" s="92"/>
      <c r="T699" s="93"/>
      <c r="AT699" s="90" t="s">
        <v>225</v>
      </c>
      <c r="AU699" s="90" t="s">
        <v>77</v>
      </c>
      <c r="AV699" s="13" t="s">
        <v>75</v>
      </c>
      <c r="AW699" s="13" t="s">
        <v>30</v>
      </c>
      <c r="AX699" s="13" t="s">
        <v>68</v>
      </c>
      <c r="AY699" s="90" t="s">
        <v>216</v>
      </c>
    </row>
    <row r="700" spans="1:65" s="14" customFormat="1">
      <c r="A700" s="318"/>
      <c r="B700" s="319"/>
      <c r="C700" s="318"/>
      <c r="D700" s="315" t="s">
        <v>225</v>
      </c>
      <c r="E700" s="320" t="s">
        <v>3</v>
      </c>
      <c r="F700" s="321" t="s">
        <v>914</v>
      </c>
      <c r="G700" s="318"/>
      <c r="H700" s="322">
        <v>229.5</v>
      </c>
      <c r="I700" s="260"/>
      <c r="J700" s="260"/>
      <c r="K700" s="318"/>
      <c r="L700" s="94"/>
      <c r="M700" s="96"/>
      <c r="N700" s="97"/>
      <c r="O700" s="97"/>
      <c r="P700" s="97"/>
      <c r="Q700" s="97"/>
      <c r="R700" s="97"/>
      <c r="S700" s="97"/>
      <c r="T700" s="98"/>
      <c r="AT700" s="95" t="s">
        <v>225</v>
      </c>
      <c r="AU700" s="95" t="s">
        <v>77</v>
      </c>
      <c r="AV700" s="14" t="s">
        <v>77</v>
      </c>
      <c r="AW700" s="14" t="s">
        <v>30</v>
      </c>
      <c r="AX700" s="14" t="s">
        <v>75</v>
      </c>
      <c r="AY700" s="95" t="s">
        <v>216</v>
      </c>
    </row>
    <row r="701" spans="1:65" s="2" customFormat="1" ht="142.5" customHeight="1">
      <c r="A701" s="269"/>
      <c r="B701" s="270"/>
      <c r="C701" s="308" t="s">
        <v>164</v>
      </c>
      <c r="D701" s="308" t="s">
        <v>218</v>
      </c>
      <c r="E701" s="309" t="s">
        <v>915</v>
      </c>
      <c r="F701" s="310" t="s">
        <v>916</v>
      </c>
      <c r="G701" s="311" t="s">
        <v>286</v>
      </c>
      <c r="H701" s="312">
        <v>302.76</v>
      </c>
      <c r="I701" s="82">
        <v>0</v>
      </c>
      <c r="J701" s="82">
        <f>ROUND(I701*H701,2)</f>
        <v>0</v>
      </c>
      <c r="K701" s="310" t="s">
        <v>3</v>
      </c>
      <c r="L701" s="24"/>
      <c r="M701" s="83" t="s">
        <v>3</v>
      </c>
      <c r="N701" s="84" t="s">
        <v>39</v>
      </c>
      <c r="O701" s="85">
        <v>0.22</v>
      </c>
      <c r="P701" s="85">
        <f>O701*H701</f>
        <v>66.607199999999992</v>
      </c>
      <c r="Q701" s="85">
        <v>4.4999999999999997E-3</v>
      </c>
      <c r="R701" s="85">
        <f>Q701*H701</f>
        <v>1.36242</v>
      </c>
      <c r="S701" s="85">
        <v>0</v>
      </c>
      <c r="T701" s="86">
        <f>S701*H701</f>
        <v>0</v>
      </c>
      <c r="U701" s="23"/>
      <c r="V701" s="23"/>
      <c r="W701" s="23"/>
      <c r="X701" s="23"/>
      <c r="Y701" s="23"/>
      <c r="Z701" s="23"/>
      <c r="AA701" s="23"/>
      <c r="AB701" s="23"/>
      <c r="AC701" s="23"/>
      <c r="AD701" s="23"/>
      <c r="AE701" s="23"/>
      <c r="AR701" s="87" t="s">
        <v>305</v>
      </c>
      <c r="AT701" s="87" t="s">
        <v>218</v>
      </c>
      <c r="AU701" s="87" t="s">
        <v>77</v>
      </c>
      <c r="AY701" s="19" t="s">
        <v>216</v>
      </c>
      <c r="BE701" s="88">
        <f>IF(N701="základní",J701,0)</f>
        <v>0</v>
      </c>
      <c r="BF701" s="88">
        <f>IF(N701="snížená",J701,0)</f>
        <v>0</v>
      </c>
      <c r="BG701" s="88">
        <f>IF(N701="zákl. přenesená",J701,0)</f>
        <v>0</v>
      </c>
      <c r="BH701" s="88">
        <f>IF(N701="sníž. přenesená",J701,0)</f>
        <v>0</v>
      </c>
      <c r="BI701" s="88">
        <f>IF(N701="nulová",J701,0)</f>
        <v>0</v>
      </c>
      <c r="BJ701" s="19" t="s">
        <v>75</v>
      </c>
      <c r="BK701" s="88">
        <f>ROUND(I701*H701,2)</f>
        <v>0</v>
      </c>
      <c r="BL701" s="19" t="s">
        <v>305</v>
      </c>
      <c r="BM701" s="87" t="s">
        <v>917</v>
      </c>
    </row>
    <row r="702" spans="1:65" s="13" customFormat="1">
      <c r="A702" s="313"/>
      <c r="B702" s="314"/>
      <c r="C702" s="313"/>
      <c r="D702" s="315" t="s">
        <v>225</v>
      </c>
      <c r="E702" s="316" t="s">
        <v>3</v>
      </c>
      <c r="F702" s="317" t="s">
        <v>578</v>
      </c>
      <c r="G702" s="313"/>
      <c r="H702" s="316" t="s">
        <v>3</v>
      </c>
      <c r="I702" s="259"/>
      <c r="J702" s="259"/>
      <c r="K702" s="313"/>
      <c r="L702" s="89"/>
      <c r="M702" s="91"/>
      <c r="N702" s="92"/>
      <c r="O702" s="92"/>
      <c r="P702" s="92"/>
      <c r="Q702" s="92"/>
      <c r="R702" s="92"/>
      <c r="S702" s="92"/>
      <c r="T702" s="93"/>
      <c r="AT702" s="90" t="s">
        <v>225</v>
      </c>
      <c r="AU702" s="90" t="s">
        <v>77</v>
      </c>
      <c r="AV702" s="13" t="s">
        <v>75</v>
      </c>
      <c r="AW702" s="13" t="s">
        <v>30</v>
      </c>
      <c r="AX702" s="13" t="s">
        <v>68</v>
      </c>
      <c r="AY702" s="90" t="s">
        <v>216</v>
      </c>
    </row>
    <row r="703" spans="1:65" s="14" customFormat="1">
      <c r="A703" s="318"/>
      <c r="B703" s="319"/>
      <c r="C703" s="318"/>
      <c r="D703" s="315" t="s">
        <v>225</v>
      </c>
      <c r="E703" s="320" t="s">
        <v>3</v>
      </c>
      <c r="F703" s="321" t="s">
        <v>918</v>
      </c>
      <c r="G703" s="318"/>
      <c r="H703" s="322">
        <v>302.76</v>
      </c>
      <c r="I703" s="260"/>
      <c r="J703" s="260"/>
      <c r="K703" s="318"/>
      <c r="L703" s="94"/>
      <c r="M703" s="96"/>
      <c r="N703" s="97"/>
      <c r="O703" s="97"/>
      <c r="P703" s="97"/>
      <c r="Q703" s="97"/>
      <c r="R703" s="97"/>
      <c r="S703" s="97"/>
      <c r="T703" s="98"/>
      <c r="AT703" s="95" t="s">
        <v>225</v>
      </c>
      <c r="AU703" s="95" t="s">
        <v>77</v>
      </c>
      <c r="AV703" s="14" t="s">
        <v>77</v>
      </c>
      <c r="AW703" s="14" t="s">
        <v>30</v>
      </c>
      <c r="AX703" s="14" t="s">
        <v>75</v>
      </c>
      <c r="AY703" s="95" t="s">
        <v>216</v>
      </c>
    </row>
    <row r="704" spans="1:65" s="2" customFormat="1" ht="21.6" customHeight="1">
      <c r="A704" s="269"/>
      <c r="B704" s="270"/>
      <c r="C704" s="308" t="s">
        <v>919</v>
      </c>
      <c r="D704" s="308" t="s">
        <v>218</v>
      </c>
      <c r="E704" s="309" t="s">
        <v>920</v>
      </c>
      <c r="F704" s="310" t="s">
        <v>921</v>
      </c>
      <c r="G704" s="311" t="s">
        <v>273</v>
      </c>
      <c r="H704" s="312">
        <v>2.423</v>
      </c>
      <c r="I704" s="82">
        <v>0</v>
      </c>
      <c r="J704" s="82">
        <f>ROUND(I704*H704,2)</f>
        <v>0</v>
      </c>
      <c r="K704" s="310" t="s">
        <v>222</v>
      </c>
      <c r="L704" s="24"/>
      <c r="M704" s="83" t="s">
        <v>3</v>
      </c>
      <c r="N704" s="84" t="s">
        <v>39</v>
      </c>
      <c r="O704" s="85">
        <v>1.5669999999999999</v>
      </c>
      <c r="P704" s="85">
        <f>O704*H704</f>
        <v>3.7968410000000001</v>
      </c>
      <c r="Q704" s="85">
        <v>0</v>
      </c>
      <c r="R704" s="85">
        <f>Q704*H704</f>
        <v>0</v>
      </c>
      <c r="S704" s="85">
        <v>0</v>
      </c>
      <c r="T704" s="86">
        <f>S704*H704</f>
        <v>0</v>
      </c>
      <c r="U704" s="23"/>
      <c r="V704" s="23"/>
      <c r="W704" s="23"/>
      <c r="X704" s="23"/>
      <c r="Y704" s="23"/>
      <c r="Z704" s="23"/>
      <c r="AA704" s="23"/>
      <c r="AB704" s="23"/>
      <c r="AC704" s="23"/>
      <c r="AD704" s="23"/>
      <c r="AE704" s="23"/>
      <c r="AR704" s="87" t="s">
        <v>305</v>
      </c>
      <c r="AT704" s="87" t="s">
        <v>218</v>
      </c>
      <c r="AU704" s="87" t="s">
        <v>77</v>
      </c>
      <c r="AY704" s="19" t="s">
        <v>216</v>
      </c>
      <c r="BE704" s="88">
        <f>IF(N704="základní",J704,0)</f>
        <v>0</v>
      </c>
      <c r="BF704" s="88">
        <f>IF(N704="snížená",J704,0)</f>
        <v>0</v>
      </c>
      <c r="BG704" s="88">
        <f>IF(N704="zákl. přenesená",J704,0)</f>
        <v>0</v>
      </c>
      <c r="BH704" s="88">
        <f>IF(N704="sníž. přenesená",J704,0)</f>
        <v>0</v>
      </c>
      <c r="BI704" s="88">
        <f>IF(N704="nulová",J704,0)</f>
        <v>0</v>
      </c>
      <c r="BJ704" s="19" t="s">
        <v>75</v>
      </c>
      <c r="BK704" s="88">
        <f>ROUND(I704*H704,2)</f>
        <v>0</v>
      </c>
      <c r="BL704" s="19" t="s">
        <v>305</v>
      </c>
      <c r="BM704" s="87" t="s">
        <v>922</v>
      </c>
    </row>
    <row r="705" spans="1:65" s="2" customFormat="1" ht="87.75">
      <c r="A705" s="269"/>
      <c r="B705" s="270"/>
      <c r="C705" s="269"/>
      <c r="D705" s="315" t="s">
        <v>231</v>
      </c>
      <c r="E705" s="269"/>
      <c r="F705" s="323" t="s">
        <v>923</v>
      </c>
      <c r="G705" s="269"/>
      <c r="H705" s="269"/>
      <c r="I705" s="248"/>
      <c r="J705" s="248"/>
      <c r="K705" s="269"/>
      <c r="L705" s="24"/>
      <c r="M705" s="99"/>
      <c r="N705" s="100"/>
      <c r="O705" s="32"/>
      <c r="P705" s="32"/>
      <c r="Q705" s="32"/>
      <c r="R705" s="32"/>
      <c r="S705" s="32"/>
      <c r="T705" s="33"/>
      <c r="U705" s="23"/>
      <c r="V705" s="23"/>
      <c r="W705" s="23"/>
      <c r="X705" s="23"/>
      <c r="Y705" s="23"/>
      <c r="Z705" s="23"/>
      <c r="AA705" s="23"/>
      <c r="AB705" s="23"/>
      <c r="AC705" s="23"/>
      <c r="AD705" s="23"/>
      <c r="AE705" s="23"/>
      <c r="AT705" s="19" t="s">
        <v>231</v>
      </c>
      <c r="AU705" s="19" t="s">
        <v>77</v>
      </c>
    </row>
    <row r="706" spans="1:65" s="2" customFormat="1" ht="32.450000000000003" customHeight="1">
      <c r="A706" s="269"/>
      <c r="B706" s="270"/>
      <c r="C706" s="308" t="s">
        <v>924</v>
      </c>
      <c r="D706" s="308" t="s">
        <v>218</v>
      </c>
      <c r="E706" s="309" t="s">
        <v>925</v>
      </c>
      <c r="F706" s="310" t="s">
        <v>926</v>
      </c>
      <c r="G706" s="311" t="s">
        <v>273</v>
      </c>
      <c r="H706" s="312">
        <v>2.423</v>
      </c>
      <c r="I706" s="82">
        <v>0</v>
      </c>
      <c r="J706" s="82">
        <f>ROUND(I706*H706,2)</f>
        <v>0</v>
      </c>
      <c r="K706" s="310" t="s">
        <v>222</v>
      </c>
      <c r="L706" s="24"/>
      <c r="M706" s="83" t="s">
        <v>3</v>
      </c>
      <c r="N706" s="84" t="s">
        <v>39</v>
      </c>
      <c r="O706" s="85">
        <v>1.36</v>
      </c>
      <c r="P706" s="85">
        <f>O706*H706</f>
        <v>3.2952800000000004</v>
      </c>
      <c r="Q706" s="85">
        <v>0</v>
      </c>
      <c r="R706" s="85">
        <f>Q706*H706</f>
        <v>0</v>
      </c>
      <c r="S706" s="85">
        <v>0</v>
      </c>
      <c r="T706" s="86">
        <f>S706*H706</f>
        <v>0</v>
      </c>
      <c r="U706" s="23"/>
      <c r="V706" s="23"/>
      <c r="W706" s="23"/>
      <c r="X706" s="23"/>
      <c r="Y706" s="23"/>
      <c r="Z706" s="23"/>
      <c r="AA706" s="23"/>
      <c r="AB706" s="23"/>
      <c r="AC706" s="23"/>
      <c r="AD706" s="23"/>
      <c r="AE706" s="23"/>
      <c r="AR706" s="87" t="s">
        <v>305</v>
      </c>
      <c r="AT706" s="87" t="s">
        <v>218</v>
      </c>
      <c r="AU706" s="87" t="s">
        <v>77</v>
      </c>
      <c r="AY706" s="19" t="s">
        <v>216</v>
      </c>
      <c r="BE706" s="88">
        <f>IF(N706="základní",J706,0)</f>
        <v>0</v>
      </c>
      <c r="BF706" s="88">
        <f>IF(N706="snížená",J706,0)</f>
        <v>0</v>
      </c>
      <c r="BG706" s="88">
        <f>IF(N706="zákl. přenesená",J706,0)</f>
        <v>0</v>
      </c>
      <c r="BH706" s="88">
        <f>IF(N706="sníž. přenesená",J706,0)</f>
        <v>0</v>
      </c>
      <c r="BI706" s="88">
        <f>IF(N706="nulová",J706,0)</f>
        <v>0</v>
      </c>
      <c r="BJ706" s="19" t="s">
        <v>75</v>
      </c>
      <c r="BK706" s="88">
        <f>ROUND(I706*H706,2)</f>
        <v>0</v>
      </c>
      <c r="BL706" s="19" t="s">
        <v>305</v>
      </c>
      <c r="BM706" s="87" t="s">
        <v>927</v>
      </c>
    </row>
    <row r="707" spans="1:65" s="2" customFormat="1" ht="87.75">
      <c r="A707" s="269"/>
      <c r="B707" s="270"/>
      <c r="C707" s="269"/>
      <c r="D707" s="315" t="s">
        <v>231</v>
      </c>
      <c r="E707" s="269"/>
      <c r="F707" s="323" t="s">
        <v>923</v>
      </c>
      <c r="G707" s="269"/>
      <c r="H707" s="269"/>
      <c r="I707" s="248"/>
      <c r="J707" s="248"/>
      <c r="K707" s="269"/>
      <c r="L707" s="24"/>
      <c r="M707" s="99"/>
      <c r="N707" s="100"/>
      <c r="O707" s="32"/>
      <c r="P707" s="32"/>
      <c r="Q707" s="32"/>
      <c r="R707" s="32"/>
      <c r="S707" s="32"/>
      <c r="T707" s="33"/>
      <c r="U707" s="23"/>
      <c r="V707" s="23"/>
      <c r="W707" s="23"/>
      <c r="X707" s="23"/>
      <c r="Y707" s="23"/>
      <c r="Z707" s="23"/>
      <c r="AA707" s="23"/>
      <c r="AB707" s="23"/>
      <c r="AC707" s="23"/>
      <c r="AD707" s="23"/>
      <c r="AE707" s="23"/>
      <c r="AT707" s="19" t="s">
        <v>231</v>
      </c>
      <c r="AU707" s="19" t="s">
        <v>77</v>
      </c>
    </row>
    <row r="708" spans="1:65" s="12" customFormat="1" ht="22.9" customHeight="1">
      <c r="A708" s="303"/>
      <c r="B708" s="304"/>
      <c r="C708" s="303"/>
      <c r="D708" s="305" t="s">
        <v>67</v>
      </c>
      <c r="E708" s="307" t="s">
        <v>928</v>
      </c>
      <c r="F708" s="307" t="s">
        <v>929</v>
      </c>
      <c r="G708" s="303"/>
      <c r="H708" s="303"/>
      <c r="I708" s="256"/>
      <c r="J708" s="258">
        <f>BK708</f>
        <v>0</v>
      </c>
      <c r="K708" s="303"/>
      <c r="L708" s="74"/>
      <c r="M708" s="76"/>
      <c r="N708" s="77"/>
      <c r="O708" s="77"/>
      <c r="P708" s="78">
        <f>P709</f>
        <v>0</v>
      </c>
      <c r="Q708" s="77"/>
      <c r="R708" s="78">
        <f>R709</f>
        <v>0</v>
      </c>
      <c r="S708" s="77"/>
      <c r="T708" s="79">
        <f>T709</f>
        <v>0</v>
      </c>
      <c r="AR708" s="75" t="s">
        <v>77</v>
      </c>
      <c r="AT708" s="80" t="s">
        <v>67</v>
      </c>
      <c r="AU708" s="80" t="s">
        <v>75</v>
      </c>
      <c r="AY708" s="75" t="s">
        <v>216</v>
      </c>
      <c r="BK708" s="81">
        <f>BK709</f>
        <v>0</v>
      </c>
    </row>
    <row r="709" spans="1:65" s="2" customFormat="1" ht="14.45" customHeight="1">
      <c r="A709" s="269"/>
      <c r="B709" s="270"/>
      <c r="C709" s="308" t="s">
        <v>930</v>
      </c>
      <c r="D709" s="308" t="s">
        <v>218</v>
      </c>
      <c r="E709" s="309" t="s">
        <v>931</v>
      </c>
      <c r="F709" s="310" t="s">
        <v>932</v>
      </c>
      <c r="G709" s="311" t="s">
        <v>933</v>
      </c>
      <c r="H709" s="312">
        <v>10</v>
      </c>
      <c r="I709" s="82">
        <v>0</v>
      </c>
      <c r="J709" s="82">
        <f>ROUND(I709*H709,2)</f>
        <v>0</v>
      </c>
      <c r="K709" s="310" t="s">
        <v>3</v>
      </c>
      <c r="L709" s="24"/>
      <c r="M709" s="83" t="s">
        <v>3</v>
      </c>
      <c r="N709" s="84" t="s">
        <v>39</v>
      </c>
      <c r="O709" s="85">
        <v>0</v>
      </c>
      <c r="P709" s="85">
        <f>O709*H709</f>
        <v>0</v>
      </c>
      <c r="Q709" s="85">
        <v>0</v>
      </c>
      <c r="R709" s="85">
        <f>Q709*H709</f>
        <v>0</v>
      </c>
      <c r="S709" s="85">
        <v>0</v>
      </c>
      <c r="T709" s="86">
        <f>S709*H709</f>
        <v>0</v>
      </c>
      <c r="U709" s="23"/>
      <c r="V709" s="23"/>
      <c r="W709" s="23"/>
      <c r="X709" s="23"/>
      <c r="Y709" s="23"/>
      <c r="Z709" s="23"/>
      <c r="AA709" s="23"/>
      <c r="AB709" s="23"/>
      <c r="AC709" s="23"/>
      <c r="AD709" s="23"/>
      <c r="AE709" s="23"/>
      <c r="AR709" s="87" t="s">
        <v>305</v>
      </c>
      <c r="AT709" s="87" t="s">
        <v>218</v>
      </c>
      <c r="AU709" s="87" t="s">
        <v>77</v>
      </c>
      <c r="AY709" s="19" t="s">
        <v>216</v>
      </c>
      <c r="BE709" s="88">
        <f>IF(N709="základní",J709,0)</f>
        <v>0</v>
      </c>
      <c r="BF709" s="88">
        <f>IF(N709="snížená",J709,0)</f>
        <v>0</v>
      </c>
      <c r="BG709" s="88">
        <f>IF(N709="zákl. přenesená",J709,0)</f>
        <v>0</v>
      </c>
      <c r="BH709" s="88">
        <f>IF(N709="sníž. přenesená",J709,0)</f>
        <v>0</v>
      </c>
      <c r="BI709" s="88">
        <f>IF(N709="nulová",J709,0)</f>
        <v>0</v>
      </c>
      <c r="BJ709" s="19" t="s">
        <v>75</v>
      </c>
      <c r="BK709" s="88">
        <f>ROUND(I709*H709,2)</f>
        <v>0</v>
      </c>
      <c r="BL709" s="19" t="s">
        <v>305</v>
      </c>
      <c r="BM709" s="87" t="s">
        <v>934</v>
      </c>
    </row>
    <row r="710" spans="1:65" s="12" customFormat="1" ht="22.9" customHeight="1">
      <c r="A710" s="303"/>
      <c r="B710" s="304"/>
      <c r="C710" s="303"/>
      <c r="D710" s="305" t="s">
        <v>67</v>
      </c>
      <c r="E710" s="307" t="s">
        <v>935</v>
      </c>
      <c r="F710" s="307" t="s">
        <v>936</v>
      </c>
      <c r="G710" s="303"/>
      <c r="H710" s="303"/>
      <c r="I710" s="256"/>
      <c r="J710" s="258">
        <f>BK710</f>
        <v>0</v>
      </c>
      <c r="K710" s="303"/>
      <c r="L710" s="74"/>
      <c r="M710" s="76"/>
      <c r="N710" s="77"/>
      <c r="O710" s="77"/>
      <c r="P710" s="78">
        <f>SUM(P711:P716)</f>
        <v>0</v>
      </c>
      <c r="Q710" s="77"/>
      <c r="R710" s="78">
        <f>SUM(R711:R716)</f>
        <v>0</v>
      </c>
      <c r="S710" s="77"/>
      <c r="T710" s="79">
        <f>SUM(T711:T716)</f>
        <v>0</v>
      </c>
      <c r="AR710" s="75" t="s">
        <v>77</v>
      </c>
      <c r="AT710" s="80" t="s">
        <v>67</v>
      </c>
      <c r="AU710" s="80" t="s">
        <v>75</v>
      </c>
      <c r="AY710" s="75" t="s">
        <v>216</v>
      </c>
      <c r="BK710" s="81">
        <f>SUM(BK711:BK716)</f>
        <v>0</v>
      </c>
    </row>
    <row r="711" spans="1:65" s="2" customFormat="1" ht="14.45" customHeight="1">
      <c r="A711" s="269"/>
      <c r="B711" s="270"/>
      <c r="C711" s="308" t="s">
        <v>937</v>
      </c>
      <c r="D711" s="308" t="s">
        <v>218</v>
      </c>
      <c r="E711" s="309" t="s">
        <v>938</v>
      </c>
      <c r="F711" s="310" t="s">
        <v>939</v>
      </c>
      <c r="G711" s="311" t="s">
        <v>933</v>
      </c>
      <c r="H711" s="312">
        <v>1</v>
      </c>
      <c r="I711" s="82">
        <v>0</v>
      </c>
      <c r="J711" s="82">
        <f t="shared" ref="J711:J716" si="0">ROUND(I711*H711,2)</f>
        <v>0</v>
      </c>
      <c r="K711" s="310" t="s">
        <v>3</v>
      </c>
      <c r="L711" s="24"/>
      <c r="M711" s="83" t="s">
        <v>3</v>
      </c>
      <c r="N711" s="84" t="s">
        <v>39</v>
      </c>
      <c r="O711" s="85">
        <v>0</v>
      </c>
      <c r="P711" s="85">
        <f t="shared" ref="P711:P716" si="1">O711*H711</f>
        <v>0</v>
      </c>
      <c r="Q711" s="85">
        <v>0</v>
      </c>
      <c r="R711" s="85">
        <f t="shared" ref="R711:R716" si="2">Q711*H711</f>
        <v>0</v>
      </c>
      <c r="S711" s="85">
        <v>0</v>
      </c>
      <c r="T711" s="86">
        <f t="shared" ref="T711:T716" si="3">S711*H711</f>
        <v>0</v>
      </c>
      <c r="U711" s="23"/>
      <c r="V711" s="23"/>
      <c r="W711" s="23"/>
      <c r="X711" s="23"/>
      <c r="Y711" s="23"/>
      <c r="Z711" s="23"/>
      <c r="AA711" s="23"/>
      <c r="AB711" s="23"/>
      <c r="AC711" s="23"/>
      <c r="AD711" s="23"/>
      <c r="AE711" s="23"/>
      <c r="AR711" s="87" t="s">
        <v>305</v>
      </c>
      <c r="AT711" s="87" t="s">
        <v>218</v>
      </c>
      <c r="AU711" s="87" t="s">
        <v>77</v>
      </c>
      <c r="AY711" s="19" t="s">
        <v>216</v>
      </c>
      <c r="BE711" s="88">
        <f t="shared" ref="BE711:BE716" si="4">IF(N711="základní",J711,0)</f>
        <v>0</v>
      </c>
      <c r="BF711" s="88">
        <f t="shared" ref="BF711:BF716" si="5">IF(N711="snížená",J711,0)</f>
        <v>0</v>
      </c>
      <c r="BG711" s="88">
        <f t="shared" ref="BG711:BG716" si="6">IF(N711="zákl. přenesená",J711,0)</f>
        <v>0</v>
      </c>
      <c r="BH711" s="88">
        <f t="shared" ref="BH711:BH716" si="7">IF(N711="sníž. přenesená",J711,0)</f>
        <v>0</v>
      </c>
      <c r="BI711" s="88">
        <f t="shared" ref="BI711:BI716" si="8">IF(N711="nulová",J711,0)</f>
        <v>0</v>
      </c>
      <c r="BJ711" s="19" t="s">
        <v>75</v>
      </c>
      <c r="BK711" s="88">
        <f t="shared" ref="BK711:BK716" si="9">ROUND(I711*H711,2)</f>
        <v>0</v>
      </c>
      <c r="BL711" s="19" t="s">
        <v>305</v>
      </c>
      <c r="BM711" s="87" t="s">
        <v>940</v>
      </c>
    </row>
    <row r="712" spans="1:65" s="2" customFormat="1" ht="14.45" customHeight="1">
      <c r="A712" s="269"/>
      <c r="B712" s="270"/>
      <c r="C712" s="308" t="s">
        <v>941</v>
      </c>
      <c r="D712" s="308" t="s">
        <v>218</v>
      </c>
      <c r="E712" s="309" t="s">
        <v>942</v>
      </c>
      <c r="F712" s="310" t="s">
        <v>943</v>
      </c>
      <c r="G712" s="311" t="s">
        <v>364</v>
      </c>
      <c r="H712" s="312">
        <v>230</v>
      </c>
      <c r="I712" s="82">
        <v>0</v>
      </c>
      <c r="J712" s="82">
        <f t="shared" si="0"/>
        <v>0</v>
      </c>
      <c r="K712" s="310" t="s">
        <v>3</v>
      </c>
      <c r="L712" s="24"/>
      <c r="M712" s="83" t="s">
        <v>3</v>
      </c>
      <c r="N712" s="84" t="s">
        <v>39</v>
      </c>
      <c r="O712" s="85">
        <v>0</v>
      </c>
      <c r="P712" s="85">
        <f t="shared" si="1"/>
        <v>0</v>
      </c>
      <c r="Q712" s="85">
        <v>0</v>
      </c>
      <c r="R712" s="85">
        <f t="shared" si="2"/>
        <v>0</v>
      </c>
      <c r="S712" s="85">
        <v>0</v>
      </c>
      <c r="T712" s="86">
        <f t="shared" si="3"/>
        <v>0</v>
      </c>
      <c r="U712" s="23"/>
      <c r="V712" s="23"/>
      <c r="W712" s="23"/>
      <c r="X712" s="23"/>
      <c r="Y712" s="23"/>
      <c r="Z712" s="23"/>
      <c r="AA712" s="23"/>
      <c r="AB712" s="23"/>
      <c r="AC712" s="23"/>
      <c r="AD712" s="23"/>
      <c r="AE712" s="23"/>
      <c r="AR712" s="87" t="s">
        <v>305</v>
      </c>
      <c r="AT712" s="87" t="s">
        <v>218</v>
      </c>
      <c r="AU712" s="87" t="s">
        <v>77</v>
      </c>
      <c r="AY712" s="19" t="s">
        <v>216</v>
      </c>
      <c r="BE712" s="88">
        <f t="shared" si="4"/>
        <v>0</v>
      </c>
      <c r="BF712" s="88">
        <f t="shared" si="5"/>
        <v>0</v>
      </c>
      <c r="BG712" s="88">
        <f t="shared" si="6"/>
        <v>0</v>
      </c>
      <c r="BH712" s="88">
        <f t="shared" si="7"/>
        <v>0</v>
      </c>
      <c r="BI712" s="88">
        <f t="shared" si="8"/>
        <v>0</v>
      </c>
      <c r="BJ712" s="19" t="s">
        <v>75</v>
      </c>
      <c r="BK712" s="88">
        <f t="shared" si="9"/>
        <v>0</v>
      </c>
      <c r="BL712" s="19" t="s">
        <v>305</v>
      </c>
      <c r="BM712" s="87" t="s">
        <v>944</v>
      </c>
    </row>
    <row r="713" spans="1:65" s="2" customFormat="1" ht="14.45" customHeight="1">
      <c r="A713" s="269"/>
      <c r="B713" s="270"/>
      <c r="C713" s="308" t="s">
        <v>945</v>
      </c>
      <c r="D713" s="308" t="s">
        <v>218</v>
      </c>
      <c r="E713" s="309" t="s">
        <v>946</v>
      </c>
      <c r="F713" s="310" t="s">
        <v>947</v>
      </c>
      <c r="G713" s="311" t="s">
        <v>364</v>
      </c>
      <c r="H713" s="312">
        <v>180</v>
      </c>
      <c r="I713" s="82">
        <v>0</v>
      </c>
      <c r="J713" s="82">
        <f t="shared" si="0"/>
        <v>0</v>
      </c>
      <c r="K713" s="310" t="s">
        <v>3</v>
      </c>
      <c r="L713" s="24"/>
      <c r="M713" s="83" t="s">
        <v>3</v>
      </c>
      <c r="N713" s="84" t="s">
        <v>39</v>
      </c>
      <c r="O713" s="85">
        <v>0</v>
      </c>
      <c r="P713" s="85">
        <f t="shared" si="1"/>
        <v>0</v>
      </c>
      <c r="Q713" s="85">
        <v>0</v>
      </c>
      <c r="R713" s="85">
        <f t="shared" si="2"/>
        <v>0</v>
      </c>
      <c r="S713" s="85">
        <v>0</v>
      </c>
      <c r="T713" s="86">
        <f t="shared" si="3"/>
        <v>0</v>
      </c>
      <c r="U713" s="23"/>
      <c r="V713" s="23"/>
      <c r="W713" s="23"/>
      <c r="X713" s="23"/>
      <c r="Y713" s="23"/>
      <c r="Z713" s="23"/>
      <c r="AA713" s="23"/>
      <c r="AB713" s="23"/>
      <c r="AC713" s="23"/>
      <c r="AD713" s="23"/>
      <c r="AE713" s="23"/>
      <c r="AR713" s="87" t="s">
        <v>305</v>
      </c>
      <c r="AT713" s="87" t="s">
        <v>218</v>
      </c>
      <c r="AU713" s="87" t="s">
        <v>77</v>
      </c>
      <c r="AY713" s="19" t="s">
        <v>216</v>
      </c>
      <c r="BE713" s="88">
        <f t="shared" si="4"/>
        <v>0</v>
      </c>
      <c r="BF713" s="88">
        <f t="shared" si="5"/>
        <v>0</v>
      </c>
      <c r="BG713" s="88">
        <f t="shared" si="6"/>
        <v>0</v>
      </c>
      <c r="BH713" s="88">
        <f t="shared" si="7"/>
        <v>0</v>
      </c>
      <c r="BI713" s="88">
        <f t="shared" si="8"/>
        <v>0</v>
      </c>
      <c r="BJ713" s="19" t="s">
        <v>75</v>
      </c>
      <c r="BK713" s="88">
        <f t="shared" si="9"/>
        <v>0</v>
      </c>
      <c r="BL713" s="19" t="s">
        <v>305</v>
      </c>
      <c r="BM713" s="87" t="s">
        <v>948</v>
      </c>
    </row>
    <row r="714" spans="1:65" s="2" customFormat="1" ht="14.45" customHeight="1">
      <c r="A714" s="269"/>
      <c r="B714" s="270"/>
      <c r="C714" s="308" t="s">
        <v>949</v>
      </c>
      <c r="D714" s="308" t="s">
        <v>218</v>
      </c>
      <c r="E714" s="309" t="s">
        <v>950</v>
      </c>
      <c r="F714" s="310" t="s">
        <v>951</v>
      </c>
      <c r="G714" s="311" t="s">
        <v>364</v>
      </c>
      <c r="H714" s="312">
        <v>60</v>
      </c>
      <c r="I714" s="82">
        <v>0</v>
      </c>
      <c r="J714" s="82">
        <f t="shared" si="0"/>
        <v>0</v>
      </c>
      <c r="K714" s="310" t="s">
        <v>3</v>
      </c>
      <c r="L714" s="24"/>
      <c r="M714" s="83" t="s">
        <v>3</v>
      </c>
      <c r="N714" s="84" t="s">
        <v>39</v>
      </c>
      <c r="O714" s="85">
        <v>0</v>
      </c>
      <c r="P714" s="85">
        <f t="shared" si="1"/>
        <v>0</v>
      </c>
      <c r="Q714" s="85">
        <v>0</v>
      </c>
      <c r="R714" s="85">
        <f t="shared" si="2"/>
        <v>0</v>
      </c>
      <c r="S714" s="85">
        <v>0</v>
      </c>
      <c r="T714" s="86">
        <f t="shared" si="3"/>
        <v>0</v>
      </c>
      <c r="U714" s="23"/>
      <c r="V714" s="23"/>
      <c r="W714" s="23"/>
      <c r="X714" s="23"/>
      <c r="Y714" s="23"/>
      <c r="Z714" s="23"/>
      <c r="AA714" s="23"/>
      <c r="AB714" s="23"/>
      <c r="AC714" s="23"/>
      <c r="AD714" s="23"/>
      <c r="AE714" s="23"/>
      <c r="AR714" s="87" t="s">
        <v>305</v>
      </c>
      <c r="AT714" s="87" t="s">
        <v>218</v>
      </c>
      <c r="AU714" s="87" t="s">
        <v>77</v>
      </c>
      <c r="AY714" s="19" t="s">
        <v>216</v>
      </c>
      <c r="BE714" s="88">
        <f t="shared" si="4"/>
        <v>0</v>
      </c>
      <c r="BF714" s="88">
        <f t="shared" si="5"/>
        <v>0</v>
      </c>
      <c r="BG714" s="88">
        <f t="shared" si="6"/>
        <v>0</v>
      </c>
      <c r="BH714" s="88">
        <f t="shared" si="7"/>
        <v>0</v>
      </c>
      <c r="BI714" s="88">
        <f t="shared" si="8"/>
        <v>0</v>
      </c>
      <c r="BJ714" s="19" t="s">
        <v>75</v>
      </c>
      <c r="BK714" s="88">
        <f t="shared" si="9"/>
        <v>0</v>
      </c>
      <c r="BL714" s="19" t="s">
        <v>305</v>
      </c>
      <c r="BM714" s="87" t="s">
        <v>952</v>
      </c>
    </row>
    <row r="715" spans="1:65" s="2" customFormat="1" ht="14.45" customHeight="1">
      <c r="A715" s="269"/>
      <c r="B715" s="270"/>
      <c r="C715" s="308" t="s">
        <v>953</v>
      </c>
      <c r="D715" s="308" t="s">
        <v>218</v>
      </c>
      <c r="E715" s="309" t="s">
        <v>954</v>
      </c>
      <c r="F715" s="310" t="s">
        <v>955</v>
      </c>
      <c r="G715" s="311" t="s">
        <v>364</v>
      </c>
      <c r="H715" s="312">
        <v>30</v>
      </c>
      <c r="I715" s="82">
        <v>0</v>
      </c>
      <c r="J715" s="82">
        <f t="shared" si="0"/>
        <v>0</v>
      </c>
      <c r="K715" s="310" t="s">
        <v>3</v>
      </c>
      <c r="L715" s="24"/>
      <c r="M715" s="83" t="s">
        <v>3</v>
      </c>
      <c r="N715" s="84" t="s">
        <v>39</v>
      </c>
      <c r="O715" s="85">
        <v>0</v>
      </c>
      <c r="P715" s="85">
        <f t="shared" si="1"/>
        <v>0</v>
      </c>
      <c r="Q715" s="85">
        <v>0</v>
      </c>
      <c r="R715" s="85">
        <f t="shared" si="2"/>
        <v>0</v>
      </c>
      <c r="S715" s="85">
        <v>0</v>
      </c>
      <c r="T715" s="86">
        <f t="shared" si="3"/>
        <v>0</v>
      </c>
      <c r="U715" s="23"/>
      <c r="V715" s="23"/>
      <c r="W715" s="23"/>
      <c r="X715" s="23"/>
      <c r="Y715" s="23"/>
      <c r="Z715" s="23"/>
      <c r="AA715" s="23"/>
      <c r="AB715" s="23"/>
      <c r="AC715" s="23"/>
      <c r="AD715" s="23"/>
      <c r="AE715" s="23"/>
      <c r="AR715" s="87" t="s">
        <v>305</v>
      </c>
      <c r="AT715" s="87" t="s">
        <v>218</v>
      </c>
      <c r="AU715" s="87" t="s">
        <v>77</v>
      </c>
      <c r="AY715" s="19" t="s">
        <v>216</v>
      </c>
      <c r="BE715" s="88">
        <f t="shared" si="4"/>
        <v>0</v>
      </c>
      <c r="BF715" s="88">
        <f t="shared" si="5"/>
        <v>0</v>
      </c>
      <c r="BG715" s="88">
        <f t="shared" si="6"/>
        <v>0</v>
      </c>
      <c r="BH715" s="88">
        <f t="shared" si="7"/>
        <v>0</v>
      </c>
      <c r="BI715" s="88">
        <f t="shared" si="8"/>
        <v>0</v>
      </c>
      <c r="BJ715" s="19" t="s">
        <v>75</v>
      </c>
      <c r="BK715" s="88">
        <f t="shared" si="9"/>
        <v>0</v>
      </c>
      <c r="BL715" s="19" t="s">
        <v>305</v>
      </c>
      <c r="BM715" s="87" t="s">
        <v>956</v>
      </c>
    </row>
    <row r="716" spans="1:65" s="2" customFormat="1" ht="14.45" customHeight="1">
      <c r="A716" s="269"/>
      <c r="B716" s="270"/>
      <c r="C716" s="308" t="s">
        <v>957</v>
      </c>
      <c r="D716" s="308" t="s">
        <v>218</v>
      </c>
      <c r="E716" s="309" t="s">
        <v>958</v>
      </c>
      <c r="F716" s="310" t="s">
        <v>959</v>
      </c>
      <c r="G716" s="311" t="s">
        <v>364</v>
      </c>
      <c r="H716" s="312">
        <v>70</v>
      </c>
      <c r="I716" s="82">
        <v>0</v>
      </c>
      <c r="J716" s="82">
        <f t="shared" si="0"/>
        <v>0</v>
      </c>
      <c r="K716" s="310" t="s">
        <v>3</v>
      </c>
      <c r="L716" s="24"/>
      <c r="M716" s="83" t="s">
        <v>3</v>
      </c>
      <c r="N716" s="84" t="s">
        <v>39</v>
      </c>
      <c r="O716" s="85">
        <v>0</v>
      </c>
      <c r="P716" s="85">
        <f t="shared" si="1"/>
        <v>0</v>
      </c>
      <c r="Q716" s="85">
        <v>0</v>
      </c>
      <c r="R716" s="85">
        <f t="shared" si="2"/>
        <v>0</v>
      </c>
      <c r="S716" s="85">
        <v>0</v>
      </c>
      <c r="T716" s="86">
        <f t="shared" si="3"/>
        <v>0</v>
      </c>
      <c r="U716" s="23"/>
      <c r="V716" s="23"/>
      <c r="W716" s="23"/>
      <c r="X716" s="23"/>
      <c r="Y716" s="23"/>
      <c r="Z716" s="23"/>
      <c r="AA716" s="23"/>
      <c r="AB716" s="23"/>
      <c r="AC716" s="23"/>
      <c r="AD716" s="23"/>
      <c r="AE716" s="23"/>
      <c r="AR716" s="87" t="s">
        <v>305</v>
      </c>
      <c r="AT716" s="87" t="s">
        <v>218</v>
      </c>
      <c r="AU716" s="87" t="s">
        <v>77</v>
      </c>
      <c r="AY716" s="19" t="s">
        <v>216</v>
      </c>
      <c r="BE716" s="88">
        <f t="shared" si="4"/>
        <v>0</v>
      </c>
      <c r="BF716" s="88">
        <f t="shared" si="5"/>
        <v>0</v>
      </c>
      <c r="BG716" s="88">
        <f t="shared" si="6"/>
        <v>0</v>
      </c>
      <c r="BH716" s="88">
        <f t="shared" si="7"/>
        <v>0</v>
      </c>
      <c r="BI716" s="88">
        <f t="shared" si="8"/>
        <v>0</v>
      </c>
      <c r="BJ716" s="19" t="s">
        <v>75</v>
      </c>
      <c r="BK716" s="88">
        <f t="shared" si="9"/>
        <v>0</v>
      </c>
      <c r="BL716" s="19" t="s">
        <v>305</v>
      </c>
      <c r="BM716" s="87" t="s">
        <v>960</v>
      </c>
    </row>
    <row r="717" spans="1:65" s="12" customFormat="1" ht="22.9" customHeight="1">
      <c r="A717" s="303"/>
      <c r="B717" s="304"/>
      <c r="C717" s="303"/>
      <c r="D717" s="305" t="s">
        <v>67</v>
      </c>
      <c r="E717" s="307" t="s">
        <v>961</v>
      </c>
      <c r="F717" s="307" t="s">
        <v>962</v>
      </c>
      <c r="G717" s="303"/>
      <c r="H717" s="303"/>
      <c r="I717" s="256"/>
      <c r="J717" s="258">
        <f>BK717</f>
        <v>0</v>
      </c>
      <c r="K717" s="303"/>
      <c r="L717" s="74"/>
      <c r="M717" s="76"/>
      <c r="N717" s="77"/>
      <c r="O717" s="77"/>
      <c r="P717" s="78">
        <f>SUM(P718:P719)</f>
        <v>0</v>
      </c>
      <c r="Q717" s="77"/>
      <c r="R717" s="78">
        <f>SUM(R718:R719)</f>
        <v>0</v>
      </c>
      <c r="S717" s="77"/>
      <c r="T717" s="79">
        <f>SUM(T718:T719)</f>
        <v>0</v>
      </c>
      <c r="AR717" s="75" t="s">
        <v>77</v>
      </c>
      <c r="AT717" s="80" t="s">
        <v>67</v>
      </c>
      <c r="AU717" s="80" t="s">
        <v>75</v>
      </c>
      <c r="AY717" s="75" t="s">
        <v>216</v>
      </c>
      <c r="BK717" s="81">
        <f>SUM(BK718:BK719)</f>
        <v>0</v>
      </c>
    </row>
    <row r="718" spans="1:65" s="2" customFormat="1" ht="21.6" customHeight="1">
      <c r="A718" s="269"/>
      <c r="B718" s="270"/>
      <c r="C718" s="308" t="s">
        <v>963</v>
      </c>
      <c r="D718" s="308" t="s">
        <v>218</v>
      </c>
      <c r="E718" s="309" t="s">
        <v>964</v>
      </c>
      <c r="F718" s="310" t="s">
        <v>965</v>
      </c>
      <c r="G718" s="311" t="s">
        <v>933</v>
      </c>
      <c r="H718" s="312">
        <v>8</v>
      </c>
      <c r="I718" s="82">
        <v>0</v>
      </c>
      <c r="J718" s="82">
        <f>ROUND(I718*H718,2)</f>
        <v>0</v>
      </c>
      <c r="K718" s="310" t="s">
        <v>3</v>
      </c>
      <c r="L718" s="24"/>
      <c r="M718" s="83" t="s">
        <v>3</v>
      </c>
      <c r="N718" s="84" t="s">
        <v>39</v>
      </c>
      <c r="O718" s="85">
        <v>0</v>
      </c>
      <c r="P718" s="85">
        <f>O718*H718</f>
        <v>0</v>
      </c>
      <c r="Q718" s="85">
        <v>0</v>
      </c>
      <c r="R718" s="85">
        <f>Q718*H718</f>
        <v>0</v>
      </c>
      <c r="S718" s="85">
        <v>0</v>
      </c>
      <c r="T718" s="86">
        <f>S718*H718</f>
        <v>0</v>
      </c>
      <c r="U718" s="23"/>
      <c r="V718" s="23"/>
      <c r="W718" s="23"/>
      <c r="X718" s="23"/>
      <c r="Y718" s="23"/>
      <c r="Z718" s="23"/>
      <c r="AA718" s="23"/>
      <c r="AB718" s="23"/>
      <c r="AC718" s="23"/>
      <c r="AD718" s="23"/>
      <c r="AE718" s="23"/>
      <c r="AR718" s="87" t="s">
        <v>305</v>
      </c>
      <c r="AT718" s="87" t="s">
        <v>218</v>
      </c>
      <c r="AU718" s="87" t="s">
        <v>77</v>
      </c>
      <c r="AY718" s="19" t="s">
        <v>216</v>
      </c>
      <c r="BE718" s="88">
        <f>IF(N718="základní",J718,0)</f>
        <v>0</v>
      </c>
      <c r="BF718" s="88">
        <f>IF(N718="snížená",J718,0)</f>
        <v>0</v>
      </c>
      <c r="BG718" s="88">
        <f>IF(N718="zákl. přenesená",J718,0)</f>
        <v>0</v>
      </c>
      <c r="BH718" s="88">
        <f>IF(N718="sníž. přenesená",J718,0)</f>
        <v>0</v>
      </c>
      <c r="BI718" s="88">
        <f>IF(N718="nulová",J718,0)</f>
        <v>0</v>
      </c>
      <c r="BJ718" s="19" t="s">
        <v>75</v>
      </c>
      <c r="BK718" s="88">
        <f>ROUND(I718*H718,2)</f>
        <v>0</v>
      </c>
      <c r="BL718" s="19" t="s">
        <v>305</v>
      </c>
      <c r="BM718" s="87" t="s">
        <v>966</v>
      </c>
    </row>
    <row r="719" spans="1:65" s="2" customFormat="1" ht="21.6" customHeight="1">
      <c r="A719" s="269"/>
      <c r="B719" s="270"/>
      <c r="C719" s="308" t="s">
        <v>967</v>
      </c>
      <c r="D719" s="308" t="s">
        <v>218</v>
      </c>
      <c r="E719" s="309" t="s">
        <v>968</v>
      </c>
      <c r="F719" s="310" t="s">
        <v>969</v>
      </c>
      <c r="G719" s="311" t="s">
        <v>933</v>
      </c>
      <c r="H719" s="312">
        <v>8</v>
      </c>
      <c r="I719" s="82">
        <v>0</v>
      </c>
      <c r="J719" s="82">
        <f>ROUND(I719*H719,2)</f>
        <v>0</v>
      </c>
      <c r="K719" s="310" t="s">
        <v>3</v>
      </c>
      <c r="L719" s="24"/>
      <c r="M719" s="83" t="s">
        <v>3</v>
      </c>
      <c r="N719" s="84" t="s">
        <v>39</v>
      </c>
      <c r="O719" s="85">
        <v>0</v>
      </c>
      <c r="P719" s="85">
        <f>O719*H719</f>
        <v>0</v>
      </c>
      <c r="Q719" s="85">
        <v>0</v>
      </c>
      <c r="R719" s="85">
        <f>Q719*H719</f>
        <v>0</v>
      </c>
      <c r="S719" s="85">
        <v>0</v>
      </c>
      <c r="T719" s="86">
        <f>S719*H719</f>
        <v>0</v>
      </c>
      <c r="U719" s="23"/>
      <c r="V719" s="23"/>
      <c r="W719" s="23"/>
      <c r="X719" s="23"/>
      <c r="Y719" s="23"/>
      <c r="Z719" s="23"/>
      <c r="AA719" s="23"/>
      <c r="AB719" s="23"/>
      <c r="AC719" s="23"/>
      <c r="AD719" s="23"/>
      <c r="AE719" s="23"/>
      <c r="AR719" s="87" t="s">
        <v>305</v>
      </c>
      <c r="AT719" s="87" t="s">
        <v>218</v>
      </c>
      <c r="AU719" s="87" t="s">
        <v>77</v>
      </c>
      <c r="AY719" s="19" t="s">
        <v>216</v>
      </c>
      <c r="BE719" s="88">
        <f>IF(N719="základní",J719,0)</f>
        <v>0</v>
      </c>
      <c r="BF719" s="88">
        <f>IF(N719="snížená",J719,0)</f>
        <v>0</v>
      </c>
      <c r="BG719" s="88">
        <f>IF(N719="zákl. přenesená",J719,0)</f>
        <v>0</v>
      </c>
      <c r="BH719" s="88">
        <f>IF(N719="sníž. přenesená",J719,0)</f>
        <v>0</v>
      </c>
      <c r="BI719" s="88">
        <f>IF(N719="nulová",J719,0)</f>
        <v>0</v>
      </c>
      <c r="BJ719" s="19" t="s">
        <v>75</v>
      </c>
      <c r="BK719" s="88">
        <f>ROUND(I719*H719,2)</f>
        <v>0</v>
      </c>
      <c r="BL719" s="19" t="s">
        <v>305</v>
      </c>
      <c r="BM719" s="87" t="s">
        <v>970</v>
      </c>
    </row>
    <row r="720" spans="1:65" s="12" customFormat="1" ht="22.9" customHeight="1">
      <c r="A720" s="303"/>
      <c r="B720" s="304"/>
      <c r="C720" s="303"/>
      <c r="D720" s="305" t="s">
        <v>67</v>
      </c>
      <c r="E720" s="307" t="s">
        <v>971</v>
      </c>
      <c r="F720" s="307" t="s">
        <v>972</v>
      </c>
      <c r="G720" s="303"/>
      <c r="H720" s="303"/>
      <c r="I720" s="256"/>
      <c r="J720" s="258">
        <f>BK720</f>
        <v>0</v>
      </c>
      <c r="K720" s="303"/>
      <c r="L720" s="74"/>
      <c r="M720" s="76"/>
      <c r="N720" s="77"/>
      <c r="O720" s="77"/>
      <c r="P720" s="78">
        <f>SUM(P721:P832)</f>
        <v>171.22137599999999</v>
      </c>
      <c r="Q720" s="77"/>
      <c r="R720" s="78">
        <f>SUM(R721:R832)</f>
        <v>1.5654877599999997</v>
      </c>
      <c r="S720" s="77"/>
      <c r="T720" s="79">
        <f>SUM(T721:T832)</f>
        <v>1.4503989999999998</v>
      </c>
      <c r="AR720" s="75" t="s">
        <v>77</v>
      </c>
      <c r="AT720" s="80" t="s">
        <v>67</v>
      </c>
      <c r="AU720" s="80" t="s">
        <v>75</v>
      </c>
      <c r="AY720" s="75" t="s">
        <v>216</v>
      </c>
      <c r="BK720" s="81">
        <f>SUM(BK721:BK832)</f>
        <v>0</v>
      </c>
    </row>
    <row r="721" spans="1:65" s="2" customFormat="1" ht="21.6" customHeight="1">
      <c r="A721" s="269"/>
      <c r="B721" s="270"/>
      <c r="C721" s="308" t="s">
        <v>973</v>
      </c>
      <c r="D721" s="308" t="s">
        <v>218</v>
      </c>
      <c r="E721" s="309" t="s">
        <v>974</v>
      </c>
      <c r="F721" s="310" t="s">
        <v>975</v>
      </c>
      <c r="G721" s="311" t="s">
        <v>286</v>
      </c>
      <c r="H721" s="312">
        <v>4.532</v>
      </c>
      <c r="I721" s="82">
        <v>0</v>
      </c>
      <c r="J721" s="82">
        <f>ROUND(I721*H721,2)</f>
        <v>0</v>
      </c>
      <c r="K721" s="310" t="s">
        <v>222</v>
      </c>
      <c r="L721" s="24"/>
      <c r="M721" s="83" t="s">
        <v>3</v>
      </c>
      <c r="N721" s="84" t="s">
        <v>39</v>
      </c>
      <c r="O721" s="85">
        <v>0.19800000000000001</v>
      </c>
      <c r="P721" s="85">
        <f>O721*H721</f>
        <v>0.89733600000000002</v>
      </c>
      <c r="Q721" s="85">
        <v>0</v>
      </c>
      <c r="R721" s="85">
        <f>Q721*H721</f>
        <v>0</v>
      </c>
      <c r="S721" s="85">
        <v>3.175E-2</v>
      </c>
      <c r="T721" s="86">
        <f>S721*H721</f>
        <v>0.14389099999999999</v>
      </c>
      <c r="U721" s="23"/>
      <c r="V721" s="23"/>
      <c r="W721" s="23"/>
      <c r="X721" s="23"/>
      <c r="Y721" s="23"/>
      <c r="Z721" s="23"/>
      <c r="AA721" s="23"/>
      <c r="AB721" s="23"/>
      <c r="AC721" s="23"/>
      <c r="AD721" s="23"/>
      <c r="AE721" s="23"/>
      <c r="AR721" s="87" t="s">
        <v>305</v>
      </c>
      <c r="AT721" s="87" t="s">
        <v>218</v>
      </c>
      <c r="AU721" s="87" t="s">
        <v>77</v>
      </c>
      <c r="AY721" s="19" t="s">
        <v>216</v>
      </c>
      <c r="BE721" s="88">
        <f>IF(N721="základní",J721,0)</f>
        <v>0</v>
      </c>
      <c r="BF721" s="88">
        <f>IF(N721="snížená",J721,0)</f>
        <v>0</v>
      </c>
      <c r="BG721" s="88">
        <f>IF(N721="zákl. přenesená",J721,0)</f>
        <v>0</v>
      </c>
      <c r="BH721" s="88">
        <f>IF(N721="sníž. přenesená",J721,0)</f>
        <v>0</v>
      </c>
      <c r="BI721" s="88">
        <f>IF(N721="nulová",J721,0)</f>
        <v>0</v>
      </c>
      <c r="BJ721" s="19" t="s">
        <v>75</v>
      </c>
      <c r="BK721" s="88">
        <f>ROUND(I721*H721,2)</f>
        <v>0</v>
      </c>
      <c r="BL721" s="19" t="s">
        <v>305</v>
      </c>
      <c r="BM721" s="87" t="s">
        <v>976</v>
      </c>
    </row>
    <row r="722" spans="1:65" s="2" customFormat="1" ht="39">
      <c r="A722" s="269"/>
      <c r="B722" s="270"/>
      <c r="C722" s="269"/>
      <c r="D722" s="315" t="s">
        <v>231</v>
      </c>
      <c r="E722" s="269"/>
      <c r="F722" s="323" t="s">
        <v>977</v>
      </c>
      <c r="G722" s="269"/>
      <c r="H722" s="269"/>
      <c r="I722" s="248"/>
      <c r="J722" s="248"/>
      <c r="K722" s="269"/>
      <c r="L722" s="24"/>
      <c r="M722" s="99"/>
      <c r="N722" s="100"/>
      <c r="O722" s="32"/>
      <c r="P722" s="32"/>
      <c r="Q722" s="32"/>
      <c r="R722" s="32"/>
      <c r="S722" s="32"/>
      <c r="T722" s="33"/>
      <c r="U722" s="23"/>
      <c r="V722" s="23"/>
      <c r="W722" s="23"/>
      <c r="X722" s="23"/>
      <c r="Y722" s="23"/>
      <c r="Z722" s="23"/>
      <c r="AA722" s="23"/>
      <c r="AB722" s="23"/>
      <c r="AC722" s="23"/>
      <c r="AD722" s="23"/>
      <c r="AE722" s="23"/>
      <c r="AT722" s="19" t="s">
        <v>231</v>
      </c>
      <c r="AU722" s="19" t="s">
        <v>77</v>
      </c>
    </row>
    <row r="723" spans="1:65" s="13" customFormat="1">
      <c r="A723" s="313"/>
      <c r="B723" s="314"/>
      <c r="C723" s="313"/>
      <c r="D723" s="315" t="s">
        <v>225</v>
      </c>
      <c r="E723" s="316" t="s">
        <v>3</v>
      </c>
      <c r="F723" s="317" t="s">
        <v>241</v>
      </c>
      <c r="G723" s="313"/>
      <c r="H723" s="316" t="s">
        <v>3</v>
      </c>
      <c r="I723" s="259"/>
      <c r="J723" s="259"/>
      <c r="K723" s="313"/>
      <c r="L723" s="89"/>
      <c r="M723" s="91"/>
      <c r="N723" s="92"/>
      <c r="O723" s="92"/>
      <c r="P723" s="92"/>
      <c r="Q723" s="92"/>
      <c r="R723" s="92"/>
      <c r="S723" s="92"/>
      <c r="T723" s="93"/>
      <c r="AT723" s="90" t="s">
        <v>225</v>
      </c>
      <c r="AU723" s="90" t="s">
        <v>77</v>
      </c>
      <c r="AV723" s="13" t="s">
        <v>75</v>
      </c>
      <c r="AW723" s="13" t="s">
        <v>30</v>
      </c>
      <c r="AX723" s="13" t="s">
        <v>68</v>
      </c>
      <c r="AY723" s="90" t="s">
        <v>216</v>
      </c>
    </row>
    <row r="724" spans="1:65" s="14" customFormat="1">
      <c r="A724" s="318"/>
      <c r="B724" s="319"/>
      <c r="C724" s="318"/>
      <c r="D724" s="315" t="s">
        <v>225</v>
      </c>
      <c r="E724" s="320" t="s">
        <v>3</v>
      </c>
      <c r="F724" s="321" t="s">
        <v>978</v>
      </c>
      <c r="G724" s="318"/>
      <c r="H724" s="322">
        <v>4.532</v>
      </c>
      <c r="I724" s="260"/>
      <c r="J724" s="260"/>
      <c r="K724" s="318"/>
      <c r="L724" s="94"/>
      <c r="M724" s="96"/>
      <c r="N724" s="97"/>
      <c r="O724" s="97"/>
      <c r="P724" s="97"/>
      <c r="Q724" s="97"/>
      <c r="R724" s="97"/>
      <c r="S724" s="97"/>
      <c r="T724" s="98"/>
      <c r="AT724" s="95" t="s">
        <v>225</v>
      </c>
      <c r="AU724" s="95" t="s">
        <v>77</v>
      </c>
      <c r="AV724" s="14" t="s">
        <v>77</v>
      </c>
      <c r="AW724" s="14" t="s">
        <v>30</v>
      </c>
      <c r="AX724" s="14" t="s">
        <v>75</v>
      </c>
      <c r="AY724" s="95" t="s">
        <v>216</v>
      </c>
    </row>
    <row r="725" spans="1:65" s="2" customFormat="1" ht="21.6" customHeight="1">
      <c r="A725" s="269"/>
      <c r="B725" s="270"/>
      <c r="C725" s="308" t="s">
        <v>979</v>
      </c>
      <c r="D725" s="308" t="s">
        <v>218</v>
      </c>
      <c r="E725" s="309" t="s">
        <v>980</v>
      </c>
      <c r="F725" s="310" t="s">
        <v>981</v>
      </c>
      <c r="G725" s="311" t="s">
        <v>286</v>
      </c>
      <c r="H725" s="312">
        <v>14.5</v>
      </c>
      <c r="I725" s="82">
        <v>0</v>
      </c>
      <c r="J725" s="82">
        <f>ROUND(I725*H725,2)</f>
        <v>0</v>
      </c>
      <c r="K725" s="310" t="s">
        <v>222</v>
      </c>
      <c r="L725" s="24"/>
      <c r="M725" s="83" t="s">
        <v>3</v>
      </c>
      <c r="N725" s="84" t="s">
        <v>39</v>
      </c>
      <c r="O725" s="85">
        <v>0.17599999999999999</v>
      </c>
      <c r="P725" s="85">
        <f>O725*H725</f>
        <v>2.552</v>
      </c>
      <c r="Q725" s="85">
        <v>0</v>
      </c>
      <c r="R725" s="85">
        <f>Q725*H725</f>
        <v>0</v>
      </c>
      <c r="S725" s="85">
        <v>1.8339999999999999E-2</v>
      </c>
      <c r="T725" s="86">
        <f>S725*H725</f>
        <v>0.26593</v>
      </c>
      <c r="U725" s="23"/>
      <c r="V725" s="23"/>
      <c r="W725" s="23"/>
      <c r="X725" s="23"/>
      <c r="Y725" s="23"/>
      <c r="Z725" s="23"/>
      <c r="AA725" s="23"/>
      <c r="AB725" s="23"/>
      <c r="AC725" s="23"/>
      <c r="AD725" s="23"/>
      <c r="AE725" s="23"/>
      <c r="AR725" s="87" t="s">
        <v>305</v>
      </c>
      <c r="AT725" s="87" t="s">
        <v>218</v>
      </c>
      <c r="AU725" s="87" t="s">
        <v>77</v>
      </c>
      <c r="AY725" s="19" t="s">
        <v>216</v>
      </c>
      <c r="BE725" s="88">
        <f>IF(N725="základní",J725,0)</f>
        <v>0</v>
      </c>
      <c r="BF725" s="88">
        <f>IF(N725="snížená",J725,0)</f>
        <v>0</v>
      </c>
      <c r="BG725" s="88">
        <f>IF(N725="zákl. přenesená",J725,0)</f>
        <v>0</v>
      </c>
      <c r="BH725" s="88">
        <f>IF(N725="sníž. přenesená",J725,0)</f>
        <v>0</v>
      </c>
      <c r="BI725" s="88">
        <f>IF(N725="nulová",J725,0)</f>
        <v>0</v>
      </c>
      <c r="BJ725" s="19" t="s">
        <v>75</v>
      </c>
      <c r="BK725" s="88">
        <f>ROUND(I725*H725,2)</f>
        <v>0</v>
      </c>
      <c r="BL725" s="19" t="s">
        <v>305</v>
      </c>
      <c r="BM725" s="87" t="s">
        <v>982</v>
      </c>
    </row>
    <row r="726" spans="1:65" s="2" customFormat="1" ht="39">
      <c r="A726" s="269"/>
      <c r="B726" s="270"/>
      <c r="C726" s="269"/>
      <c r="D726" s="315" t="s">
        <v>231</v>
      </c>
      <c r="E726" s="269"/>
      <c r="F726" s="323" t="s">
        <v>983</v>
      </c>
      <c r="G726" s="269"/>
      <c r="H726" s="269"/>
      <c r="I726" s="248"/>
      <c r="J726" s="248"/>
      <c r="K726" s="269"/>
      <c r="L726" s="24"/>
      <c r="M726" s="99"/>
      <c r="N726" s="100"/>
      <c r="O726" s="32"/>
      <c r="P726" s="32"/>
      <c r="Q726" s="32"/>
      <c r="R726" s="32"/>
      <c r="S726" s="32"/>
      <c r="T726" s="33"/>
      <c r="U726" s="23"/>
      <c r="V726" s="23"/>
      <c r="W726" s="23"/>
      <c r="X726" s="23"/>
      <c r="Y726" s="23"/>
      <c r="Z726" s="23"/>
      <c r="AA726" s="23"/>
      <c r="AB726" s="23"/>
      <c r="AC726" s="23"/>
      <c r="AD726" s="23"/>
      <c r="AE726" s="23"/>
      <c r="AT726" s="19" t="s">
        <v>231</v>
      </c>
      <c r="AU726" s="19" t="s">
        <v>77</v>
      </c>
    </row>
    <row r="727" spans="1:65" s="13" customFormat="1">
      <c r="A727" s="313"/>
      <c r="B727" s="314"/>
      <c r="C727" s="313"/>
      <c r="D727" s="315" t="s">
        <v>225</v>
      </c>
      <c r="E727" s="316" t="s">
        <v>3</v>
      </c>
      <c r="F727" s="317" t="s">
        <v>241</v>
      </c>
      <c r="G727" s="313"/>
      <c r="H727" s="316" t="s">
        <v>3</v>
      </c>
      <c r="I727" s="259"/>
      <c r="J727" s="259"/>
      <c r="K727" s="313"/>
      <c r="L727" s="89"/>
      <c r="M727" s="91"/>
      <c r="N727" s="92"/>
      <c r="O727" s="92"/>
      <c r="P727" s="92"/>
      <c r="Q727" s="92"/>
      <c r="R727" s="92"/>
      <c r="S727" s="92"/>
      <c r="T727" s="93"/>
      <c r="AT727" s="90" t="s">
        <v>225</v>
      </c>
      <c r="AU727" s="90" t="s">
        <v>77</v>
      </c>
      <c r="AV727" s="13" t="s">
        <v>75</v>
      </c>
      <c r="AW727" s="13" t="s">
        <v>30</v>
      </c>
      <c r="AX727" s="13" t="s">
        <v>68</v>
      </c>
      <c r="AY727" s="90" t="s">
        <v>216</v>
      </c>
    </row>
    <row r="728" spans="1:65" s="13" customFormat="1">
      <c r="A728" s="313"/>
      <c r="B728" s="314"/>
      <c r="C728" s="313"/>
      <c r="D728" s="315" t="s">
        <v>225</v>
      </c>
      <c r="E728" s="316" t="s">
        <v>3</v>
      </c>
      <c r="F728" s="317" t="s">
        <v>984</v>
      </c>
      <c r="G728" s="313"/>
      <c r="H728" s="316" t="s">
        <v>3</v>
      </c>
      <c r="I728" s="259"/>
      <c r="J728" s="259"/>
      <c r="K728" s="313"/>
      <c r="L728" s="89"/>
      <c r="M728" s="91"/>
      <c r="N728" s="92"/>
      <c r="O728" s="92"/>
      <c r="P728" s="92"/>
      <c r="Q728" s="92"/>
      <c r="R728" s="92"/>
      <c r="S728" s="92"/>
      <c r="T728" s="93"/>
      <c r="AT728" s="90" t="s">
        <v>225</v>
      </c>
      <c r="AU728" s="90" t="s">
        <v>77</v>
      </c>
      <c r="AV728" s="13" t="s">
        <v>75</v>
      </c>
      <c r="AW728" s="13" t="s">
        <v>30</v>
      </c>
      <c r="AX728" s="13" t="s">
        <v>68</v>
      </c>
      <c r="AY728" s="90" t="s">
        <v>216</v>
      </c>
    </row>
    <row r="729" spans="1:65" s="14" customFormat="1">
      <c r="A729" s="318"/>
      <c r="B729" s="319"/>
      <c r="C729" s="318"/>
      <c r="D729" s="315" t="s">
        <v>225</v>
      </c>
      <c r="E729" s="320" t="s">
        <v>3</v>
      </c>
      <c r="F729" s="321" t="s">
        <v>985</v>
      </c>
      <c r="G729" s="318"/>
      <c r="H729" s="322">
        <v>14.5</v>
      </c>
      <c r="I729" s="260"/>
      <c r="J729" s="260"/>
      <c r="K729" s="318"/>
      <c r="L729" s="94"/>
      <c r="M729" s="96"/>
      <c r="N729" s="97"/>
      <c r="O729" s="97"/>
      <c r="P729" s="97"/>
      <c r="Q729" s="97"/>
      <c r="R729" s="97"/>
      <c r="S729" s="97"/>
      <c r="T729" s="98"/>
      <c r="AT729" s="95" t="s">
        <v>225</v>
      </c>
      <c r="AU729" s="95" t="s">
        <v>77</v>
      </c>
      <c r="AV729" s="14" t="s">
        <v>77</v>
      </c>
      <c r="AW729" s="14" t="s">
        <v>30</v>
      </c>
      <c r="AX729" s="14" t="s">
        <v>75</v>
      </c>
      <c r="AY729" s="95" t="s">
        <v>216</v>
      </c>
    </row>
    <row r="730" spans="1:65" s="2" customFormat="1" ht="21.6" customHeight="1">
      <c r="A730" s="269"/>
      <c r="B730" s="270"/>
      <c r="C730" s="308" t="s">
        <v>986</v>
      </c>
      <c r="D730" s="308" t="s">
        <v>218</v>
      </c>
      <c r="E730" s="309" t="s">
        <v>987</v>
      </c>
      <c r="F730" s="310" t="s">
        <v>988</v>
      </c>
      <c r="G730" s="311" t="s">
        <v>286</v>
      </c>
      <c r="H730" s="312">
        <v>27.4</v>
      </c>
      <c r="I730" s="82">
        <v>0</v>
      </c>
      <c r="J730" s="82">
        <f>ROUND(I730*H730,2)</f>
        <v>0</v>
      </c>
      <c r="K730" s="310" t="s">
        <v>222</v>
      </c>
      <c r="L730" s="24"/>
      <c r="M730" s="83" t="s">
        <v>3</v>
      </c>
      <c r="N730" s="84" t="s">
        <v>39</v>
      </c>
      <c r="O730" s="85">
        <v>0.96799999999999997</v>
      </c>
      <c r="P730" s="85">
        <f>O730*H730</f>
        <v>26.523199999999999</v>
      </c>
      <c r="Q730" s="85">
        <v>1.223E-2</v>
      </c>
      <c r="R730" s="85">
        <f>Q730*H730</f>
        <v>0.33510199999999996</v>
      </c>
      <c r="S730" s="85">
        <v>0</v>
      </c>
      <c r="T730" s="86">
        <f>S730*H730</f>
        <v>0</v>
      </c>
      <c r="U730" s="23"/>
      <c r="V730" s="23"/>
      <c r="W730" s="23"/>
      <c r="X730" s="23"/>
      <c r="Y730" s="23"/>
      <c r="Z730" s="23"/>
      <c r="AA730" s="23"/>
      <c r="AB730" s="23"/>
      <c r="AC730" s="23"/>
      <c r="AD730" s="23"/>
      <c r="AE730" s="23"/>
      <c r="AR730" s="87" t="s">
        <v>305</v>
      </c>
      <c r="AT730" s="87" t="s">
        <v>218</v>
      </c>
      <c r="AU730" s="87" t="s">
        <v>77</v>
      </c>
      <c r="AY730" s="19" t="s">
        <v>216</v>
      </c>
      <c r="BE730" s="88">
        <f>IF(N730="základní",J730,0)</f>
        <v>0</v>
      </c>
      <c r="BF730" s="88">
        <f>IF(N730="snížená",J730,0)</f>
        <v>0</v>
      </c>
      <c r="BG730" s="88">
        <f>IF(N730="zákl. přenesená",J730,0)</f>
        <v>0</v>
      </c>
      <c r="BH730" s="88">
        <f>IF(N730="sníž. přenesená",J730,0)</f>
        <v>0</v>
      </c>
      <c r="BI730" s="88">
        <f>IF(N730="nulová",J730,0)</f>
        <v>0</v>
      </c>
      <c r="BJ730" s="19" t="s">
        <v>75</v>
      </c>
      <c r="BK730" s="88">
        <f>ROUND(I730*H730,2)</f>
        <v>0</v>
      </c>
      <c r="BL730" s="19" t="s">
        <v>305</v>
      </c>
      <c r="BM730" s="87" t="s">
        <v>989</v>
      </c>
    </row>
    <row r="731" spans="1:65" s="2" customFormat="1" ht="126.75">
      <c r="A731" s="269"/>
      <c r="B731" s="270"/>
      <c r="C731" s="269"/>
      <c r="D731" s="315" t="s">
        <v>231</v>
      </c>
      <c r="E731" s="269"/>
      <c r="F731" s="323" t="s">
        <v>990</v>
      </c>
      <c r="G731" s="269"/>
      <c r="H731" s="269"/>
      <c r="I731" s="248"/>
      <c r="J731" s="248"/>
      <c r="K731" s="269"/>
      <c r="L731" s="24"/>
      <c r="M731" s="99"/>
      <c r="N731" s="100"/>
      <c r="O731" s="32"/>
      <c r="P731" s="32"/>
      <c r="Q731" s="32"/>
      <c r="R731" s="32"/>
      <c r="S731" s="32"/>
      <c r="T731" s="33"/>
      <c r="U731" s="23"/>
      <c r="V731" s="23"/>
      <c r="W731" s="23"/>
      <c r="X731" s="23"/>
      <c r="Y731" s="23"/>
      <c r="Z731" s="23"/>
      <c r="AA731" s="23"/>
      <c r="AB731" s="23"/>
      <c r="AC731" s="23"/>
      <c r="AD731" s="23"/>
      <c r="AE731" s="23"/>
      <c r="AT731" s="19" t="s">
        <v>231</v>
      </c>
      <c r="AU731" s="19" t="s">
        <v>77</v>
      </c>
    </row>
    <row r="732" spans="1:65" s="13" customFormat="1">
      <c r="A732" s="313"/>
      <c r="B732" s="314"/>
      <c r="C732" s="313"/>
      <c r="D732" s="315" t="s">
        <v>225</v>
      </c>
      <c r="E732" s="316" t="s">
        <v>3</v>
      </c>
      <c r="F732" s="317" t="s">
        <v>991</v>
      </c>
      <c r="G732" s="313"/>
      <c r="H732" s="316" t="s">
        <v>3</v>
      </c>
      <c r="I732" s="259"/>
      <c r="J732" s="259"/>
      <c r="K732" s="313"/>
      <c r="L732" s="89"/>
      <c r="M732" s="91"/>
      <c r="N732" s="92"/>
      <c r="O732" s="92"/>
      <c r="P732" s="92"/>
      <c r="Q732" s="92"/>
      <c r="R732" s="92"/>
      <c r="S732" s="92"/>
      <c r="T732" s="93"/>
      <c r="AT732" s="90" t="s">
        <v>225</v>
      </c>
      <c r="AU732" s="90" t="s">
        <v>77</v>
      </c>
      <c r="AV732" s="13" t="s">
        <v>75</v>
      </c>
      <c r="AW732" s="13" t="s">
        <v>30</v>
      </c>
      <c r="AX732" s="13" t="s">
        <v>68</v>
      </c>
      <c r="AY732" s="90" t="s">
        <v>216</v>
      </c>
    </row>
    <row r="733" spans="1:65" s="13" customFormat="1">
      <c r="A733" s="313"/>
      <c r="B733" s="314"/>
      <c r="C733" s="313"/>
      <c r="D733" s="315" t="s">
        <v>225</v>
      </c>
      <c r="E733" s="316" t="s">
        <v>3</v>
      </c>
      <c r="F733" s="317" t="s">
        <v>992</v>
      </c>
      <c r="G733" s="313"/>
      <c r="H733" s="316" t="s">
        <v>3</v>
      </c>
      <c r="I733" s="259"/>
      <c r="J733" s="259"/>
      <c r="K733" s="313"/>
      <c r="L733" s="89"/>
      <c r="M733" s="91"/>
      <c r="N733" s="92"/>
      <c r="O733" s="92"/>
      <c r="P733" s="92"/>
      <c r="Q733" s="92"/>
      <c r="R733" s="92"/>
      <c r="S733" s="92"/>
      <c r="T733" s="93"/>
      <c r="AT733" s="90" t="s">
        <v>225</v>
      </c>
      <c r="AU733" s="90" t="s">
        <v>77</v>
      </c>
      <c r="AV733" s="13" t="s">
        <v>75</v>
      </c>
      <c r="AW733" s="13" t="s">
        <v>30</v>
      </c>
      <c r="AX733" s="13" t="s">
        <v>68</v>
      </c>
      <c r="AY733" s="90" t="s">
        <v>216</v>
      </c>
    </row>
    <row r="734" spans="1:65" s="14" customFormat="1">
      <c r="A734" s="318"/>
      <c r="B734" s="319"/>
      <c r="C734" s="318"/>
      <c r="D734" s="315" t="s">
        <v>225</v>
      </c>
      <c r="E734" s="320" t="s">
        <v>3</v>
      </c>
      <c r="F734" s="321" t="s">
        <v>993</v>
      </c>
      <c r="G734" s="318"/>
      <c r="H734" s="322">
        <v>22.6</v>
      </c>
      <c r="I734" s="260"/>
      <c r="J734" s="260"/>
      <c r="K734" s="318"/>
      <c r="L734" s="94"/>
      <c r="M734" s="96"/>
      <c r="N734" s="97"/>
      <c r="O734" s="97"/>
      <c r="P734" s="97"/>
      <c r="Q734" s="97"/>
      <c r="R734" s="97"/>
      <c r="S734" s="97"/>
      <c r="T734" s="98"/>
      <c r="AT734" s="95" t="s">
        <v>225</v>
      </c>
      <c r="AU734" s="95" t="s">
        <v>77</v>
      </c>
      <c r="AV734" s="14" t="s">
        <v>77</v>
      </c>
      <c r="AW734" s="14" t="s">
        <v>30</v>
      </c>
      <c r="AX734" s="14" t="s">
        <v>68</v>
      </c>
      <c r="AY734" s="95" t="s">
        <v>216</v>
      </c>
    </row>
    <row r="735" spans="1:65" s="13" customFormat="1">
      <c r="A735" s="313"/>
      <c r="B735" s="314"/>
      <c r="C735" s="313"/>
      <c r="D735" s="315" t="s">
        <v>225</v>
      </c>
      <c r="E735" s="316" t="s">
        <v>3</v>
      </c>
      <c r="F735" s="317" t="s">
        <v>994</v>
      </c>
      <c r="G735" s="313"/>
      <c r="H735" s="316" t="s">
        <v>3</v>
      </c>
      <c r="I735" s="259"/>
      <c r="J735" s="259"/>
      <c r="K735" s="313"/>
      <c r="L735" s="89"/>
      <c r="M735" s="91"/>
      <c r="N735" s="92"/>
      <c r="O735" s="92"/>
      <c r="P735" s="92"/>
      <c r="Q735" s="92"/>
      <c r="R735" s="92"/>
      <c r="S735" s="92"/>
      <c r="T735" s="93"/>
      <c r="AT735" s="90" t="s">
        <v>225</v>
      </c>
      <c r="AU735" s="90" t="s">
        <v>77</v>
      </c>
      <c r="AV735" s="13" t="s">
        <v>75</v>
      </c>
      <c r="AW735" s="13" t="s">
        <v>30</v>
      </c>
      <c r="AX735" s="13" t="s">
        <v>68</v>
      </c>
      <c r="AY735" s="90" t="s">
        <v>216</v>
      </c>
    </row>
    <row r="736" spans="1:65" s="14" customFormat="1">
      <c r="A736" s="318"/>
      <c r="B736" s="319"/>
      <c r="C736" s="318"/>
      <c r="D736" s="315" t="s">
        <v>225</v>
      </c>
      <c r="E736" s="320" t="s">
        <v>3</v>
      </c>
      <c r="F736" s="321" t="s">
        <v>995</v>
      </c>
      <c r="G736" s="318"/>
      <c r="H736" s="322">
        <v>4.8</v>
      </c>
      <c r="I736" s="260"/>
      <c r="J736" s="260"/>
      <c r="K736" s="318"/>
      <c r="L736" s="94"/>
      <c r="M736" s="96"/>
      <c r="N736" s="97"/>
      <c r="O736" s="97"/>
      <c r="P736" s="97"/>
      <c r="Q736" s="97"/>
      <c r="R736" s="97"/>
      <c r="S736" s="97"/>
      <c r="T736" s="98"/>
      <c r="AT736" s="95" t="s">
        <v>225</v>
      </c>
      <c r="AU736" s="95" t="s">
        <v>77</v>
      </c>
      <c r="AV736" s="14" t="s">
        <v>77</v>
      </c>
      <c r="AW736" s="14" t="s">
        <v>30</v>
      </c>
      <c r="AX736" s="14" t="s">
        <v>68</v>
      </c>
      <c r="AY736" s="95" t="s">
        <v>216</v>
      </c>
    </row>
    <row r="737" spans="1:65" s="16" customFormat="1">
      <c r="A737" s="329"/>
      <c r="B737" s="330"/>
      <c r="C737" s="329"/>
      <c r="D737" s="315" t="s">
        <v>225</v>
      </c>
      <c r="E737" s="331" t="s">
        <v>3</v>
      </c>
      <c r="F737" s="332" t="s">
        <v>254</v>
      </c>
      <c r="G737" s="329"/>
      <c r="H737" s="333">
        <v>27.400000000000002</v>
      </c>
      <c r="I737" s="262"/>
      <c r="J737" s="262"/>
      <c r="K737" s="329"/>
      <c r="L737" s="106"/>
      <c r="M737" s="108"/>
      <c r="N737" s="109"/>
      <c r="O737" s="109"/>
      <c r="P737" s="109"/>
      <c r="Q737" s="109"/>
      <c r="R737" s="109"/>
      <c r="S737" s="109"/>
      <c r="T737" s="110"/>
      <c r="AT737" s="107" t="s">
        <v>225</v>
      </c>
      <c r="AU737" s="107" t="s">
        <v>77</v>
      </c>
      <c r="AV737" s="16" t="s">
        <v>223</v>
      </c>
      <c r="AW737" s="16" t="s">
        <v>30</v>
      </c>
      <c r="AX737" s="16" t="s">
        <v>75</v>
      </c>
      <c r="AY737" s="107" t="s">
        <v>216</v>
      </c>
    </row>
    <row r="738" spans="1:65" s="2" customFormat="1" ht="21.6" customHeight="1">
      <c r="A738" s="269"/>
      <c r="B738" s="270"/>
      <c r="C738" s="308" t="s">
        <v>996</v>
      </c>
      <c r="D738" s="308" t="s">
        <v>218</v>
      </c>
      <c r="E738" s="309" t="s">
        <v>997</v>
      </c>
      <c r="F738" s="310" t="s">
        <v>998</v>
      </c>
      <c r="G738" s="311" t="s">
        <v>286</v>
      </c>
      <c r="H738" s="312">
        <v>48.3</v>
      </c>
      <c r="I738" s="82">
        <v>0</v>
      </c>
      <c r="J738" s="82">
        <f>ROUND(I738*H738,2)</f>
        <v>0</v>
      </c>
      <c r="K738" s="310" t="s">
        <v>222</v>
      </c>
      <c r="L738" s="24"/>
      <c r="M738" s="83" t="s">
        <v>3</v>
      </c>
      <c r="N738" s="84" t="s">
        <v>39</v>
      </c>
      <c r="O738" s="85">
        <v>0.96799999999999997</v>
      </c>
      <c r="P738" s="85">
        <f>O738*H738</f>
        <v>46.754399999999997</v>
      </c>
      <c r="Q738" s="85">
        <v>1.2540000000000001E-2</v>
      </c>
      <c r="R738" s="85">
        <f>Q738*H738</f>
        <v>0.60568200000000005</v>
      </c>
      <c r="S738" s="85">
        <v>0</v>
      </c>
      <c r="T738" s="86">
        <f>S738*H738</f>
        <v>0</v>
      </c>
      <c r="U738" s="23"/>
      <c r="V738" s="23"/>
      <c r="W738" s="23"/>
      <c r="X738" s="23"/>
      <c r="Y738" s="23"/>
      <c r="Z738" s="23"/>
      <c r="AA738" s="23"/>
      <c r="AB738" s="23"/>
      <c r="AC738" s="23"/>
      <c r="AD738" s="23"/>
      <c r="AE738" s="23"/>
      <c r="AR738" s="87" t="s">
        <v>305</v>
      </c>
      <c r="AT738" s="87" t="s">
        <v>218</v>
      </c>
      <c r="AU738" s="87" t="s">
        <v>77</v>
      </c>
      <c r="AY738" s="19" t="s">
        <v>216</v>
      </c>
      <c r="BE738" s="88">
        <f>IF(N738="základní",J738,0)</f>
        <v>0</v>
      </c>
      <c r="BF738" s="88">
        <f>IF(N738="snížená",J738,0)</f>
        <v>0</v>
      </c>
      <c r="BG738" s="88">
        <f>IF(N738="zákl. přenesená",J738,0)</f>
        <v>0</v>
      </c>
      <c r="BH738" s="88">
        <f>IF(N738="sníž. přenesená",J738,0)</f>
        <v>0</v>
      </c>
      <c r="BI738" s="88">
        <f>IF(N738="nulová",J738,0)</f>
        <v>0</v>
      </c>
      <c r="BJ738" s="19" t="s">
        <v>75</v>
      </c>
      <c r="BK738" s="88">
        <f>ROUND(I738*H738,2)</f>
        <v>0</v>
      </c>
      <c r="BL738" s="19" t="s">
        <v>305</v>
      </c>
      <c r="BM738" s="87" t="s">
        <v>999</v>
      </c>
    </row>
    <row r="739" spans="1:65" s="2" customFormat="1" ht="126.75">
      <c r="A739" s="269"/>
      <c r="B739" s="270"/>
      <c r="C739" s="269"/>
      <c r="D739" s="315" t="s">
        <v>231</v>
      </c>
      <c r="E739" s="269"/>
      <c r="F739" s="323" t="s">
        <v>990</v>
      </c>
      <c r="G739" s="269"/>
      <c r="H739" s="269"/>
      <c r="I739" s="248"/>
      <c r="J739" s="248"/>
      <c r="K739" s="269"/>
      <c r="L739" s="24"/>
      <c r="M739" s="99"/>
      <c r="N739" s="100"/>
      <c r="O739" s="32"/>
      <c r="P739" s="32"/>
      <c r="Q739" s="32"/>
      <c r="R739" s="32"/>
      <c r="S739" s="32"/>
      <c r="T739" s="33"/>
      <c r="U739" s="23"/>
      <c r="V739" s="23"/>
      <c r="W739" s="23"/>
      <c r="X739" s="23"/>
      <c r="Y739" s="23"/>
      <c r="Z739" s="23"/>
      <c r="AA739" s="23"/>
      <c r="AB739" s="23"/>
      <c r="AC739" s="23"/>
      <c r="AD739" s="23"/>
      <c r="AE739" s="23"/>
      <c r="AT739" s="19" t="s">
        <v>231</v>
      </c>
      <c r="AU739" s="19" t="s">
        <v>77</v>
      </c>
    </row>
    <row r="740" spans="1:65" s="13" customFormat="1">
      <c r="A740" s="313"/>
      <c r="B740" s="314"/>
      <c r="C740" s="313"/>
      <c r="D740" s="315" t="s">
        <v>225</v>
      </c>
      <c r="E740" s="316" t="s">
        <v>3</v>
      </c>
      <c r="F740" s="317" t="s">
        <v>991</v>
      </c>
      <c r="G740" s="313"/>
      <c r="H740" s="316" t="s">
        <v>3</v>
      </c>
      <c r="I740" s="259"/>
      <c r="J740" s="259"/>
      <c r="K740" s="313"/>
      <c r="L740" s="89"/>
      <c r="M740" s="91"/>
      <c r="N740" s="92"/>
      <c r="O740" s="92"/>
      <c r="P740" s="92"/>
      <c r="Q740" s="92"/>
      <c r="R740" s="92"/>
      <c r="S740" s="92"/>
      <c r="T740" s="93"/>
      <c r="AT740" s="90" t="s">
        <v>225</v>
      </c>
      <c r="AU740" s="90" t="s">
        <v>77</v>
      </c>
      <c r="AV740" s="13" t="s">
        <v>75</v>
      </c>
      <c r="AW740" s="13" t="s">
        <v>30</v>
      </c>
      <c r="AX740" s="13" t="s">
        <v>68</v>
      </c>
      <c r="AY740" s="90" t="s">
        <v>216</v>
      </c>
    </row>
    <row r="741" spans="1:65" s="13" customFormat="1">
      <c r="A741" s="313"/>
      <c r="B741" s="314"/>
      <c r="C741" s="313"/>
      <c r="D741" s="315" t="s">
        <v>225</v>
      </c>
      <c r="E741" s="316" t="s">
        <v>3</v>
      </c>
      <c r="F741" s="317" t="s">
        <v>1000</v>
      </c>
      <c r="G741" s="313"/>
      <c r="H741" s="316" t="s">
        <v>3</v>
      </c>
      <c r="I741" s="259"/>
      <c r="J741" s="259"/>
      <c r="K741" s="313"/>
      <c r="L741" s="89"/>
      <c r="M741" s="91"/>
      <c r="N741" s="92"/>
      <c r="O741" s="92"/>
      <c r="P741" s="92"/>
      <c r="Q741" s="92"/>
      <c r="R741" s="92"/>
      <c r="S741" s="92"/>
      <c r="T741" s="93"/>
      <c r="AT741" s="90" t="s">
        <v>225</v>
      </c>
      <c r="AU741" s="90" t="s">
        <v>77</v>
      </c>
      <c r="AV741" s="13" t="s">
        <v>75</v>
      </c>
      <c r="AW741" s="13" t="s">
        <v>30</v>
      </c>
      <c r="AX741" s="13" t="s">
        <v>68</v>
      </c>
      <c r="AY741" s="90" t="s">
        <v>216</v>
      </c>
    </row>
    <row r="742" spans="1:65" s="14" customFormat="1">
      <c r="A742" s="318"/>
      <c r="B742" s="319"/>
      <c r="C742" s="318"/>
      <c r="D742" s="315" t="s">
        <v>225</v>
      </c>
      <c r="E742" s="320" t="s">
        <v>3</v>
      </c>
      <c r="F742" s="321" t="s">
        <v>1001</v>
      </c>
      <c r="G742" s="318"/>
      <c r="H742" s="322">
        <v>11.2</v>
      </c>
      <c r="I742" s="260"/>
      <c r="J742" s="260"/>
      <c r="K742" s="318"/>
      <c r="L742" s="94"/>
      <c r="M742" s="96"/>
      <c r="N742" s="97"/>
      <c r="O742" s="97"/>
      <c r="P742" s="97"/>
      <c r="Q742" s="97"/>
      <c r="R742" s="97"/>
      <c r="S742" s="97"/>
      <c r="T742" s="98"/>
      <c r="AT742" s="95" t="s">
        <v>225</v>
      </c>
      <c r="AU742" s="95" t="s">
        <v>77</v>
      </c>
      <c r="AV742" s="14" t="s">
        <v>77</v>
      </c>
      <c r="AW742" s="14" t="s">
        <v>30</v>
      </c>
      <c r="AX742" s="14" t="s">
        <v>68</v>
      </c>
      <c r="AY742" s="95" t="s">
        <v>216</v>
      </c>
    </row>
    <row r="743" spans="1:65" s="13" customFormat="1">
      <c r="A743" s="313"/>
      <c r="B743" s="314"/>
      <c r="C743" s="313"/>
      <c r="D743" s="315" t="s">
        <v>225</v>
      </c>
      <c r="E743" s="316" t="s">
        <v>3</v>
      </c>
      <c r="F743" s="317" t="s">
        <v>994</v>
      </c>
      <c r="G743" s="313"/>
      <c r="H743" s="316" t="s">
        <v>3</v>
      </c>
      <c r="I743" s="259"/>
      <c r="J743" s="259"/>
      <c r="K743" s="313"/>
      <c r="L743" s="89"/>
      <c r="M743" s="91"/>
      <c r="N743" s="92"/>
      <c r="O743" s="92"/>
      <c r="P743" s="92"/>
      <c r="Q743" s="92"/>
      <c r="R743" s="92"/>
      <c r="S743" s="92"/>
      <c r="T743" s="93"/>
      <c r="AT743" s="90" t="s">
        <v>225</v>
      </c>
      <c r="AU743" s="90" t="s">
        <v>77</v>
      </c>
      <c r="AV743" s="13" t="s">
        <v>75</v>
      </c>
      <c r="AW743" s="13" t="s">
        <v>30</v>
      </c>
      <c r="AX743" s="13" t="s">
        <v>68</v>
      </c>
      <c r="AY743" s="90" t="s">
        <v>216</v>
      </c>
    </row>
    <row r="744" spans="1:65" s="14" customFormat="1">
      <c r="A744" s="318"/>
      <c r="B744" s="319"/>
      <c r="C744" s="318"/>
      <c r="D744" s="315" t="s">
        <v>225</v>
      </c>
      <c r="E744" s="320" t="s">
        <v>3</v>
      </c>
      <c r="F744" s="321" t="s">
        <v>1002</v>
      </c>
      <c r="G744" s="318"/>
      <c r="H744" s="322">
        <v>37.1</v>
      </c>
      <c r="I744" s="260"/>
      <c r="J744" s="260"/>
      <c r="K744" s="318"/>
      <c r="L744" s="94"/>
      <c r="M744" s="96"/>
      <c r="N744" s="97"/>
      <c r="O744" s="97"/>
      <c r="P744" s="97"/>
      <c r="Q744" s="97"/>
      <c r="R744" s="97"/>
      <c r="S744" s="97"/>
      <c r="T744" s="98"/>
      <c r="AT744" s="95" t="s">
        <v>225</v>
      </c>
      <c r="AU744" s="95" t="s">
        <v>77</v>
      </c>
      <c r="AV744" s="14" t="s">
        <v>77</v>
      </c>
      <c r="AW744" s="14" t="s">
        <v>30</v>
      </c>
      <c r="AX744" s="14" t="s">
        <v>68</v>
      </c>
      <c r="AY744" s="95" t="s">
        <v>216</v>
      </c>
    </row>
    <row r="745" spans="1:65" s="16" customFormat="1">
      <c r="A745" s="329"/>
      <c r="B745" s="330"/>
      <c r="C745" s="329"/>
      <c r="D745" s="315" t="s">
        <v>225</v>
      </c>
      <c r="E745" s="331" t="s">
        <v>3</v>
      </c>
      <c r="F745" s="332" t="s">
        <v>254</v>
      </c>
      <c r="G745" s="329"/>
      <c r="H745" s="333">
        <v>48.3</v>
      </c>
      <c r="I745" s="262"/>
      <c r="J745" s="262"/>
      <c r="K745" s="329"/>
      <c r="L745" s="106"/>
      <c r="M745" s="108"/>
      <c r="N745" s="109"/>
      <c r="O745" s="109"/>
      <c r="P745" s="109"/>
      <c r="Q745" s="109"/>
      <c r="R745" s="109"/>
      <c r="S745" s="109"/>
      <c r="T745" s="110"/>
      <c r="AT745" s="107" t="s">
        <v>225</v>
      </c>
      <c r="AU745" s="107" t="s">
        <v>77</v>
      </c>
      <c r="AV745" s="16" t="s">
        <v>223</v>
      </c>
      <c r="AW745" s="16" t="s">
        <v>30</v>
      </c>
      <c r="AX745" s="16" t="s">
        <v>75</v>
      </c>
      <c r="AY745" s="107" t="s">
        <v>216</v>
      </c>
    </row>
    <row r="746" spans="1:65" s="2" customFormat="1" ht="32.450000000000003" customHeight="1">
      <c r="A746" s="269"/>
      <c r="B746" s="270"/>
      <c r="C746" s="308" t="s">
        <v>1003</v>
      </c>
      <c r="D746" s="308" t="s">
        <v>218</v>
      </c>
      <c r="E746" s="309" t="s">
        <v>1004</v>
      </c>
      <c r="F746" s="310" t="s">
        <v>1005</v>
      </c>
      <c r="G746" s="311" t="s">
        <v>286</v>
      </c>
      <c r="H746" s="312">
        <v>6.5</v>
      </c>
      <c r="I746" s="82">
        <v>0</v>
      </c>
      <c r="J746" s="82">
        <f>ROUND(I746*H746,2)</f>
        <v>0</v>
      </c>
      <c r="K746" s="310" t="s">
        <v>222</v>
      </c>
      <c r="L746" s="24"/>
      <c r="M746" s="83" t="s">
        <v>3</v>
      </c>
      <c r="N746" s="84" t="s">
        <v>39</v>
      </c>
      <c r="O746" s="85">
        <v>0.96799999999999997</v>
      </c>
      <c r="P746" s="85">
        <f>O746*H746</f>
        <v>6.2919999999999998</v>
      </c>
      <c r="Q746" s="85">
        <v>1.379E-2</v>
      </c>
      <c r="R746" s="85">
        <f>Q746*H746</f>
        <v>8.9635000000000006E-2</v>
      </c>
      <c r="S746" s="85">
        <v>0</v>
      </c>
      <c r="T746" s="86">
        <f>S746*H746</f>
        <v>0</v>
      </c>
      <c r="U746" s="23"/>
      <c r="V746" s="23"/>
      <c r="W746" s="23"/>
      <c r="X746" s="23"/>
      <c r="Y746" s="23"/>
      <c r="Z746" s="23"/>
      <c r="AA746" s="23"/>
      <c r="AB746" s="23"/>
      <c r="AC746" s="23"/>
      <c r="AD746" s="23"/>
      <c r="AE746" s="23"/>
      <c r="AR746" s="87" t="s">
        <v>305</v>
      </c>
      <c r="AT746" s="87" t="s">
        <v>218</v>
      </c>
      <c r="AU746" s="87" t="s">
        <v>77</v>
      </c>
      <c r="AY746" s="19" t="s">
        <v>216</v>
      </c>
      <c r="BE746" s="88">
        <f>IF(N746="základní",J746,0)</f>
        <v>0</v>
      </c>
      <c r="BF746" s="88">
        <f>IF(N746="snížená",J746,0)</f>
        <v>0</v>
      </c>
      <c r="BG746" s="88">
        <f>IF(N746="zákl. přenesená",J746,0)</f>
        <v>0</v>
      </c>
      <c r="BH746" s="88">
        <f>IF(N746="sníž. přenesená",J746,0)</f>
        <v>0</v>
      </c>
      <c r="BI746" s="88">
        <f>IF(N746="nulová",J746,0)</f>
        <v>0</v>
      </c>
      <c r="BJ746" s="19" t="s">
        <v>75</v>
      </c>
      <c r="BK746" s="88">
        <f>ROUND(I746*H746,2)</f>
        <v>0</v>
      </c>
      <c r="BL746" s="19" t="s">
        <v>305</v>
      </c>
      <c r="BM746" s="87" t="s">
        <v>1006</v>
      </c>
    </row>
    <row r="747" spans="1:65" s="2" customFormat="1" ht="126.75">
      <c r="A747" s="269"/>
      <c r="B747" s="270"/>
      <c r="C747" s="269"/>
      <c r="D747" s="315" t="s">
        <v>231</v>
      </c>
      <c r="E747" s="269"/>
      <c r="F747" s="323" t="s">
        <v>990</v>
      </c>
      <c r="G747" s="269"/>
      <c r="H747" s="269"/>
      <c r="I747" s="248"/>
      <c r="J747" s="248"/>
      <c r="K747" s="269"/>
      <c r="L747" s="24"/>
      <c r="M747" s="99"/>
      <c r="N747" s="100"/>
      <c r="O747" s="32"/>
      <c r="P747" s="32"/>
      <c r="Q747" s="32"/>
      <c r="R747" s="32"/>
      <c r="S747" s="32"/>
      <c r="T747" s="33"/>
      <c r="U747" s="23"/>
      <c r="V747" s="23"/>
      <c r="W747" s="23"/>
      <c r="X747" s="23"/>
      <c r="Y747" s="23"/>
      <c r="Z747" s="23"/>
      <c r="AA747" s="23"/>
      <c r="AB747" s="23"/>
      <c r="AC747" s="23"/>
      <c r="AD747" s="23"/>
      <c r="AE747" s="23"/>
      <c r="AT747" s="19" t="s">
        <v>231</v>
      </c>
      <c r="AU747" s="19" t="s">
        <v>77</v>
      </c>
    </row>
    <row r="748" spans="1:65" s="13" customFormat="1">
      <c r="A748" s="313"/>
      <c r="B748" s="314"/>
      <c r="C748" s="313"/>
      <c r="D748" s="315" t="s">
        <v>225</v>
      </c>
      <c r="E748" s="316" t="s">
        <v>3</v>
      </c>
      <c r="F748" s="317" t="s">
        <v>991</v>
      </c>
      <c r="G748" s="313"/>
      <c r="H748" s="316" t="s">
        <v>3</v>
      </c>
      <c r="I748" s="259"/>
      <c r="J748" s="259"/>
      <c r="K748" s="313"/>
      <c r="L748" s="89"/>
      <c r="M748" s="91"/>
      <c r="N748" s="92"/>
      <c r="O748" s="92"/>
      <c r="P748" s="92"/>
      <c r="Q748" s="92"/>
      <c r="R748" s="92"/>
      <c r="S748" s="92"/>
      <c r="T748" s="93"/>
      <c r="AT748" s="90" t="s">
        <v>225</v>
      </c>
      <c r="AU748" s="90" t="s">
        <v>77</v>
      </c>
      <c r="AV748" s="13" t="s">
        <v>75</v>
      </c>
      <c r="AW748" s="13" t="s">
        <v>30</v>
      </c>
      <c r="AX748" s="13" t="s">
        <v>68</v>
      </c>
      <c r="AY748" s="90" t="s">
        <v>216</v>
      </c>
    </row>
    <row r="749" spans="1:65" s="13" customFormat="1">
      <c r="A749" s="313"/>
      <c r="B749" s="314"/>
      <c r="C749" s="313"/>
      <c r="D749" s="315" t="s">
        <v>225</v>
      </c>
      <c r="E749" s="316" t="s">
        <v>3</v>
      </c>
      <c r="F749" s="317" t="s">
        <v>1007</v>
      </c>
      <c r="G749" s="313"/>
      <c r="H749" s="316" t="s">
        <v>3</v>
      </c>
      <c r="I749" s="259"/>
      <c r="J749" s="259"/>
      <c r="K749" s="313"/>
      <c r="L749" s="89"/>
      <c r="M749" s="91"/>
      <c r="N749" s="92"/>
      <c r="O749" s="92"/>
      <c r="P749" s="92"/>
      <c r="Q749" s="92"/>
      <c r="R749" s="92"/>
      <c r="S749" s="92"/>
      <c r="T749" s="93"/>
      <c r="AT749" s="90" t="s">
        <v>225</v>
      </c>
      <c r="AU749" s="90" t="s">
        <v>77</v>
      </c>
      <c r="AV749" s="13" t="s">
        <v>75</v>
      </c>
      <c r="AW749" s="13" t="s">
        <v>30</v>
      </c>
      <c r="AX749" s="13" t="s">
        <v>68</v>
      </c>
      <c r="AY749" s="90" t="s">
        <v>216</v>
      </c>
    </row>
    <row r="750" spans="1:65" s="14" customFormat="1">
      <c r="A750" s="318"/>
      <c r="B750" s="319"/>
      <c r="C750" s="318"/>
      <c r="D750" s="315" t="s">
        <v>225</v>
      </c>
      <c r="E750" s="320" t="s">
        <v>3</v>
      </c>
      <c r="F750" s="321" t="s">
        <v>1008</v>
      </c>
      <c r="G750" s="318"/>
      <c r="H750" s="322">
        <v>6.5</v>
      </c>
      <c r="I750" s="260"/>
      <c r="J750" s="260"/>
      <c r="K750" s="318"/>
      <c r="L750" s="94"/>
      <c r="M750" s="96"/>
      <c r="N750" s="97"/>
      <c r="O750" s="97"/>
      <c r="P750" s="97"/>
      <c r="Q750" s="97"/>
      <c r="R750" s="97"/>
      <c r="S750" s="97"/>
      <c r="T750" s="98"/>
      <c r="AT750" s="95" t="s">
        <v>225</v>
      </c>
      <c r="AU750" s="95" t="s">
        <v>77</v>
      </c>
      <c r="AV750" s="14" t="s">
        <v>77</v>
      </c>
      <c r="AW750" s="14" t="s">
        <v>30</v>
      </c>
      <c r="AX750" s="14" t="s">
        <v>75</v>
      </c>
      <c r="AY750" s="95" t="s">
        <v>216</v>
      </c>
    </row>
    <row r="751" spans="1:65" s="2" customFormat="1" ht="21.6" customHeight="1">
      <c r="A751" s="269"/>
      <c r="B751" s="270"/>
      <c r="C751" s="308" t="s">
        <v>1009</v>
      </c>
      <c r="D751" s="308" t="s">
        <v>218</v>
      </c>
      <c r="E751" s="309" t="s">
        <v>1010</v>
      </c>
      <c r="F751" s="310" t="s">
        <v>1011</v>
      </c>
      <c r="G751" s="311" t="s">
        <v>364</v>
      </c>
      <c r="H751" s="312">
        <v>59.328000000000003</v>
      </c>
      <c r="I751" s="82">
        <v>0</v>
      </c>
      <c r="J751" s="82">
        <f>ROUND(I751*H751,2)</f>
        <v>0</v>
      </c>
      <c r="K751" s="310" t="s">
        <v>222</v>
      </c>
      <c r="L751" s="24"/>
      <c r="M751" s="83" t="s">
        <v>3</v>
      </c>
      <c r="N751" s="84" t="s">
        <v>39</v>
      </c>
      <c r="O751" s="85">
        <v>0.18</v>
      </c>
      <c r="P751" s="85">
        <f>O751*H751</f>
        <v>10.679040000000001</v>
      </c>
      <c r="Q751" s="85">
        <v>2.5999999999999998E-4</v>
      </c>
      <c r="R751" s="85">
        <f>Q751*H751</f>
        <v>1.542528E-2</v>
      </c>
      <c r="S751" s="85">
        <v>0</v>
      </c>
      <c r="T751" s="86">
        <f>S751*H751</f>
        <v>0</v>
      </c>
      <c r="U751" s="23"/>
      <c r="V751" s="23"/>
      <c r="W751" s="23"/>
      <c r="X751" s="23"/>
      <c r="Y751" s="23"/>
      <c r="Z751" s="23"/>
      <c r="AA751" s="23"/>
      <c r="AB751" s="23"/>
      <c r="AC751" s="23"/>
      <c r="AD751" s="23"/>
      <c r="AE751" s="23"/>
      <c r="AR751" s="87" t="s">
        <v>305</v>
      </c>
      <c r="AT751" s="87" t="s">
        <v>218</v>
      </c>
      <c r="AU751" s="87" t="s">
        <v>77</v>
      </c>
      <c r="AY751" s="19" t="s">
        <v>216</v>
      </c>
      <c r="BE751" s="88">
        <f>IF(N751="základní",J751,0)</f>
        <v>0</v>
      </c>
      <c r="BF751" s="88">
        <f>IF(N751="snížená",J751,0)</f>
        <v>0</v>
      </c>
      <c r="BG751" s="88">
        <f>IF(N751="zákl. přenesená",J751,0)</f>
        <v>0</v>
      </c>
      <c r="BH751" s="88">
        <f>IF(N751="sníž. přenesená",J751,0)</f>
        <v>0</v>
      </c>
      <c r="BI751" s="88">
        <f>IF(N751="nulová",J751,0)</f>
        <v>0</v>
      </c>
      <c r="BJ751" s="19" t="s">
        <v>75</v>
      </c>
      <c r="BK751" s="88">
        <f>ROUND(I751*H751,2)</f>
        <v>0</v>
      </c>
      <c r="BL751" s="19" t="s">
        <v>305</v>
      </c>
      <c r="BM751" s="87" t="s">
        <v>1012</v>
      </c>
    </row>
    <row r="752" spans="1:65" s="2" customFormat="1" ht="126.75">
      <c r="A752" s="269"/>
      <c r="B752" s="270"/>
      <c r="C752" s="269"/>
      <c r="D752" s="315" t="s">
        <v>231</v>
      </c>
      <c r="E752" s="269"/>
      <c r="F752" s="323" t="s">
        <v>990</v>
      </c>
      <c r="G752" s="269"/>
      <c r="H752" s="269"/>
      <c r="I752" s="248"/>
      <c r="J752" s="248"/>
      <c r="K752" s="269"/>
      <c r="L752" s="24"/>
      <c r="M752" s="99"/>
      <c r="N752" s="100"/>
      <c r="O752" s="32"/>
      <c r="P752" s="32"/>
      <c r="Q752" s="32"/>
      <c r="R752" s="32"/>
      <c r="S752" s="32"/>
      <c r="T752" s="33"/>
      <c r="U752" s="23"/>
      <c r="V752" s="23"/>
      <c r="W752" s="23"/>
      <c r="X752" s="23"/>
      <c r="Y752" s="23"/>
      <c r="Z752" s="23"/>
      <c r="AA752" s="23"/>
      <c r="AB752" s="23"/>
      <c r="AC752" s="23"/>
      <c r="AD752" s="23"/>
      <c r="AE752" s="23"/>
      <c r="AT752" s="19" t="s">
        <v>231</v>
      </c>
      <c r="AU752" s="19" t="s">
        <v>77</v>
      </c>
    </row>
    <row r="753" spans="1:65" s="13" customFormat="1">
      <c r="A753" s="313"/>
      <c r="B753" s="314"/>
      <c r="C753" s="313"/>
      <c r="D753" s="315" t="s">
        <v>225</v>
      </c>
      <c r="E753" s="316" t="s">
        <v>3</v>
      </c>
      <c r="F753" s="317" t="s">
        <v>991</v>
      </c>
      <c r="G753" s="313"/>
      <c r="H753" s="316" t="s">
        <v>3</v>
      </c>
      <c r="I753" s="259"/>
      <c r="J753" s="259"/>
      <c r="K753" s="313"/>
      <c r="L753" s="89"/>
      <c r="M753" s="91"/>
      <c r="N753" s="92"/>
      <c r="O753" s="92"/>
      <c r="P753" s="92"/>
      <c r="Q753" s="92"/>
      <c r="R753" s="92"/>
      <c r="S753" s="92"/>
      <c r="T753" s="93"/>
      <c r="AT753" s="90" t="s">
        <v>225</v>
      </c>
      <c r="AU753" s="90" t="s">
        <v>77</v>
      </c>
      <c r="AV753" s="13" t="s">
        <v>75</v>
      </c>
      <c r="AW753" s="13" t="s">
        <v>30</v>
      </c>
      <c r="AX753" s="13" t="s">
        <v>68</v>
      </c>
      <c r="AY753" s="90" t="s">
        <v>216</v>
      </c>
    </row>
    <row r="754" spans="1:65" s="14" customFormat="1">
      <c r="A754" s="318"/>
      <c r="B754" s="319"/>
      <c r="C754" s="318"/>
      <c r="D754" s="315" t="s">
        <v>225</v>
      </c>
      <c r="E754" s="320" t="s">
        <v>3</v>
      </c>
      <c r="F754" s="321" t="s">
        <v>1013</v>
      </c>
      <c r="G754" s="318"/>
      <c r="H754" s="322">
        <v>11.16</v>
      </c>
      <c r="I754" s="260"/>
      <c r="J754" s="260"/>
      <c r="K754" s="318"/>
      <c r="L754" s="94"/>
      <c r="M754" s="96"/>
      <c r="N754" s="97"/>
      <c r="O754" s="97"/>
      <c r="P754" s="97"/>
      <c r="Q754" s="97"/>
      <c r="R754" s="97"/>
      <c r="S754" s="97"/>
      <c r="T754" s="98"/>
      <c r="AT754" s="95" t="s">
        <v>225</v>
      </c>
      <c r="AU754" s="95" t="s">
        <v>77</v>
      </c>
      <c r="AV754" s="14" t="s">
        <v>77</v>
      </c>
      <c r="AW754" s="14" t="s">
        <v>30</v>
      </c>
      <c r="AX754" s="14" t="s">
        <v>68</v>
      </c>
      <c r="AY754" s="95" t="s">
        <v>216</v>
      </c>
    </row>
    <row r="755" spans="1:65" s="14" customFormat="1">
      <c r="A755" s="318"/>
      <c r="B755" s="319"/>
      <c r="C755" s="318"/>
      <c r="D755" s="315" t="s">
        <v>225</v>
      </c>
      <c r="E755" s="320" t="s">
        <v>3</v>
      </c>
      <c r="F755" s="321" t="s">
        <v>1014</v>
      </c>
      <c r="G755" s="318"/>
      <c r="H755" s="322">
        <v>2.5</v>
      </c>
      <c r="I755" s="260"/>
      <c r="J755" s="260"/>
      <c r="K755" s="318"/>
      <c r="L755" s="94"/>
      <c r="M755" s="96"/>
      <c r="N755" s="97"/>
      <c r="O755" s="97"/>
      <c r="P755" s="97"/>
      <c r="Q755" s="97"/>
      <c r="R755" s="97"/>
      <c r="S755" s="97"/>
      <c r="T755" s="98"/>
      <c r="AT755" s="95" t="s">
        <v>225</v>
      </c>
      <c r="AU755" s="95" t="s">
        <v>77</v>
      </c>
      <c r="AV755" s="14" t="s">
        <v>77</v>
      </c>
      <c r="AW755" s="14" t="s">
        <v>30</v>
      </c>
      <c r="AX755" s="14" t="s">
        <v>68</v>
      </c>
      <c r="AY755" s="95" t="s">
        <v>216</v>
      </c>
    </row>
    <row r="756" spans="1:65" s="14" customFormat="1">
      <c r="A756" s="318"/>
      <c r="B756" s="319"/>
      <c r="C756" s="318"/>
      <c r="D756" s="315" t="s">
        <v>225</v>
      </c>
      <c r="E756" s="320" t="s">
        <v>3</v>
      </c>
      <c r="F756" s="321" t="s">
        <v>1015</v>
      </c>
      <c r="G756" s="318"/>
      <c r="H756" s="322">
        <v>9.6</v>
      </c>
      <c r="I756" s="260"/>
      <c r="J756" s="260"/>
      <c r="K756" s="318"/>
      <c r="L756" s="94"/>
      <c r="M756" s="96"/>
      <c r="N756" s="97"/>
      <c r="O756" s="97"/>
      <c r="P756" s="97"/>
      <c r="Q756" s="97"/>
      <c r="R756" s="97"/>
      <c r="S756" s="97"/>
      <c r="T756" s="98"/>
      <c r="AT756" s="95" t="s">
        <v>225</v>
      </c>
      <c r="AU756" s="95" t="s">
        <v>77</v>
      </c>
      <c r="AV756" s="14" t="s">
        <v>77</v>
      </c>
      <c r="AW756" s="14" t="s">
        <v>30</v>
      </c>
      <c r="AX756" s="14" t="s">
        <v>68</v>
      </c>
      <c r="AY756" s="95" t="s">
        <v>216</v>
      </c>
    </row>
    <row r="757" spans="1:65" s="14" customFormat="1">
      <c r="A757" s="318"/>
      <c r="B757" s="319"/>
      <c r="C757" s="318"/>
      <c r="D757" s="315" t="s">
        <v>225</v>
      </c>
      <c r="E757" s="320" t="s">
        <v>3</v>
      </c>
      <c r="F757" s="321" t="s">
        <v>1016</v>
      </c>
      <c r="G757" s="318"/>
      <c r="H757" s="322">
        <v>8</v>
      </c>
      <c r="I757" s="260"/>
      <c r="J757" s="260"/>
      <c r="K757" s="318"/>
      <c r="L757" s="94"/>
      <c r="M757" s="96"/>
      <c r="N757" s="97"/>
      <c r="O757" s="97"/>
      <c r="P757" s="97"/>
      <c r="Q757" s="97"/>
      <c r="R757" s="97"/>
      <c r="S757" s="97"/>
      <c r="T757" s="98"/>
      <c r="AT757" s="95" t="s">
        <v>225</v>
      </c>
      <c r="AU757" s="95" t="s">
        <v>77</v>
      </c>
      <c r="AV757" s="14" t="s">
        <v>77</v>
      </c>
      <c r="AW757" s="14" t="s">
        <v>30</v>
      </c>
      <c r="AX757" s="14" t="s">
        <v>68</v>
      </c>
      <c r="AY757" s="95" t="s">
        <v>216</v>
      </c>
    </row>
    <row r="758" spans="1:65" s="14" customFormat="1">
      <c r="A758" s="318"/>
      <c r="B758" s="319"/>
      <c r="C758" s="318"/>
      <c r="D758" s="315" t="s">
        <v>225</v>
      </c>
      <c r="E758" s="320" t="s">
        <v>3</v>
      </c>
      <c r="F758" s="321" t="s">
        <v>1017</v>
      </c>
      <c r="G758" s="318"/>
      <c r="H758" s="322">
        <v>9</v>
      </c>
      <c r="I758" s="260"/>
      <c r="J758" s="260"/>
      <c r="K758" s="318"/>
      <c r="L758" s="94"/>
      <c r="M758" s="96"/>
      <c r="N758" s="97"/>
      <c r="O758" s="97"/>
      <c r="P758" s="97"/>
      <c r="Q758" s="97"/>
      <c r="R758" s="97"/>
      <c r="S758" s="97"/>
      <c r="T758" s="98"/>
      <c r="AT758" s="95" t="s">
        <v>225</v>
      </c>
      <c r="AU758" s="95" t="s">
        <v>77</v>
      </c>
      <c r="AV758" s="14" t="s">
        <v>77</v>
      </c>
      <c r="AW758" s="14" t="s">
        <v>30</v>
      </c>
      <c r="AX758" s="14" t="s">
        <v>68</v>
      </c>
      <c r="AY758" s="95" t="s">
        <v>216</v>
      </c>
    </row>
    <row r="759" spans="1:65" s="14" customFormat="1">
      <c r="A759" s="318"/>
      <c r="B759" s="319"/>
      <c r="C759" s="318"/>
      <c r="D759" s="315" t="s">
        <v>225</v>
      </c>
      <c r="E759" s="320" t="s">
        <v>3</v>
      </c>
      <c r="F759" s="321" t="s">
        <v>1018</v>
      </c>
      <c r="G759" s="318"/>
      <c r="H759" s="322">
        <v>19.068000000000001</v>
      </c>
      <c r="I759" s="260"/>
      <c r="J759" s="260"/>
      <c r="K759" s="318"/>
      <c r="L759" s="94"/>
      <c r="M759" s="96"/>
      <c r="N759" s="97"/>
      <c r="O759" s="97"/>
      <c r="P759" s="97"/>
      <c r="Q759" s="97"/>
      <c r="R759" s="97"/>
      <c r="S759" s="97"/>
      <c r="T759" s="98"/>
      <c r="AT759" s="95" t="s">
        <v>225</v>
      </c>
      <c r="AU759" s="95" t="s">
        <v>77</v>
      </c>
      <c r="AV759" s="14" t="s">
        <v>77</v>
      </c>
      <c r="AW759" s="14" t="s">
        <v>30</v>
      </c>
      <c r="AX759" s="14" t="s">
        <v>68</v>
      </c>
      <c r="AY759" s="95" t="s">
        <v>216</v>
      </c>
    </row>
    <row r="760" spans="1:65" s="16" customFormat="1">
      <c r="A760" s="329"/>
      <c r="B760" s="330"/>
      <c r="C760" s="329"/>
      <c r="D760" s="315" t="s">
        <v>225</v>
      </c>
      <c r="E760" s="331" t="s">
        <v>3</v>
      </c>
      <c r="F760" s="332" t="s">
        <v>254</v>
      </c>
      <c r="G760" s="329"/>
      <c r="H760" s="333">
        <v>59.328000000000003</v>
      </c>
      <c r="I760" s="262"/>
      <c r="J760" s="262"/>
      <c r="K760" s="329"/>
      <c r="L760" s="106"/>
      <c r="M760" s="108"/>
      <c r="N760" s="109"/>
      <c r="O760" s="109"/>
      <c r="P760" s="109"/>
      <c r="Q760" s="109"/>
      <c r="R760" s="109"/>
      <c r="S760" s="109"/>
      <c r="T760" s="110"/>
      <c r="AT760" s="107" t="s">
        <v>225</v>
      </c>
      <c r="AU760" s="107" t="s">
        <v>77</v>
      </c>
      <c r="AV760" s="16" t="s">
        <v>223</v>
      </c>
      <c r="AW760" s="16" t="s">
        <v>30</v>
      </c>
      <c r="AX760" s="16" t="s">
        <v>75</v>
      </c>
      <c r="AY760" s="107" t="s">
        <v>216</v>
      </c>
    </row>
    <row r="761" spans="1:65" s="2" customFormat="1" ht="21.6" customHeight="1">
      <c r="A761" s="269"/>
      <c r="B761" s="270"/>
      <c r="C761" s="308" t="s">
        <v>1019</v>
      </c>
      <c r="D761" s="308" t="s">
        <v>218</v>
      </c>
      <c r="E761" s="309" t="s">
        <v>1020</v>
      </c>
      <c r="F761" s="310" t="s">
        <v>1021</v>
      </c>
      <c r="G761" s="311" t="s">
        <v>364</v>
      </c>
      <c r="H761" s="312">
        <v>25</v>
      </c>
      <c r="I761" s="82">
        <v>0</v>
      </c>
      <c r="J761" s="82">
        <f>ROUND(I761*H761,2)</f>
        <v>0</v>
      </c>
      <c r="K761" s="310" t="s">
        <v>222</v>
      </c>
      <c r="L761" s="24"/>
      <c r="M761" s="83" t="s">
        <v>3</v>
      </c>
      <c r="N761" s="84" t="s">
        <v>39</v>
      </c>
      <c r="O761" s="85">
        <v>0.23</v>
      </c>
      <c r="P761" s="85">
        <f>O761*H761</f>
        <v>5.75</v>
      </c>
      <c r="Q761" s="85">
        <v>2.5999999999999998E-4</v>
      </c>
      <c r="R761" s="85">
        <f>Q761*H761</f>
        <v>6.4999999999999997E-3</v>
      </c>
      <c r="S761" s="85">
        <v>0</v>
      </c>
      <c r="T761" s="86">
        <f>S761*H761</f>
        <v>0</v>
      </c>
      <c r="U761" s="23"/>
      <c r="V761" s="23"/>
      <c r="W761" s="23"/>
      <c r="X761" s="23"/>
      <c r="Y761" s="23"/>
      <c r="Z761" s="23"/>
      <c r="AA761" s="23"/>
      <c r="AB761" s="23"/>
      <c r="AC761" s="23"/>
      <c r="AD761" s="23"/>
      <c r="AE761" s="23"/>
      <c r="AR761" s="87" t="s">
        <v>305</v>
      </c>
      <c r="AT761" s="87" t="s">
        <v>218</v>
      </c>
      <c r="AU761" s="87" t="s">
        <v>77</v>
      </c>
      <c r="AY761" s="19" t="s">
        <v>216</v>
      </c>
      <c r="BE761" s="88">
        <f>IF(N761="základní",J761,0)</f>
        <v>0</v>
      </c>
      <c r="BF761" s="88">
        <f>IF(N761="snížená",J761,0)</f>
        <v>0</v>
      </c>
      <c r="BG761" s="88">
        <f>IF(N761="zákl. přenesená",J761,0)</f>
        <v>0</v>
      </c>
      <c r="BH761" s="88">
        <f>IF(N761="sníž. přenesená",J761,0)</f>
        <v>0</v>
      </c>
      <c r="BI761" s="88">
        <f>IF(N761="nulová",J761,0)</f>
        <v>0</v>
      </c>
      <c r="BJ761" s="19" t="s">
        <v>75</v>
      </c>
      <c r="BK761" s="88">
        <f>ROUND(I761*H761,2)</f>
        <v>0</v>
      </c>
      <c r="BL761" s="19" t="s">
        <v>305</v>
      </c>
      <c r="BM761" s="87" t="s">
        <v>1022</v>
      </c>
    </row>
    <row r="762" spans="1:65" s="2" customFormat="1" ht="126.75">
      <c r="A762" s="269"/>
      <c r="B762" s="270"/>
      <c r="C762" s="269"/>
      <c r="D762" s="315" t="s">
        <v>231</v>
      </c>
      <c r="E762" s="269"/>
      <c r="F762" s="323" t="s">
        <v>990</v>
      </c>
      <c r="G762" s="269"/>
      <c r="H762" s="269"/>
      <c r="I762" s="248"/>
      <c r="J762" s="248"/>
      <c r="K762" s="269"/>
      <c r="L762" s="24"/>
      <c r="M762" s="99"/>
      <c r="N762" s="100"/>
      <c r="O762" s="32"/>
      <c r="P762" s="32"/>
      <c r="Q762" s="32"/>
      <c r="R762" s="32"/>
      <c r="S762" s="32"/>
      <c r="T762" s="33"/>
      <c r="U762" s="23"/>
      <c r="V762" s="23"/>
      <c r="W762" s="23"/>
      <c r="X762" s="23"/>
      <c r="Y762" s="23"/>
      <c r="Z762" s="23"/>
      <c r="AA762" s="23"/>
      <c r="AB762" s="23"/>
      <c r="AC762" s="23"/>
      <c r="AD762" s="23"/>
      <c r="AE762" s="23"/>
      <c r="AT762" s="19" t="s">
        <v>231</v>
      </c>
      <c r="AU762" s="19" t="s">
        <v>77</v>
      </c>
    </row>
    <row r="763" spans="1:65" s="13" customFormat="1">
      <c r="A763" s="313"/>
      <c r="B763" s="314"/>
      <c r="C763" s="313"/>
      <c r="D763" s="315" t="s">
        <v>225</v>
      </c>
      <c r="E763" s="316" t="s">
        <v>3</v>
      </c>
      <c r="F763" s="317" t="s">
        <v>991</v>
      </c>
      <c r="G763" s="313"/>
      <c r="H763" s="316" t="s">
        <v>3</v>
      </c>
      <c r="I763" s="259"/>
      <c r="J763" s="259"/>
      <c r="K763" s="313"/>
      <c r="L763" s="89"/>
      <c r="M763" s="91"/>
      <c r="N763" s="92"/>
      <c r="O763" s="92"/>
      <c r="P763" s="92"/>
      <c r="Q763" s="92"/>
      <c r="R763" s="92"/>
      <c r="S763" s="92"/>
      <c r="T763" s="93"/>
      <c r="AT763" s="90" t="s">
        <v>225</v>
      </c>
      <c r="AU763" s="90" t="s">
        <v>77</v>
      </c>
      <c r="AV763" s="13" t="s">
        <v>75</v>
      </c>
      <c r="AW763" s="13" t="s">
        <v>30</v>
      </c>
      <c r="AX763" s="13" t="s">
        <v>68</v>
      </c>
      <c r="AY763" s="90" t="s">
        <v>216</v>
      </c>
    </row>
    <row r="764" spans="1:65" s="14" customFormat="1">
      <c r="A764" s="318"/>
      <c r="B764" s="319"/>
      <c r="C764" s="318"/>
      <c r="D764" s="315" t="s">
        <v>225</v>
      </c>
      <c r="E764" s="320" t="s">
        <v>3</v>
      </c>
      <c r="F764" s="321" t="s">
        <v>1023</v>
      </c>
      <c r="G764" s="318"/>
      <c r="H764" s="322">
        <v>25</v>
      </c>
      <c r="I764" s="260"/>
      <c r="J764" s="260"/>
      <c r="K764" s="318"/>
      <c r="L764" s="94"/>
      <c r="M764" s="96"/>
      <c r="N764" s="97"/>
      <c r="O764" s="97"/>
      <c r="P764" s="97"/>
      <c r="Q764" s="97"/>
      <c r="R764" s="97"/>
      <c r="S764" s="97"/>
      <c r="T764" s="98"/>
      <c r="AT764" s="95" t="s">
        <v>225</v>
      </c>
      <c r="AU764" s="95" t="s">
        <v>77</v>
      </c>
      <c r="AV764" s="14" t="s">
        <v>77</v>
      </c>
      <c r="AW764" s="14" t="s">
        <v>30</v>
      </c>
      <c r="AX764" s="14" t="s">
        <v>75</v>
      </c>
      <c r="AY764" s="95" t="s">
        <v>216</v>
      </c>
    </row>
    <row r="765" spans="1:65" s="2" customFormat="1" ht="21.6" customHeight="1">
      <c r="A765" s="269"/>
      <c r="B765" s="270"/>
      <c r="C765" s="308" t="s">
        <v>1024</v>
      </c>
      <c r="D765" s="308" t="s">
        <v>218</v>
      </c>
      <c r="E765" s="309" t="s">
        <v>1025</v>
      </c>
      <c r="F765" s="310" t="s">
        <v>1026</v>
      </c>
      <c r="G765" s="311" t="s">
        <v>286</v>
      </c>
      <c r="H765" s="312">
        <v>101.9</v>
      </c>
      <c r="I765" s="82">
        <v>0</v>
      </c>
      <c r="J765" s="82">
        <f>ROUND(I765*H765,2)</f>
        <v>0</v>
      </c>
      <c r="K765" s="310" t="s">
        <v>222</v>
      </c>
      <c r="L765" s="24"/>
      <c r="M765" s="83" t="s">
        <v>3</v>
      </c>
      <c r="N765" s="84" t="s">
        <v>39</v>
      </c>
      <c r="O765" s="85">
        <v>0.04</v>
      </c>
      <c r="P765" s="85">
        <f>O765*H765</f>
        <v>4.0760000000000005</v>
      </c>
      <c r="Q765" s="85">
        <v>1E-4</v>
      </c>
      <c r="R765" s="85">
        <f>Q765*H765</f>
        <v>1.0190000000000001E-2</v>
      </c>
      <c r="S765" s="85">
        <v>0</v>
      </c>
      <c r="T765" s="86">
        <f>S765*H765</f>
        <v>0</v>
      </c>
      <c r="U765" s="23"/>
      <c r="V765" s="23"/>
      <c r="W765" s="23"/>
      <c r="X765" s="23"/>
      <c r="Y765" s="23"/>
      <c r="Z765" s="23"/>
      <c r="AA765" s="23"/>
      <c r="AB765" s="23"/>
      <c r="AC765" s="23"/>
      <c r="AD765" s="23"/>
      <c r="AE765" s="23"/>
      <c r="AR765" s="87" t="s">
        <v>305</v>
      </c>
      <c r="AT765" s="87" t="s">
        <v>218</v>
      </c>
      <c r="AU765" s="87" t="s">
        <v>77</v>
      </c>
      <c r="AY765" s="19" t="s">
        <v>216</v>
      </c>
      <c r="BE765" s="88">
        <f>IF(N765="základní",J765,0)</f>
        <v>0</v>
      </c>
      <c r="BF765" s="88">
        <f>IF(N765="snížená",J765,0)</f>
        <v>0</v>
      </c>
      <c r="BG765" s="88">
        <f>IF(N765="zákl. přenesená",J765,0)</f>
        <v>0</v>
      </c>
      <c r="BH765" s="88">
        <f>IF(N765="sníž. přenesená",J765,0)</f>
        <v>0</v>
      </c>
      <c r="BI765" s="88">
        <f>IF(N765="nulová",J765,0)</f>
        <v>0</v>
      </c>
      <c r="BJ765" s="19" t="s">
        <v>75</v>
      </c>
      <c r="BK765" s="88">
        <f>ROUND(I765*H765,2)</f>
        <v>0</v>
      </c>
      <c r="BL765" s="19" t="s">
        <v>305</v>
      </c>
      <c r="BM765" s="87" t="s">
        <v>1027</v>
      </c>
    </row>
    <row r="766" spans="1:65" s="2" customFormat="1" ht="126.75">
      <c r="A766" s="269"/>
      <c r="B766" s="270"/>
      <c r="C766" s="269"/>
      <c r="D766" s="315" t="s">
        <v>231</v>
      </c>
      <c r="E766" s="269"/>
      <c r="F766" s="323" t="s">
        <v>990</v>
      </c>
      <c r="G766" s="269"/>
      <c r="H766" s="269"/>
      <c r="I766" s="248"/>
      <c r="J766" s="248"/>
      <c r="K766" s="269"/>
      <c r="L766" s="24"/>
      <c r="M766" s="99"/>
      <c r="N766" s="100"/>
      <c r="O766" s="32"/>
      <c r="P766" s="32"/>
      <c r="Q766" s="32"/>
      <c r="R766" s="32"/>
      <c r="S766" s="32"/>
      <c r="T766" s="33"/>
      <c r="U766" s="23"/>
      <c r="V766" s="23"/>
      <c r="W766" s="23"/>
      <c r="X766" s="23"/>
      <c r="Y766" s="23"/>
      <c r="Z766" s="23"/>
      <c r="AA766" s="23"/>
      <c r="AB766" s="23"/>
      <c r="AC766" s="23"/>
      <c r="AD766" s="23"/>
      <c r="AE766" s="23"/>
      <c r="AT766" s="19" t="s">
        <v>231</v>
      </c>
      <c r="AU766" s="19" t="s">
        <v>77</v>
      </c>
    </row>
    <row r="767" spans="1:65" s="13" customFormat="1">
      <c r="A767" s="313"/>
      <c r="B767" s="314"/>
      <c r="C767" s="313"/>
      <c r="D767" s="315" t="s">
        <v>225</v>
      </c>
      <c r="E767" s="316" t="s">
        <v>3</v>
      </c>
      <c r="F767" s="317" t="s">
        <v>991</v>
      </c>
      <c r="G767" s="313"/>
      <c r="H767" s="316" t="s">
        <v>3</v>
      </c>
      <c r="I767" s="259"/>
      <c r="J767" s="259"/>
      <c r="K767" s="313"/>
      <c r="L767" s="89"/>
      <c r="M767" s="91"/>
      <c r="N767" s="92"/>
      <c r="O767" s="92"/>
      <c r="P767" s="92"/>
      <c r="Q767" s="92"/>
      <c r="R767" s="92"/>
      <c r="S767" s="92"/>
      <c r="T767" s="93"/>
      <c r="AT767" s="90" t="s">
        <v>225</v>
      </c>
      <c r="AU767" s="90" t="s">
        <v>77</v>
      </c>
      <c r="AV767" s="13" t="s">
        <v>75</v>
      </c>
      <c r="AW767" s="13" t="s">
        <v>30</v>
      </c>
      <c r="AX767" s="13" t="s">
        <v>68</v>
      </c>
      <c r="AY767" s="90" t="s">
        <v>216</v>
      </c>
    </row>
    <row r="768" spans="1:65" s="14" customFormat="1">
      <c r="A768" s="318"/>
      <c r="B768" s="319"/>
      <c r="C768" s="318"/>
      <c r="D768" s="315" t="s">
        <v>225</v>
      </c>
      <c r="E768" s="320" t="s">
        <v>3</v>
      </c>
      <c r="F768" s="321" t="s">
        <v>1028</v>
      </c>
      <c r="G768" s="318"/>
      <c r="H768" s="322">
        <v>101.9</v>
      </c>
      <c r="I768" s="260"/>
      <c r="J768" s="260"/>
      <c r="K768" s="318"/>
      <c r="L768" s="94"/>
      <c r="M768" s="96"/>
      <c r="N768" s="97"/>
      <c r="O768" s="97"/>
      <c r="P768" s="97"/>
      <c r="Q768" s="97"/>
      <c r="R768" s="97"/>
      <c r="S768" s="97"/>
      <c r="T768" s="98"/>
      <c r="AT768" s="95" t="s">
        <v>225</v>
      </c>
      <c r="AU768" s="95" t="s">
        <v>77</v>
      </c>
      <c r="AV768" s="14" t="s">
        <v>77</v>
      </c>
      <c r="AW768" s="14" t="s">
        <v>30</v>
      </c>
      <c r="AX768" s="14" t="s">
        <v>75</v>
      </c>
      <c r="AY768" s="95" t="s">
        <v>216</v>
      </c>
    </row>
    <row r="769" spans="1:65" s="2" customFormat="1" ht="21.6" customHeight="1">
      <c r="A769" s="269"/>
      <c r="B769" s="270"/>
      <c r="C769" s="308" t="s">
        <v>1029</v>
      </c>
      <c r="D769" s="308" t="s">
        <v>218</v>
      </c>
      <c r="E769" s="309" t="s">
        <v>1030</v>
      </c>
      <c r="F769" s="310" t="s">
        <v>1031</v>
      </c>
      <c r="G769" s="311" t="s">
        <v>364</v>
      </c>
      <c r="H769" s="312">
        <v>19.61</v>
      </c>
      <c r="I769" s="82">
        <v>0</v>
      </c>
      <c r="J769" s="82">
        <f>ROUND(I769*H769,2)</f>
        <v>0</v>
      </c>
      <c r="K769" s="310" t="s">
        <v>222</v>
      </c>
      <c r="L769" s="24"/>
      <c r="M769" s="83" t="s">
        <v>3</v>
      </c>
      <c r="N769" s="84" t="s">
        <v>39</v>
      </c>
      <c r="O769" s="85">
        <v>0.28000000000000003</v>
      </c>
      <c r="P769" s="85">
        <f>O769*H769</f>
        <v>5.4908000000000001</v>
      </c>
      <c r="Q769" s="85">
        <v>4.3800000000000002E-3</v>
      </c>
      <c r="R769" s="85">
        <f>Q769*H769</f>
        <v>8.5891800000000004E-2</v>
      </c>
      <c r="S769" s="85">
        <v>0</v>
      </c>
      <c r="T769" s="86">
        <f>S769*H769</f>
        <v>0</v>
      </c>
      <c r="U769" s="23"/>
      <c r="V769" s="23"/>
      <c r="W769" s="23"/>
      <c r="X769" s="23"/>
      <c r="Y769" s="23"/>
      <c r="Z769" s="23"/>
      <c r="AA769" s="23"/>
      <c r="AB769" s="23"/>
      <c r="AC769" s="23"/>
      <c r="AD769" s="23"/>
      <c r="AE769" s="23"/>
      <c r="AR769" s="87" t="s">
        <v>305</v>
      </c>
      <c r="AT769" s="87" t="s">
        <v>218</v>
      </c>
      <c r="AU769" s="87" t="s">
        <v>77</v>
      </c>
      <c r="AY769" s="19" t="s">
        <v>216</v>
      </c>
      <c r="BE769" s="88">
        <f>IF(N769="základní",J769,0)</f>
        <v>0</v>
      </c>
      <c r="BF769" s="88">
        <f>IF(N769="snížená",J769,0)</f>
        <v>0</v>
      </c>
      <c r="BG769" s="88">
        <f>IF(N769="zákl. přenesená",J769,0)</f>
        <v>0</v>
      </c>
      <c r="BH769" s="88">
        <f>IF(N769="sníž. přenesená",J769,0)</f>
        <v>0</v>
      </c>
      <c r="BI769" s="88">
        <f>IF(N769="nulová",J769,0)</f>
        <v>0</v>
      </c>
      <c r="BJ769" s="19" t="s">
        <v>75</v>
      </c>
      <c r="BK769" s="88">
        <f>ROUND(I769*H769,2)</f>
        <v>0</v>
      </c>
      <c r="BL769" s="19" t="s">
        <v>305</v>
      </c>
      <c r="BM769" s="87" t="s">
        <v>1032</v>
      </c>
    </row>
    <row r="770" spans="1:65" s="2" customFormat="1" ht="126.75">
      <c r="A770" s="269"/>
      <c r="B770" s="270"/>
      <c r="C770" s="269"/>
      <c r="D770" s="315" t="s">
        <v>231</v>
      </c>
      <c r="E770" s="269"/>
      <c r="F770" s="323" t="s">
        <v>990</v>
      </c>
      <c r="G770" s="269"/>
      <c r="H770" s="269"/>
      <c r="I770" s="248"/>
      <c r="J770" s="248"/>
      <c r="K770" s="269"/>
      <c r="L770" s="24"/>
      <c r="M770" s="99"/>
      <c r="N770" s="100"/>
      <c r="O770" s="32"/>
      <c r="P770" s="32"/>
      <c r="Q770" s="32"/>
      <c r="R770" s="32"/>
      <c r="S770" s="32"/>
      <c r="T770" s="33"/>
      <c r="U770" s="23"/>
      <c r="V770" s="23"/>
      <c r="W770" s="23"/>
      <c r="X770" s="23"/>
      <c r="Y770" s="23"/>
      <c r="Z770" s="23"/>
      <c r="AA770" s="23"/>
      <c r="AB770" s="23"/>
      <c r="AC770" s="23"/>
      <c r="AD770" s="23"/>
      <c r="AE770" s="23"/>
      <c r="AT770" s="19" t="s">
        <v>231</v>
      </c>
      <c r="AU770" s="19" t="s">
        <v>77</v>
      </c>
    </row>
    <row r="771" spans="1:65" s="13" customFormat="1">
      <c r="A771" s="313"/>
      <c r="B771" s="314"/>
      <c r="C771" s="313"/>
      <c r="D771" s="315" t="s">
        <v>225</v>
      </c>
      <c r="E771" s="316" t="s">
        <v>3</v>
      </c>
      <c r="F771" s="317" t="s">
        <v>991</v>
      </c>
      <c r="G771" s="313"/>
      <c r="H771" s="316" t="s">
        <v>3</v>
      </c>
      <c r="I771" s="259"/>
      <c r="J771" s="259"/>
      <c r="K771" s="313"/>
      <c r="L771" s="89"/>
      <c r="M771" s="91"/>
      <c r="N771" s="92"/>
      <c r="O771" s="92"/>
      <c r="P771" s="92"/>
      <c r="Q771" s="92"/>
      <c r="R771" s="92"/>
      <c r="S771" s="92"/>
      <c r="T771" s="93"/>
      <c r="AT771" s="90" t="s">
        <v>225</v>
      </c>
      <c r="AU771" s="90" t="s">
        <v>77</v>
      </c>
      <c r="AV771" s="13" t="s">
        <v>75</v>
      </c>
      <c r="AW771" s="13" t="s">
        <v>30</v>
      </c>
      <c r="AX771" s="13" t="s">
        <v>68</v>
      </c>
      <c r="AY771" s="90" t="s">
        <v>216</v>
      </c>
    </row>
    <row r="772" spans="1:65" s="14" customFormat="1">
      <c r="A772" s="318"/>
      <c r="B772" s="319"/>
      <c r="C772" s="318"/>
      <c r="D772" s="315" t="s">
        <v>225</v>
      </c>
      <c r="E772" s="320" t="s">
        <v>3</v>
      </c>
      <c r="F772" s="321" t="s">
        <v>1033</v>
      </c>
      <c r="G772" s="318"/>
      <c r="H772" s="322">
        <v>10.285</v>
      </c>
      <c r="I772" s="260"/>
      <c r="J772" s="260"/>
      <c r="K772" s="318"/>
      <c r="L772" s="94"/>
      <c r="M772" s="96"/>
      <c r="N772" s="97"/>
      <c r="O772" s="97"/>
      <c r="P772" s="97"/>
      <c r="Q772" s="97"/>
      <c r="R772" s="97"/>
      <c r="S772" s="97"/>
      <c r="T772" s="98"/>
      <c r="AT772" s="95" t="s">
        <v>225</v>
      </c>
      <c r="AU772" s="95" t="s">
        <v>77</v>
      </c>
      <c r="AV772" s="14" t="s">
        <v>77</v>
      </c>
      <c r="AW772" s="14" t="s">
        <v>30</v>
      </c>
      <c r="AX772" s="14" t="s">
        <v>68</v>
      </c>
      <c r="AY772" s="95" t="s">
        <v>216</v>
      </c>
    </row>
    <row r="773" spans="1:65" s="14" customFormat="1">
      <c r="A773" s="318"/>
      <c r="B773" s="319"/>
      <c r="C773" s="318"/>
      <c r="D773" s="315" t="s">
        <v>225</v>
      </c>
      <c r="E773" s="320" t="s">
        <v>3</v>
      </c>
      <c r="F773" s="321" t="s">
        <v>1034</v>
      </c>
      <c r="G773" s="318"/>
      <c r="H773" s="322">
        <v>6.8</v>
      </c>
      <c r="I773" s="260"/>
      <c r="J773" s="260"/>
      <c r="K773" s="318"/>
      <c r="L773" s="94"/>
      <c r="M773" s="96"/>
      <c r="N773" s="97"/>
      <c r="O773" s="97"/>
      <c r="P773" s="97"/>
      <c r="Q773" s="97"/>
      <c r="R773" s="97"/>
      <c r="S773" s="97"/>
      <c r="T773" s="98"/>
      <c r="AT773" s="95" t="s">
        <v>225</v>
      </c>
      <c r="AU773" s="95" t="s">
        <v>77</v>
      </c>
      <c r="AV773" s="14" t="s">
        <v>77</v>
      </c>
      <c r="AW773" s="14" t="s">
        <v>30</v>
      </c>
      <c r="AX773" s="14" t="s">
        <v>68</v>
      </c>
      <c r="AY773" s="95" t="s">
        <v>216</v>
      </c>
    </row>
    <row r="774" spans="1:65" s="14" customFormat="1">
      <c r="A774" s="318"/>
      <c r="B774" s="319"/>
      <c r="C774" s="318"/>
      <c r="D774" s="315" t="s">
        <v>225</v>
      </c>
      <c r="E774" s="320" t="s">
        <v>3</v>
      </c>
      <c r="F774" s="321" t="s">
        <v>1035</v>
      </c>
      <c r="G774" s="318"/>
      <c r="H774" s="322">
        <v>2.5249999999999999</v>
      </c>
      <c r="I774" s="260"/>
      <c r="J774" s="260"/>
      <c r="K774" s="318"/>
      <c r="L774" s="94"/>
      <c r="M774" s="96"/>
      <c r="N774" s="97"/>
      <c r="O774" s="97"/>
      <c r="P774" s="97"/>
      <c r="Q774" s="97"/>
      <c r="R774" s="97"/>
      <c r="S774" s="97"/>
      <c r="T774" s="98"/>
      <c r="AT774" s="95" t="s">
        <v>225</v>
      </c>
      <c r="AU774" s="95" t="s">
        <v>77</v>
      </c>
      <c r="AV774" s="14" t="s">
        <v>77</v>
      </c>
      <c r="AW774" s="14" t="s">
        <v>30</v>
      </c>
      <c r="AX774" s="14" t="s">
        <v>68</v>
      </c>
      <c r="AY774" s="95" t="s">
        <v>216</v>
      </c>
    </row>
    <row r="775" spans="1:65" s="16" customFormat="1">
      <c r="A775" s="329"/>
      <c r="B775" s="330"/>
      <c r="C775" s="329"/>
      <c r="D775" s="315" t="s">
        <v>225</v>
      </c>
      <c r="E775" s="331" t="s">
        <v>3</v>
      </c>
      <c r="F775" s="332" t="s">
        <v>254</v>
      </c>
      <c r="G775" s="329"/>
      <c r="H775" s="333">
        <v>19.61</v>
      </c>
      <c r="I775" s="262"/>
      <c r="J775" s="262"/>
      <c r="K775" s="329"/>
      <c r="L775" s="106"/>
      <c r="M775" s="108"/>
      <c r="N775" s="109"/>
      <c r="O775" s="109"/>
      <c r="P775" s="109"/>
      <c r="Q775" s="109"/>
      <c r="R775" s="109"/>
      <c r="S775" s="109"/>
      <c r="T775" s="110"/>
      <c r="AT775" s="107" t="s">
        <v>225</v>
      </c>
      <c r="AU775" s="107" t="s">
        <v>77</v>
      </c>
      <c r="AV775" s="16" t="s">
        <v>223</v>
      </c>
      <c r="AW775" s="16" t="s">
        <v>30</v>
      </c>
      <c r="AX775" s="16" t="s">
        <v>75</v>
      </c>
      <c r="AY775" s="107" t="s">
        <v>216</v>
      </c>
    </row>
    <row r="776" spans="1:65" s="2" customFormat="1" ht="21.6" customHeight="1">
      <c r="A776" s="269"/>
      <c r="B776" s="270"/>
      <c r="C776" s="308" t="s">
        <v>1036</v>
      </c>
      <c r="D776" s="308" t="s">
        <v>218</v>
      </c>
      <c r="E776" s="309" t="s">
        <v>1037</v>
      </c>
      <c r="F776" s="310" t="s">
        <v>1038</v>
      </c>
      <c r="G776" s="311" t="s">
        <v>364</v>
      </c>
      <c r="H776" s="312">
        <v>34.335999999999999</v>
      </c>
      <c r="I776" s="82">
        <v>0</v>
      </c>
      <c r="J776" s="82">
        <f>ROUND(I776*H776,2)</f>
        <v>0</v>
      </c>
      <c r="K776" s="310" t="s">
        <v>222</v>
      </c>
      <c r="L776" s="24"/>
      <c r="M776" s="83" t="s">
        <v>3</v>
      </c>
      <c r="N776" s="84" t="s">
        <v>39</v>
      </c>
      <c r="O776" s="85">
        <v>0.35</v>
      </c>
      <c r="P776" s="85">
        <f>O776*H776</f>
        <v>12.017599999999998</v>
      </c>
      <c r="Q776" s="85">
        <v>6.6299999999999996E-3</v>
      </c>
      <c r="R776" s="85">
        <f>Q776*H776</f>
        <v>0.22764767999999996</v>
      </c>
      <c r="S776" s="85">
        <v>0</v>
      </c>
      <c r="T776" s="86">
        <f>S776*H776</f>
        <v>0</v>
      </c>
      <c r="U776" s="23"/>
      <c r="V776" s="23"/>
      <c r="W776" s="23"/>
      <c r="X776" s="23"/>
      <c r="Y776" s="23"/>
      <c r="Z776" s="23"/>
      <c r="AA776" s="23"/>
      <c r="AB776" s="23"/>
      <c r="AC776" s="23"/>
      <c r="AD776" s="23"/>
      <c r="AE776" s="23"/>
      <c r="AR776" s="87" t="s">
        <v>305</v>
      </c>
      <c r="AT776" s="87" t="s">
        <v>218</v>
      </c>
      <c r="AU776" s="87" t="s">
        <v>77</v>
      </c>
      <c r="AY776" s="19" t="s">
        <v>216</v>
      </c>
      <c r="BE776" s="88">
        <f>IF(N776="základní",J776,0)</f>
        <v>0</v>
      </c>
      <c r="BF776" s="88">
        <f>IF(N776="snížená",J776,0)</f>
        <v>0</v>
      </c>
      <c r="BG776" s="88">
        <f>IF(N776="zákl. přenesená",J776,0)</f>
        <v>0</v>
      </c>
      <c r="BH776" s="88">
        <f>IF(N776="sníž. přenesená",J776,0)</f>
        <v>0</v>
      </c>
      <c r="BI776" s="88">
        <f>IF(N776="nulová",J776,0)</f>
        <v>0</v>
      </c>
      <c r="BJ776" s="19" t="s">
        <v>75</v>
      </c>
      <c r="BK776" s="88">
        <f>ROUND(I776*H776,2)</f>
        <v>0</v>
      </c>
      <c r="BL776" s="19" t="s">
        <v>305</v>
      </c>
      <c r="BM776" s="87" t="s">
        <v>1039</v>
      </c>
    </row>
    <row r="777" spans="1:65" s="2" customFormat="1" ht="126.75">
      <c r="A777" s="269"/>
      <c r="B777" s="270"/>
      <c r="C777" s="269"/>
      <c r="D777" s="315" t="s">
        <v>231</v>
      </c>
      <c r="E777" s="269"/>
      <c r="F777" s="323" t="s">
        <v>990</v>
      </c>
      <c r="G777" s="269"/>
      <c r="H777" s="269"/>
      <c r="I777" s="248"/>
      <c r="J777" s="248"/>
      <c r="K777" s="269"/>
      <c r="L777" s="24"/>
      <c r="M777" s="99"/>
      <c r="N777" s="100"/>
      <c r="O777" s="32"/>
      <c r="P777" s="32"/>
      <c r="Q777" s="32"/>
      <c r="R777" s="32"/>
      <c r="S777" s="32"/>
      <c r="T777" s="33"/>
      <c r="U777" s="23"/>
      <c r="V777" s="23"/>
      <c r="W777" s="23"/>
      <c r="X777" s="23"/>
      <c r="Y777" s="23"/>
      <c r="Z777" s="23"/>
      <c r="AA777" s="23"/>
      <c r="AB777" s="23"/>
      <c r="AC777" s="23"/>
      <c r="AD777" s="23"/>
      <c r="AE777" s="23"/>
      <c r="AT777" s="19" t="s">
        <v>231</v>
      </c>
      <c r="AU777" s="19" t="s">
        <v>77</v>
      </c>
    </row>
    <row r="778" spans="1:65" s="13" customFormat="1">
      <c r="A778" s="313"/>
      <c r="B778" s="314"/>
      <c r="C778" s="313"/>
      <c r="D778" s="315" t="s">
        <v>225</v>
      </c>
      <c r="E778" s="316" t="s">
        <v>3</v>
      </c>
      <c r="F778" s="317" t="s">
        <v>991</v>
      </c>
      <c r="G778" s="313"/>
      <c r="H778" s="316" t="s">
        <v>3</v>
      </c>
      <c r="I778" s="259"/>
      <c r="J778" s="259"/>
      <c r="K778" s="313"/>
      <c r="L778" s="89"/>
      <c r="M778" s="91"/>
      <c r="N778" s="92"/>
      <c r="O778" s="92"/>
      <c r="P778" s="92"/>
      <c r="Q778" s="92"/>
      <c r="R778" s="92"/>
      <c r="S778" s="92"/>
      <c r="T778" s="93"/>
      <c r="AT778" s="90" t="s">
        <v>225</v>
      </c>
      <c r="AU778" s="90" t="s">
        <v>77</v>
      </c>
      <c r="AV778" s="13" t="s">
        <v>75</v>
      </c>
      <c r="AW778" s="13" t="s">
        <v>30</v>
      </c>
      <c r="AX778" s="13" t="s">
        <v>68</v>
      </c>
      <c r="AY778" s="90" t="s">
        <v>216</v>
      </c>
    </row>
    <row r="779" spans="1:65" s="14" customFormat="1">
      <c r="A779" s="318"/>
      <c r="B779" s="319"/>
      <c r="C779" s="318"/>
      <c r="D779" s="315" t="s">
        <v>225</v>
      </c>
      <c r="E779" s="320" t="s">
        <v>3</v>
      </c>
      <c r="F779" s="321" t="s">
        <v>1040</v>
      </c>
      <c r="G779" s="318"/>
      <c r="H779" s="322">
        <v>19.936</v>
      </c>
      <c r="I779" s="260"/>
      <c r="J779" s="260"/>
      <c r="K779" s="318"/>
      <c r="L779" s="94"/>
      <c r="M779" s="96"/>
      <c r="N779" s="97"/>
      <c r="O779" s="97"/>
      <c r="P779" s="97"/>
      <c r="Q779" s="97"/>
      <c r="R779" s="97"/>
      <c r="S779" s="97"/>
      <c r="T779" s="98"/>
      <c r="AT779" s="95" t="s">
        <v>225</v>
      </c>
      <c r="AU779" s="95" t="s">
        <v>77</v>
      </c>
      <c r="AV779" s="14" t="s">
        <v>77</v>
      </c>
      <c r="AW779" s="14" t="s">
        <v>30</v>
      </c>
      <c r="AX779" s="14" t="s">
        <v>68</v>
      </c>
      <c r="AY779" s="95" t="s">
        <v>216</v>
      </c>
    </row>
    <row r="780" spans="1:65" s="14" customFormat="1">
      <c r="A780" s="318"/>
      <c r="B780" s="319"/>
      <c r="C780" s="318"/>
      <c r="D780" s="315" t="s">
        <v>225</v>
      </c>
      <c r="E780" s="320" t="s">
        <v>3</v>
      </c>
      <c r="F780" s="321" t="s">
        <v>1041</v>
      </c>
      <c r="G780" s="318"/>
      <c r="H780" s="322">
        <v>14.4</v>
      </c>
      <c r="I780" s="260"/>
      <c r="J780" s="260"/>
      <c r="K780" s="318"/>
      <c r="L780" s="94"/>
      <c r="M780" s="96"/>
      <c r="N780" s="97"/>
      <c r="O780" s="97"/>
      <c r="P780" s="97"/>
      <c r="Q780" s="97"/>
      <c r="R780" s="97"/>
      <c r="S780" s="97"/>
      <c r="T780" s="98"/>
      <c r="AT780" s="95" t="s">
        <v>225</v>
      </c>
      <c r="AU780" s="95" t="s">
        <v>77</v>
      </c>
      <c r="AV780" s="14" t="s">
        <v>77</v>
      </c>
      <c r="AW780" s="14" t="s">
        <v>30</v>
      </c>
      <c r="AX780" s="14" t="s">
        <v>68</v>
      </c>
      <c r="AY780" s="95" t="s">
        <v>216</v>
      </c>
    </row>
    <row r="781" spans="1:65" s="16" customFormat="1">
      <c r="A781" s="329"/>
      <c r="B781" s="330"/>
      <c r="C781" s="329"/>
      <c r="D781" s="315" t="s">
        <v>225</v>
      </c>
      <c r="E781" s="331" t="s">
        <v>3</v>
      </c>
      <c r="F781" s="332" t="s">
        <v>254</v>
      </c>
      <c r="G781" s="329"/>
      <c r="H781" s="333">
        <v>34.335999999999999</v>
      </c>
      <c r="I781" s="262"/>
      <c r="J781" s="262"/>
      <c r="K781" s="329"/>
      <c r="L781" s="106"/>
      <c r="M781" s="108"/>
      <c r="N781" s="109"/>
      <c r="O781" s="109"/>
      <c r="P781" s="109"/>
      <c r="Q781" s="109"/>
      <c r="R781" s="109"/>
      <c r="S781" s="109"/>
      <c r="T781" s="110"/>
      <c r="AT781" s="107" t="s">
        <v>225</v>
      </c>
      <c r="AU781" s="107" t="s">
        <v>77</v>
      </c>
      <c r="AV781" s="16" t="s">
        <v>223</v>
      </c>
      <c r="AW781" s="16" t="s">
        <v>30</v>
      </c>
      <c r="AX781" s="16" t="s">
        <v>75</v>
      </c>
      <c r="AY781" s="107" t="s">
        <v>216</v>
      </c>
    </row>
    <row r="782" spans="1:65" s="2" customFormat="1" ht="14.45" customHeight="1">
      <c r="A782" s="269"/>
      <c r="B782" s="270"/>
      <c r="C782" s="308" t="s">
        <v>1042</v>
      </c>
      <c r="D782" s="308" t="s">
        <v>218</v>
      </c>
      <c r="E782" s="309" t="s">
        <v>1043</v>
      </c>
      <c r="F782" s="310" t="s">
        <v>1044</v>
      </c>
      <c r="G782" s="311" t="s">
        <v>286</v>
      </c>
      <c r="H782" s="312">
        <v>33.799999999999997</v>
      </c>
      <c r="I782" s="82">
        <v>0</v>
      </c>
      <c r="J782" s="82">
        <f>ROUND(I782*H782,2)</f>
        <v>0</v>
      </c>
      <c r="K782" s="310" t="s">
        <v>222</v>
      </c>
      <c r="L782" s="24"/>
      <c r="M782" s="83" t="s">
        <v>3</v>
      </c>
      <c r="N782" s="84" t="s">
        <v>39</v>
      </c>
      <c r="O782" s="85">
        <v>0.08</v>
      </c>
      <c r="P782" s="85">
        <f>O782*H782</f>
        <v>2.7039999999999997</v>
      </c>
      <c r="Q782" s="85">
        <v>1E-4</v>
      </c>
      <c r="R782" s="85">
        <f>Q782*H782</f>
        <v>3.3799999999999998E-3</v>
      </c>
      <c r="S782" s="85">
        <v>0</v>
      </c>
      <c r="T782" s="86">
        <f>S782*H782</f>
        <v>0</v>
      </c>
      <c r="U782" s="23"/>
      <c r="V782" s="23"/>
      <c r="W782" s="23"/>
      <c r="X782" s="23"/>
      <c r="Y782" s="23"/>
      <c r="Z782" s="23"/>
      <c r="AA782" s="23"/>
      <c r="AB782" s="23"/>
      <c r="AC782" s="23"/>
      <c r="AD782" s="23"/>
      <c r="AE782" s="23"/>
      <c r="AR782" s="87" t="s">
        <v>305</v>
      </c>
      <c r="AT782" s="87" t="s">
        <v>218</v>
      </c>
      <c r="AU782" s="87" t="s">
        <v>77</v>
      </c>
      <c r="AY782" s="19" t="s">
        <v>216</v>
      </c>
      <c r="BE782" s="88">
        <f>IF(N782="základní",J782,0)</f>
        <v>0</v>
      </c>
      <c r="BF782" s="88">
        <f>IF(N782="snížená",J782,0)</f>
        <v>0</v>
      </c>
      <c r="BG782" s="88">
        <f>IF(N782="zákl. přenesená",J782,0)</f>
        <v>0</v>
      </c>
      <c r="BH782" s="88">
        <f>IF(N782="sníž. přenesená",J782,0)</f>
        <v>0</v>
      </c>
      <c r="BI782" s="88">
        <f>IF(N782="nulová",J782,0)</f>
        <v>0</v>
      </c>
      <c r="BJ782" s="19" t="s">
        <v>75</v>
      </c>
      <c r="BK782" s="88">
        <f>ROUND(I782*H782,2)</f>
        <v>0</v>
      </c>
      <c r="BL782" s="19" t="s">
        <v>305</v>
      </c>
      <c r="BM782" s="87" t="s">
        <v>1045</v>
      </c>
    </row>
    <row r="783" spans="1:65" s="2" customFormat="1" ht="126.75">
      <c r="A783" s="269"/>
      <c r="B783" s="270"/>
      <c r="C783" s="269"/>
      <c r="D783" s="315" t="s">
        <v>231</v>
      </c>
      <c r="E783" s="269"/>
      <c r="F783" s="323" t="s">
        <v>990</v>
      </c>
      <c r="G783" s="269"/>
      <c r="H783" s="269"/>
      <c r="I783" s="248"/>
      <c r="J783" s="248"/>
      <c r="K783" s="269"/>
      <c r="L783" s="24"/>
      <c r="M783" s="99"/>
      <c r="N783" s="100"/>
      <c r="O783" s="32"/>
      <c r="P783" s="32"/>
      <c r="Q783" s="32"/>
      <c r="R783" s="32"/>
      <c r="S783" s="32"/>
      <c r="T783" s="33"/>
      <c r="U783" s="23"/>
      <c r="V783" s="23"/>
      <c r="W783" s="23"/>
      <c r="X783" s="23"/>
      <c r="Y783" s="23"/>
      <c r="Z783" s="23"/>
      <c r="AA783" s="23"/>
      <c r="AB783" s="23"/>
      <c r="AC783" s="23"/>
      <c r="AD783" s="23"/>
      <c r="AE783" s="23"/>
      <c r="AT783" s="19" t="s">
        <v>231</v>
      </c>
      <c r="AU783" s="19" t="s">
        <v>77</v>
      </c>
    </row>
    <row r="784" spans="1:65" s="13" customFormat="1">
      <c r="A784" s="313"/>
      <c r="B784" s="314"/>
      <c r="C784" s="313"/>
      <c r="D784" s="315" t="s">
        <v>225</v>
      </c>
      <c r="E784" s="316" t="s">
        <v>3</v>
      </c>
      <c r="F784" s="317" t="s">
        <v>991</v>
      </c>
      <c r="G784" s="313"/>
      <c r="H784" s="316" t="s">
        <v>3</v>
      </c>
      <c r="I784" s="259"/>
      <c r="J784" s="259"/>
      <c r="K784" s="313"/>
      <c r="L784" s="89"/>
      <c r="M784" s="91"/>
      <c r="N784" s="92"/>
      <c r="O784" s="92"/>
      <c r="P784" s="92"/>
      <c r="Q784" s="92"/>
      <c r="R784" s="92"/>
      <c r="S784" s="92"/>
      <c r="T784" s="93"/>
      <c r="AT784" s="90" t="s">
        <v>225</v>
      </c>
      <c r="AU784" s="90" t="s">
        <v>77</v>
      </c>
      <c r="AV784" s="13" t="s">
        <v>75</v>
      </c>
      <c r="AW784" s="13" t="s">
        <v>30</v>
      </c>
      <c r="AX784" s="13" t="s">
        <v>68</v>
      </c>
      <c r="AY784" s="90" t="s">
        <v>216</v>
      </c>
    </row>
    <row r="785" spans="1:65" s="14" customFormat="1">
      <c r="A785" s="318"/>
      <c r="B785" s="319"/>
      <c r="C785" s="318"/>
      <c r="D785" s="315" t="s">
        <v>225</v>
      </c>
      <c r="E785" s="320" t="s">
        <v>3</v>
      </c>
      <c r="F785" s="321" t="s">
        <v>1001</v>
      </c>
      <c r="G785" s="318"/>
      <c r="H785" s="322">
        <v>11.2</v>
      </c>
      <c r="I785" s="260"/>
      <c r="J785" s="260"/>
      <c r="K785" s="318"/>
      <c r="L785" s="94"/>
      <c r="M785" s="96"/>
      <c r="N785" s="97"/>
      <c r="O785" s="97"/>
      <c r="P785" s="97"/>
      <c r="Q785" s="97"/>
      <c r="R785" s="97"/>
      <c r="S785" s="97"/>
      <c r="T785" s="98"/>
      <c r="AT785" s="95" t="s">
        <v>225</v>
      </c>
      <c r="AU785" s="95" t="s">
        <v>77</v>
      </c>
      <c r="AV785" s="14" t="s">
        <v>77</v>
      </c>
      <c r="AW785" s="14" t="s">
        <v>30</v>
      </c>
      <c r="AX785" s="14" t="s">
        <v>68</v>
      </c>
      <c r="AY785" s="95" t="s">
        <v>216</v>
      </c>
    </row>
    <row r="786" spans="1:65" s="14" customFormat="1">
      <c r="A786" s="318"/>
      <c r="B786" s="319"/>
      <c r="C786" s="318"/>
      <c r="D786" s="315" t="s">
        <v>225</v>
      </c>
      <c r="E786" s="320" t="s">
        <v>3</v>
      </c>
      <c r="F786" s="321" t="s">
        <v>993</v>
      </c>
      <c r="G786" s="318"/>
      <c r="H786" s="322">
        <v>22.6</v>
      </c>
      <c r="I786" s="260"/>
      <c r="J786" s="260"/>
      <c r="K786" s="318"/>
      <c r="L786" s="94"/>
      <c r="M786" s="96"/>
      <c r="N786" s="97"/>
      <c r="O786" s="97"/>
      <c r="P786" s="97"/>
      <c r="Q786" s="97"/>
      <c r="R786" s="97"/>
      <c r="S786" s="97"/>
      <c r="T786" s="98"/>
      <c r="AT786" s="95" t="s">
        <v>225</v>
      </c>
      <c r="AU786" s="95" t="s">
        <v>77</v>
      </c>
      <c r="AV786" s="14" t="s">
        <v>77</v>
      </c>
      <c r="AW786" s="14" t="s">
        <v>30</v>
      </c>
      <c r="AX786" s="14" t="s">
        <v>68</v>
      </c>
      <c r="AY786" s="95" t="s">
        <v>216</v>
      </c>
    </row>
    <row r="787" spans="1:65" s="16" customFormat="1">
      <c r="A787" s="329"/>
      <c r="B787" s="330"/>
      <c r="C787" s="329"/>
      <c r="D787" s="315" t="s">
        <v>225</v>
      </c>
      <c r="E787" s="331" t="s">
        <v>3</v>
      </c>
      <c r="F787" s="332" t="s">
        <v>254</v>
      </c>
      <c r="G787" s="329"/>
      <c r="H787" s="333">
        <v>33.799999999999997</v>
      </c>
      <c r="I787" s="262"/>
      <c r="J787" s="262"/>
      <c r="K787" s="329"/>
      <c r="L787" s="106"/>
      <c r="M787" s="108"/>
      <c r="N787" s="109"/>
      <c r="O787" s="109"/>
      <c r="P787" s="109"/>
      <c r="Q787" s="109"/>
      <c r="R787" s="109"/>
      <c r="S787" s="109"/>
      <c r="T787" s="110"/>
      <c r="AT787" s="107" t="s">
        <v>225</v>
      </c>
      <c r="AU787" s="107" t="s">
        <v>77</v>
      </c>
      <c r="AV787" s="16" t="s">
        <v>223</v>
      </c>
      <c r="AW787" s="16" t="s">
        <v>30</v>
      </c>
      <c r="AX787" s="16" t="s">
        <v>75</v>
      </c>
      <c r="AY787" s="107" t="s">
        <v>216</v>
      </c>
    </row>
    <row r="788" spans="1:65" s="2" customFormat="1" ht="21.6" customHeight="1">
      <c r="A788" s="269"/>
      <c r="B788" s="270"/>
      <c r="C788" s="308" t="s">
        <v>1046</v>
      </c>
      <c r="D788" s="308" t="s">
        <v>218</v>
      </c>
      <c r="E788" s="309" t="s">
        <v>1047</v>
      </c>
      <c r="F788" s="310" t="s">
        <v>1048</v>
      </c>
      <c r="G788" s="311" t="s">
        <v>286</v>
      </c>
      <c r="H788" s="312">
        <v>51.8</v>
      </c>
      <c r="I788" s="82">
        <v>0</v>
      </c>
      <c r="J788" s="82">
        <f>ROUND(I788*H788,2)</f>
        <v>0</v>
      </c>
      <c r="K788" s="310" t="s">
        <v>222</v>
      </c>
      <c r="L788" s="24"/>
      <c r="M788" s="83" t="s">
        <v>3</v>
      </c>
      <c r="N788" s="84" t="s">
        <v>39</v>
      </c>
      <c r="O788" s="85">
        <v>0.20399999999999999</v>
      </c>
      <c r="P788" s="85">
        <f>O788*H788</f>
        <v>10.567199999999998</v>
      </c>
      <c r="Q788" s="85">
        <v>0</v>
      </c>
      <c r="R788" s="85">
        <f>Q788*H788</f>
        <v>0</v>
      </c>
      <c r="S788" s="85">
        <v>1.721E-2</v>
      </c>
      <c r="T788" s="86">
        <f>S788*H788</f>
        <v>0.89147799999999988</v>
      </c>
      <c r="U788" s="23"/>
      <c r="V788" s="23"/>
      <c r="W788" s="23"/>
      <c r="X788" s="23"/>
      <c r="Y788" s="23"/>
      <c r="Z788" s="23"/>
      <c r="AA788" s="23"/>
      <c r="AB788" s="23"/>
      <c r="AC788" s="23"/>
      <c r="AD788" s="23"/>
      <c r="AE788" s="23"/>
      <c r="AR788" s="87" t="s">
        <v>305</v>
      </c>
      <c r="AT788" s="87" t="s">
        <v>218</v>
      </c>
      <c r="AU788" s="87" t="s">
        <v>77</v>
      </c>
      <c r="AY788" s="19" t="s">
        <v>216</v>
      </c>
      <c r="BE788" s="88">
        <f>IF(N788="základní",J788,0)</f>
        <v>0</v>
      </c>
      <c r="BF788" s="88">
        <f>IF(N788="snížená",J788,0)</f>
        <v>0</v>
      </c>
      <c r="BG788" s="88">
        <f>IF(N788="zákl. přenesená",J788,0)</f>
        <v>0</v>
      </c>
      <c r="BH788" s="88">
        <f>IF(N788="sníž. přenesená",J788,0)</f>
        <v>0</v>
      </c>
      <c r="BI788" s="88">
        <f>IF(N788="nulová",J788,0)</f>
        <v>0</v>
      </c>
      <c r="BJ788" s="19" t="s">
        <v>75</v>
      </c>
      <c r="BK788" s="88">
        <f>ROUND(I788*H788,2)</f>
        <v>0</v>
      </c>
      <c r="BL788" s="19" t="s">
        <v>305</v>
      </c>
      <c r="BM788" s="87" t="s">
        <v>1049</v>
      </c>
    </row>
    <row r="789" spans="1:65" s="2" customFormat="1" ht="48.75">
      <c r="A789" s="269"/>
      <c r="B789" s="270"/>
      <c r="C789" s="269"/>
      <c r="D789" s="315" t="s">
        <v>231</v>
      </c>
      <c r="E789" s="269"/>
      <c r="F789" s="323" t="s">
        <v>1050</v>
      </c>
      <c r="G789" s="269"/>
      <c r="H789" s="269"/>
      <c r="I789" s="248"/>
      <c r="J789" s="248"/>
      <c r="K789" s="269"/>
      <c r="L789" s="24"/>
      <c r="M789" s="99"/>
      <c r="N789" s="100"/>
      <c r="O789" s="32"/>
      <c r="P789" s="32"/>
      <c r="Q789" s="32"/>
      <c r="R789" s="32"/>
      <c r="S789" s="32"/>
      <c r="T789" s="33"/>
      <c r="U789" s="23"/>
      <c r="V789" s="23"/>
      <c r="W789" s="23"/>
      <c r="X789" s="23"/>
      <c r="Y789" s="23"/>
      <c r="Z789" s="23"/>
      <c r="AA789" s="23"/>
      <c r="AB789" s="23"/>
      <c r="AC789" s="23"/>
      <c r="AD789" s="23"/>
      <c r="AE789" s="23"/>
      <c r="AT789" s="19" t="s">
        <v>231</v>
      </c>
      <c r="AU789" s="19" t="s">
        <v>77</v>
      </c>
    </row>
    <row r="790" spans="1:65" s="13" customFormat="1">
      <c r="A790" s="313"/>
      <c r="B790" s="314"/>
      <c r="C790" s="313"/>
      <c r="D790" s="315" t="s">
        <v>225</v>
      </c>
      <c r="E790" s="316" t="s">
        <v>3</v>
      </c>
      <c r="F790" s="317" t="s">
        <v>241</v>
      </c>
      <c r="G790" s="313"/>
      <c r="H790" s="316" t="s">
        <v>3</v>
      </c>
      <c r="I790" s="259"/>
      <c r="J790" s="259"/>
      <c r="K790" s="313"/>
      <c r="L790" s="89"/>
      <c r="M790" s="91"/>
      <c r="N790" s="92"/>
      <c r="O790" s="92"/>
      <c r="P790" s="92"/>
      <c r="Q790" s="92"/>
      <c r="R790" s="92"/>
      <c r="S790" s="92"/>
      <c r="T790" s="93"/>
      <c r="AT790" s="90" t="s">
        <v>225</v>
      </c>
      <c r="AU790" s="90" t="s">
        <v>77</v>
      </c>
      <c r="AV790" s="13" t="s">
        <v>75</v>
      </c>
      <c r="AW790" s="13" t="s">
        <v>30</v>
      </c>
      <c r="AX790" s="13" t="s">
        <v>68</v>
      </c>
      <c r="AY790" s="90" t="s">
        <v>216</v>
      </c>
    </row>
    <row r="791" spans="1:65" s="13" customFormat="1">
      <c r="A791" s="313"/>
      <c r="B791" s="314"/>
      <c r="C791" s="313"/>
      <c r="D791" s="315" t="s">
        <v>225</v>
      </c>
      <c r="E791" s="316" t="s">
        <v>3</v>
      </c>
      <c r="F791" s="317" t="s">
        <v>653</v>
      </c>
      <c r="G791" s="313"/>
      <c r="H791" s="316" t="s">
        <v>3</v>
      </c>
      <c r="I791" s="259"/>
      <c r="J791" s="259"/>
      <c r="K791" s="313"/>
      <c r="L791" s="89"/>
      <c r="M791" s="91"/>
      <c r="N791" s="92"/>
      <c r="O791" s="92"/>
      <c r="P791" s="92"/>
      <c r="Q791" s="92"/>
      <c r="R791" s="92"/>
      <c r="S791" s="92"/>
      <c r="T791" s="93"/>
      <c r="AT791" s="90" t="s">
        <v>225</v>
      </c>
      <c r="AU791" s="90" t="s">
        <v>77</v>
      </c>
      <c r="AV791" s="13" t="s">
        <v>75</v>
      </c>
      <c r="AW791" s="13" t="s">
        <v>30</v>
      </c>
      <c r="AX791" s="13" t="s">
        <v>68</v>
      </c>
      <c r="AY791" s="90" t="s">
        <v>216</v>
      </c>
    </row>
    <row r="792" spans="1:65" s="14" customFormat="1">
      <c r="A792" s="318"/>
      <c r="B792" s="319"/>
      <c r="C792" s="318"/>
      <c r="D792" s="315" t="s">
        <v>225</v>
      </c>
      <c r="E792" s="320" t="s">
        <v>3</v>
      </c>
      <c r="F792" s="321" t="s">
        <v>1051</v>
      </c>
      <c r="G792" s="318"/>
      <c r="H792" s="322">
        <v>7.3</v>
      </c>
      <c r="I792" s="260"/>
      <c r="J792" s="260"/>
      <c r="K792" s="318"/>
      <c r="L792" s="94"/>
      <c r="M792" s="96"/>
      <c r="N792" s="97"/>
      <c r="O792" s="97"/>
      <c r="P792" s="97"/>
      <c r="Q792" s="97"/>
      <c r="R792" s="97"/>
      <c r="S792" s="97"/>
      <c r="T792" s="98"/>
      <c r="AT792" s="95" t="s">
        <v>225</v>
      </c>
      <c r="AU792" s="95" t="s">
        <v>77</v>
      </c>
      <c r="AV792" s="14" t="s">
        <v>77</v>
      </c>
      <c r="AW792" s="14" t="s">
        <v>30</v>
      </c>
      <c r="AX792" s="14" t="s">
        <v>68</v>
      </c>
      <c r="AY792" s="95" t="s">
        <v>216</v>
      </c>
    </row>
    <row r="793" spans="1:65" s="13" customFormat="1">
      <c r="A793" s="313"/>
      <c r="B793" s="314"/>
      <c r="C793" s="313"/>
      <c r="D793" s="315" t="s">
        <v>225</v>
      </c>
      <c r="E793" s="316" t="s">
        <v>3</v>
      </c>
      <c r="F793" s="317" t="s">
        <v>1052</v>
      </c>
      <c r="G793" s="313"/>
      <c r="H793" s="316" t="s">
        <v>3</v>
      </c>
      <c r="I793" s="259"/>
      <c r="J793" s="259"/>
      <c r="K793" s="313"/>
      <c r="L793" s="89"/>
      <c r="M793" s="91"/>
      <c r="N793" s="92"/>
      <c r="O793" s="92"/>
      <c r="P793" s="92"/>
      <c r="Q793" s="92"/>
      <c r="R793" s="92"/>
      <c r="S793" s="92"/>
      <c r="T793" s="93"/>
      <c r="AT793" s="90" t="s">
        <v>225</v>
      </c>
      <c r="AU793" s="90" t="s">
        <v>77</v>
      </c>
      <c r="AV793" s="13" t="s">
        <v>75</v>
      </c>
      <c r="AW793" s="13" t="s">
        <v>30</v>
      </c>
      <c r="AX793" s="13" t="s">
        <v>68</v>
      </c>
      <c r="AY793" s="90" t="s">
        <v>216</v>
      </c>
    </row>
    <row r="794" spans="1:65" s="14" customFormat="1">
      <c r="A794" s="318"/>
      <c r="B794" s="319"/>
      <c r="C794" s="318"/>
      <c r="D794" s="315" t="s">
        <v>225</v>
      </c>
      <c r="E794" s="320" t="s">
        <v>3</v>
      </c>
      <c r="F794" s="321" t="s">
        <v>1053</v>
      </c>
      <c r="G794" s="318"/>
      <c r="H794" s="322">
        <v>44.5</v>
      </c>
      <c r="I794" s="260"/>
      <c r="J794" s="260"/>
      <c r="K794" s="318"/>
      <c r="L794" s="94"/>
      <c r="M794" s="96"/>
      <c r="N794" s="97"/>
      <c r="O794" s="97"/>
      <c r="P794" s="97"/>
      <c r="Q794" s="97"/>
      <c r="R794" s="97"/>
      <c r="S794" s="97"/>
      <c r="T794" s="98"/>
      <c r="AT794" s="95" t="s">
        <v>225</v>
      </c>
      <c r="AU794" s="95" t="s">
        <v>77</v>
      </c>
      <c r="AV794" s="14" t="s">
        <v>77</v>
      </c>
      <c r="AW794" s="14" t="s">
        <v>30</v>
      </c>
      <c r="AX794" s="14" t="s">
        <v>68</v>
      </c>
      <c r="AY794" s="95" t="s">
        <v>216</v>
      </c>
    </row>
    <row r="795" spans="1:65" s="16" customFormat="1">
      <c r="A795" s="329"/>
      <c r="B795" s="330"/>
      <c r="C795" s="329"/>
      <c r="D795" s="315" t="s">
        <v>225</v>
      </c>
      <c r="E795" s="331" t="s">
        <v>3</v>
      </c>
      <c r="F795" s="332" t="s">
        <v>254</v>
      </c>
      <c r="G795" s="329"/>
      <c r="H795" s="333">
        <v>51.8</v>
      </c>
      <c r="I795" s="262"/>
      <c r="J795" s="262"/>
      <c r="K795" s="329"/>
      <c r="L795" s="106"/>
      <c r="M795" s="108"/>
      <c r="N795" s="109"/>
      <c r="O795" s="109"/>
      <c r="P795" s="109"/>
      <c r="Q795" s="109"/>
      <c r="R795" s="109"/>
      <c r="S795" s="109"/>
      <c r="T795" s="110"/>
      <c r="AT795" s="107" t="s">
        <v>225</v>
      </c>
      <c r="AU795" s="107" t="s">
        <v>77</v>
      </c>
      <c r="AV795" s="16" t="s">
        <v>223</v>
      </c>
      <c r="AW795" s="16" t="s">
        <v>30</v>
      </c>
      <c r="AX795" s="16" t="s">
        <v>75</v>
      </c>
      <c r="AY795" s="107" t="s">
        <v>216</v>
      </c>
    </row>
    <row r="796" spans="1:65" s="2" customFormat="1" ht="21.6" customHeight="1">
      <c r="A796" s="269"/>
      <c r="B796" s="270"/>
      <c r="C796" s="308" t="s">
        <v>1054</v>
      </c>
      <c r="D796" s="308" t="s">
        <v>218</v>
      </c>
      <c r="E796" s="309" t="s">
        <v>1055</v>
      </c>
      <c r="F796" s="310" t="s">
        <v>1056</v>
      </c>
      <c r="G796" s="311" t="s">
        <v>286</v>
      </c>
      <c r="H796" s="312">
        <v>14.2</v>
      </c>
      <c r="I796" s="82">
        <v>0</v>
      </c>
      <c r="J796" s="82">
        <f>ROUND(I796*H796,2)</f>
        <v>0</v>
      </c>
      <c r="K796" s="310" t="s">
        <v>222</v>
      </c>
      <c r="L796" s="24"/>
      <c r="M796" s="83" t="s">
        <v>3</v>
      </c>
      <c r="N796" s="84" t="s">
        <v>39</v>
      </c>
      <c r="O796" s="85">
        <v>1.0980000000000001</v>
      </c>
      <c r="P796" s="85">
        <f>O796*H796</f>
        <v>15.5916</v>
      </c>
      <c r="Q796" s="85">
        <v>2.7599999999999999E-3</v>
      </c>
      <c r="R796" s="85">
        <f>Q796*H796</f>
        <v>3.9191999999999998E-2</v>
      </c>
      <c r="S796" s="85">
        <v>0</v>
      </c>
      <c r="T796" s="86">
        <f>S796*H796</f>
        <v>0</v>
      </c>
      <c r="U796" s="23"/>
      <c r="V796" s="23"/>
      <c r="W796" s="23"/>
      <c r="X796" s="23"/>
      <c r="Y796" s="23"/>
      <c r="Z796" s="23"/>
      <c r="AA796" s="23"/>
      <c r="AB796" s="23"/>
      <c r="AC796" s="23"/>
      <c r="AD796" s="23"/>
      <c r="AE796" s="23"/>
      <c r="AR796" s="87" t="s">
        <v>305</v>
      </c>
      <c r="AT796" s="87" t="s">
        <v>218</v>
      </c>
      <c r="AU796" s="87" t="s">
        <v>77</v>
      </c>
      <c r="AY796" s="19" t="s">
        <v>216</v>
      </c>
      <c r="BE796" s="88">
        <f>IF(N796="základní",J796,0)</f>
        <v>0</v>
      </c>
      <c r="BF796" s="88">
        <f>IF(N796="snížená",J796,0)</f>
        <v>0</v>
      </c>
      <c r="BG796" s="88">
        <f>IF(N796="zákl. přenesená",J796,0)</f>
        <v>0</v>
      </c>
      <c r="BH796" s="88">
        <f>IF(N796="sníž. přenesená",J796,0)</f>
        <v>0</v>
      </c>
      <c r="BI796" s="88">
        <f>IF(N796="nulová",J796,0)</f>
        <v>0</v>
      </c>
      <c r="BJ796" s="19" t="s">
        <v>75</v>
      </c>
      <c r="BK796" s="88">
        <f>ROUND(I796*H796,2)</f>
        <v>0</v>
      </c>
      <c r="BL796" s="19" t="s">
        <v>305</v>
      </c>
      <c r="BM796" s="87" t="s">
        <v>1057</v>
      </c>
    </row>
    <row r="797" spans="1:65" s="2" customFormat="1" ht="48.75">
      <c r="A797" s="269"/>
      <c r="B797" s="270"/>
      <c r="C797" s="269"/>
      <c r="D797" s="315" t="s">
        <v>231</v>
      </c>
      <c r="E797" s="269"/>
      <c r="F797" s="323" t="s">
        <v>1058</v>
      </c>
      <c r="G797" s="269"/>
      <c r="H797" s="269"/>
      <c r="I797" s="248"/>
      <c r="J797" s="248"/>
      <c r="K797" s="269"/>
      <c r="L797" s="24"/>
      <c r="M797" s="99"/>
      <c r="N797" s="100"/>
      <c r="O797" s="32"/>
      <c r="P797" s="32"/>
      <c r="Q797" s="32"/>
      <c r="R797" s="32"/>
      <c r="S797" s="32"/>
      <c r="T797" s="33"/>
      <c r="U797" s="23"/>
      <c r="V797" s="23"/>
      <c r="W797" s="23"/>
      <c r="X797" s="23"/>
      <c r="Y797" s="23"/>
      <c r="Z797" s="23"/>
      <c r="AA797" s="23"/>
      <c r="AB797" s="23"/>
      <c r="AC797" s="23"/>
      <c r="AD797" s="23"/>
      <c r="AE797" s="23"/>
      <c r="AT797" s="19" t="s">
        <v>231</v>
      </c>
      <c r="AU797" s="19" t="s">
        <v>77</v>
      </c>
    </row>
    <row r="798" spans="1:65" s="13" customFormat="1">
      <c r="A798" s="313"/>
      <c r="B798" s="314"/>
      <c r="C798" s="313"/>
      <c r="D798" s="315" t="s">
        <v>225</v>
      </c>
      <c r="E798" s="316" t="s">
        <v>3</v>
      </c>
      <c r="F798" s="317" t="s">
        <v>991</v>
      </c>
      <c r="G798" s="313"/>
      <c r="H798" s="316" t="s">
        <v>3</v>
      </c>
      <c r="I798" s="259"/>
      <c r="J798" s="259"/>
      <c r="K798" s="313"/>
      <c r="L798" s="89"/>
      <c r="M798" s="91"/>
      <c r="N798" s="92"/>
      <c r="O798" s="92"/>
      <c r="P798" s="92"/>
      <c r="Q798" s="92"/>
      <c r="R798" s="92"/>
      <c r="S798" s="92"/>
      <c r="T798" s="93"/>
      <c r="AT798" s="90" t="s">
        <v>225</v>
      </c>
      <c r="AU798" s="90" t="s">
        <v>77</v>
      </c>
      <c r="AV798" s="13" t="s">
        <v>75</v>
      </c>
      <c r="AW798" s="13" t="s">
        <v>30</v>
      </c>
      <c r="AX798" s="13" t="s">
        <v>68</v>
      </c>
      <c r="AY798" s="90" t="s">
        <v>216</v>
      </c>
    </row>
    <row r="799" spans="1:65" s="13" customFormat="1">
      <c r="A799" s="313"/>
      <c r="B799" s="314"/>
      <c r="C799" s="313"/>
      <c r="D799" s="315" t="s">
        <v>225</v>
      </c>
      <c r="E799" s="316" t="s">
        <v>3</v>
      </c>
      <c r="F799" s="317" t="s">
        <v>1059</v>
      </c>
      <c r="G799" s="313"/>
      <c r="H799" s="316" t="s">
        <v>3</v>
      </c>
      <c r="I799" s="259"/>
      <c r="J799" s="259"/>
      <c r="K799" s="313"/>
      <c r="L799" s="89"/>
      <c r="M799" s="91"/>
      <c r="N799" s="92"/>
      <c r="O799" s="92"/>
      <c r="P799" s="92"/>
      <c r="Q799" s="92"/>
      <c r="R799" s="92"/>
      <c r="S799" s="92"/>
      <c r="T799" s="93"/>
      <c r="AT799" s="90" t="s">
        <v>225</v>
      </c>
      <c r="AU799" s="90" t="s">
        <v>77</v>
      </c>
      <c r="AV799" s="13" t="s">
        <v>75</v>
      </c>
      <c r="AW799" s="13" t="s">
        <v>30</v>
      </c>
      <c r="AX799" s="13" t="s">
        <v>68</v>
      </c>
      <c r="AY799" s="90" t="s">
        <v>216</v>
      </c>
    </row>
    <row r="800" spans="1:65" s="14" customFormat="1">
      <c r="A800" s="318"/>
      <c r="B800" s="319"/>
      <c r="C800" s="318"/>
      <c r="D800" s="315" t="s">
        <v>225</v>
      </c>
      <c r="E800" s="320" t="s">
        <v>3</v>
      </c>
      <c r="F800" s="321" t="s">
        <v>1060</v>
      </c>
      <c r="G800" s="318"/>
      <c r="H800" s="322">
        <v>14.2</v>
      </c>
      <c r="I800" s="260"/>
      <c r="J800" s="260"/>
      <c r="K800" s="318"/>
      <c r="L800" s="94"/>
      <c r="M800" s="96"/>
      <c r="N800" s="97"/>
      <c r="O800" s="97"/>
      <c r="P800" s="97"/>
      <c r="Q800" s="97"/>
      <c r="R800" s="97"/>
      <c r="S800" s="97"/>
      <c r="T800" s="98"/>
      <c r="AT800" s="95" t="s">
        <v>225</v>
      </c>
      <c r="AU800" s="95" t="s">
        <v>77</v>
      </c>
      <c r="AV800" s="14" t="s">
        <v>77</v>
      </c>
      <c r="AW800" s="14" t="s">
        <v>30</v>
      </c>
      <c r="AX800" s="14" t="s">
        <v>68</v>
      </c>
      <c r="AY800" s="95" t="s">
        <v>216</v>
      </c>
    </row>
    <row r="801" spans="1:65" s="16" customFormat="1">
      <c r="A801" s="329"/>
      <c r="B801" s="330"/>
      <c r="C801" s="329"/>
      <c r="D801" s="315" t="s">
        <v>225</v>
      </c>
      <c r="E801" s="331" t="s">
        <v>3</v>
      </c>
      <c r="F801" s="332" t="s">
        <v>254</v>
      </c>
      <c r="G801" s="329"/>
      <c r="H801" s="333">
        <v>14.2</v>
      </c>
      <c r="I801" s="262"/>
      <c r="J801" s="262"/>
      <c r="K801" s="329"/>
      <c r="L801" s="106"/>
      <c r="M801" s="108"/>
      <c r="N801" s="109"/>
      <c r="O801" s="109"/>
      <c r="P801" s="109"/>
      <c r="Q801" s="109"/>
      <c r="R801" s="109"/>
      <c r="S801" s="109"/>
      <c r="T801" s="110"/>
      <c r="AT801" s="107" t="s">
        <v>225</v>
      </c>
      <c r="AU801" s="107" t="s">
        <v>77</v>
      </c>
      <c r="AV801" s="16" t="s">
        <v>223</v>
      </c>
      <c r="AW801" s="16" t="s">
        <v>30</v>
      </c>
      <c r="AX801" s="16" t="s">
        <v>75</v>
      </c>
      <c r="AY801" s="107" t="s">
        <v>216</v>
      </c>
    </row>
    <row r="802" spans="1:65" s="2" customFormat="1" ht="14.45" customHeight="1">
      <c r="A802" s="269"/>
      <c r="B802" s="270"/>
      <c r="C802" s="334" t="s">
        <v>1061</v>
      </c>
      <c r="D802" s="334" t="s">
        <v>535</v>
      </c>
      <c r="E802" s="335" t="s">
        <v>1062</v>
      </c>
      <c r="F802" s="336" t="s">
        <v>1063</v>
      </c>
      <c r="G802" s="337" t="s">
        <v>286</v>
      </c>
      <c r="H802" s="338">
        <v>14.91</v>
      </c>
      <c r="I802" s="111">
        <v>0</v>
      </c>
      <c r="J802" s="111">
        <f>ROUND(I802*H802,2)</f>
        <v>0</v>
      </c>
      <c r="K802" s="336" t="s">
        <v>3</v>
      </c>
      <c r="L802" s="112"/>
      <c r="M802" s="113" t="s">
        <v>3</v>
      </c>
      <c r="N802" s="114" t="s">
        <v>39</v>
      </c>
      <c r="O802" s="85">
        <v>0</v>
      </c>
      <c r="P802" s="85">
        <f>O802*H802</f>
        <v>0</v>
      </c>
      <c r="Q802" s="85">
        <v>8.0000000000000002E-3</v>
      </c>
      <c r="R802" s="85">
        <f>Q802*H802</f>
        <v>0.11928</v>
      </c>
      <c r="S802" s="85">
        <v>0</v>
      </c>
      <c r="T802" s="86">
        <f>S802*H802</f>
        <v>0</v>
      </c>
      <c r="U802" s="23"/>
      <c r="V802" s="23"/>
      <c r="W802" s="23"/>
      <c r="X802" s="23"/>
      <c r="Y802" s="23"/>
      <c r="Z802" s="23"/>
      <c r="AA802" s="23"/>
      <c r="AB802" s="23"/>
      <c r="AC802" s="23"/>
      <c r="AD802" s="23"/>
      <c r="AE802" s="23"/>
      <c r="AR802" s="87" t="s">
        <v>410</v>
      </c>
      <c r="AT802" s="87" t="s">
        <v>535</v>
      </c>
      <c r="AU802" s="87" t="s">
        <v>77</v>
      </c>
      <c r="AY802" s="19" t="s">
        <v>216</v>
      </c>
      <c r="BE802" s="88">
        <f>IF(N802="základní",J802,0)</f>
        <v>0</v>
      </c>
      <c r="BF802" s="88">
        <f>IF(N802="snížená",J802,0)</f>
        <v>0</v>
      </c>
      <c r="BG802" s="88">
        <f>IF(N802="zákl. přenesená",J802,0)</f>
        <v>0</v>
      </c>
      <c r="BH802" s="88">
        <f>IF(N802="sníž. přenesená",J802,0)</f>
        <v>0</v>
      </c>
      <c r="BI802" s="88">
        <f>IF(N802="nulová",J802,0)</f>
        <v>0</v>
      </c>
      <c r="BJ802" s="19" t="s">
        <v>75</v>
      </c>
      <c r="BK802" s="88">
        <f>ROUND(I802*H802,2)</f>
        <v>0</v>
      </c>
      <c r="BL802" s="19" t="s">
        <v>305</v>
      </c>
      <c r="BM802" s="87" t="s">
        <v>1064</v>
      </c>
    </row>
    <row r="803" spans="1:65" s="14" customFormat="1">
      <c r="A803" s="318"/>
      <c r="B803" s="319"/>
      <c r="C803" s="318"/>
      <c r="D803" s="315" t="s">
        <v>225</v>
      </c>
      <c r="E803" s="318"/>
      <c r="F803" s="321" t="s">
        <v>1065</v>
      </c>
      <c r="G803" s="318"/>
      <c r="H803" s="322">
        <v>14.91</v>
      </c>
      <c r="I803" s="260"/>
      <c r="J803" s="260"/>
      <c r="K803" s="318"/>
      <c r="L803" s="94"/>
      <c r="M803" s="96"/>
      <c r="N803" s="97"/>
      <c r="O803" s="97"/>
      <c r="P803" s="97"/>
      <c r="Q803" s="97"/>
      <c r="R803" s="97"/>
      <c r="S803" s="97"/>
      <c r="T803" s="98"/>
      <c r="AT803" s="95" t="s">
        <v>225</v>
      </c>
      <c r="AU803" s="95" t="s">
        <v>77</v>
      </c>
      <c r="AV803" s="14" t="s">
        <v>77</v>
      </c>
      <c r="AW803" s="14" t="s">
        <v>4</v>
      </c>
      <c r="AX803" s="14" t="s">
        <v>75</v>
      </c>
      <c r="AY803" s="95" t="s">
        <v>216</v>
      </c>
    </row>
    <row r="804" spans="1:65" s="2" customFormat="1" ht="14.45" customHeight="1">
      <c r="A804" s="269"/>
      <c r="B804" s="270"/>
      <c r="C804" s="308" t="s">
        <v>1066</v>
      </c>
      <c r="D804" s="308" t="s">
        <v>218</v>
      </c>
      <c r="E804" s="309" t="s">
        <v>1067</v>
      </c>
      <c r="F804" s="310" t="s">
        <v>1068</v>
      </c>
      <c r="G804" s="311" t="s">
        <v>286</v>
      </c>
      <c r="H804" s="312">
        <v>14</v>
      </c>
      <c r="I804" s="82">
        <v>0</v>
      </c>
      <c r="J804" s="82">
        <f>ROUND(I804*H804,2)</f>
        <v>0</v>
      </c>
      <c r="K804" s="310" t="s">
        <v>222</v>
      </c>
      <c r="L804" s="24"/>
      <c r="M804" s="83" t="s">
        <v>3</v>
      </c>
      <c r="N804" s="84" t="s">
        <v>39</v>
      </c>
      <c r="O804" s="85">
        <v>0.28699999999999998</v>
      </c>
      <c r="P804" s="85">
        <f>O804*H804</f>
        <v>4.0179999999999998</v>
      </c>
      <c r="Q804" s="85">
        <v>0</v>
      </c>
      <c r="R804" s="85">
        <f>Q804*H804</f>
        <v>0</v>
      </c>
      <c r="S804" s="85">
        <v>1.065E-2</v>
      </c>
      <c r="T804" s="86">
        <f>S804*H804</f>
        <v>0.14910000000000001</v>
      </c>
      <c r="U804" s="23"/>
      <c r="V804" s="23"/>
      <c r="W804" s="23"/>
      <c r="X804" s="23"/>
      <c r="Y804" s="23"/>
      <c r="Z804" s="23"/>
      <c r="AA804" s="23"/>
      <c r="AB804" s="23"/>
      <c r="AC804" s="23"/>
      <c r="AD804" s="23"/>
      <c r="AE804" s="23"/>
      <c r="AR804" s="87" t="s">
        <v>305</v>
      </c>
      <c r="AT804" s="87" t="s">
        <v>218</v>
      </c>
      <c r="AU804" s="87" t="s">
        <v>77</v>
      </c>
      <c r="AY804" s="19" t="s">
        <v>216</v>
      </c>
      <c r="BE804" s="88">
        <f>IF(N804="základní",J804,0)</f>
        <v>0</v>
      </c>
      <c r="BF804" s="88">
        <f>IF(N804="snížená",J804,0)</f>
        <v>0</v>
      </c>
      <c r="BG804" s="88">
        <f>IF(N804="zákl. přenesená",J804,0)</f>
        <v>0</v>
      </c>
      <c r="BH804" s="88">
        <f>IF(N804="sníž. přenesená",J804,0)</f>
        <v>0</v>
      </c>
      <c r="BI804" s="88">
        <f>IF(N804="nulová",J804,0)</f>
        <v>0</v>
      </c>
      <c r="BJ804" s="19" t="s">
        <v>75</v>
      </c>
      <c r="BK804" s="88">
        <f>ROUND(I804*H804,2)</f>
        <v>0</v>
      </c>
      <c r="BL804" s="19" t="s">
        <v>305</v>
      </c>
      <c r="BM804" s="87" t="s">
        <v>1069</v>
      </c>
    </row>
    <row r="805" spans="1:65" s="2" customFormat="1" ht="39">
      <c r="A805" s="269"/>
      <c r="B805" s="270"/>
      <c r="C805" s="269"/>
      <c r="D805" s="315" t="s">
        <v>231</v>
      </c>
      <c r="E805" s="269"/>
      <c r="F805" s="323" t="s">
        <v>1070</v>
      </c>
      <c r="G805" s="269"/>
      <c r="H805" s="269"/>
      <c r="I805" s="248"/>
      <c r="J805" s="248"/>
      <c r="K805" s="269"/>
      <c r="L805" s="24"/>
      <c r="M805" s="99"/>
      <c r="N805" s="100"/>
      <c r="O805" s="32"/>
      <c r="P805" s="32"/>
      <c r="Q805" s="32"/>
      <c r="R805" s="32"/>
      <c r="S805" s="32"/>
      <c r="T805" s="33"/>
      <c r="U805" s="23"/>
      <c r="V805" s="23"/>
      <c r="W805" s="23"/>
      <c r="X805" s="23"/>
      <c r="Y805" s="23"/>
      <c r="Z805" s="23"/>
      <c r="AA805" s="23"/>
      <c r="AB805" s="23"/>
      <c r="AC805" s="23"/>
      <c r="AD805" s="23"/>
      <c r="AE805" s="23"/>
      <c r="AT805" s="19" t="s">
        <v>231</v>
      </c>
      <c r="AU805" s="19" t="s">
        <v>77</v>
      </c>
    </row>
    <row r="806" spans="1:65" s="13" customFormat="1">
      <c r="A806" s="313"/>
      <c r="B806" s="314"/>
      <c r="C806" s="313"/>
      <c r="D806" s="315" t="s">
        <v>225</v>
      </c>
      <c r="E806" s="316" t="s">
        <v>3</v>
      </c>
      <c r="F806" s="317" t="s">
        <v>241</v>
      </c>
      <c r="G806" s="313"/>
      <c r="H806" s="316" t="s">
        <v>3</v>
      </c>
      <c r="I806" s="259"/>
      <c r="J806" s="259"/>
      <c r="K806" s="313"/>
      <c r="L806" s="89"/>
      <c r="M806" s="91"/>
      <c r="N806" s="92"/>
      <c r="O806" s="92"/>
      <c r="P806" s="92"/>
      <c r="Q806" s="92"/>
      <c r="R806" s="92"/>
      <c r="S806" s="92"/>
      <c r="T806" s="93"/>
      <c r="AT806" s="90" t="s">
        <v>225</v>
      </c>
      <c r="AU806" s="90" t="s">
        <v>77</v>
      </c>
      <c r="AV806" s="13" t="s">
        <v>75</v>
      </c>
      <c r="AW806" s="13" t="s">
        <v>30</v>
      </c>
      <c r="AX806" s="13" t="s">
        <v>68</v>
      </c>
      <c r="AY806" s="90" t="s">
        <v>216</v>
      </c>
    </row>
    <row r="807" spans="1:65" s="13" customFormat="1">
      <c r="A807" s="313"/>
      <c r="B807" s="314"/>
      <c r="C807" s="313"/>
      <c r="D807" s="315" t="s">
        <v>225</v>
      </c>
      <c r="E807" s="316" t="s">
        <v>3</v>
      </c>
      <c r="F807" s="317" t="s">
        <v>1071</v>
      </c>
      <c r="G807" s="313"/>
      <c r="H807" s="316" t="s">
        <v>3</v>
      </c>
      <c r="I807" s="259"/>
      <c r="J807" s="259"/>
      <c r="K807" s="313"/>
      <c r="L807" s="89"/>
      <c r="M807" s="91"/>
      <c r="N807" s="92"/>
      <c r="O807" s="92"/>
      <c r="P807" s="92"/>
      <c r="Q807" s="92"/>
      <c r="R807" s="92"/>
      <c r="S807" s="92"/>
      <c r="T807" s="93"/>
      <c r="AT807" s="90" t="s">
        <v>225</v>
      </c>
      <c r="AU807" s="90" t="s">
        <v>77</v>
      </c>
      <c r="AV807" s="13" t="s">
        <v>75</v>
      </c>
      <c r="AW807" s="13" t="s">
        <v>30</v>
      </c>
      <c r="AX807" s="13" t="s">
        <v>68</v>
      </c>
      <c r="AY807" s="90" t="s">
        <v>216</v>
      </c>
    </row>
    <row r="808" spans="1:65" s="14" customFormat="1">
      <c r="A808" s="318"/>
      <c r="B808" s="319"/>
      <c r="C808" s="318"/>
      <c r="D808" s="315" t="s">
        <v>225</v>
      </c>
      <c r="E808" s="320" t="s">
        <v>3</v>
      </c>
      <c r="F808" s="321" t="s">
        <v>1072</v>
      </c>
      <c r="G808" s="318"/>
      <c r="H808" s="322">
        <v>14</v>
      </c>
      <c r="I808" s="260"/>
      <c r="J808" s="260"/>
      <c r="K808" s="318"/>
      <c r="L808" s="94"/>
      <c r="M808" s="96"/>
      <c r="N808" s="97"/>
      <c r="O808" s="97"/>
      <c r="P808" s="97"/>
      <c r="Q808" s="97"/>
      <c r="R808" s="97"/>
      <c r="S808" s="97"/>
      <c r="T808" s="98"/>
      <c r="AT808" s="95" t="s">
        <v>225</v>
      </c>
      <c r="AU808" s="95" t="s">
        <v>77</v>
      </c>
      <c r="AV808" s="14" t="s">
        <v>77</v>
      </c>
      <c r="AW808" s="14" t="s">
        <v>30</v>
      </c>
      <c r="AX808" s="14" t="s">
        <v>75</v>
      </c>
      <c r="AY808" s="95" t="s">
        <v>216</v>
      </c>
    </row>
    <row r="809" spans="1:65" s="2" customFormat="1" ht="21.6" customHeight="1">
      <c r="A809" s="269"/>
      <c r="B809" s="270"/>
      <c r="C809" s="308" t="s">
        <v>1073</v>
      </c>
      <c r="D809" s="308" t="s">
        <v>218</v>
      </c>
      <c r="E809" s="309" t="s">
        <v>1074</v>
      </c>
      <c r="F809" s="310" t="s">
        <v>1075</v>
      </c>
      <c r="G809" s="311" t="s">
        <v>291</v>
      </c>
      <c r="H809" s="312">
        <v>5</v>
      </c>
      <c r="I809" s="82">
        <v>0</v>
      </c>
      <c r="J809" s="82">
        <f>ROUND(I809*H809,2)</f>
        <v>0</v>
      </c>
      <c r="K809" s="310" t="s">
        <v>222</v>
      </c>
      <c r="L809" s="24"/>
      <c r="M809" s="83" t="s">
        <v>3</v>
      </c>
      <c r="N809" s="84" t="s">
        <v>39</v>
      </c>
      <c r="O809" s="85">
        <v>0.2</v>
      </c>
      <c r="P809" s="85">
        <f>O809*H809</f>
        <v>1</v>
      </c>
      <c r="Q809" s="85">
        <v>3.0000000000000001E-5</v>
      </c>
      <c r="R809" s="85">
        <f>Q809*H809</f>
        <v>1.5000000000000001E-4</v>
      </c>
      <c r="S809" s="85">
        <v>0</v>
      </c>
      <c r="T809" s="86">
        <f>S809*H809</f>
        <v>0</v>
      </c>
      <c r="U809" s="23"/>
      <c r="V809" s="23"/>
      <c r="W809" s="23"/>
      <c r="X809" s="23"/>
      <c r="Y809" s="23"/>
      <c r="Z809" s="23"/>
      <c r="AA809" s="23"/>
      <c r="AB809" s="23"/>
      <c r="AC809" s="23"/>
      <c r="AD809" s="23"/>
      <c r="AE809" s="23"/>
      <c r="AR809" s="87" t="s">
        <v>305</v>
      </c>
      <c r="AT809" s="87" t="s">
        <v>218</v>
      </c>
      <c r="AU809" s="87" t="s">
        <v>77</v>
      </c>
      <c r="AY809" s="19" t="s">
        <v>216</v>
      </c>
      <c r="BE809" s="88">
        <f>IF(N809="základní",J809,0)</f>
        <v>0</v>
      </c>
      <c r="BF809" s="88">
        <f>IF(N809="snížená",J809,0)</f>
        <v>0</v>
      </c>
      <c r="BG809" s="88">
        <f>IF(N809="zákl. přenesená",J809,0)</f>
        <v>0</v>
      </c>
      <c r="BH809" s="88">
        <f>IF(N809="sníž. přenesená",J809,0)</f>
        <v>0</v>
      </c>
      <c r="BI809" s="88">
        <f>IF(N809="nulová",J809,0)</f>
        <v>0</v>
      </c>
      <c r="BJ809" s="19" t="s">
        <v>75</v>
      </c>
      <c r="BK809" s="88">
        <f>ROUND(I809*H809,2)</f>
        <v>0</v>
      </c>
      <c r="BL809" s="19" t="s">
        <v>305</v>
      </c>
      <c r="BM809" s="87" t="s">
        <v>1076</v>
      </c>
    </row>
    <row r="810" spans="1:65" s="2" customFormat="1" ht="58.5">
      <c r="A810" s="269"/>
      <c r="B810" s="270"/>
      <c r="C810" s="269"/>
      <c r="D810" s="315" t="s">
        <v>231</v>
      </c>
      <c r="E810" s="269"/>
      <c r="F810" s="323" t="s">
        <v>1077</v>
      </c>
      <c r="G810" s="269"/>
      <c r="H810" s="269"/>
      <c r="I810" s="248"/>
      <c r="J810" s="248"/>
      <c r="K810" s="269"/>
      <c r="L810" s="24"/>
      <c r="M810" s="99"/>
      <c r="N810" s="100"/>
      <c r="O810" s="32"/>
      <c r="P810" s="32"/>
      <c r="Q810" s="32"/>
      <c r="R810" s="32"/>
      <c r="S810" s="32"/>
      <c r="T810" s="33"/>
      <c r="U810" s="23"/>
      <c r="V810" s="23"/>
      <c r="W810" s="23"/>
      <c r="X810" s="23"/>
      <c r="Y810" s="23"/>
      <c r="Z810" s="23"/>
      <c r="AA810" s="23"/>
      <c r="AB810" s="23"/>
      <c r="AC810" s="23"/>
      <c r="AD810" s="23"/>
      <c r="AE810" s="23"/>
      <c r="AT810" s="19" t="s">
        <v>231</v>
      </c>
      <c r="AU810" s="19" t="s">
        <v>77</v>
      </c>
    </row>
    <row r="811" spans="1:65" s="2" customFormat="1" ht="14.45" customHeight="1">
      <c r="A811" s="269"/>
      <c r="B811" s="270"/>
      <c r="C811" s="334" t="s">
        <v>1078</v>
      </c>
      <c r="D811" s="334" t="s">
        <v>535</v>
      </c>
      <c r="E811" s="335" t="s">
        <v>1079</v>
      </c>
      <c r="F811" s="336" t="s">
        <v>1080</v>
      </c>
      <c r="G811" s="337" t="s">
        <v>291</v>
      </c>
      <c r="H811" s="338">
        <v>5</v>
      </c>
      <c r="I811" s="111">
        <v>0</v>
      </c>
      <c r="J811" s="111">
        <f>ROUND(I811*H811,2)</f>
        <v>0</v>
      </c>
      <c r="K811" s="336" t="s">
        <v>222</v>
      </c>
      <c r="L811" s="112"/>
      <c r="M811" s="113" t="s">
        <v>3</v>
      </c>
      <c r="N811" s="114" t="s">
        <v>39</v>
      </c>
      <c r="O811" s="85">
        <v>0</v>
      </c>
      <c r="P811" s="85">
        <f>O811*H811</f>
        <v>0</v>
      </c>
      <c r="Q811" s="85">
        <v>3.6000000000000002E-4</v>
      </c>
      <c r="R811" s="85">
        <f>Q811*H811</f>
        <v>1.8000000000000002E-3</v>
      </c>
      <c r="S811" s="85">
        <v>0</v>
      </c>
      <c r="T811" s="86">
        <f>S811*H811</f>
        <v>0</v>
      </c>
      <c r="U811" s="23"/>
      <c r="V811" s="23"/>
      <c r="W811" s="23"/>
      <c r="X811" s="23"/>
      <c r="Y811" s="23"/>
      <c r="Z811" s="23"/>
      <c r="AA811" s="23"/>
      <c r="AB811" s="23"/>
      <c r="AC811" s="23"/>
      <c r="AD811" s="23"/>
      <c r="AE811" s="23"/>
      <c r="AR811" s="87" t="s">
        <v>410</v>
      </c>
      <c r="AT811" s="87" t="s">
        <v>535</v>
      </c>
      <c r="AU811" s="87" t="s">
        <v>77</v>
      </c>
      <c r="AY811" s="19" t="s">
        <v>216</v>
      </c>
      <c r="BE811" s="88">
        <f>IF(N811="základní",J811,0)</f>
        <v>0</v>
      </c>
      <c r="BF811" s="88">
        <f>IF(N811="snížená",J811,0)</f>
        <v>0</v>
      </c>
      <c r="BG811" s="88">
        <f>IF(N811="zákl. přenesená",J811,0)</f>
        <v>0</v>
      </c>
      <c r="BH811" s="88">
        <f>IF(N811="sníž. přenesená",J811,0)</f>
        <v>0</v>
      </c>
      <c r="BI811" s="88">
        <f>IF(N811="nulová",J811,0)</f>
        <v>0</v>
      </c>
      <c r="BJ811" s="19" t="s">
        <v>75</v>
      </c>
      <c r="BK811" s="88">
        <f>ROUND(I811*H811,2)</f>
        <v>0</v>
      </c>
      <c r="BL811" s="19" t="s">
        <v>305</v>
      </c>
      <c r="BM811" s="87" t="s">
        <v>1081</v>
      </c>
    </row>
    <row r="812" spans="1:65" s="2" customFormat="1" ht="21.6" customHeight="1">
      <c r="A812" s="269"/>
      <c r="B812" s="270"/>
      <c r="C812" s="308" t="s">
        <v>1082</v>
      </c>
      <c r="D812" s="308" t="s">
        <v>218</v>
      </c>
      <c r="E812" s="309" t="s">
        <v>1083</v>
      </c>
      <c r="F812" s="310" t="s">
        <v>1084</v>
      </c>
      <c r="G812" s="311" t="s">
        <v>291</v>
      </c>
      <c r="H812" s="312">
        <v>5</v>
      </c>
      <c r="I812" s="82">
        <v>0</v>
      </c>
      <c r="J812" s="82">
        <f>ROUND(I812*H812,2)</f>
        <v>0</v>
      </c>
      <c r="K812" s="310" t="s">
        <v>222</v>
      </c>
      <c r="L812" s="24"/>
      <c r="M812" s="83" t="s">
        <v>3</v>
      </c>
      <c r="N812" s="84" t="s">
        <v>39</v>
      </c>
      <c r="O812" s="85">
        <v>0.42</v>
      </c>
      <c r="P812" s="85">
        <f>O812*H812</f>
        <v>2.1</v>
      </c>
      <c r="Q812" s="85">
        <v>8.0000000000000007E-5</v>
      </c>
      <c r="R812" s="85">
        <f>Q812*H812</f>
        <v>4.0000000000000002E-4</v>
      </c>
      <c r="S812" s="85">
        <v>0</v>
      </c>
      <c r="T812" s="86">
        <f>S812*H812</f>
        <v>0</v>
      </c>
      <c r="U812" s="23"/>
      <c r="V812" s="23"/>
      <c r="W812" s="23"/>
      <c r="X812" s="23"/>
      <c r="Y812" s="23"/>
      <c r="Z812" s="23"/>
      <c r="AA812" s="23"/>
      <c r="AB812" s="23"/>
      <c r="AC812" s="23"/>
      <c r="AD812" s="23"/>
      <c r="AE812" s="23"/>
      <c r="AR812" s="87" t="s">
        <v>305</v>
      </c>
      <c r="AT812" s="87" t="s">
        <v>218</v>
      </c>
      <c r="AU812" s="87" t="s">
        <v>77</v>
      </c>
      <c r="AY812" s="19" t="s">
        <v>216</v>
      </c>
      <c r="BE812" s="88">
        <f>IF(N812="základní",J812,0)</f>
        <v>0</v>
      </c>
      <c r="BF812" s="88">
        <f>IF(N812="snížená",J812,0)</f>
        <v>0</v>
      </c>
      <c r="BG812" s="88">
        <f>IF(N812="zákl. přenesená",J812,0)</f>
        <v>0</v>
      </c>
      <c r="BH812" s="88">
        <f>IF(N812="sníž. přenesená",J812,0)</f>
        <v>0</v>
      </c>
      <c r="BI812" s="88">
        <f>IF(N812="nulová",J812,0)</f>
        <v>0</v>
      </c>
      <c r="BJ812" s="19" t="s">
        <v>75</v>
      </c>
      <c r="BK812" s="88">
        <f>ROUND(I812*H812,2)</f>
        <v>0</v>
      </c>
      <c r="BL812" s="19" t="s">
        <v>305</v>
      </c>
      <c r="BM812" s="87" t="s">
        <v>1085</v>
      </c>
    </row>
    <row r="813" spans="1:65" s="2" customFormat="1" ht="58.5">
      <c r="A813" s="269"/>
      <c r="B813" s="270"/>
      <c r="C813" s="269"/>
      <c r="D813" s="315" t="s">
        <v>231</v>
      </c>
      <c r="E813" s="269"/>
      <c r="F813" s="323" t="s">
        <v>1077</v>
      </c>
      <c r="G813" s="269"/>
      <c r="H813" s="269"/>
      <c r="I813" s="248"/>
      <c r="J813" s="248"/>
      <c r="K813" s="269"/>
      <c r="L813" s="24"/>
      <c r="M813" s="99"/>
      <c r="N813" s="100"/>
      <c r="O813" s="32"/>
      <c r="P813" s="32"/>
      <c r="Q813" s="32"/>
      <c r="R813" s="32"/>
      <c r="S813" s="32"/>
      <c r="T813" s="33"/>
      <c r="U813" s="23"/>
      <c r="V813" s="23"/>
      <c r="W813" s="23"/>
      <c r="X813" s="23"/>
      <c r="Y813" s="23"/>
      <c r="Z813" s="23"/>
      <c r="AA813" s="23"/>
      <c r="AB813" s="23"/>
      <c r="AC813" s="23"/>
      <c r="AD813" s="23"/>
      <c r="AE813" s="23"/>
      <c r="AT813" s="19" t="s">
        <v>231</v>
      </c>
      <c r="AU813" s="19" t="s">
        <v>77</v>
      </c>
    </row>
    <row r="814" spans="1:65" s="2" customFormat="1" ht="14.45" customHeight="1">
      <c r="A814" s="269"/>
      <c r="B814" s="270"/>
      <c r="C814" s="334" t="s">
        <v>1086</v>
      </c>
      <c r="D814" s="334" t="s">
        <v>535</v>
      </c>
      <c r="E814" s="335" t="s">
        <v>1087</v>
      </c>
      <c r="F814" s="336" t="s">
        <v>1088</v>
      </c>
      <c r="G814" s="337" t="s">
        <v>291</v>
      </c>
      <c r="H814" s="338">
        <v>5</v>
      </c>
      <c r="I814" s="111">
        <v>0</v>
      </c>
      <c r="J814" s="111">
        <f>ROUND(I814*H814,2)</f>
        <v>0</v>
      </c>
      <c r="K814" s="336" t="s">
        <v>222</v>
      </c>
      <c r="L814" s="112"/>
      <c r="M814" s="113" t="s">
        <v>3</v>
      </c>
      <c r="N814" s="114" t="s">
        <v>39</v>
      </c>
      <c r="O814" s="85">
        <v>0</v>
      </c>
      <c r="P814" s="85">
        <f>O814*H814</f>
        <v>0</v>
      </c>
      <c r="Q814" s="85">
        <v>7.2999999999999996E-4</v>
      </c>
      <c r="R814" s="85">
        <f>Q814*H814</f>
        <v>3.6499999999999996E-3</v>
      </c>
      <c r="S814" s="85">
        <v>0</v>
      </c>
      <c r="T814" s="86">
        <f>S814*H814</f>
        <v>0</v>
      </c>
      <c r="U814" s="23"/>
      <c r="V814" s="23"/>
      <c r="W814" s="23"/>
      <c r="X814" s="23"/>
      <c r="Y814" s="23"/>
      <c r="Z814" s="23"/>
      <c r="AA814" s="23"/>
      <c r="AB814" s="23"/>
      <c r="AC814" s="23"/>
      <c r="AD814" s="23"/>
      <c r="AE814" s="23"/>
      <c r="AR814" s="87" t="s">
        <v>410</v>
      </c>
      <c r="AT814" s="87" t="s">
        <v>535</v>
      </c>
      <c r="AU814" s="87" t="s">
        <v>77</v>
      </c>
      <c r="AY814" s="19" t="s">
        <v>216</v>
      </c>
      <c r="BE814" s="88">
        <f>IF(N814="základní",J814,0)</f>
        <v>0</v>
      </c>
      <c r="BF814" s="88">
        <f>IF(N814="snížená",J814,0)</f>
        <v>0</v>
      </c>
      <c r="BG814" s="88">
        <f>IF(N814="zákl. přenesená",J814,0)</f>
        <v>0</v>
      </c>
      <c r="BH814" s="88">
        <f>IF(N814="sníž. přenesená",J814,0)</f>
        <v>0</v>
      </c>
      <c r="BI814" s="88">
        <f>IF(N814="nulová",J814,0)</f>
        <v>0</v>
      </c>
      <c r="BJ814" s="19" t="s">
        <v>75</v>
      </c>
      <c r="BK814" s="88">
        <f>ROUND(I814*H814,2)</f>
        <v>0</v>
      </c>
      <c r="BL814" s="19" t="s">
        <v>305</v>
      </c>
      <c r="BM814" s="87" t="s">
        <v>1089</v>
      </c>
    </row>
    <row r="815" spans="1:65" s="2" customFormat="1" ht="21.6" customHeight="1">
      <c r="A815" s="269"/>
      <c r="B815" s="270"/>
      <c r="C815" s="308" t="s">
        <v>1090</v>
      </c>
      <c r="D815" s="308" t="s">
        <v>218</v>
      </c>
      <c r="E815" s="309" t="s">
        <v>1091</v>
      </c>
      <c r="F815" s="310" t="s">
        <v>1092</v>
      </c>
      <c r="G815" s="311" t="s">
        <v>291</v>
      </c>
      <c r="H815" s="312">
        <v>10</v>
      </c>
      <c r="I815" s="82">
        <v>0</v>
      </c>
      <c r="J815" s="82">
        <f>ROUND(I815*H815,2)</f>
        <v>0</v>
      </c>
      <c r="K815" s="310" t="s">
        <v>222</v>
      </c>
      <c r="L815" s="24"/>
      <c r="M815" s="83" t="s">
        <v>3</v>
      </c>
      <c r="N815" s="84" t="s">
        <v>39</v>
      </c>
      <c r="O815" s="85">
        <v>0.64500000000000002</v>
      </c>
      <c r="P815" s="85">
        <f>O815*H815</f>
        <v>6.45</v>
      </c>
      <c r="Q815" s="85">
        <v>8.0000000000000007E-5</v>
      </c>
      <c r="R815" s="85">
        <f>Q815*H815</f>
        <v>8.0000000000000004E-4</v>
      </c>
      <c r="S815" s="85">
        <v>0</v>
      </c>
      <c r="T815" s="86">
        <f>S815*H815</f>
        <v>0</v>
      </c>
      <c r="U815" s="23"/>
      <c r="V815" s="23"/>
      <c r="W815" s="23"/>
      <c r="X815" s="23"/>
      <c r="Y815" s="23"/>
      <c r="Z815" s="23"/>
      <c r="AA815" s="23"/>
      <c r="AB815" s="23"/>
      <c r="AC815" s="23"/>
      <c r="AD815" s="23"/>
      <c r="AE815" s="23"/>
      <c r="AR815" s="87" t="s">
        <v>305</v>
      </c>
      <c r="AT815" s="87" t="s">
        <v>218</v>
      </c>
      <c r="AU815" s="87" t="s">
        <v>77</v>
      </c>
      <c r="AY815" s="19" t="s">
        <v>216</v>
      </c>
      <c r="BE815" s="88">
        <f>IF(N815="základní",J815,0)</f>
        <v>0</v>
      </c>
      <c r="BF815" s="88">
        <f>IF(N815="snížená",J815,0)</f>
        <v>0</v>
      </c>
      <c r="BG815" s="88">
        <f>IF(N815="zákl. přenesená",J815,0)</f>
        <v>0</v>
      </c>
      <c r="BH815" s="88">
        <f>IF(N815="sníž. přenesená",J815,0)</f>
        <v>0</v>
      </c>
      <c r="BI815" s="88">
        <f>IF(N815="nulová",J815,0)</f>
        <v>0</v>
      </c>
      <c r="BJ815" s="19" t="s">
        <v>75</v>
      </c>
      <c r="BK815" s="88">
        <f>ROUND(I815*H815,2)</f>
        <v>0</v>
      </c>
      <c r="BL815" s="19" t="s">
        <v>305</v>
      </c>
      <c r="BM815" s="87" t="s">
        <v>1093</v>
      </c>
    </row>
    <row r="816" spans="1:65" s="2" customFormat="1" ht="58.5">
      <c r="A816" s="269"/>
      <c r="B816" s="270"/>
      <c r="C816" s="269"/>
      <c r="D816" s="315" t="s">
        <v>231</v>
      </c>
      <c r="E816" s="269"/>
      <c r="F816" s="323" t="s">
        <v>1077</v>
      </c>
      <c r="G816" s="269"/>
      <c r="H816" s="269"/>
      <c r="I816" s="248"/>
      <c r="J816" s="248"/>
      <c r="K816" s="269"/>
      <c r="L816" s="24"/>
      <c r="M816" s="99"/>
      <c r="N816" s="100"/>
      <c r="O816" s="32"/>
      <c r="P816" s="32"/>
      <c r="Q816" s="32"/>
      <c r="R816" s="32"/>
      <c r="S816" s="32"/>
      <c r="T816" s="33"/>
      <c r="U816" s="23"/>
      <c r="V816" s="23"/>
      <c r="W816" s="23"/>
      <c r="X816" s="23"/>
      <c r="Y816" s="23"/>
      <c r="Z816" s="23"/>
      <c r="AA816" s="23"/>
      <c r="AB816" s="23"/>
      <c r="AC816" s="23"/>
      <c r="AD816" s="23"/>
      <c r="AE816" s="23"/>
      <c r="AT816" s="19" t="s">
        <v>231</v>
      </c>
      <c r="AU816" s="19" t="s">
        <v>77</v>
      </c>
    </row>
    <row r="817" spans="1:65" s="2" customFormat="1" ht="14.45" customHeight="1">
      <c r="A817" s="269"/>
      <c r="B817" s="270"/>
      <c r="C817" s="334" t="s">
        <v>1094</v>
      </c>
      <c r="D817" s="334" t="s">
        <v>535</v>
      </c>
      <c r="E817" s="335" t="s">
        <v>1095</v>
      </c>
      <c r="F817" s="336" t="s">
        <v>1096</v>
      </c>
      <c r="G817" s="337" t="s">
        <v>291</v>
      </c>
      <c r="H817" s="338">
        <v>10</v>
      </c>
      <c r="I817" s="111">
        <v>0</v>
      </c>
      <c r="J817" s="111">
        <f>ROUND(I817*H817,2)</f>
        <v>0</v>
      </c>
      <c r="K817" s="336" t="s">
        <v>222</v>
      </c>
      <c r="L817" s="112"/>
      <c r="M817" s="113" t="s">
        <v>3</v>
      </c>
      <c r="N817" s="114" t="s">
        <v>39</v>
      </c>
      <c r="O817" s="85">
        <v>0</v>
      </c>
      <c r="P817" s="85">
        <f>O817*H817</f>
        <v>0</v>
      </c>
      <c r="Q817" s="85">
        <v>1.1000000000000001E-3</v>
      </c>
      <c r="R817" s="85">
        <f>Q817*H817</f>
        <v>1.1000000000000001E-2</v>
      </c>
      <c r="S817" s="85">
        <v>0</v>
      </c>
      <c r="T817" s="86">
        <f>S817*H817</f>
        <v>0</v>
      </c>
      <c r="U817" s="23"/>
      <c r="V817" s="23"/>
      <c r="W817" s="23"/>
      <c r="X817" s="23"/>
      <c r="Y817" s="23"/>
      <c r="Z817" s="23"/>
      <c r="AA817" s="23"/>
      <c r="AB817" s="23"/>
      <c r="AC817" s="23"/>
      <c r="AD817" s="23"/>
      <c r="AE817" s="23"/>
      <c r="AR817" s="87" t="s">
        <v>410</v>
      </c>
      <c r="AT817" s="87" t="s">
        <v>535</v>
      </c>
      <c r="AU817" s="87" t="s">
        <v>77</v>
      </c>
      <c r="AY817" s="19" t="s">
        <v>216</v>
      </c>
      <c r="BE817" s="88">
        <f>IF(N817="základní",J817,0)</f>
        <v>0</v>
      </c>
      <c r="BF817" s="88">
        <f>IF(N817="snížená",J817,0)</f>
        <v>0</v>
      </c>
      <c r="BG817" s="88">
        <f>IF(N817="zákl. přenesená",J817,0)</f>
        <v>0</v>
      </c>
      <c r="BH817" s="88">
        <f>IF(N817="sníž. přenesená",J817,0)</f>
        <v>0</v>
      </c>
      <c r="BI817" s="88">
        <f>IF(N817="nulová",J817,0)</f>
        <v>0</v>
      </c>
      <c r="BJ817" s="19" t="s">
        <v>75</v>
      </c>
      <c r="BK817" s="88">
        <f>ROUND(I817*H817,2)</f>
        <v>0</v>
      </c>
      <c r="BL817" s="19" t="s">
        <v>305</v>
      </c>
      <c r="BM817" s="87" t="s">
        <v>1097</v>
      </c>
    </row>
    <row r="818" spans="1:65" s="2" customFormat="1" ht="21.6" customHeight="1">
      <c r="A818" s="269"/>
      <c r="B818" s="270"/>
      <c r="C818" s="308" t="s">
        <v>1098</v>
      </c>
      <c r="D818" s="308" t="s">
        <v>218</v>
      </c>
      <c r="E818" s="309" t="s">
        <v>1099</v>
      </c>
      <c r="F818" s="310" t="s">
        <v>1100</v>
      </c>
      <c r="G818" s="311" t="s">
        <v>286</v>
      </c>
      <c r="H818" s="312">
        <v>4</v>
      </c>
      <c r="I818" s="82">
        <v>0</v>
      </c>
      <c r="J818" s="82">
        <f>ROUND(I818*H818,2)</f>
        <v>0</v>
      </c>
      <c r="K818" s="310" t="s">
        <v>222</v>
      </c>
      <c r="L818" s="24"/>
      <c r="M818" s="83" t="s">
        <v>3</v>
      </c>
      <c r="N818" s="84" t="s">
        <v>39</v>
      </c>
      <c r="O818" s="85">
        <v>0.57799999999999996</v>
      </c>
      <c r="P818" s="85">
        <f>O818*H818</f>
        <v>2.3119999999999998</v>
      </c>
      <c r="Q818" s="85">
        <v>1.17E-3</v>
      </c>
      <c r="R818" s="85">
        <f>Q818*H818</f>
        <v>4.6800000000000001E-3</v>
      </c>
      <c r="S818" s="85">
        <v>0</v>
      </c>
      <c r="T818" s="86">
        <f>S818*H818</f>
        <v>0</v>
      </c>
      <c r="U818" s="23"/>
      <c r="V818" s="23"/>
      <c r="W818" s="23"/>
      <c r="X818" s="23"/>
      <c r="Y818" s="23"/>
      <c r="Z818" s="23"/>
      <c r="AA818" s="23"/>
      <c r="AB818" s="23"/>
      <c r="AC818" s="23"/>
      <c r="AD818" s="23"/>
      <c r="AE818" s="23"/>
      <c r="AR818" s="87" t="s">
        <v>305</v>
      </c>
      <c r="AT818" s="87" t="s">
        <v>218</v>
      </c>
      <c r="AU818" s="87" t="s">
        <v>77</v>
      </c>
      <c r="AY818" s="19" t="s">
        <v>216</v>
      </c>
      <c r="BE818" s="88">
        <f>IF(N818="základní",J818,0)</f>
        <v>0</v>
      </c>
      <c r="BF818" s="88">
        <f>IF(N818="snížená",J818,0)</f>
        <v>0</v>
      </c>
      <c r="BG818" s="88">
        <f>IF(N818="zákl. přenesená",J818,0)</f>
        <v>0</v>
      </c>
      <c r="BH818" s="88">
        <f>IF(N818="sníž. přenesená",J818,0)</f>
        <v>0</v>
      </c>
      <c r="BI818" s="88">
        <f>IF(N818="nulová",J818,0)</f>
        <v>0</v>
      </c>
      <c r="BJ818" s="19" t="s">
        <v>75</v>
      </c>
      <c r="BK818" s="88">
        <f>ROUND(I818*H818,2)</f>
        <v>0</v>
      </c>
      <c r="BL818" s="19" t="s">
        <v>305</v>
      </c>
      <c r="BM818" s="87" t="s">
        <v>1101</v>
      </c>
    </row>
    <row r="819" spans="1:65" s="2" customFormat="1" ht="48.75">
      <c r="A819" s="269"/>
      <c r="B819" s="270"/>
      <c r="C819" s="269"/>
      <c r="D819" s="315" t="s">
        <v>231</v>
      </c>
      <c r="E819" s="269"/>
      <c r="F819" s="323" t="s">
        <v>1102</v>
      </c>
      <c r="G819" s="269"/>
      <c r="H819" s="269"/>
      <c r="I819" s="248"/>
      <c r="J819" s="248"/>
      <c r="K819" s="269"/>
      <c r="L819" s="24"/>
      <c r="M819" s="99"/>
      <c r="N819" s="100"/>
      <c r="O819" s="32"/>
      <c r="P819" s="32"/>
      <c r="Q819" s="32"/>
      <c r="R819" s="32"/>
      <c r="S819" s="32"/>
      <c r="T819" s="33"/>
      <c r="U819" s="23"/>
      <c r="V819" s="23"/>
      <c r="W819" s="23"/>
      <c r="X819" s="23"/>
      <c r="Y819" s="23"/>
      <c r="Z819" s="23"/>
      <c r="AA819" s="23"/>
      <c r="AB819" s="23"/>
      <c r="AC819" s="23"/>
      <c r="AD819" s="23"/>
      <c r="AE819" s="23"/>
      <c r="AT819" s="19" t="s">
        <v>231</v>
      </c>
      <c r="AU819" s="19" t="s">
        <v>77</v>
      </c>
    </row>
    <row r="820" spans="1:65" s="13" customFormat="1">
      <c r="A820" s="313"/>
      <c r="B820" s="314"/>
      <c r="C820" s="313"/>
      <c r="D820" s="315" t="s">
        <v>225</v>
      </c>
      <c r="E820" s="316" t="s">
        <v>3</v>
      </c>
      <c r="F820" s="317" t="s">
        <v>991</v>
      </c>
      <c r="G820" s="313"/>
      <c r="H820" s="316" t="s">
        <v>3</v>
      </c>
      <c r="I820" s="259"/>
      <c r="J820" s="259"/>
      <c r="K820" s="313"/>
      <c r="L820" s="89"/>
      <c r="M820" s="91"/>
      <c r="N820" s="92"/>
      <c r="O820" s="92"/>
      <c r="P820" s="92"/>
      <c r="Q820" s="92"/>
      <c r="R820" s="92"/>
      <c r="S820" s="92"/>
      <c r="T820" s="93"/>
      <c r="AT820" s="90" t="s">
        <v>225</v>
      </c>
      <c r="AU820" s="90" t="s">
        <v>77</v>
      </c>
      <c r="AV820" s="13" t="s">
        <v>75</v>
      </c>
      <c r="AW820" s="13" t="s">
        <v>30</v>
      </c>
      <c r="AX820" s="13" t="s">
        <v>68</v>
      </c>
      <c r="AY820" s="90" t="s">
        <v>216</v>
      </c>
    </row>
    <row r="821" spans="1:65" s="13" customFormat="1">
      <c r="A821" s="313"/>
      <c r="B821" s="314"/>
      <c r="C821" s="313"/>
      <c r="D821" s="315" t="s">
        <v>225</v>
      </c>
      <c r="E821" s="316" t="s">
        <v>3</v>
      </c>
      <c r="F821" s="317" t="s">
        <v>1103</v>
      </c>
      <c r="G821" s="313"/>
      <c r="H821" s="316" t="s">
        <v>3</v>
      </c>
      <c r="I821" s="259"/>
      <c r="J821" s="259"/>
      <c r="K821" s="313"/>
      <c r="L821" s="89"/>
      <c r="M821" s="91"/>
      <c r="N821" s="92"/>
      <c r="O821" s="92"/>
      <c r="P821" s="92"/>
      <c r="Q821" s="92"/>
      <c r="R821" s="92"/>
      <c r="S821" s="92"/>
      <c r="T821" s="93"/>
      <c r="AT821" s="90" t="s">
        <v>225</v>
      </c>
      <c r="AU821" s="90" t="s">
        <v>77</v>
      </c>
      <c r="AV821" s="13" t="s">
        <v>75</v>
      </c>
      <c r="AW821" s="13" t="s">
        <v>30</v>
      </c>
      <c r="AX821" s="13" t="s">
        <v>68</v>
      </c>
      <c r="AY821" s="90" t="s">
        <v>216</v>
      </c>
    </row>
    <row r="822" spans="1:65" s="14" customFormat="1">
      <c r="A822" s="318"/>
      <c r="B822" s="319"/>
      <c r="C822" s="318"/>
      <c r="D822" s="315" t="s">
        <v>225</v>
      </c>
      <c r="E822" s="320" t="s">
        <v>3</v>
      </c>
      <c r="F822" s="321" t="s">
        <v>1104</v>
      </c>
      <c r="G822" s="318"/>
      <c r="H822" s="322">
        <v>4</v>
      </c>
      <c r="I822" s="260"/>
      <c r="J822" s="260"/>
      <c r="K822" s="318"/>
      <c r="L822" s="94"/>
      <c r="M822" s="96"/>
      <c r="N822" s="97"/>
      <c r="O822" s="97"/>
      <c r="P822" s="97"/>
      <c r="Q822" s="97"/>
      <c r="R822" s="97"/>
      <c r="S822" s="97"/>
      <c r="T822" s="98"/>
      <c r="AT822" s="95" t="s">
        <v>225</v>
      </c>
      <c r="AU822" s="95" t="s">
        <v>77</v>
      </c>
      <c r="AV822" s="14" t="s">
        <v>77</v>
      </c>
      <c r="AW822" s="14" t="s">
        <v>30</v>
      </c>
      <c r="AX822" s="14" t="s">
        <v>75</v>
      </c>
      <c r="AY822" s="95" t="s">
        <v>216</v>
      </c>
    </row>
    <row r="823" spans="1:65" s="2" customFormat="1" ht="14.45" customHeight="1">
      <c r="A823" s="269"/>
      <c r="B823" s="270"/>
      <c r="C823" s="334" t="s">
        <v>1105</v>
      </c>
      <c r="D823" s="334" t="s">
        <v>535</v>
      </c>
      <c r="E823" s="335" t="s">
        <v>1106</v>
      </c>
      <c r="F823" s="336" t="s">
        <v>1107</v>
      </c>
      <c r="G823" s="337" t="s">
        <v>286</v>
      </c>
      <c r="H823" s="338">
        <v>4.2</v>
      </c>
      <c r="I823" s="111">
        <v>0</v>
      </c>
      <c r="J823" s="111">
        <f>ROUND(I823*H823,2)</f>
        <v>0</v>
      </c>
      <c r="K823" s="336" t="s">
        <v>3</v>
      </c>
      <c r="L823" s="112"/>
      <c r="M823" s="113" t="s">
        <v>3</v>
      </c>
      <c r="N823" s="114" t="s">
        <v>39</v>
      </c>
      <c r="O823" s="85">
        <v>0</v>
      </c>
      <c r="P823" s="85">
        <f>O823*H823</f>
        <v>0</v>
      </c>
      <c r="Q823" s="85">
        <v>1.2099999999999999E-3</v>
      </c>
      <c r="R823" s="85">
        <f>Q823*H823</f>
        <v>5.0819999999999997E-3</v>
      </c>
      <c r="S823" s="85">
        <v>0</v>
      </c>
      <c r="T823" s="86">
        <f>S823*H823</f>
        <v>0</v>
      </c>
      <c r="U823" s="23"/>
      <c r="V823" s="23"/>
      <c r="W823" s="23"/>
      <c r="X823" s="23"/>
      <c r="Y823" s="23"/>
      <c r="Z823" s="23"/>
      <c r="AA823" s="23"/>
      <c r="AB823" s="23"/>
      <c r="AC823" s="23"/>
      <c r="AD823" s="23"/>
      <c r="AE823" s="23"/>
      <c r="AR823" s="87" t="s">
        <v>410</v>
      </c>
      <c r="AT823" s="87" t="s">
        <v>535</v>
      </c>
      <c r="AU823" s="87" t="s">
        <v>77</v>
      </c>
      <c r="AY823" s="19" t="s">
        <v>216</v>
      </c>
      <c r="BE823" s="88">
        <f>IF(N823="základní",J823,0)</f>
        <v>0</v>
      </c>
      <c r="BF823" s="88">
        <f>IF(N823="snížená",J823,0)</f>
        <v>0</v>
      </c>
      <c r="BG823" s="88">
        <f>IF(N823="zákl. přenesená",J823,0)</f>
        <v>0</v>
      </c>
      <c r="BH823" s="88">
        <f>IF(N823="sníž. přenesená",J823,0)</f>
        <v>0</v>
      </c>
      <c r="BI823" s="88">
        <f>IF(N823="nulová",J823,0)</f>
        <v>0</v>
      </c>
      <c r="BJ823" s="19" t="s">
        <v>75</v>
      </c>
      <c r="BK823" s="88">
        <f>ROUND(I823*H823,2)</f>
        <v>0</v>
      </c>
      <c r="BL823" s="19" t="s">
        <v>305</v>
      </c>
      <c r="BM823" s="87" t="s">
        <v>1108</v>
      </c>
    </row>
    <row r="824" spans="1:65" s="14" customFormat="1">
      <c r="A824" s="318"/>
      <c r="B824" s="319"/>
      <c r="C824" s="318"/>
      <c r="D824" s="315" t="s">
        <v>225</v>
      </c>
      <c r="E824" s="318"/>
      <c r="F824" s="321" t="s">
        <v>1109</v>
      </c>
      <c r="G824" s="318"/>
      <c r="H824" s="322">
        <v>4.2</v>
      </c>
      <c r="I824" s="260"/>
      <c r="J824" s="260"/>
      <c r="K824" s="318"/>
      <c r="L824" s="94"/>
      <c r="M824" s="96"/>
      <c r="N824" s="97"/>
      <c r="O824" s="97"/>
      <c r="P824" s="97"/>
      <c r="Q824" s="97"/>
      <c r="R824" s="97"/>
      <c r="S824" s="97"/>
      <c r="T824" s="98"/>
      <c r="AT824" s="95" t="s">
        <v>225</v>
      </c>
      <c r="AU824" s="95" t="s">
        <v>77</v>
      </c>
      <c r="AV824" s="14" t="s">
        <v>77</v>
      </c>
      <c r="AW824" s="14" t="s">
        <v>4</v>
      </c>
      <c r="AX824" s="14" t="s">
        <v>75</v>
      </c>
      <c r="AY824" s="95" t="s">
        <v>216</v>
      </c>
    </row>
    <row r="825" spans="1:65" s="2" customFormat="1" ht="14.45" customHeight="1">
      <c r="A825" s="269"/>
      <c r="B825" s="270"/>
      <c r="C825" s="308" t="s">
        <v>1110</v>
      </c>
      <c r="D825" s="308" t="s">
        <v>218</v>
      </c>
      <c r="E825" s="309" t="s">
        <v>1111</v>
      </c>
      <c r="F825" s="310" t="s">
        <v>1112</v>
      </c>
      <c r="G825" s="311" t="s">
        <v>286</v>
      </c>
      <c r="H825" s="312">
        <v>3.75</v>
      </c>
      <c r="I825" s="82">
        <v>0</v>
      </c>
      <c r="J825" s="82">
        <f>ROUND(I825*H825,2)</f>
        <v>0</v>
      </c>
      <c r="K825" s="310" t="s">
        <v>3</v>
      </c>
      <c r="L825" s="24"/>
      <c r="M825" s="83" t="s">
        <v>3</v>
      </c>
      <c r="N825" s="84" t="s">
        <v>39</v>
      </c>
      <c r="O825" s="85">
        <v>0</v>
      </c>
      <c r="P825" s="85">
        <f>O825*H825</f>
        <v>0</v>
      </c>
      <c r="Q825" s="85">
        <v>0</v>
      </c>
      <c r="R825" s="85">
        <f>Q825*H825</f>
        <v>0</v>
      </c>
      <c r="S825" s="85">
        <v>0</v>
      </c>
      <c r="T825" s="86">
        <f>S825*H825</f>
        <v>0</v>
      </c>
      <c r="U825" s="23"/>
      <c r="V825" s="23"/>
      <c r="W825" s="23"/>
      <c r="X825" s="23"/>
      <c r="Y825" s="23"/>
      <c r="Z825" s="23"/>
      <c r="AA825" s="23"/>
      <c r="AB825" s="23"/>
      <c r="AC825" s="23"/>
      <c r="AD825" s="23"/>
      <c r="AE825" s="23"/>
      <c r="AR825" s="87" t="s">
        <v>305</v>
      </c>
      <c r="AT825" s="87" t="s">
        <v>218</v>
      </c>
      <c r="AU825" s="87" t="s">
        <v>77</v>
      </c>
      <c r="AY825" s="19" t="s">
        <v>216</v>
      </c>
      <c r="BE825" s="88">
        <f>IF(N825="základní",J825,0)</f>
        <v>0</v>
      </c>
      <c r="BF825" s="88">
        <f>IF(N825="snížená",J825,0)</f>
        <v>0</v>
      </c>
      <c r="BG825" s="88">
        <f>IF(N825="zákl. přenesená",J825,0)</f>
        <v>0</v>
      </c>
      <c r="BH825" s="88">
        <f>IF(N825="sníž. přenesená",J825,0)</f>
        <v>0</v>
      </c>
      <c r="BI825" s="88">
        <f>IF(N825="nulová",J825,0)</f>
        <v>0</v>
      </c>
      <c r="BJ825" s="19" t="s">
        <v>75</v>
      </c>
      <c r="BK825" s="88">
        <f>ROUND(I825*H825,2)</f>
        <v>0</v>
      </c>
      <c r="BL825" s="19" t="s">
        <v>305</v>
      </c>
      <c r="BM825" s="87" t="s">
        <v>1113</v>
      </c>
    </row>
    <row r="826" spans="1:65" s="13" customFormat="1">
      <c r="A826" s="313"/>
      <c r="B826" s="314"/>
      <c r="C826" s="313"/>
      <c r="D826" s="315" t="s">
        <v>225</v>
      </c>
      <c r="E826" s="316" t="s">
        <v>3</v>
      </c>
      <c r="F826" s="317" t="s">
        <v>991</v>
      </c>
      <c r="G826" s="313"/>
      <c r="H826" s="316" t="s">
        <v>3</v>
      </c>
      <c r="I826" s="259"/>
      <c r="J826" s="259"/>
      <c r="K826" s="313"/>
      <c r="L826" s="89"/>
      <c r="M826" s="91"/>
      <c r="N826" s="92"/>
      <c r="O826" s="92"/>
      <c r="P826" s="92"/>
      <c r="Q826" s="92"/>
      <c r="R826" s="92"/>
      <c r="S826" s="92"/>
      <c r="T826" s="93"/>
      <c r="AT826" s="90" t="s">
        <v>225</v>
      </c>
      <c r="AU826" s="90" t="s">
        <v>77</v>
      </c>
      <c r="AV826" s="13" t="s">
        <v>75</v>
      </c>
      <c r="AW826" s="13" t="s">
        <v>30</v>
      </c>
      <c r="AX826" s="13" t="s">
        <v>68</v>
      </c>
      <c r="AY826" s="90" t="s">
        <v>216</v>
      </c>
    </row>
    <row r="827" spans="1:65" s="13" customFormat="1">
      <c r="A827" s="313"/>
      <c r="B827" s="314"/>
      <c r="C827" s="313"/>
      <c r="D827" s="315" t="s">
        <v>225</v>
      </c>
      <c r="E827" s="316" t="s">
        <v>3</v>
      </c>
      <c r="F827" s="317" t="s">
        <v>1114</v>
      </c>
      <c r="G827" s="313"/>
      <c r="H827" s="316" t="s">
        <v>3</v>
      </c>
      <c r="I827" s="259"/>
      <c r="J827" s="259"/>
      <c r="K827" s="313"/>
      <c r="L827" s="89"/>
      <c r="M827" s="91"/>
      <c r="N827" s="92"/>
      <c r="O827" s="92"/>
      <c r="P827" s="92"/>
      <c r="Q827" s="92"/>
      <c r="R827" s="92"/>
      <c r="S827" s="92"/>
      <c r="T827" s="93"/>
      <c r="AT827" s="90" t="s">
        <v>225</v>
      </c>
      <c r="AU827" s="90" t="s">
        <v>77</v>
      </c>
      <c r="AV827" s="13" t="s">
        <v>75</v>
      </c>
      <c r="AW827" s="13" t="s">
        <v>30</v>
      </c>
      <c r="AX827" s="13" t="s">
        <v>68</v>
      </c>
      <c r="AY827" s="90" t="s">
        <v>216</v>
      </c>
    </row>
    <row r="828" spans="1:65" s="14" customFormat="1">
      <c r="A828" s="318"/>
      <c r="B828" s="319"/>
      <c r="C828" s="318"/>
      <c r="D828" s="315" t="s">
        <v>225</v>
      </c>
      <c r="E828" s="320" t="s">
        <v>3</v>
      </c>
      <c r="F828" s="321" t="s">
        <v>1115</v>
      </c>
      <c r="G828" s="318"/>
      <c r="H828" s="322">
        <v>3.75</v>
      </c>
      <c r="I828" s="260"/>
      <c r="J828" s="260"/>
      <c r="K828" s="318"/>
      <c r="L828" s="94"/>
      <c r="M828" s="96"/>
      <c r="N828" s="97"/>
      <c r="O828" s="97"/>
      <c r="P828" s="97"/>
      <c r="Q828" s="97"/>
      <c r="R828" s="97"/>
      <c r="S828" s="97"/>
      <c r="T828" s="98"/>
      <c r="AT828" s="95" t="s">
        <v>225</v>
      </c>
      <c r="AU828" s="95" t="s">
        <v>77</v>
      </c>
      <c r="AV828" s="14" t="s">
        <v>77</v>
      </c>
      <c r="AW828" s="14" t="s">
        <v>30</v>
      </c>
      <c r="AX828" s="14" t="s">
        <v>75</v>
      </c>
      <c r="AY828" s="95" t="s">
        <v>216</v>
      </c>
    </row>
    <row r="829" spans="1:65" s="2" customFormat="1" ht="32.450000000000003" customHeight="1">
      <c r="A829" s="269"/>
      <c r="B829" s="270"/>
      <c r="C829" s="308" t="s">
        <v>1116</v>
      </c>
      <c r="D829" s="308" t="s">
        <v>218</v>
      </c>
      <c r="E829" s="309" t="s">
        <v>1117</v>
      </c>
      <c r="F829" s="310" t="s">
        <v>1118</v>
      </c>
      <c r="G829" s="311" t="s">
        <v>273</v>
      </c>
      <c r="H829" s="312">
        <v>1.5649999999999999</v>
      </c>
      <c r="I829" s="82">
        <v>0</v>
      </c>
      <c r="J829" s="82">
        <f>ROUND(I829*H829,2)</f>
        <v>0</v>
      </c>
      <c r="K829" s="310" t="s">
        <v>222</v>
      </c>
      <c r="L829" s="24"/>
      <c r="M829" s="83" t="s">
        <v>3</v>
      </c>
      <c r="N829" s="84" t="s">
        <v>39</v>
      </c>
      <c r="O829" s="85">
        <v>2.16</v>
      </c>
      <c r="P829" s="85">
        <f>O829*H829</f>
        <v>3.3804000000000003</v>
      </c>
      <c r="Q829" s="85">
        <v>0</v>
      </c>
      <c r="R829" s="85">
        <f>Q829*H829</f>
        <v>0</v>
      </c>
      <c r="S829" s="85">
        <v>0</v>
      </c>
      <c r="T829" s="86">
        <f>S829*H829</f>
        <v>0</v>
      </c>
      <c r="U829" s="23"/>
      <c r="V829" s="23"/>
      <c r="W829" s="23"/>
      <c r="X829" s="23"/>
      <c r="Y829" s="23"/>
      <c r="Z829" s="23"/>
      <c r="AA829" s="23"/>
      <c r="AB829" s="23"/>
      <c r="AC829" s="23"/>
      <c r="AD829" s="23"/>
      <c r="AE829" s="23"/>
      <c r="AR829" s="87" t="s">
        <v>305</v>
      </c>
      <c r="AT829" s="87" t="s">
        <v>218</v>
      </c>
      <c r="AU829" s="87" t="s">
        <v>77</v>
      </c>
      <c r="AY829" s="19" t="s">
        <v>216</v>
      </c>
      <c r="BE829" s="88">
        <f>IF(N829="základní",J829,0)</f>
        <v>0</v>
      </c>
      <c r="BF829" s="88">
        <f>IF(N829="snížená",J829,0)</f>
        <v>0</v>
      </c>
      <c r="BG829" s="88">
        <f>IF(N829="zákl. přenesená",J829,0)</f>
        <v>0</v>
      </c>
      <c r="BH829" s="88">
        <f>IF(N829="sníž. přenesená",J829,0)</f>
        <v>0</v>
      </c>
      <c r="BI829" s="88">
        <f>IF(N829="nulová",J829,0)</f>
        <v>0</v>
      </c>
      <c r="BJ829" s="19" t="s">
        <v>75</v>
      </c>
      <c r="BK829" s="88">
        <f>ROUND(I829*H829,2)</f>
        <v>0</v>
      </c>
      <c r="BL829" s="19" t="s">
        <v>305</v>
      </c>
      <c r="BM829" s="87" t="s">
        <v>1119</v>
      </c>
    </row>
    <row r="830" spans="1:65" s="2" customFormat="1" ht="97.5">
      <c r="A830" s="269"/>
      <c r="B830" s="270"/>
      <c r="C830" s="269"/>
      <c r="D830" s="315" t="s">
        <v>231</v>
      </c>
      <c r="E830" s="269"/>
      <c r="F830" s="323" t="s">
        <v>1120</v>
      </c>
      <c r="G830" s="269"/>
      <c r="H830" s="269"/>
      <c r="I830" s="248"/>
      <c r="J830" s="248"/>
      <c r="K830" s="269"/>
      <c r="L830" s="24"/>
      <c r="M830" s="99"/>
      <c r="N830" s="100"/>
      <c r="O830" s="32"/>
      <c r="P830" s="32"/>
      <c r="Q830" s="32"/>
      <c r="R830" s="32"/>
      <c r="S830" s="32"/>
      <c r="T830" s="33"/>
      <c r="U830" s="23"/>
      <c r="V830" s="23"/>
      <c r="W830" s="23"/>
      <c r="X830" s="23"/>
      <c r="Y830" s="23"/>
      <c r="Z830" s="23"/>
      <c r="AA830" s="23"/>
      <c r="AB830" s="23"/>
      <c r="AC830" s="23"/>
      <c r="AD830" s="23"/>
      <c r="AE830" s="23"/>
      <c r="AT830" s="19" t="s">
        <v>231</v>
      </c>
      <c r="AU830" s="19" t="s">
        <v>77</v>
      </c>
    </row>
    <row r="831" spans="1:65" s="2" customFormat="1" ht="32.450000000000003" customHeight="1">
      <c r="A831" s="269"/>
      <c r="B831" s="270"/>
      <c r="C831" s="308" t="s">
        <v>1121</v>
      </c>
      <c r="D831" s="308" t="s">
        <v>218</v>
      </c>
      <c r="E831" s="309" t="s">
        <v>1122</v>
      </c>
      <c r="F831" s="310" t="s">
        <v>1123</v>
      </c>
      <c r="G831" s="311" t="s">
        <v>273</v>
      </c>
      <c r="H831" s="312">
        <v>1.5649999999999999</v>
      </c>
      <c r="I831" s="82">
        <v>0</v>
      </c>
      <c r="J831" s="82">
        <f>ROUND(I831*H831,2)</f>
        <v>0</v>
      </c>
      <c r="K831" s="310" t="s">
        <v>222</v>
      </c>
      <c r="L831" s="24"/>
      <c r="M831" s="83" t="s">
        <v>3</v>
      </c>
      <c r="N831" s="84" t="s">
        <v>39</v>
      </c>
      <c r="O831" s="85">
        <v>1.32</v>
      </c>
      <c r="P831" s="85">
        <f>O831*H831</f>
        <v>2.0657999999999999</v>
      </c>
      <c r="Q831" s="85">
        <v>0</v>
      </c>
      <c r="R831" s="85">
        <f>Q831*H831</f>
        <v>0</v>
      </c>
      <c r="S831" s="85">
        <v>0</v>
      </c>
      <c r="T831" s="86">
        <f>S831*H831</f>
        <v>0</v>
      </c>
      <c r="U831" s="23"/>
      <c r="V831" s="23"/>
      <c r="W831" s="23"/>
      <c r="X831" s="23"/>
      <c r="Y831" s="23"/>
      <c r="Z831" s="23"/>
      <c r="AA831" s="23"/>
      <c r="AB831" s="23"/>
      <c r="AC831" s="23"/>
      <c r="AD831" s="23"/>
      <c r="AE831" s="23"/>
      <c r="AR831" s="87" t="s">
        <v>305</v>
      </c>
      <c r="AT831" s="87" t="s">
        <v>218</v>
      </c>
      <c r="AU831" s="87" t="s">
        <v>77</v>
      </c>
      <c r="AY831" s="19" t="s">
        <v>216</v>
      </c>
      <c r="BE831" s="88">
        <f>IF(N831="základní",J831,0)</f>
        <v>0</v>
      </c>
      <c r="BF831" s="88">
        <f>IF(N831="snížená",J831,0)</f>
        <v>0</v>
      </c>
      <c r="BG831" s="88">
        <f>IF(N831="zákl. přenesená",J831,0)</f>
        <v>0</v>
      </c>
      <c r="BH831" s="88">
        <f>IF(N831="sníž. přenesená",J831,0)</f>
        <v>0</v>
      </c>
      <c r="BI831" s="88">
        <f>IF(N831="nulová",J831,0)</f>
        <v>0</v>
      </c>
      <c r="BJ831" s="19" t="s">
        <v>75</v>
      </c>
      <c r="BK831" s="88">
        <f>ROUND(I831*H831,2)</f>
        <v>0</v>
      </c>
      <c r="BL831" s="19" t="s">
        <v>305</v>
      </c>
      <c r="BM831" s="87" t="s">
        <v>1124</v>
      </c>
    </row>
    <row r="832" spans="1:65" s="2" customFormat="1" ht="97.5">
      <c r="A832" s="269"/>
      <c r="B832" s="270"/>
      <c r="C832" s="269"/>
      <c r="D832" s="315" t="s">
        <v>231</v>
      </c>
      <c r="E832" s="269"/>
      <c r="F832" s="323" t="s">
        <v>1120</v>
      </c>
      <c r="G832" s="269"/>
      <c r="H832" s="269"/>
      <c r="I832" s="248"/>
      <c r="J832" s="248"/>
      <c r="K832" s="269"/>
      <c r="L832" s="24"/>
      <c r="M832" s="99"/>
      <c r="N832" s="100"/>
      <c r="O832" s="32"/>
      <c r="P832" s="32"/>
      <c r="Q832" s="32"/>
      <c r="R832" s="32"/>
      <c r="S832" s="32"/>
      <c r="T832" s="33"/>
      <c r="U832" s="23"/>
      <c r="V832" s="23"/>
      <c r="W832" s="23"/>
      <c r="X832" s="23"/>
      <c r="Y832" s="23"/>
      <c r="Z832" s="23"/>
      <c r="AA832" s="23"/>
      <c r="AB832" s="23"/>
      <c r="AC832" s="23"/>
      <c r="AD832" s="23"/>
      <c r="AE832" s="23"/>
      <c r="AT832" s="19" t="s">
        <v>231</v>
      </c>
      <c r="AU832" s="19" t="s">
        <v>77</v>
      </c>
    </row>
    <row r="833" spans="1:65" s="12" customFormat="1" ht="22.9" customHeight="1">
      <c r="A833" s="303"/>
      <c r="B833" s="304"/>
      <c r="C833" s="303"/>
      <c r="D833" s="305" t="s">
        <v>67</v>
      </c>
      <c r="E833" s="307" t="s">
        <v>1125</v>
      </c>
      <c r="F833" s="307" t="s">
        <v>1126</v>
      </c>
      <c r="G833" s="303"/>
      <c r="H833" s="303"/>
      <c r="I833" s="256"/>
      <c r="J833" s="258">
        <f>BK833</f>
        <v>0</v>
      </c>
      <c r="K833" s="303"/>
      <c r="L833" s="74"/>
      <c r="M833" s="76"/>
      <c r="N833" s="77"/>
      <c r="O833" s="77"/>
      <c r="P833" s="78">
        <f>SUM(P834:P853)</f>
        <v>1.7505250000000001</v>
      </c>
      <c r="Q833" s="77"/>
      <c r="R833" s="78">
        <f>SUM(R834:R853)</f>
        <v>0.40500000000000014</v>
      </c>
      <c r="S833" s="77"/>
      <c r="T833" s="79">
        <f>SUM(T834:T853)</f>
        <v>0.12</v>
      </c>
      <c r="AR833" s="75" t="s">
        <v>77</v>
      </c>
      <c r="AT833" s="80" t="s">
        <v>67</v>
      </c>
      <c r="AU833" s="80" t="s">
        <v>75</v>
      </c>
      <c r="AY833" s="75" t="s">
        <v>216</v>
      </c>
      <c r="BK833" s="81">
        <f>SUM(BK834:BK853)</f>
        <v>0</v>
      </c>
    </row>
    <row r="834" spans="1:65" s="2" customFormat="1" ht="14.45" customHeight="1">
      <c r="A834" s="269"/>
      <c r="B834" s="270"/>
      <c r="C834" s="308" t="s">
        <v>1127</v>
      </c>
      <c r="D834" s="308" t="s">
        <v>218</v>
      </c>
      <c r="E834" s="309" t="s">
        <v>1128</v>
      </c>
      <c r="F834" s="310" t="s">
        <v>1129</v>
      </c>
      <c r="G834" s="311" t="s">
        <v>291</v>
      </c>
      <c r="H834" s="312">
        <v>5</v>
      </c>
      <c r="I834" s="82">
        <v>0</v>
      </c>
      <c r="J834" s="82">
        <f>ROUND(I834*H834,2)</f>
        <v>0</v>
      </c>
      <c r="K834" s="310" t="s">
        <v>3</v>
      </c>
      <c r="L834" s="24"/>
      <c r="M834" s="83" t="s">
        <v>3</v>
      </c>
      <c r="N834" s="84" t="s">
        <v>39</v>
      </c>
      <c r="O834" s="85">
        <v>0.05</v>
      </c>
      <c r="P834" s="85">
        <f>O834*H834</f>
        <v>0.25</v>
      </c>
      <c r="Q834" s="85">
        <v>0</v>
      </c>
      <c r="R834" s="85">
        <f>Q834*H834</f>
        <v>0</v>
      </c>
      <c r="S834" s="85">
        <v>2.4E-2</v>
      </c>
      <c r="T834" s="86">
        <f>S834*H834</f>
        <v>0.12</v>
      </c>
      <c r="U834" s="23"/>
      <c r="V834" s="23"/>
      <c r="W834" s="23"/>
      <c r="X834" s="23"/>
      <c r="Y834" s="23"/>
      <c r="Z834" s="23"/>
      <c r="AA834" s="23"/>
      <c r="AB834" s="23"/>
      <c r="AC834" s="23"/>
      <c r="AD834" s="23"/>
      <c r="AE834" s="23"/>
      <c r="AR834" s="87" t="s">
        <v>305</v>
      </c>
      <c r="AT834" s="87" t="s">
        <v>218</v>
      </c>
      <c r="AU834" s="87" t="s">
        <v>77</v>
      </c>
      <c r="AY834" s="19" t="s">
        <v>216</v>
      </c>
      <c r="BE834" s="88">
        <f>IF(N834="základní",J834,0)</f>
        <v>0</v>
      </c>
      <c r="BF834" s="88">
        <f>IF(N834="snížená",J834,0)</f>
        <v>0</v>
      </c>
      <c r="BG834" s="88">
        <f>IF(N834="zákl. přenesená",J834,0)</f>
        <v>0</v>
      </c>
      <c r="BH834" s="88">
        <f>IF(N834="sníž. přenesená",J834,0)</f>
        <v>0</v>
      </c>
      <c r="BI834" s="88">
        <f>IF(N834="nulová",J834,0)</f>
        <v>0</v>
      </c>
      <c r="BJ834" s="19" t="s">
        <v>75</v>
      </c>
      <c r="BK834" s="88">
        <f>ROUND(I834*H834,2)</f>
        <v>0</v>
      </c>
      <c r="BL834" s="19" t="s">
        <v>305</v>
      </c>
      <c r="BM834" s="87" t="s">
        <v>1130</v>
      </c>
    </row>
    <row r="835" spans="1:65" s="2" customFormat="1" ht="29.25">
      <c r="A835" s="269"/>
      <c r="B835" s="270"/>
      <c r="C835" s="269"/>
      <c r="D835" s="315" t="s">
        <v>231</v>
      </c>
      <c r="E835" s="269"/>
      <c r="F835" s="323" t="s">
        <v>1131</v>
      </c>
      <c r="G835" s="269"/>
      <c r="H835" s="269"/>
      <c r="I835" s="248"/>
      <c r="J835" s="248"/>
      <c r="K835" s="269"/>
      <c r="L835" s="24"/>
      <c r="M835" s="99"/>
      <c r="N835" s="100"/>
      <c r="O835" s="32"/>
      <c r="P835" s="32"/>
      <c r="Q835" s="32"/>
      <c r="R835" s="32"/>
      <c r="S835" s="32"/>
      <c r="T835" s="33"/>
      <c r="U835" s="23"/>
      <c r="V835" s="23"/>
      <c r="W835" s="23"/>
      <c r="X835" s="23"/>
      <c r="Y835" s="23"/>
      <c r="Z835" s="23"/>
      <c r="AA835" s="23"/>
      <c r="AB835" s="23"/>
      <c r="AC835" s="23"/>
      <c r="AD835" s="23"/>
      <c r="AE835" s="23"/>
      <c r="AT835" s="19" t="s">
        <v>231</v>
      </c>
      <c r="AU835" s="19" t="s">
        <v>77</v>
      </c>
    </row>
    <row r="836" spans="1:65" s="13" customFormat="1">
      <c r="A836" s="313"/>
      <c r="B836" s="314"/>
      <c r="C836" s="313"/>
      <c r="D836" s="315" t="s">
        <v>225</v>
      </c>
      <c r="E836" s="316" t="s">
        <v>3</v>
      </c>
      <c r="F836" s="317" t="s">
        <v>241</v>
      </c>
      <c r="G836" s="313"/>
      <c r="H836" s="316" t="s">
        <v>3</v>
      </c>
      <c r="I836" s="259"/>
      <c r="J836" s="259"/>
      <c r="K836" s="313"/>
      <c r="L836" s="89"/>
      <c r="M836" s="91"/>
      <c r="N836" s="92"/>
      <c r="O836" s="92"/>
      <c r="P836" s="92"/>
      <c r="Q836" s="92"/>
      <c r="R836" s="92"/>
      <c r="S836" s="92"/>
      <c r="T836" s="93"/>
      <c r="AT836" s="90" t="s">
        <v>225</v>
      </c>
      <c r="AU836" s="90" t="s">
        <v>77</v>
      </c>
      <c r="AV836" s="13" t="s">
        <v>75</v>
      </c>
      <c r="AW836" s="13" t="s">
        <v>30</v>
      </c>
      <c r="AX836" s="13" t="s">
        <v>68</v>
      </c>
      <c r="AY836" s="90" t="s">
        <v>216</v>
      </c>
    </row>
    <row r="837" spans="1:65" s="13" customFormat="1">
      <c r="A837" s="313"/>
      <c r="B837" s="314"/>
      <c r="C837" s="313"/>
      <c r="D837" s="315" t="s">
        <v>225</v>
      </c>
      <c r="E837" s="316" t="s">
        <v>3</v>
      </c>
      <c r="F837" s="317" t="s">
        <v>1132</v>
      </c>
      <c r="G837" s="313"/>
      <c r="H837" s="316" t="s">
        <v>3</v>
      </c>
      <c r="I837" s="259"/>
      <c r="J837" s="259"/>
      <c r="K837" s="313"/>
      <c r="L837" s="89"/>
      <c r="M837" s="91"/>
      <c r="N837" s="92"/>
      <c r="O837" s="92"/>
      <c r="P837" s="92"/>
      <c r="Q837" s="92"/>
      <c r="R837" s="92"/>
      <c r="S837" s="92"/>
      <c r="T837" s="93"/>
      <c r="AT837" s="90" t="s">
        <v>225</v>
      </c>
      <c r="AU837" s="90" t="s">
        <v>77</v>
      </c>
      <c r="AV837" s="13" t="s">
        <v>75</v>
      </c>
      <c r="AW837" s="13" t="s">
        <v>30</v>
      </c>
      <c r="AX837" s="13" t="s">
        <v>68</v>
      </c>
      <c r="AY837" s="90" t="s">
        <v>216</v>
      </c>
    </row>
    <row r="838" spans="1:65" s="14" customFormat="1">
      <c r="A838" s="318"/>
      <c r="B838" s="319"/>
      <c r="C838" s="318"/>
      <c r="D838" s="315" t="s">
        <v>225</v>
      </c>
      <c r="E838" s="320" t="s">
        <v>3</v>
      </c>
      <c r="F838" s="321" t="s">
        <v>244</v>
      </c>
      <c r="G838" s="318"/>
      <c r="H838" s="322">
        <v>5</v>
      </c>
      <c r="I838" s="260"/>
      <c r="J838" s="260"/>
      <c r="K838" s="318"/>
      <c r="L838" s="94"/>
      <c r="M838" s="96"/>
      <c r="N838" s="97"/>
      <c r="O838" s="97"/>
      <c r="P838" s="97"/>
      <c r="Q838" s="97"/>
      <c r="R838" s="97"/>
      <c r="S838" s="97"/>
      <c r="T838" s="98"/>
      <c r="AT838" s="95" t="s">
        <v>225</v>
      </c>
      <c r="AU838" s="95" t="s">
        <v>77</v>
      </c>
      <c r="AV838" s="14" t="s">
        <v>77</v>
      </c>
      <c r="AW838" s="14" t="s">
        <v>30</v>
      </c>
      <c r="AX838" s="14" t="s">
        <v>75</v>
      </c>
      <c r="AY838" s="95" t="s">
        <v>216</v>
      </c>
    </row>
    <row r="839" spans="1:65" s="2" customFormat="1" ht="21.6" customHeight="1">
      <c r="A839" s="269"/>
      <c r="B839" s="270"/>
      <c r="C839" s="308" t="s">
        <v>1133</v>
      </c>
      <c r="D839" s="308" t="s">
        <v>218</v>
      </c>
      <c r="E839" s="309" t="s">
        <v>1134</v>
      </c>
      <c r="F839" s="310" t="s">
        <v>1135</v>
      </c>
      <c r="G839" s="311" t="s">
        <v>933</v>
      </c>
      <c r="H839" s="312">
        <v>16</v>
      </c>
      <c r="I839" s="82">
        <v>0</v>
      </c>
      <c r="J839" s="82">
        <f t="shared" ref="J839:J850" si="10">ROUND(I839*H839,2)</f>
        <v>0</v>
      </c>
      <c r="K839" s="310" t="s">
        <v>3</v>
      </c>
      <c r="L839" s="24"/>
      <c r="M839" s="83" t="s">
        <v>3</v>
      </c>
      <c r="N839" s="84" t="s">
        <v>39</v>
      </c>
      <c r="O839" s="85">
        <v>0</v>
      </c>
      <c r="P839" s="85">
        <f t="shared" ref="P839:P850" si="11">O839*H839</f>
        <v>0</v>
      </c>
      <c r="Q839" s="85">
        <v>0</v>
      </c>
      <c r="R839" s="85">
        <f t="shared" ref="R839:R850" si="12">Q839*H839</f>
        <v>0</v>
      </c>
      <c r="S839" s="85">
        <v>0</v>
      </c>
      <c r="T839" s="86">
        <f t="shared" ref="T839:T850" si="13">S839*H839</f>
        <v>0</v>
      </c>
      <c r="U839" s="23"/>
      <c r="V839" s="23"/>
      <c r="W839" s="23"/>
      <c r="X839" s="23"/>
      <c r="Y839" s="23"/>
      <c r="Z839" s="23"/>
      <c r="AA839" s="23"/>
      <c r="AB839" s="23"/>
      <c r="AC839" s="23"/>
      <c r="AD839" s="23"/>
      <c r="AE839" s="23"/>
      <c r="AR839" s="87" t="s">
        <v>305</v>
      </c>
      <c r="AT839" s="87" t="s">
        <v>218</v>
      </c>
      <c r="AU839" s="87" t="s">
        <v>77</v>
      </c>
      <c r="AY839" s="19" t="s">
        <v>216</v>
      </c>
      <c r="BE839" s="88">
        <f t="shared" ref="BE839:BE850" si="14">IF(N839="základní",J839,0)</f>
        <v>0</v>
      </c>
      <c r="BF839" s="88">
        <f t="shared" ref="BF839:BF850" si="15">IF(N839="snížená",J839,0)</f>
        <v>0</v>
      </c>
      <c r="BG839" s="88">
        <f t="shared" ref="BG839:BG850" si="16">IF(N839="zákl. přenesená",J839,0)</f>
        <v>0</v>
      </c>
      <c r="BH839" s="88">
        <f t="shared" ref="BH839:BH850" si="17">IF(N839="sníž. přenesená",J839,0)</f>
        <v>0</v>
      </c>
      <c r="BI839" s="88">
        <f t="shared" ref="BI839:BI850" si="18">IF(N839="nulová",J839,0)</f>
        <v>0</v>
      </c>
      <c r="BJ839" s="19" t="s">
        <v>75</v>
      </c>
      <c r="BK839" s="88">
        <f t="shared" ref="BK839:BK850" si="19">ROUND(I839*H839,2)</f>
        <v>0</v>
      </c>
      <c r="BL839" s="19" t="s">
        <v>305</v>
      </c>
      <c r="BM839" s="87" t="s">
        <v>1136</v>
      </c>
    </row>
    <row r="840" spans="1:65" s="2" customFormat="1" ht="21.6" customHeight="1">
      <c r="A840" s="269"/>
      <c r="B840" s="270"/>
      <c r="C840" s="308" t="s">
        <v>1137</v>
      </c>
      <c r="D840" s="308" t="s">
        <v>218</v>
      </c>
      <c r="E840" s="309" t="s">
        <v>1138</v>
      </c>
      <c r="F840" s="310" t="s">
        <v>1139</v>
      </c>
      <c r="G840" s="311" t="s">
        <v>291</v>
      </c>
      <c r="H840" s="312">
        <v>1</v>
      </c>
      <c r="I840" s="82">
        <v>0</v>
      </c>
      <c r="J840" s="82">
        <f t="shared" si="10"/>
        <v>0</v>
      </c>
      <c r="K840" s="310" t="s">
        <v>3</v>
      </c>
      <c r="L840" s="24"/>
      <c r="M840" s="83" t="s">
        <v>3</v>
      </c>
      <c r="N840" s="84" t="s">
        <v>39</v>
      </c>
      <c r="O840" s="85">
        <v>0</v>
      </c>
      <c r="P840" s="85">
        <f t="shared" si="11"/>
        <v>0</v>
      </c>
      <c r="Q840" s="85">
        <v>0.03</v>
      </c>
      <c r="R840" s="85">
        <f t="shared" si="12"/>
        <v>0.03</v>
      </c>
      <c r="S840" s="85">
        <v>0</v>
      </c>
      <c r="T840" s="86">
        <f t="shared" si="13"/>
        <v>0</v>
      </c>
      <c r="U840" s="23"/>
      <c r="V840" s="23"/>
      <c r="W840" s="23"/>
      <c r="X840" s="23"/>
      <c r="Y840" s="23"/>
      <c r="Z840" s="23"/>
      <c r="AA840" s="23"/>
      <c r="AB840" s="23"/>
      <c r="AC840" s="23"/>
      <c r="AD840" s="23"/>
      <c r="AE840" s="23"/>
      <c r="AR840" s="87" t="s">
        <v>305</v>
      </c>
      <c r="AT840" s="87" t="s">
        <v>218</v>
      </c>
      <c r="AU840" s="87" t="s">
        <v>77</v>
      </c>
      <c r="AY840" s="19" t="s">
        <v>216</v>
      </c>
      <c r="BE840" s="88">
        <f t="shared" si="14"/>
        <v>0</v>
      </c>
      <c r="BF840" s="88">
        <f t="shared" si="15"/>
        <v>0</v>
      </c>
      <c r="BG840" s="88">
        <f t="shared" si="16"/>
        <v>0</v>
      </c>
      <c r="BH840" s="88">
        <f t="shared" si="17"/>
        <v>0</v>
      </c>
      <c r="BI840" s="88">
        <f t="shared" si="18"/>
        <v>0</v>
      </c>
      <c r="BJ840" s="19" t="s">
        <v>75</v>
      </c>
      <c r="BK840" s="88">
        <f t="shared" si="19"/>
        <v>0</v>
      </c>
      <c r="BL840" s="19" t="s">
        <v>305</v>
      </c>
      <c r="BM840" s="87" t="s">
        <v>1140</v>
      </c>
    </row>
    <row r="841" spans="1:65" s="2" customFormat="1" ht="21.6" customHeight="1">
      <c r="A841" s="269"/>
      <c r="B841" s="270"/>
      <c r="C841" s="308" t="s">
        <v>1141</v>
      </c>
      <c r="D841" s="308" t="s">
        <v>218</v>
      </c>
      <c r="E841" s="309" t="s">
        <v>1142</v>
      </c>
      <c r="F841" s="310" t="s">
        <v>1143</v>
      </c>
      <c r="G841" s="311" t="s">
        <v>291</v>
      </c>
      <c r="H841" s="312">
        <v>4</v>
      </c>
      <c r="I841" s="82">
        <v>0</v>
      </c>
      <c r="J841" s="82">
        <f t="shared" si="10"/>
        <v>0</v>
      </c>
      <c r="K841" s="310" t="s">
        <v>3</v>
      </c>
      <c r="L841" s="24"/>
      <c r="M841" s="83" t="s">
        <v>3</v>
      </c>
      <c r="N841" s="84" t="s">
        <v>39</v>
      </c>
      <c r="O841" s="85">
        <v>0</v>
      </c>
      <c r="P841" s="85">
        <f t="shared" si="11"/>
        <v>0</v>
      </c>
      <c r="Q841" s="85">
        <v>0.03</v>
      </c>
      <c r="R841" s="85">
        <f t="shared" si="12"/>
        <v>0.12</v>
      </c>
      <c r="S841" s="85">
        <v>0</v>
      </c>
      <c r="T841" s="86">
        <f t="shared" si="13"/>
        <v>0</v>
      </c>
      <c r="U841" s="23"/>
      <c r="V841" s="23"/>
      <c r="W841" s="23"/>
      <c r="X841" s="23"/>
      <c r="Y841" s="23"/>
      <c r="Z841" s="23"/>
      <c r="AA841" s="23"/>
      <c r="AB841" s="23"/>
      <c r="AC841" s="23"/>
      <c r="AD841" s="23"/>
      <c r="AE841" s="23"/>
      <c r="AR841" s="87" t="s">
        <v>305</v>
      </c>
      <c r="AT841" s="87" t="s">
        <v>218</v>
      </c>
      <c r="AU841" s="87" t="s">
        <v>77</v>
      </c>
      <c r="AY841" s="19" t="s">
        <v>216</v>
      </c>
      <c r="BE841" s="88">
        <f t="shared" si="14"/>
        <v>0</v>
      </c>
      <c r="BF841" s="88">
        <f t="shared" si="15"/>
        <v>0</v>
      </c>
      <c r="BG841" s="88">
        <f t="shared" si="16"/>
        <v>0</v>
      </c>
      <c r="BH841" s="88">
        <f t="shared" si="17"/>
        <v>0</v>
      </c>
      <c r="BI841" s="88">
        <f t="shared" si="18"/>
        <v>0</v>
      </c>
      <c r="BJ841" s="19" t="s">
        <v>75</v>
      </c>
      <c r="BK841" s="88">
        <f t="shared" si="19"/>
        <v>0</v>
      </c>
      <c r="BL841" s="19" t="s">
        <v>305</v>
      </c>
      <c r="BM841" s="87" t="s">
        <v>1144</v>
      </c>
    </row>
    <row r="842" spans="1:65" s="2" customFormat="1" ht="21.6" customHeight="1">
      <c r="A842" s="269"/>
      <c r="B842" s="270"/>
      <c r="C842" s="308" t="s">
        <v>1145</v>
      </c>
      <c r="D842" s="308" t="s">
        <v>218</v>
      </c>
      <c r="E842" s="309" t="s">
        <v>1146</v>
      </c>
      <c r="F842" s="310" t="s">
        <v>1147</v>
      </c>
      <c r="G842" s="311" t="s">
        <v>291</v>
      </c>
      <c r="H842" s="312">
        <v>3</v>
      </c>
      <c r="I842" s="82">
        <v>0</v>
      </c>
      <c r="J842" s="82">
        <f t="shared" si="10"/>
        <v>0</v>
      </c>
      <c r="K842" s="310" t="s">
        <v>3</v>
      </c>
      <c r="L842" s="24"/>
      <c r="M842" s="83" t="s">
        <v>3</v>
      </c>
      <c r="N842" s="84" t="s">
        <v>39</v>
      </c>
      <c r="O842" s="85">
        <v>0</v>
      </c>
      <c r="P842" s="85">
        <f t="shared" si="11"/>
        <v>0</v>
      </c>
      <c r="Q842" s="85">
        <v>0.03</v>
      </c>
      <c r="R842" s="85">
        <f t="shared" si="12"/>
        <v>0.09</v>
      </c>
      <c r="S842" s="85">
        <v>0</v>
      </c>
      <c r="T842" s="86">
        <f t="shared" si="13"/>
        <v>0</v>
      </c>
      <c r="U842" s="23"/>
      <c r="V842" s="23"/>
      <c r="W842" s="23"/>
      <c r="X842" s="23"/>
      <c r="Y842" s="23"/>
      <c r="Z842" s="23"/>
      <c r="AA842" s="23"/>
      <c r="AB842" s="23"/>
      <c r="AC842" s="23"/>
      <c r="AD842" s="23"/>
      <c r="AE842" s="23"/>
      <c r="AR842" s="87" t="s">
        <v>305</v>
      </c>
      <c r="AT842" s="87" t="s">
        <v>218</v>
      </c>
      <c r="AU842" s="87" t="s">
        <v>77</v>
      </c>
      <c r="AY842" s="19" t="s">
        <v>216</v>
      </c>
      <c r="BE842" s="88">
        <f t="shared" si="14"/>
        <v>0</v>
      </c>
      <c r="BF842" s="88">
        <f t="shared" si="15"/>
        <v>0</v>
      </c>
      <c r="BG842" s="88">
        <f t="shared" si="16"/>
        <v>0</v>
      </c>
      <c r="BH842" s="88">
        <f t="shared" si="17"/>
        <v>0</v>
      </c>
      <c r="BI842" s="88">
        <f t="shared" si="18"/>
        <v>0</v>
      </c>
      <c r="BJ842" s="19" t="s">
        <v>75</v>
      </c>
      <c r="BK842" s="88">
        <f t="shared" si="19"/>
        <v>0</v>
      </c>
      <c r="BL842" s="19" t="s">
        <v>305</v>
      </c>
      <c r="BM842" s="87" t="s">
        <v>1148</v>
      </c>
    </row>
    <row r="843" spans="1:65" s="2" customFormat="1" ht="21.6" customHeight="1">
      <c r="A843" s="269"/>
      <c r="B843" s="270"/>
      <c r="C843" s="308" t="s">
        <v>1149</v>
      </c>
      <c r="D843" s="308" t="s">
        <v>218</v>
      </c>
      <c r="E843" s="309" t="s">
        <v>1150</v>
      </c>
      <c r="F843" s="310" t="s">
        <v>1151</v>
      </c>
      <c r="G843" s="311" t="s">
        <v>291</v>
      </c>
      <c r="H843" s="312">
        <v>1</v>
      </c>
      <c r="I843" s="82">
        <v>0</v>
      </c>
      <c r="J843" s="82">
        <f t="shared" si="10"/>
        <v>0</v>
      </c>
      <c r="K843" s="310" t="s">
        <v>3</v>
      </c>
      <c r="L843" s="24"/>
      <c r="M843" s="83" t="s">
        <v>3</v>
      </c>
      <c r="N843" s="84" t="s">
        <v>39</v>
      </c>
      <c r="O843" s="85">
        <v>0</v>
      </c>
      <c r="P843" s="85">
        <f t="shared" si="11"/>
        <v>0</v>
      </c>
      <c r="Q843" s="85">
        <v>0.03</v>
      </c>
      <c r="R843" s="85">
        <f t="shared" si="12"/>
        <v>0.03</v>
      </c>
      <c r="S843" s="85">
        <v>0</v>
      </c>
      <c r="T843" s="86">
        <f t="shared" si="13"/>
        <v>0</v>
      </c>
      <c r="U843" s="23"/>
      <c r="V843" s="23"/>
      <c r="W843" s="23"/>
      <c r="X843" s="23"/>
      <c r="Y843" s="23"/>
      <c r="Z843" s="23"/>
      <c r="AA843" s="23"/>
      <c r="AB843" s="23"/>
      <c r="AC843" s="23"/>
      <c r="AD843" s="23"/>
      <c r="AE843" s="23"/>
      <c r="AR843" s="87" t="s">
        <v>305</v>
      </c>
      <c r="AT843" s="87" t="s">
        <v>218</v>
      </c>
      <c r="AU843" s="87" t="s">
        <v>77</v>
      </c>
      <c r="AY843" s="19" t="s">
        <v>216</v>
      </c>
      <c r="BE843" s="88">
        <f t="shared" si="14"/>
        <v>0</v>
      </c>
      <c r="BF843" s="88">
        <f t="shared" si="15"/>
        <v>0</v>
      </c>
      <c r="BG843" s="88">
        <f t="shared" si="16"/>
        <v>0</v>
      </c>
      <c r="BH843" s="88">
        <f t="shared" si="17"/>
        <v>0</v>
      </c>
      <c r="BI843" s="88">
        <f t="shared" si="18"/>
        <v>0</v>
      </c>
      <c r="BJ843" s="19" t="s">
        <v>75</v>
      </c>
      <c r="BK843" s="88">
        <f t="shared" si="19"/>
        <v>0</v>
      </c>
      <c r="BL843" s="19" t="s">
        <v>305</v>
      </c>
      <c r="BM843" s="87" t="s">
        <v>1152</v>
      </c>
    </row>
    <row r="844" spans="1:65" s="2" customFormat="1" ht="21.6" customHeight="1">
      <c r="A844" s="269"/>
      <c r="B844" s="270"/>
      <c r="C844" s="308" t="s">
        <v>1153</v>
      </c>
      <c r="D844" s="308" t="s">
        <v>218</v>
      </c>
      <c r="E844" s="309" t="s">
        <v>1154</v>
      </c>
      <c r="F844" s="310" t="s">
        <v>1155</v>
      </c>
      <c r="G844" s="311" t="s">
        <v>291</v>
      </c>
      <c r="H844" s="312">
        <v>1</v>
      </c>
      <c r="I844" s="82">
        <v>0</v>
      </c>
      <c r="J844" s="82">
        <f t="shared" si="10"/>
        <v>0</v>
      </c>
      <c r="K844" s="310" t="s">
        <v>3</v>
      </c>
      <c r="L844" s="24"/>
      <c r="M844" s="83" t="s">
        <v>3</v>
      </c>
      <c r="N844" s="84" t="s">
        <v>39</v>
      </c>
      <c r="O844" s="85">
        <v>0</v>
      </c>
      <c r="P844" s="85">
        <f t="shared" si="11"/>
        <v>0</v>
      </c>
      <c r="Q844" s="85">
        <v>0.03</v>
      </c>
      <c r="R844" s="85">
        <f t="shared" si="12"/>
        <v>0.03</v>
      </c>
      <c r="S844" s="85">
        <v>0</v>
      </c>
      <c r="T844" s="86">
        <f t="shared" si="13"/>
        <v>0</v>
      </c>
      <c r="U844" s="23"/>
      <c r="V844" s="23"/>
      <c r="W844" s="23"/>
      <c r="X844" s="23"/>
      <c r="Y844" s="23"/>
      <c r="Z844" s="23"/>
      <c r="AA844" s="23"/>
      <c r="AB844" s="23"/>
      <c r="AC844" s="23"/>
      <c r="AD844" s="23"/>
      <c r="AE844" s="23"/>
      <c r="AR844" s="87" t="s">
        <v>305</v>
      </c>
      <c r="AT844" s="87" t="s">
        <v>218</v>
      </c>
      <c r="AU844" s="87" t="s">
        <v>77</v>
      </c>
      <c r="AY844" s="19" t="s">
        <v>216</v>
      </c>
      <c r="BE844" s="88">
        <f t="shared" si="14"/>
        <v>0</v>
      </c>
      <c r="BF844" s="88">
        <f t="shared" si="15"/>
        <v>0</v>
      </c>
      <c r="BG844" s="88">
        <f t="shared" si="16"/>
        <v>0</v>
      </c>
      <c r="BH844" s="88">
        <f t="shared" si="17"/>
        <v>0</v>
      </c>
      <c r="BI844" s="88">
        <f t="shared" si="18"/>
        <v>0</v>
      </c>
      <c r="BJ844" s="19" t="s">
        <v>75</v>
      </c>
      <c r="BK844" s="88">
        <f t="shared" si="19"/>
        <v>0</v>
      </c>
      <c r="BL844" s="19" t="s">
        <v>305</v>
      </c>
      <c r="BM844" s="87" t="s">
        <v>1156</v>
      </c>
    </row>
    <row r="845" spans="1:65" s="2" customFormat="1" ht="21.6" customHeight="1">
      <c r="A845" s="269"/>
      <c r="B845" s="270"/>
      <c r="C845" s="308" t="s">
        <v>1157</v>
      </c>
      <c r="D845" s="308" t="s">
        <v>218</v>
      </c>
      <c r="E845" s="309" t="s">
        <v>1158</v>
      </c>
      <c r="F845" s="310" t="s">
        <v>1159</v>
      </c>
      <c r="G845" s="311" t="s">
        <v>291</v>
      </c>
      <c r="H845" s="312">
        <v>1</v>
      </c>
      <c r="I845" s="82">
        <v>0</v>
      </c>
      <c r="J845" s="82">
        <f t="shared" si="10"/>
        <v>0</v>
      </c>
      <c r="K845" s="310" t="s">
        <v>3</v>
      </c>
      <c r="L845" s="24"/>
      <c r="M845" s="83" t="s">
        <v>3</v>
      </c>
      <c r="N845" s="84" t="s">
        <v>39</v>
      </c>
      <c r="O845" s="85">
        <v>0</v>
      </c>
      <c r="P845" s="85">
        <f t="shared" si="11"/>
        <v>0</v>
      </c>
      <c r="Q845" s="85">
        <v>1.4999999999999999E-2</v>
      </c>
      <c r="R845" s="85">
        <f t="shared" si="12"/>
        <v>1.4999999999999999E-2</v>
      </c>
      <c r="S845" s="85">
        <v>0</v>
      </c>
      <c r="T845" s="86">
        <f t="shared" si="13"/>
        <v>0</v>
      </c>
      <c r="U845" s="23"/>
      <c r="V845" s="23"/>
      <c r="W845" s="23"/>
      <c r="X845" s="23"/>
      <c r="Y845" s="23"/>
      <c r="Z845" s="23"/>
      <c r="AA845" s="23"/>
      <c r="AB845" s="23"/>
      <c r="AC845" s="23"/>
      <c r="AD845" s="23"/>
      <c r="AE845" s="23"/>
      <c r="AR845" s="87" t="s">
        <v>305</v>
      </c>
      <c r="AT845" s="87" t="s">
        <v>218</v>
      </c>
      <c r="AU845" s="87" t="s">
        <v>77</v>
      </c>
      <c r="AY845" s="19" t="s">
        <v>216</v>
      </c>
      <c r="BE845" s="88">
        <f t="shared" si="14"/>
        <v>0</v>
      </c>
      <c r="BF845" s="88">
        <f t="shared" si="15"/>
        <v>0</v>
      </c>
      <c r="BG845" s="88">
        <f t="shared" si="16"/>
        <v>0</v>
      </c>
      <c r="BH845" s="88">
        <f t="shared" si="17"/>
        <v>0</v>
      </c>
      <c r="BI845" s="88">
        <f t="shared" si="18"/>
        <v>0</v>
      </c>
      <c r="BJ845" s="19" t="s">
        <v>75</v>
      </c>
      <c r="BK845" s="88">
        <f t="shared" si="19"/>
        <v>0</v>
      </c>
      <c r="BL845" s="19" t="s">
        <v>305</v>
      </c>
      <c r="BM845" s="87" t="s">
        <v>1160</v>
      </c>
    </row>
    <row r="846" spans="1:65" s="2" customFormat="1" ht="21.6" customHeight="1">
      <c r="A846" s="269"/>
      <c r="B846" s="270"/>
      <c r="C846" s="308" t="s">
        <v>1161</v>
      </c>
      <c r="D846" s="308" t="s">
        <v>218</v>
      </c>
      <c r="E846" s="309" t="s">
        <v>1162</v>
      </c>
      <c r="F846" s="310" t="s">
        <v>1163</v>
      </c>
      <c r="G846" s="311" t="s">
        <v>291</v>
      </c>
      <c r="H846" s="312">
        <v>2</v>
      </c>
      <c r="I846" s="82">
        <v>0</v>
      </c>
      <c r="J846" s="82">
        <f t="shared" si="10"/>
        <v>0</v>
      </c>
      <c r="K846" s="310" t="s">
        <v>3</v>
      </c>
      <c r="L846" s="24"/>
      <c r="M846" s="83" t="s">
        <v>3</v>
      </c>
      <c r="N846" s="84" t="s">
        <v>39</v>
      </c>
      <c r="O846" s="85">
        <v>0</v>
      </c>
      <c r="P846" s="85">
        <f t="shared" si="11"/>
        <v>0</v>
      </c>
      <c r="Q846" s="85">
        <v>1.4999999999999999E-2</v>
      </c>
      <c r="R846" s="85">
        <f t="shared" si="12"/>
        <v>0.03</v>
      </c>
      <c r="S846" s="85">
        <v>0</v>
      </c>
      <c r="T846" s="86">
        <f t="shared" si="13"/>
        <v>0</v>
      </c>
      <c r="U846" s="23"/>
      <c r="V846" s="23"/>
      <c r="W846" s="23"/>
      <c r="X846" s="23"/>
      <c r="Y846" s="23"/>
      <c r="Z846" s="23"/>
      <c r="AA846" s="23"/>
      <c r="AB846" s="23"/>
      <c r="AC846" s="23"/>
      <c r="AD846" s="23"/>
      <c r="AE846" s="23"/>
      <c r="AR846" s="87" t="s">
        <v>305</v>
      </c>
      <c r="AT846" s="87" t="s">
        <v>218</v>
      </c>
      <c r="AU846" s="87" t="s">
        <v>77</v>
      </c>
      <c r="AY846" s="19" t="s">
        <v>216</v>
      </c>
      <c r="BE846" s="88">
        <f t="shared" si="14"/>
        <v>0</v>
      </c>
      <c r="BF846" s="88">
        <f t="shared" si="15"/>
        <v>0</v>
      </c>
      <c r="BG846" s="88">
        <f t="shared" si="16"/>
        <v>0</v>
      </c>
      <c r="BH846" s="88">
        <f t="shared" si="17"/>
        <v>0</v>
      </c>
      <c r="BI846" s="88">
        <f t="shared" si="18"/>
        <v>0</v>
      </c>
      <c r="BJ846" s="19" t="s">
        <v>75</v>
      </c>
      <c r="BK846" s="88">
        <f t="shared" si="19"/>
        <v>0</v>
      </c>
      <c r="BL846" s="19" t="s">
        <v>305</v>
      </c>
      <c r="BM846" s="87" t="s">
        <v>1164</v>
      </c>
    </row>
    <row r="847" spans="1:65" s="2" customFormat="1" ht="21.6" customHeight="1">
      <c r="A847" s="269"/>
      <c r="B847" s="270"/>
      <c r="C847" s="308" t="s">
        <v>1165</v>
      </c>
      <c r="D847" s="308" t="s">
        <v>218</v>
      </c>
      <c r="E847" s="309" t="s">
        <v>1166</v>
      </c>
      <c r="F847" s="310" t="s">
        <v>1167</v>
      </c>
      <c r="G847" s="311" t="s">
        <v>291</v>
      </c>
      <c r="H847" s="312">
        <v>2</v>
      </c>
      <c r="I847" s="82">
        <v>0</v>
      </c>
      <c r="J847" s="82">
        <f t="shared" si="10"/>
        <v>0</v>
      </c>
      <c r="K847" s="310" t="s">
        <v>3</v>
      </c>
      <c r="L847" s="24"/>
      <c r="M847" s="83" t="s">
        <v>3</v>
      </c>
      <c r="N847" s="84" t="s">
        <v>39</v>
      </c>
      <c r="O847" s="85">
        <v>0</v>
      </c>
      <c r="P847" s="85">
        <f t="shared" si="11"/>
        <v>0</v>
      </c>
      <c r="Q847" s="85">
        <v>1.4999999999999999E-2</v>
      </c>
      <c r="R847" s="85">
        <f t="shared" si="12"/>
        <v>0.03</v>
      </c>
      <c r="S847" s="85">
        <v>0</v>
      </c>
      <c r="T847" s="86">
        <f t="shared" si="13"/>
        <v>0</v>
      </c>
      <c r="U847" s="23"/>
      <c r="V847" s="23"/>
      <c r="W847" s="23"/>
      <c r="X847" s="23"/>
      <c r="Y847" s="23"/>
      <c r="Z847" s="23"/>
      <c r="AA847" s="23"/>
      <c r="AB847" s="23"/>
      <c r="AC847" s="23"/>
      <c r="AD847" s="23"/>
      <c r="AE847" s="23"/>
      <c r="AR847" s="87" t="s">
        <v>305</v>
      </c>
      <c r="AT847" s="87" t="s">
        <v>218</v>
      </c>
      <c r="AU847" s="87" t="s">
        <v>77</v>
      </c>
      <c r="AY847" s="19" t="s">
        <v>216</v>
      </c>
      <c r="BE847" s="88">
        <f t="shared" si="14"/>
        <v>0</v>
      </c>
      <c r="BF847" s="88">
        <f t="shared" si="15"/>
        <v>0</v>
      </c>
      <c r="BG847" s="88">
        <f t="shared" si="16"/>
        <v>0</v>
      </c>
      <c r="BH847" s="88">
        <f t="shared" si="17"/>
        <v>0</v>
      </c>
      <c r="BI847" s="88">
        <f t="shared" si="18"/>
        <v>0</v>
      </c>
      <c r="BJ847" s="19" t="s">
        <v>75</v>
      </c>
      <c r="BK847" s="88">
        <f t="shared" si="19"/>
        <v>0</v>
      </c>
      <c r="BL847" s="19" t="s">
        <v>305</v>
      </c>
      <c r="BM847" s="87" t="s">
        <v>1168</v>
      </c>
    </row>
    <row r="848" spans="1:65" s="2" customFormat="1" ht="21.6" customHeight="1">
      <c r="A848" s="269"/>
      <c r="B848" s="270"/>
      <c r="C848" s="308" t="s">
        <v>1169</v>
      </c>
      <c r="D848" s="308" t="s">
        <v>218</v>
      </c>
      <c r="E848" s="309" t="s">
        <v>1170</v>
      </c>
      <c r="F848" s="310" t="s">
        <v>1171</v>
      </c>
      <c r="G848" s="311" t="s">
        <v>291</v>
      </c>
      <c r="H848" s="312">
        <v>1</v>
      </c>
      <c r="I848" s="82">
        <v>0</v>
      </c>
      <c r="J848" s="82">
        <f t="shared" si="10"/>
        <v>0</v>
      </c>
      <c r="K848" s="310" t="s">
        <v>3</v>
      </c>
      <c r="L848" s="24"/>
      <c r="M848" s="83" t="s">
        <v>3</v>
      </c>
      <c r="N848" s="84" t="s">
        <v>39</v>
      </c>
      <c r="O848" s="85">
        <v>0</v>
      </c>
      <c r="P848" s="85">
        <f t="shared" si="11"/>
        <v>0</v>
      </c>
      <c r="Q848" s="85">
        <v>0.03</v>
      </c>
      <c r="R848" s="85">
        <f t="shared" si="12"/>
        <v>0.03</v>
      </c>
      <c r="S848" s="85">
        <v>0</v>
      </c>
      <c r="T848" s="86">
        <f t="shared" si="13"/>
        <v>0</v>
      </c>
      <c r="U848" s="23"/>
      <c r="V848" s="23"/>
      <c r="W848" s="23"/>
      <c r="X848" s="23"/>
      <c r="Y848" s="23"/>
      <c r="Z848" s="23"/>
      <c r="AA848" s="23"/>
      <c r="AB848" s="23"/>
      <c r="AC848" s="23"/>
      <c r="AD848" s="23"/>
      <c r="AE848" s="23"/>
      <c r="AR848" s="87" t="s">
        <v>305</v>
      </c>
      <c r="AT848" s="87" t="s">
        <v>218</v>
      </c>
      <c r="AU848" s="87" t="s">
        <v>77</v>
      </c>
      <c r="AY848" s="19" t="s">
        <v>216</v>
      </c>
      <c r="BE848" s="88">
        <f t="shared" si="14"/>
        <v>0</v>
      </c>
      <c r="BF848" s="88">
        <f t="shared" si="15"/>
        <v>0</v>
      </c>
      <c r="BG848" s="88">
        <f t="shared" si="16"/>
        <v>0</v>
      </c>
      <c r="BH848" s="88">
        <f t="shared" si="17"/>
        <v>0</v>
      </c>
      <c r="BI848" s="88">
        <f t="shared" si="18"/>
        <v>0</v>
      </c>
      <c r="BJ848" s="19" t="s">
        <v>75</v>
      </c>
      <c r="BK848" s="88">
        <f t="shared" si="19"/>
        <v>0</v>
      </c>
      <c r="BL848" s="19" t="s">
        <v>305</v>
      </c>
      <c r="BM848" s="87" t="s">
        <v>1172</v>
      </c>
    </row>
    <row r="849" spans="1:65" s="2" customFormat="1" ht="226.9" customHeight="1">
      <c r="A849" s="269"/>
      <c r="B849" s="270"/>
      <c r="C849" s="308" t="s">
        <v>1173</v>
      </c>
      <c r="D849" s="308" t="s">
        <v>218</v>
      </c>
      <c r="E849" s="309" t="s">
        <v>1174</v>
      </c>
      <c r="F849" s="310" t="s">
        <v>1175</v>
      </c>
      <c r="G849" s="311" t="s">
        <v>291</v>
      </c>
      <c r="H849" s="312">
        <v>1</v>
      </c>
      <c r="I849" s="82">
        <v>0</v>
      </c>
      <c r="J849" s="82">
        <f t="shared" si="10"/>
        <v>0</v>
      </c>
      <c r="K849" s="310" t="s">
        <v>3</v>
      </c>
      <c r="L849" s="24"/>
      <c r="M849" s="83" t="s">
        <v>3</v>
      </c>
      <c r="N849" s="84" t="s">
        <v>39</v>
      </c>
      <c r="O849" s="85">
        <v>0</v>
      </c>
      <c r="P849" s="85">
        <f t="shared" si="11"/>
        <v>0</v>
      </c>
      <c r="Q849" s="85">
        <v>0</v>
      </c>
      <c r="R849" s="85">
        <f t="shared" si="12"/>
        <v>0</v>
      </c>
      <c r="S849" s="85">
        <v>0</v>
      </c>
      <c r="T849" s="86">
        <f t="shared" si="13"/>
        <v>0</v>
      </c>
      <c r="U849" s="23"/>
      <c r="V849" s="23"/>
      <c r="W849" s="23"/>
      <c r="X849" s="23"/>
      <c r="Y849" s="23"/>
      <c r="Z849" s="23"/>
      <c r="AA849" s="23"/>
      <c r="AB849" s="23"/>
      <c r="AC849" s="23"/>
      <c r="AD849" s="23"/>
      <c r="AE849" s="23"/>
      <c r="AR849" s="87" t="s">
        <v>305</v>
      </c>
      <c r="AT849" s="87" t="s">
        <v>218</v>
      </c>
      <c r="AU849" s="87" t="s">
        <v>77</v>
      </c>
      <c r="AY849" s="19" t="s">
        <v>216</v>
      </c>
      <c r="BE849" s="88">
        <f t="shared" si="14"/>
        <v>0</v>
      </c>
      <c r="BF849" s="88">
        <f t="shared" si="15"/>
        <v>0</v>
      </c>
      <c r="BG849" s="88">
        <f t="shared" si="16"/>
        <v>0</v>
      </c>
      <c r="BH849" s="88">
        <f t="shared" si="17"/>
        <v>0</v>
      </c>
      <c r="BI849" s="88">
        <f t="shared" si="18"/>
        <v>0</v>
      </c>
      <c r="BJ849" s="19" t="s">
        <v>75</v>
      </c>
      <c r="BK849" s="88">
        <f t="shared" si="19"/>
        <v>0</v>
      </c>
      <c r="BL849" s="19" t="s">
        <v>305</v>
      </c>
      <c r="BM849" s="87" t="s">
        <v>1176</v>
      </c>
    </row>
    <row r="850" spans="1:65" s="2" customFormat="1" ht="21.6" customHeight="1">
      <c r="A850" s="269"/>
      <c r="B850" s="270"/>
      <c r="C850" s="308" t="s">
        <v>1177</v>
      </c>
      <c r="D850" s="308" t="s">
        <v>218</v>
      </c>
      <c r="E850" s="309" t="s">
        <v>1178</v>
      </c>
      <c r="F850" s="310" t="s">
        <v>1179</v>
      </c>
      <c r="G850" s="311" t="s">
        <v>273</v>
      </c>
      <c r="H850" s="312">
        <v>0.40500000000000003</v>
      </c>
      <c r="I850" s="82">
        <v>0</v>
      </c>
      <c r="J850" s="82">
        <f t="shared" si="10"/>
        <v>0</v>
      </c>
      <c r="K850" s="310" t="s">
        <v>222</v>
      </c>
      <c r="L850" s="24"/>
      <c r="M850" s="83" t="s">
        <v>3</v>
      </c>
      <c r="N850" s="84" t="s">
        <v>39</v>
      </c>
      <c r="O850" s="85">
        <v>2.2549999999999999</v>
      </c>
      <c r="P850" s="85">
        <f t="shared" si="11"/>
        <v>0.91327500000000006</v>
      </c>
      <c r="Q850" s="85">
        <v>0</v>
      </c>
      <c r="R850" s="85">
        <f t="shared" si="12"/>
        <v>0</v>
      </c>
      <c r="S850" s="85">
        <v>0</v>
      </c>
      <c r="T850" s="86">
        <f t="shared" si="13"/>
        <v>0</v>
      </c>
      <c r="U850" s="23"/>
      <c r="V850" s="23"/>
      <c r="W850" s="23"/>
      <c r="X850" s="23"/>
      <c r="Y850" s="23"/>
      <c r="Z850" s="23"/>
      <c r="AA850" s="23"/>
      <c r="AB850" s="23"/>
      <c r="AC850" s="23"/>
      <c r="AD850" s="23"/>
      <c r="AE850" s="23"/>
      <c r="AR850" s="87" t="s">
        <v>305</v>
      </c>
      <c r="AT850" s="87" t="s">
        <v>218</v>
      </c>
      <c r="AU850" s="87" t="s">
        <v>77</v>
      </c>
      <c r="AY850" s="19" t="s">
        <v>216</v>
      </c>
      <c r="BE850" s="88">
        <f t="shared" si="14"/>
        <v>0</v>
      </c>
      <c r="BF850" s="88">
        <f t="shared" si="15"/>
        <v>0</v>
      </c>
      <c r="BG850" s="88">
        <f t="shared" si="16"/>
        <v>0</v>
      </c>
      <c r="BH850" s="88">
        <f t="shared" si="17"/>
        <v>0</v>
      </c>
      <c r="BI850" s="88">
        <f t="shared" si="18"/>
        <v>0</v>
      </c>
      <c r="BJ850" s="19" t="s">
        <v>75</v>
      </c>
      <c r="BK850" s="88">
        <f t="shared" si="19"/>
        <v>0</v>
      </c>
      <c r="BL850" s="19" t="s">
        <v>305</v>
      </c>
      <c r="BM850" s="87" t="s">
        <v>1180</v>
      </c>
    </row>
    <row r="851" spans="1:65" s="2" customFormat="1" ht="87.75">
      <c r="A851" s="269"/>
      <c r="B851" s="270"/>
      <c r="C851" s="269"/>
      <c r="D851" s="315" t="s">
        <v>231</v>
      </c>
      <c r="E851" s="269"/>
      <c r="F851" s="323" t="s">
        <v>1181</v>
      </c>
      <c r="G851" s="269"/>
      <c r="H851" s="269"/>
      <c r="I851" s="248"/>
      <c r="J851" s="248"/>
      <c r="K851" s="269"/>
      <c r="L851" s="24"/>
      <c r="M851" s="99"/>
      <c r="N851" s="100"/>
      <c r="O851" s="32"/>
      <c r="P851" s="32"/>
      <c r="Q851" s="32"/>
      <c r="R851" s="32"/>
      <c r="S851" s="32"/>
      <c r="T851" s="33"/>
      <c r="U851" s="23"/>
      <c r="V851" s="23"/>
      <c r="W851" s="23"/>
      <c r="X851" s="23"/>
      <c r="Y851" s="23"/>
      <c r="Z851" s="23"/>
      <c r="AA851" s="23"/>
      <c r="AB851" s="23"/>
      <c r="AC851" s="23"/>
      <c r="AD851" s="23"/>
      <c r="AE851" s="23"/>
      <c r="AT851" s="19" t="s">
        <v>231</v>
      </c>
      <c r="AU851" s="19" t="s">
        <v>77</v>
      </c>
    </row>
    <row r="852" spans="1:65" s="2" customFormat="1" ht="21.6" customHeight="1">
      <c r="A852" s="269"/>
      <c r="B852" s="270"/>
      <c r="C852" s="308" t="s">
        <v>1182</v>
      </c>
      <c r="D852" s="308" t="s">
        <v>218</v>
      </c>
      <c r="E852" s="309" t="s">
        <v>1183</v>
      </c>
      <c r="F852" s="310" t="s">
        <v>1184</v>
      </c>
      <c r="G852" s="311" t="s">
        <v>273</v>
      </c>
      <c r="H852" s="312">
        <v>0.40500000000000003</v>
      </c>
      <c r="I852" s="82">
        <v>0</v>
      </c>
      <c r="J852" s="82">
        <f>ROUND(I852*H852,2)</f>
        <v>0</v>
      </c>
      <c r="K852" s="310" t="s">
        <v>222</v>
      </c>
      <c r="L852" s="24"/>
      <c r="M852" s="83" t="s">
        <v>3</v>
      </c>
      <c r="N852" s="84" t="s">
        <v>39</v>
      </c>
      <c r="O852" s="85">
        <v>1.45</v>
      </c>
      <c r="P852" s="85">
        <f>O852*H852</f>
        <v>0.58725000000000005</v>
      </c>
      <c r="Q852" s="85">
        <v>0</v>
      </c>
      <c r="R852" s="85">
        <f>Q852*H852</f>
        <v>0</v>
      </c>
      <c r="S852" s="85">
        <v>0</v>
      </c>
      <c r="T852" s="86">
        <f>S852*H852</f>
        <v>0</v>
      </c>
      <c r="U852" s="23"/>
      <c r="V852" s="23"/>
      <c r="W852" s="23"/>
      <c r="X852" s="23"/>
      <c r="Y852" s="23"/>
      <c r="Z852" s="23"/>
      <c r="AA852" s="23"/>
      <c r="AB852" s="23"/>
      <c r="AC852" s="23"/>
      <c r="AD852" s="23"/>
      <c r="AE852" s="23"/>
      <c r="AR852" s="87" t="s">
        <v>305</v>
      </c>
      <c r="AT852" s="87" t="s">
        <v>218</v>
      </c>
      <c r="AU852" s="87" t="s">
        <v>77</v>
      </c>
      <c r="AY852" s="19" t="s">
        <v>216</v>
      </c>
      <c r="BE852" s="88">
        <f>IF(N852="základní",J852,0)</f>
        <v>0</v>
      </c>
      <c r="BF852" s="88">
        <f>IF(N852="snížená",J852,0)</f>
        <v>0</v>
      </c>
      <c r="BG852" s="88">
        <f>IF(N852="zákl. přenesená",J852,0)</f>
        <v>0</v>
      </c>
      <c r="BH852" s="88">
        <f>IF(N852="sníž. přenesená",J852,0)</f>
        <v>0</v>
      </c>
      <c r="BI852" s="88">
        <f>IF(N852="nulová",J852,0)</f>
        <v>0</v>
      </c>
      <c r="BJ852" s="19" t="s">
        <v>75</v>
      </c>
      <c r="BK852" s="88">
        <f>ROUND(I852*H852,2)</f>
        <v>0</v>
      </c>
      <c r="BL852" s="19" t="s">
        <v>305</v>
      </c>
      <c r="BM852" s="87" t="s">
        <v>1185</v>
      </c>
    </row>
    <row r="853" spans="1:65" s="2" customFormat="1" ht="87.75">
      <c r="A853" s="269"/>
      <c r="B853" s="270"/>
      <c r="C853" s="269"/>
      <c r="D853" s="315" t="s">
        <v>231</v>
      </c>
      <c r="E853" s="269"/>
      <c r="F853" s="323" t="s">
        <v>1181</v>
      </c>
      <c r="G853" s="269"/>
      <c r="H853" s="269"/>
      <c r="I853" s="248"/>
      <c r="J853" s="248"/>
      <c r="K853" s="269"/>
      <c r="L853" s="24"/>
      <c r="M853" s="99"/>
      <c r="N853" s="100"/>
      <c r="O853" s="32"/>
      <c r="P853" s="32"/>
      <c r="Q853" s="32"/>
      <c r="R853" s="32"/>
      <c r="S853" s="32"/>
      <c r="T853" s="33"/>
      <c r="U853" s="23"/>
      <c r="V853" s="23"/>
      <c r="W853" s="23"/>
      <c r="X853" s="23"/>
      <c r="Y853" s="23"/>
      <c r="Z853" s="23"/>
      <c r="AA853" s="23"/>
      <c r="AB853" s="23"/>
      <c r="AC853" s="23"/>
      <c r="AD853" s="23"/>
      <c r="AE853" s="23"/>
      <c r="AT853" s="19" t="s">
        <v>231</v>
      </c>
      <c r="AU853" s="19" t="s">
        <v>77</v>
      </c>
    </row>
    <row r="854" spans="1:65" s="12" customFormat="1" ht="22.9" customHeight="1">
      <c r="A854" s="303"/>
      <c r="B854" s="304"/>
      <c r="C854" s="303"/>
      <c r="D854" s="305" t="s">
        <v>67</v>
      </c>
      <c r="E854" s="307" t="s">
        <v>1186</v>
      </c>
      <c r="F854" s="307" t="s">
        <v>1187</v>
      </c>
      <c r="G854" s="303"/>
      <c r="H854" s="303"/>
      <c r="I854" s="256"/>
      <c r="J854" s="258">
        <f>BK854</f>
        <v>0</v>
      </c>
      <c r="K854" s="303"/>
      <c r="L854" s="74"/>
      <c r="M854" s="76"/>
      <c r="N854" s="77"/>
      <c r="O854" s="77"/>
      <c r="P854" s="78">
        <f>SUM(P855:P880)</f>
        <v>32.772922000000001</v>
      </c>
      <c r="Q854" s="77"/>
      <c r="R854" s="78">
        <f>SUM(R855:R880)</f>
        <v>2.2659710000000004</v>
      </c>
      <c r="S854" s="77"/>
      <c r="T854" s="79">
        <f>SUM(T855:T880)</f>
        <v>0.78869999999999996</v>
      </c>
      <c r="AR854" s="75" t="s">
        <v>77</v>
      </c>
      <c r="AT854" s="80" t="s">
        <v>67</v>
      </c>
      <c r="AU854" s="80" t="s">
        <v>75</v>
      </c>
      <c r="AY854" s="75" t="s">
        <v>216</v>
      </c>
      <c r="BK854" s="81">
        <f>SUM(BK855:BK880)</f>
        <v>0</v>
      </c>
    </row>
    <row r="855" spans="1:65" s="2" customFormat="1" ht="14.45" customHeight="1">
      <c r="A855" s="269"/>
      <c r="B855" s="270"/>
      <c r="C855" s="308" t="s">
        <v>1188</v>
      </c>
      <c r="D855" s="308" t="s">
        <v>218</v>
      </c>
      <c r="E855" s="309" t="s">
        <v>1189</v>
      </c>
      <c r="F855" s="310" t="s">
        <v>1190</v>
      </c>
      <c r="G855" s="311" t="s">
        <v>286</v>
      </c>
      <c r="H855" s="312">
        <v>23.9</v>
      </c>
      <c r="I855" s="82">
        <v>0</v>
      </c>
      <c r="J855" s="82">
        <f>ROUND(I855*H855,2)</f>
        <v>0</v>
      </c>
      <c r="K855" s="310" t="s">
        <v>222</v>
      </c>
      <c r="L855" s="24"/>
      <c r="M855" s="83" t="s">
        <v>3</v>
      </c>
      <c r="N855" s="84" t="s">
        <v>39</v>
      </c>
      <c r="O855" s="85">
        <v>0.88800000000000001</v>
      </c>
      <c r="P855" s="85">
        <f>O855*H855</f>
        <v>21.223199999999999</v>
      </c>
      <c r="Q855" s="85">
        <v>0</v>
      </c>
      <c r="R855" s="85">
        <f>Q855*H855</f>
        <v>0</v>
      </c>
      <c r="S855" s="85">
        <v>3.3000000000000002E-2</v>
      </c>
      <c r="T855" s="86">
        <f>S855*H855</f>
        <v>0.78869999999999996</v>
      </c>
      <c r="U855" s="23"/>
      <c r="V855" s="23"/>
      <c r="W855" s="23"/>
      <c r="X855" s="23"/>
      <c r="Y855" s="23"/>
      <c r="Z855" s="23"/>
      <c r="AA855" s="23"/>
      <c r="AB855" s="23"/>
      <c r="AC855" s="23"/>
      <c r="AD855" s="23"/>
      <c r="AE855" s="23"/>
      <c r="AR855" s="87" t="s">
        <v>305</v>
      </c>
      <c r="AT855" s="87" t="s">
        <v>218</v>
      </c>
      <c r="AU855" s="87" t="s">
        <v>77</v>
      </c>
      <c r="AY855" s="19" t="s">
        <v>216</v>
      </c>
      <c r="BE855" s="88">
        <f>IF(N855="základní",J855,0)</f>
        <v>0</v>
      </c>
      <c r="BF855" s="88">
        <f>IF(N855="snížená",J855,0)</f>
        <v>0</v>
      </c>
      <c r="BG855" s="88">
        <f>IF(N855="zákl. přenesená",J855,0)</f>
        <v>0</v>
      </c>
      <c r="BH855" s="88">
        <f>IF(N855="sníž. přenesená",J855,0)</f>
        <v>0</v>
      </c>
      <c r="BI855" s="88">
        <f>IF(N855="nulová",J855,0)</f>
        <v>0</v>
      </c>
      <c r="BJ855" s="19" t="s">
        <v>75</v>
      </c>
      <c r="BK855" s="88">
        <f>ROUND(I855*H855,2)</f>
        <v>0</v>
      </c>
      <c r="BL855" s="19" t="s">
        <v>305</v>
      </c>
      <c r="BM855" s="87" t="s">
        <v>1191</v>
      </c>
    </row>
    <row r="856" spans="1:65" s="13" customFormat="1">
      <c r="A856" s="313"/>
      <c r="B856" s="314"/>
      <c r="C856" s="313"/>
      <c r="D856" s="315" t="s">
        <v>225</v>
      </c>
      <c r="E856" s="316" t="s">
        <v>3</v>
      </c>
      <c r="F856" s="317" t="s">
        <v>241</v>
      </c>
      <c r="G856" s="313"/>
      <c r="H856" s="316" t="s">
        <v>3</v>
      </c>
      <c r="I856" s="259"/>
      <c r="J856" s="259"/>
      <c r="K856" s="313"/>
      <c r="L856" s="89"/>
      <c r="M856" s="91"/>
      <c r="N856" s="92"/>
      <c r="O856" s="92"/>
      <c r="P856" s="92"/>
      <c r="Q856" s="92"/>
      <c r="R856" s="92"/>
      <c r="S856" s="92"/>
      <c r="T856" s="93"/>
      <c r="AT856" s="90" t="s">
        <v>225</v>
      </c>
      <c r="AU856" s="90" t="s">
        <v>77</v>
      </c>
      <c r="AV856" s="13" t="s">
        <v>75</v>
      </c>
      <c r="AW856" s="13" t="s">
        <v>30</v>
      </c>
      <c r="AX856" s="13" t="s">
        <v>68</v>
      </c>
      <c r="AY856" s="90" t="s">
        <v>216</v>
      </c>
    </row>
    <row r="857" spans="1:65" s="13" customFormat="1">
      <c r="A857" s="313"/>
      <c r="B857" s="314"/>
      <c r="C857" s="313"/>
      <c r="D857" s="315" t="s">
        <v>225</v>
      </c>
      <c r="E857" s="316" t="s">
        <v>3</v>
      </c>
      <c r="F857" s="317" t="s">
        <v>1192</v>
      </c>
      <c r="G857" s="313"/>
      <c r="H857" s="316" t="s">
        <v>3</v>
      </c>
      <c r="I857" s="259"/>
      <c r="J857" s="259"/>
      <c r="K857" s="313"/>
      <c r="L857" s="89"/>
      <c r="M857" s="91"/>
      <c r="N857" s="92"/>
      <c r="O857" s="92"/>
      <c r="P857" s="92"/>
      <c r="Q857" s="92"/>
      <c r="R857" s="92"/>
      <c r="S857" s="92"/>
      <c r="T857" s="93"/>
      <c r="AT857" s="90" t="s">
        <v>225</v>
      </c>
      <c r="AU857" s="90" t="s">
        <v>77</v>
      </c>
      <c r="AV857" s="13" t="s">
        <v>75</v>
      </c>
      <c r="AW857" s="13" t="s">
        <v>30</v>
      </c>
      <c r="AX857" s="13" t="s">
        <v>68</v>
      </c>
      <c r="AY857" s="90" t="s">
        <v>216</v>
      </c>
    </row>
    <row r="858" spans="1:65" s="14" customFormat="1">
      <c r="A858" s="318"/>
      <c r="B858" s="319"/>
      <c r="C858" s="318"/>
      <c r="D858" s="315" t="s">
        <v>225</v>
      </c>
      <c r="E858" s="320" t="s">
        <v>3</v>
      </c>
      <c r="F858" s="321" t="s">
        <v>1193</v>
      </c>
      <c r="G858" s="318"/>
      <c r="H858" s="322">
        <v>23.9</v>
      </c>
      <c r="I858" s="260"/>
      <c r="J858" s="260"/>
      <c r="K858" s="318"/>
      <c r="L858" s="94"/>
      <c r="M858" s="96"/>
      <c r="N858" s="97"/>
      <c r="O858" s="97"/>
      <c r="P858" s="97"/>
      <c r="Q858" s="97"/>
      <c r="R858" s="97"/>
      <c r="S858" s="97"/>
      <c r="T858" s="98"/>
      <c r="AT858" s="95" t="s">
        <v>225</v>
      </c>
      <c r="AU858" s="95" t="s">
        <v>77</v>
      </c>
      <c r="AV858" s="14" t="s">
        <v>77</v>
      </c>
      <c r="AW858" s="14" t="s">
        <v>30</v>
      </c>
      <c r="AX858" s="14" t="s">
        <v>75</v>
      </c>
      <c r="AY858" s="95" t="s">
        <v>216</v>
      </c>
    </row>
    <row r="859" spans="1:65" s="2" customFormat="1" ht="14.45" customHeight="1">
      <c r="A859" s="269"/>
      <c r="B859" s="270"/>
      <c r="C859" s="308" t="s">
        <v>1194</v>
      </c>
      <c r="D859" s="308" t="s">
        <v>218</v>
      </c>
      <c r="E859" s="309" t="s">
        <v>1195</v>
      </c>
      <c r="F859" s="310" t="s">
        <v>1196</v>
      </c>
      <c r="G859" s="311" t="s">
        <v>286</v>
      </c>
      <c r="H859" s="312">
        <v>0.7</v>
      </c>
      <c r="I859" s="82">
        <v>0</v>
      </c>
      <c r="J859" s="82">
        <f>ROUND(I859*H859,2)</f>
        <v>0</v>
      </c>
      <c r="K859" s="310" t="s">
        <v>222</v>
      </c>
      <c r="L859" s="24"/>
      <c r="M859" s="83" t="s">
        <v>3</v>
      </c>
      <c r="N859" s="84" t="s">
        <v>39</v>
      </c>
      <c r="O859" s="85">
        <v>0.15</v>
      </c>
      <c r="P859" s="85">
        <f>O859*H859</f>
        <v>0.105</v>
      </c>
      <c r="Q859" s="85">
        <v>0</v>
      </c>
      <c r="R859" s="85">
        <f>Q859*H859</f>
        <v>0</v>
      </c>
      <c r="S859" s="85">
        <v>0</v>
      </c>
      <c r="T859" s="86">
        <f>S859*H859</f>
        <v>0</v>
      </c>
      <c r="U859" s="23"/>
      <c r="V859" s="23"/>
      <c r="W859" s="23"/>
      <c r="X859" s="23"/>
      <c r="Y859" s="23"/>
      <c r="Z859" s="23"/>
      <c r="AA859" s="23"/>
      <c r="AB859" s="23"/>
      <c r="AC859" s="23"/>
      <c r="AD859" s="23"/>
      <c r="AE859" s="23"/>
      <c r="AR859" s="87" t="s">
        <v>305</v>
      </c>
      <c r="AT859" s="87" t="s">
        <v>218</v>
      </c>
      <c r="AU859" s="87" t="s">
        <v>77</v>
      </c>
      <c r="AY859" s="19" t="s">
        <v>216</v>
      </c>
      <c r="BE859" s="88">
        <f>IF(N859="základní",J859,0)</f>
        <v>0</v>
      </c>
      <c r="BF859" s="88">
        <f>IF(N859="snížená",J859,0)</f>
        <v>0</v>
      </c>
      <c r="BG859" s="88">
        <f>IF(N859="zákl. přenesená",J859,0)</f>
        <v>0</v>
      </c>
      <c r="BH859" s="88">
        <f>IF(N859="sníž. přenesená",J859,0)</f>
        <v>0</v>
      </c>
      <c r="BI859" s="88">
        <f>IF(N859="nulová",J859,0)</f>
        <v>0</v>
      </c>
      <c r="BJ859" s="19" t="s">
        <v>75</v>
      </c>
      <c r="BK859" s="88">
        <f>ROUND(I859*H859,2)</f>
        <v>0</v>
      </c>
      <c r="BL859" s="19" t="s">
        <v>305</v>
      </c>
      <c r="BM859" s="87" t="s">
        <v>1197</v>
      </c>
    </row>
    <row r="860" spans="1:65" s="2" customFormat="1" ht="58.5">
      <c r="A860" s="269"/>
      <c r="B860" s="270"/>
      <c r="C860" s="269"/>
      <c r="D860" s="315" t="s">
        <v>231</v>
      </c>
      <c r="E860" s="269"/>
      <c r="F860" s="323" t="s">
        <v>1198</v>
      </c>
      <c r="G860" s="269"/>
      <c r="H860" s="269"/>
      <c r="I860" s="248"/>
      <c r="J860" s="248"/>
      <c r="K860" s="269"/>
      <c r="L860" s="24"/>
      <c r="M860" s="99"/>
      <c r="N860" s="100"/>
      <c r="O860" s="32"/>
      <c r="P860" s="32"/>
      <c r="Q860" s="32"/>
      <c r="R860" s="32"/>
      <c r="S860" s="32"/>
      <c r="T860" s="33"/>
      <c r="U860" s="23"/>
      <c r="V860" s="23"/>
      <c r="W860" s="23"/>
      <c r="X860" s="23"/>
      <c r="Y860" s="23"/>
      <c r="Z860" s="23"/>
      <c r="AA860" s="23"/>
      <c r="AB860" s="23"/>
      <c r="AC860" s="23"/>
      <c r="AD860" s="23"/>
      <c r="AE860" s="23"/>
      <c r="AT860" s="19" t="s">
        <v>231</v>
      </c>
      <c r="AU860" s="19" t="s">
        <v>77</v>
      </c>
    </row>
    <row r="861" spans="1:65" s="13" customFormat="1">
      <c r="A861" s="313"/>
      <c r="B861" s="314"/>
      <c r="C861" s="313"/>
      <c r="D861" s="315" t="s">
        <v>225</v>
      </c>
      <c r="E861" s="316" t="s">
        <v>3</v>
      </c>
      <c r="F861" s="317" t="s">
        <v>304</v>
      </c>
      <c r="G861" s="313"/>
      <c r="H861" s="316" t="s">
        <v>3</v>
      </c>
      <c r="I861" s="259"/>
      <c r="J861" s="259"/>
      <c r="K861" s="313"/>
      <c r="L861" s="89"/>
      <c r="M861" s="91"/>
      <c r="N861" s="92"/>
      <c r="O861" s="92"/>
      <c r="P861" s="92"/>
      <c r="Q861" s="92"/>
      <c r="R861" s="92"/>
      <c r="S861" s="92"/>
      <c r="T861" s="93"/>
      <c r="AT861" s="90" t="s">
        <v>225</v>
      </c>
      <c r="AU861" s="90" t="s">
        <v>77</v>
      </c>
      <c r="AV861" s="13" t="s">
        <v>75</v>
      </c>
      <c r="AW861" s="13" t="s">
        <v>30</v>
      </c>
      <c r="AX861" s="13" t="s">
        <v>68</v>
      </c>
      <c r="AY861" s="90" t="s">
        <v>216</v>
      </c>
    </row>
    <row r="862" spans="1:65" s="13" customFormat="1">
      <c r="A862" s="313"/>
      <c r="B862" s="314"/>
      <c r="C862" s="313"/>
      <c r="D862" s="315" t="s">
        <v>225</v>
      </c>
      <c r="E862" s="316" t="s">
        <v>3</v>
      </c>
      <c r="F862" s="317" t="s">
        <v>1199</v>
      </c>
      <c r="G862" s="313"/>
      <c r="H862" s="316" t="s">
        <v>3</v>
      </c>
      <c r="I862" s="259"/>
      <c r="J862" s="259"/>
      <c r="K862" s="313"/>
      <c r="L862" s="89"/>
      <c r="M862" s="91"/>
      <c r="N862" s="92"/>
      <c r="O862" s="92"/>
      <c r="P862" s="92"/>
      <c r="Q862" s="92"/>
      <c r="R862" s="92"/>
      <c r="S862" s="92"/>
      <c r="T862" s="93"/>
      <c r="AT862" s="90" t="s">
        <v>225</v>
      </c>
      <c r="AU862" s="90" t="s">
        <v>77</v>
      </c>
      <c r="AV862" s="13" t="s">
        <v>75</v>
      </c>
      <c r="AW862" s="13" t="s">
        <v>30</v>
      </c>
      <c r="AX862" s="13" t="s">
        <v>68</v>
      </c>
      <c r="AY862" s="90" t="s">
        <v>216</v>
      </c>
    </row>
    <row r="863" spans="1:65" s="14" customFormat="1">
      <c r="A863" s="318"/>
      <c r="B863" s="319"/>
      <c r="C863" s="318"/>
      <c r="D863" s="315" t="s">
        <v>225</v>
      </c>
      <c r="E863" s="320" t="s">
        <v>3</v>
      </c>
      <c r="F863" s="321" t="s">
        <v>742</v>
      </c>
      <c r="G863" s="318"/>
      <c r="H863" s="322">
        <v>0.7</v>
      </c>
      <c r="I863" s="260"/>
      <c r="J863" s="260"/>
      <c r="K863" s="318"/>
      <c r="L863" s="94"/>
      <c r="M863" s="96"/>
      <c r="N863" s="97"/>
      <c r="O863" s="97"/>
      <c r="P863" s="97"/>
      <c r="Q863" s="97"/>
      <c r="R863" s="97"/>
      <c r="S863" s="97"/>
      <c r="T863" s="98"/>
      <c r="AT863" s="95" t="s">
        <v>225</v>
      </c>
      <c r="AU863" s="95" t="s">
        <v>77</v>
      </c>
      <c r="AV863" s="14" t="s">
        <v>77</v>
      </c>
      <c r="AW863" s="14" t="s">
        <v>30</v>
      </c>
      <c r="AX863" s="14" t="s">
        <v>75</v>
      </c>
      <c r="AY863" s="95" t="s">
        <v>216</v>
      </c>
    </row>
    <row r="864" spans="1:65" s="2" customFormat="1" ht="14.45" customHeight="1">
      <c r="A864" s="269"/>
      <c r="B864" s="270"/>
      <c r="C864" s="334" t="s">
        <v>1200</v>
      </c>
      <c r="D864" s="334" t="s">
        <v>535</v>
      </c>
      <c r="E864" s="335" t="s">
        <v>1201</v>
      </c>
      <c r="F864" s="336" t="s">
        <v>1202</v>
      </c>
      <c r="G864" s="337" t="s">
        <v>286</v>
      </c>
      <c r="H864" s="338">
        <v>0.7</v>
      </c>
      <c r="I864" s="111">
        <v>0</v>
      </c>
      <c r="J864" s="111">
        <f>ROUND(I864*H864,2)</f>
        <v>0</v>
      </c>
      <c r="K864" s="336" t="s">
        <v>222</v>
      </c>
      <c r="L864" s="112"/>
      <c r="M864" s="113" t="s">
        <v>3</v>
      </c>
      <c r="N864" s="114" t="s">
        <v>39</v>
      </c>
      <c r="O864" s="85">
        <v>0</v>
      </c>
      <c r="P864" s="85">
        <f>O864*H864</f>
        <v>0</v>
      </c>
      <c r="Q864" s="85">
        <v>1.7999999999999999E-2</v>
      </c>
      <c r="R864" s="85">
        <f>Q864*H864</f>
        <v>1.2599999999999998E-2</v>
      </c>
      <c r="S864" s="85">
        <v>0</v>
      </c>
      <c r="T864" s="86">
        <f>S864*H864</f>
        <v>0</v>
      </c>
      <c r="U864" s="23"/>
      <c r="V864" s="23"/>
      <c r="W864" s="23"/>
      <c r="X864" s="23"/>
      <c r="Y864" s="23"/>
      <c r="Z864" s="23"/>
      <c r="AA864" s="23"/>
      <c r="AB864" s="23"/>
      <c r="AC864" s="23"/>
      <c r="AD864" s="23"/>
      <c r="AE864" s="23"/>
      <c r="AR864" s="87" t="s">
        <v>410</v>
      </c>
      <c r="AT864" s="87" t="s">
        <v>535</v>
      </c>
      <c r="AU864" s="87" t="s">
        <v>77</v>
      </c>
      <c r="AY864" s="19" t="s">
        <v>216</v>
      </c>
      <c r="BE864" s="88">
        <f>IF(N864="základní",J864,0)</f>
        <v>0</v>
      </c>
      <c r="BF864" s="88">
        <f>IF(N864="snížená",J864,0)</f>
        <v>0</v>
      </c>
      <c r="BG864" s="88">
        <f>IF(N864="zákl. přenesená",J864,0)</f>
        <v>0</v>
      </c>
      <c r="BH864" s="88">
        <f>IF(N864="sníž. přenesená",J864,0)</f>
        <v>0</v>
      </c>
      <c r="BI864" s="88">
        <f>IF(N864="nulová",J864,0)</f>
        <v>0</v>
      </c>
      <c r="BJ864" s="19" t="s">
        <v>75</v>
      </c>
      <c r="BK864" s="88">
        <f>ROUND(I864*H864,2)</f>
        <v>0</v>
      </c>
      <c r="BL864" s="19" t="s">
        <v>305</v>
      </c>
      <c r="BM864" s="87" t="s">
        <v>1203</v>
      </c>
    </row>
    <row r="865" spans="1:65" s="2" customFormat="1" ht="21.6" customHeight="1">
      <c r="A865" s="269"/>
      <c r="B865" s="270"/>
      <c r="C865" s="308" t="s">
        <v>1204</v>
      </c>
      <c r="D865" s="308" t="s">
        <v>218</v>
      </c>
      <c r="E865" s="309" t="s">
        <v>1205</v>
      </c>
      <c r="F865" s="310" t="s">
        <v>1206</v>
      </c>
      <c r="G865" s="311" t="s">
        <v>364</v>
      </c>
      <c r="H865" s="312">
        <v>3.6</v>
      </c>
      <c r="I865" s="82">
        <v>0</v>
      </c>
      <c r="J865" s="82">
        <f>ROUND(I865*H865,2)</f>
        <v>0</v>
      </c>
      <c r="K865" s="310" t="s">
        <v>222</v>
      </c>
      <c r="L865" s="24"/>
      <c r="M865" s="83" t="s">
        <v>3</v>
      </c>
      <c r="N865" s="84" t="s">
        <v>39</v>
      </c>
      <c r="O865" s="85">
        <v>0.21</v>
      </c>
      <c r="P865" s="85">
        <f>O865*H865</f>
        <v>0.75600000000000001</v>
      </c>
      <c r="Q865" s="85">
        <v>0</v>
      </c>
      <c r="R865" s="85">
        <f>Q865*H865</f>
        <v>0</v>
      </c>
      <c r="S865" s="85">
        <v>0</v>
      </c>
      <c r="T865" s="86">
        <f>S865*H865</f>
        <v>0</v>
      </c>
      <c r="U865" s="23"/>
      <c r="V865" s="23"/>
      <c r="W865" s="23"/>
      <c r="X865" s="23"/>
      <c r="Y865" s="23"/>
      <c r="Z865" s="23"/>
      <c r="AA865" s="23"/>
      <c r="AB865" s="23"/>
      <c r="AC865" s="23"/>
      <c r="AD865" s="23"/>
      <c r="AE865" s="23"/>
      <c r="AR865" s="87" t="s">
        <v>305</v>
      </c>
      <c r="AT865" s="87" t="s">
        <v>218</v>
      </c>
      <c r="AU865" s="87" t="s">
        <v>77</v>
      </c>
      <c r="AY865" s="19" t="s">
        <v>216</v>
      </c>
      <c r="BE865" s="88">
        <f>IF(N865="základní",J865,0)</f>
        <v>0</v>
      </c>
      <c r="BF865" s="88">
        <f>IF(N865="snížená",J865,0)</f>
        <v>0</v>
      </c>
      <c r="BG865" s="88">
        <f>IF(N865="zákl. přenesená",J865,0)</f>
        <v>0</v>
      </c>
      <c r="BH865" s="88">
        <f>IF(N865="sníž. přenesená",J865,0)</f>
        <v>0</v>
      </c>
      <c r="BI865" s="88">
        <f>IF(N865="nulová",J865,0)</f>
        <v>0</v>
      </c>
      <c r="BJ865" s="19" t="s">
        <v>75</v>
      </c>
      <c r="BK865" s="88">
        <f>ROUND(I865*H865,2)</f>
        <v>0</v>
      </c>
      <c r="BL865" s="19" t="s">
        <v>305</v>
      </c>
      <c r="BM865" s="87" t="s">
        <v>1207</v>
      </c>
    </row>
    <row r="866" spans="1:65" s="2" customFormat="1" ht="58.5">
      <c r="A866" s="269"/>
      <c r="B866" s="270"/>
      <c r="C866" s="269"/>
      <c r="D866" s="315" t="s">
        <v>231</v>
      </c>
      <c r="E866" s="269"/>
      <c r="F866" s="323" t="s">
        <v>1198</v>
      </c>
      <c r="G866" s="269"/>
      <c r="H866" s="269"/>
      <c r="I866" s="248"/>
      <c r="J866" s="248"/>
      <c r="K866" s="269"/>
      <c r="L866" s="24"/>
      <c r="M866" s="99"/>
      <c r="N866" s="100"/>
      <c r="O866" s="32"/>
      <c r="P866" s="32"/>
      <c r="Q866" s="32"/>
      <c r="R866" s="32"/>
      <c r="S866" s="32"/>
      <c r="T866" s="33"/>
      <c r="U866" s="23"/>
      <c r="V866" s="23"/>
      <c r="W866" s="23"/>
      <c r="X866" s="23"/>
      <c r="Y866" s="23"/>
      <c r="Z866" s="23"/>
      <c r="AA866" s="23"/>
      <c r="AB866" s="23"/>
      <c r="AC866" s="23"/>
      <c r="AD866" s="23"/>
      <c r="AE866" s="23"/>
      <c r="AT866" s="19" t="s">
        <v>231</v>
      </c>
      <c r="AU866" s="19" t="s">
        <v>77</v>
      </c>
    </row>
    <row r="867" spans="1:65" s="13" customFormat="1">
      <c r="A867" s="313"/>
      <c r="B867" s="314"/>
      <c r="C867" s="313"/>
      <c r="D867" s="315" t="s">
        <v>225</v>
      </c>
      <c r="E867" s="316" t="s">
        <v>3</v>
      </c>
      <c r="F867" s="317" t="s">
        <v>304</v>
      </c>
      <c r="G867" s="313"/>
      <c r="H867" s="316" t="s">
        <v>3</v>
      </c>
      <c r="I867" s="259"/>
      <c r="J867" s="259"/>
      <c r="K867" s="313"/>
      <c r="L867" s="89"/>
      <c r="M867" s="91"/>
      <c r="N867" s="92"/>
      <c r="O867" s="92"/>
      <c r="P867" s="92"/>
      <c r="Q867" s="92"/>
      <c r="R867" s="92"/>
      <c r="S867" s="92"/>
      <c r="T867" s="93"/>
      <c r="AT867" s="90" t="s">
        <v>225</v>
      </c>
      <c r="AU867" s="90" t="s">
        <v>77</v>
      </c>
      <c r="AV867" s="13" t="s">
        <v>75</v>
      </c>
      <c r="AW867" s="13" t="s">
        <v>30</v>
      </c>
      <c r="AX867" s="13" t="s">
        <v>68</v>
      </c>
      <c r="AY867" s="90" t="s">
        <v>216</v>
      </c>
    </row>
    <row r="868" spans="1:65" s="13" customFormat="1">
      <c r="A868" s="313"/>
      <c r="B868" s="314"/>
      <c r="C868" s="313"/>
      <c r="D868" s="315" t="s">
        <v>225</v>
      </c>
      <c r="E868" s="316" t="s">
        <v>3</v>
      </c>
      <c r="F868" s="317" t="s">
        <v>1199</v>
      </c>
      <c r="G868" s="313"/>
      <c r="H868" s="316" t="s">
        <v>3</v>
      </c>
      <c r="I868" s="259"/>
      <c r="J868" s="259"/>
      <c r="K868" s="313"/>
      <c r="L868" s="89"/>
      <c r="M868" s="91"/>
      <c r="N868" s="92"/>
      <c r="O868" s="92"/>
      <c r="P868" s="92"/>
      <c r="Q868" s="92"/>
      <c r="R868" s="92"/>
      <c r="S868" s="92"/>
      <c r="T868" s="93"/>
      <c r="AT868" s="90" t="s">
        <v>225</v>
      </c>
      <c r="AU868" s="90" t="s">
        <v>77</v>
      </c>
      <c r="AV868" s="13" t="s">
        <v>75</v>
      </c>
      <c r="AW868" s="13" t="s">
        <v>30</v>
      </c>
      <c r="AX868" s="13" t="s">
        <v>68</v>
      </c>
      <c r="AY868" s="90" t="s">
        <v>216</v>
      </c>
    </row>
    <row r="869" spans="1:65" s="14" customFormat="1">
      <c r="A869" s="318"/>
      <c r="B869" s="319"/>
      <c r="C869" s="318"/>
      <c r="D869" s="315" t="s">
        <v>225</v>
      </c>
      <c r="E869" s="320" t="s">
        <v>3</v>
      </c>
      <c r="F869" s="321" t="s">
        <v>1208</v>
      </c>
      <c r="G869" s="318"/>
      <c r="H869" s="322">
        <v>3.6</v>
      </c>
      <c r="I869" s="260"/>
      <c r="J869" s="260"/>
      <c r="K869" s="318"/>
      <c r="L869" s="94"/>
      <c r="M869" s="96"/>
      <c r="N869" s="97"/>
      <c r="O869" s="97"/>
      <c r="P869" s="97"/>
      <c r="Q869" s="97"/>
      <c r="R869" s="97"/>
      <c r="S869" s="97"/>
      <c r="T869" s="98"/>
      <c r="AT869" s="95" t="s">
        <v>225</v>
      </c>
      <c r="AU869" s="95" t="s">
        <v>77</v>
      </c>
      <c r="AV869" s="14" t="s">
        <v>77</v>
      </c>
      <c r="AW869" s="14" t="s">
        <v>30</v>
      </c>
      <c r="AX869" s="14" t="s">
        <v>75</v>
      </c>
      <c r="AY869" s="95" t="s">
        <v>216</v>
      </c>
    </row>
    <row r="870" spans="1:65" s="2" customFormat="1" ht="14.45" customHeight="1">
      <c r="A870" s="269"/>
      <c r="B870" s="270"/>
      <c r="C870" s="334" t="s">
        <v>1209</v>
      </c>
      <c r="D870" s="334" t="s">
        <v>535</v>
      </c>
      <c r="E870" s="335" t="s">
        <v>1210</v>
      </c>
      <c r="F870" s="336" t="s">
        <v>1211</v>
      </c>
      <c r="G870" s="337" t="s">
        <v>364</v>
      </c>
      <c r="H870" s="338">
        <v>3.6</v>
      </c>
      <c r="I870" s="111">
        <v>0</v>
      </c>
      <c r="J870" s="111">
        <f>ROUND(I870*H870,2)</f>
        <v>0</v>
      </c>
      <c r="K870" s="336" t="s">
        <v>222</v>
      </c>
      <c r="L870" s="112"/>
      <c r="M870" s="113" t="s">
        <v>3</v>
      </c>
      <c r="N870" s="114" t="s">
        <v>39</v>
      </c>
      <c r="O870" s="85">
        <v>0</v>
      </c>
      <c r="P870" s="85">
        <f>O870*H870</f>
        <v>0</v>
      </c>
      <c r="Q870" s="85">
        <v>2.0000000000000001E-4</v>
      </c>
      <c r="R870" s="85">
        <f>Q870*H870</f>
        <v>7.2000000000000005E-4</v>
      </c>
      <c r="S870" s="85">
        <v>0</v>
      </c>
      <c r="T870" s="86">
        <f>S870*H870</f>
        <v>0</v>
      </c>
      <c r="U870" s="23"/>
      <c r="V870" s="23"/>
      <c r="W870" s="23"/>
      <c r="X870" s="23"/>
      <c r="Y870" s="23"/>
      <c r="Z870" s="23"/>
      <c r="AA870" s="23"/>
      <c r="AB870" s="23"/>
      <c r="AC870" s="23"/>
      <c r="AD870" s="23"/>
      <c r="AE870" s="23"/>
      <c r="AR870" s="87" t="s">
        <v>410</v>
      </c>
      <c r="AT870" s="87" t="s">
        <v>535</v>
      </c>
      <c r="AU870" s="87" t="s">
        <v>77</v>
      </c>
      <c r="AY870" s="19" t="s">
        <v>216</v>
      </c>
      <c r="BE870" s="88">
        <f>IF(N870="základní",J870,0)</f>
        <v>0</v>
      </c>
      <c r="BF870" s="88">
        <f>IF(N870="snížená",J870,0)</f>
        <v>0</v>
      </c>
      <c r="BG870" s="88">
        <f>IF(N870="zákl. přenesená",J870,0)</f>
        <v>0</v>
      </c>
      <c r="BH870" s="88">
        <f>IF(N870="sníž. přenesená",J870,0)</f>
        <v>0</v>
      </c>
      <c r="BI870" s="88">
        <f>IF(N870="nulová",J870,0)</f>
        <v>0</v>
      </c>
      <c r="BJ870" s="19" t="s">
        <v>75</v>
      </c>
      <c r="BK870" s="88">
        <f>ROUND(I870*H870,2)</f>
        <v>0</v>
      </c>
      <c r="BL870" s="19" t="s">
        <v>305</v>
      </c>
      <c r="BM870" s="87" t="s">
        <v>1212</v>
      </c>
    </row>
    <row r="871" spans="1:65" s="2" customFormat="1" ht="75.599999999999994" customHeight="1">
      <c r="A871" s="269"/>
      <c r="B871" s="270"/>
      <c r="C871" s="308" t="s">
        <v>1213</v>
      </c>
      <c r="D871" s="308" t="s">
        <v>218</v>
      </c>
      <c r="E871" s="309" t="s">
        <v>1214</v>
      </c>
      <c r="F871" s="310" t="s">
        <v>1215</v>
      </c>
      <c r="G871" s="311" t="s">
        <v>291</v>
      </c>
      <c r="H871" s="312">
        <v>4</v>
      </c>
      <c r="I871" s="82">
        <v>0</v>
      </c>
      <c r="J871" s="82">
        <f>ROUND(I871*H871,2)</f>
        <v>0</v>
      </c>
      <c r="K871" s="310" t="s">
        <v>3</v>
      </c>
      <c r="L871" s="24"/>
      <c r="M871" s="83" t="s">
        <v>3</v>
      </c>
      <c r="N871" s="84" t="s">
        <v>39</v>
      </c>
      <c r="O871" s="85">
        <v>0</v>
      </c>
      <c r="P871" s="85">
        <f>O871*H871</f>
        <v>0</v>
      </c>
      <c r="Q871" s="85">
        <v>0.09</v>
      </c>
      <c r="R871" s="85">
        <f>Q871*H871</f>
        <v>0.36</v>
      </c>
      <c r="S871" s="85">
        <v>0</v>
      </c>
      <c r="T871" s="86">
        <f>S871*H871</f>
        <v>0</v>
      </c>
      <c r="U871" s="23"/>
      <c r="V871" s="23"/>
      <c r="W871" s="23"/>
      <c r="X871" s="23"/>
      <c r="Y871" s="23"/>
      <c r="Z871" s="23"/>
      <c r="AA871" s="23"/>
      <c r="AB871" s="23"/>
      <c r="AC871" s="23"/>
      <c r="AD871" s="23"/>
      <c r="AE871" s="23"/>
      <c r="AR871" s="87" t="s">
        <v>305</v>
      </c>
      <c r="AT871" s="87" t="s">
        <v>218</v>
      </c>
      <c r="AU871" s="87" t="s">
        <v>77</v>
      </c>
      <c r="AY871" s="19" t="s">
        <v>216</v>
      </c>
      <c r="BE871" s="88">
        <f>IF(N871="základní",J871,0)</f>
        <v>0</v>
      </c>
      <c r="BF871" s="88">
        <f>IF(N871="snížená",J871,0)</f>
        <v>0</v>
      </c>
      <c r="BG871" s="88">
        <f>IF(N871="zákl. přenesená",J871,0)</f>
        <v>0</v>
      </c>
      <c r="BH871" s="88">
        <f>IF(N871="sníž. přenesená",J871,0)</f>
        <v>0</v>
      </c>
      <c r="BI871" s="88">
        <f>IF(N871="nulová",J871,0)</f>
        <v>0</v>
      </c>
      <c r="BJ871" s="19" t="s">
        <v>75</v>
      </c>
      <c r="BK871" s="88">
        <f>ROUND(I871*H871,2)</f>
        <v>0</v>
      </c>
      <c r="BL871" s="19" t="s">
        <v>305</v>
      </c>
      <c r="BM871" s="87" t="s">
        <v>1216</v>
      </c>
    </row>
    <row r="872" spans="1:65" s="2" customFormat="1" ht="21.6" customHeight="1">
      <c r="A872" s="269"/>
      <c r="B872" s="270"/>
      <c r="C872" s="308" t="s">
        <v>1217</v>
      </c>
      <c r="D872" s="308" t="s">
        <v>218</v>
      </c>
      <c r="E872" s="309" t="s">
        <v>1218</v>
      </c>
      <c r="F872" s="310" t="s">
        <v>1219</v>
      </c>
      <c r="G872" s="311" t="s">
        <v>1220</v>
      </c>
      <c r="H872" s="312">
        <v>702.678</v>
      </c>
      <c r="I872" s="82">
        <v>0</v>
      </c>
      <c r="J872" s="82">
        <f>ROUND(I872*H872,2)</f>
        <v>0</v>
      </c>
      <c r="K872" s="310" t="s">
        <v>3</v>
      </c>
      <c r="L872" s="24"/>
      <c r="M872" s="83" t="s">
        <v>3</v>
      </c>
      <c r="N872" s="84" t="s">
        <v>39</v>
      </c>
      <c r="O872" s="85">
        <v>0</v>
      </c>
      <c r="P872" s="85">
        <f>O872*H872</f>
        <v>0</v>
      </c>
      <c r="Q872" s="85">
        <v>1E-3</v>
      </c>
      <c r="R872" s="85">
        <f>Q872*H872</f>
        <v>0.70267800000000002</v>
      </c>
      <c r="S872" s="85">
        <v>0</v>
      </c>
      <c r="T872" s="86">
        <f>S872*H872</f>
        <v>0</v>
      </c>
      <c r="U872" s="23"/>
      <c r="V872" s="23"/>
      <c r="W872" s="23"/>
      <c r="X872" s="23"/>
      <c r="Y872" s="23"/>
      <c r="Z872" s="23"/>
      <c r="AA872" s="23"/>
      <c r="AB872" s="23"/>
      <c r="AC872" s="23"/>
      <c r="AD872" s="23"/>
      <c r="AE872" s="23"/>
      <c r="AR872" s="87" t="s">
        <v>305</v>
      </c>
      <c r="AT872" s="87" t="s">
        <v>218</v>
      </c>
      <c r="AU872" s="87" t="s">
        <v>77</v>
      </c>
      <c r="AY872" s="19" t="s">
        <v>216</v>
      </c>
      <c r="BE872" s="88">
        <f>IF(N872="základní",J872,0)</f>
        <v>0</v>
      </c>
      <c r="BF872" s="88">
        <f>IF(N872="snížená",J872,0)</f>
        <v>0</v>
      </c>
      <c r="BG872" s="88">
        <f>IF(N872="zákl. přenesená",J872,0)</f>
        <v>0</v>
      </c>
      <c r="BH872" s="88">
        <f>IF(N872="sníž. přenesená",J872,0)</f>
        <v>0</v>
      </c>
      <c r="BI872" s="88">
        <f>IF(N872="nulová",J872,0)</f>
        <v>0</v>
      </c>
      <c r="BJ872" s="19" t="s">
        <v>75</v>
      </c>
      <c r="BK872" s="88">
        <f>ROUND(I872*H872,2)</f>
        <v>0</v>
      </c>
      <c r="BL872" s="19" t="s">
        <v>305</v>
      </c>
      <c r="BM872" s="87" t="s">
        <v>1221</v>
      </c>
    </row>
    <row r="873" spans="1:65" s="2" customFormat="1" ht="21.6" customHeight="1">
      <c r="A873" s="269"/>
      <c r="B873" s="270"/>
      <c r="C873" s="308" t="s">
        <v>284</v>
      </c>
      <c r="D873" s="308" t="s">
        <v>218</v>
      </c>
      <c r="E873" s="309" t="s">
        <v>1222</v>
      </c>
      <c r="F873" s="310" t="s">
        <v>1223</v>
      </c>
      <c r="G873" s="311" t="s">
        <v>1220</v>
      </c>
      <c r="H873" s="312">
        <v>269.97300000000001</v>
      </c>
      <c r="I873" s="82">
        <v>0</v>
      </c>
      <c r="J873" s="82">
        <f>ROUND(I873*H873,2)</f>
        <v>0</v>
      </c>
      <c r="K873" s="310" t="s">
        <v>3</v>
      </c>
      <c r="L873" s="24"/>
      <c r="M873" s="83" t="s">
        <v>3</v>
      </c>
      <c r="N873" s="84" t="s">
        <v>39</v>
      </c>
      <c r="O873" s="85">
        <v>0</v>
      </c>
      <c r="P873" s="85">
        <f>O873*H873</f>
        <v>0</v>
      </c>
      <c r="Q873" s="85">
        <v>1E-3</v>
      </c>
      <c r="R873" s="85">
        <f>Q873*H873</f>
        <v>0.26997300000000002</v>
      </c>
      <c r="S873" s="85">
        <v>0</v>
      </c>
      <c r="T873" s="86">
        <f>S873*H873</f>
        <v>0</v>
      </c>
      <c r="U873" s="23"/>
      <c r="V873" s="23"/>
      <c r="W873" s="23"/>
      <c r="X873" s="23"/>
      <c r="Y873" s="23"/>
      <c r="Z873" s="23"/>
      <c r="AA873" s="23"/>
      <c r="AB873" s="23"/>
      <c r="AC873" s="23"/>
      <c r="AD873" s="23"/>
      <c r="AE873" s="23"/>
      <c r="AR873" s="87" t="s">
        <v>305</v>
      </c>
      <c r="AT873" s="87" t="s">
        <v>218</v>
      </c>
      <c r="AU873" s="87" t="s">
        <v>77</v>
      </c>
      <c r="AY873" s="19" t="s">
        <v>216</v>
      </c>
      <c r="BE873" s="88">
        <f>IF(N873="základní",J873,0)</f>
        <v>0</v>
      </c>
      <c r="BF873" s="88">
        <f>IF(N873="snížená",J873,0)</f>
        <v>0</v>
      </c>
      <c r="BG873" s="88">
        <f>IF(N873="zákl. přenesená",J873,0)</f>
        <v>0</v>
      </c>
      <c r="BH873" s="88">
        <f>IF(N873="sníž. přenesená",J873,0)</f>
        <v>0</v>
      </c>
      <c r="BI873" s="88">
        <f>IF(N873="nulová",J873,0)</f>
        <v>0</v>
      </c>
      <c r="BJ873" s="19" t="s">
        <v>75</v>
      </c>
      <c r="BK873" s="88">
        <f>ROUND(I873*H873,2)</f>
        <v>0</v>
      </c>
      <c r="BL873" s="19" t="s">
        <v>305</v>
      </c>
      <c r="BM873" s="87" t="s">
        <v>1224</v>
      </c>
    </row>
    <row r="874" spans="1:65" s="14" customFormat="1">
      <c r="A874" s="318"/>
      <c r="B874" s="319"/>
      <c r="C874" s="318"/>
      <c r="D874" s="315" t="s">
        <v>225</v>
      </c>
      <c r="E874" s="320" t="s">
        <v>3</v>
      </c>
      <c r="F874" s="321" t="s">
        <v>1225</v>
      </c>
      <c r="G874" s="318"/>
      <c r="H874" s="322">
        <v>269.97300000000001</v>
      </c>
      <c r="I874" s="260"/>
      <c r="J874" s="260"/>
      <c r="K874" s="318"/>
      <c r="L874" s="94"/>
      <c r="M874" s="96"/>
      <c r="N874" s="97"/>
      <c r="O874" s="97"/>
      <c r="P874" s="97"/>
      <c r="Q874" s="97"/>
      <c r="R874" s="97"/>
      <c r="S874" s="97"/>
      <c r="T874" s="98"/>
      <c r="AT874" s="95" t="s">
        <v>225</v>
      </c>
      <c r="AU874" s="95" t="s">
        <v>77</v>
      </c>
      <c r="AV874" s="14" t="s">
        <v>77</v>
      </c>
      <c r="AW874" s="14" t="s">
        <v>30</v>
      </c>
      <c r="AX874" s="14" t="s">
        <v>75</v>
      </c>
      <c r="AY874" s="95" t="s">
        <v>216</v>
      </c>
    </row>
    <row r="875" spans="1:65" s="2" customFormat="1" ht="75.599999999999994" customHeight="1">
      <c r="A875" s="269"/>
      <c r="B875" s="270"/>
      <c r="C875" s="308" t="s">
        <v>1226</v>
      </c>
      <c r="D875" s="308" t="s">
        <v>218</v>
      </c>
      <c r="E875" s="309" t="s">
        <v>1227</v>
      </c>
      <c r="F875" s="310" t="s">
        <v>1228</v>
      </c>
      <c r="G875" s="311" t="s">
        <v>291</v>
      </c>
      <c r="H875" s="312">
        <v>8</v>
      </c>
      <c r="I875" s="82">
        <v>0</v>
      </c>
      <c r="J875" s="82">
        <f>ROUND(I875*H875,2)</f>
        <v>0</v>
      </c>
      <c r="K875" s="310" t="s">
        <v>3</v>
      </c>
      <c r="L875" s="24"/>
      <c r="M875" s="83" t="s">
        <v>3</v>
      </c>
      <c r="N875" s="84" t="s">
        <v>39</v>
      </c>
      <c r="O875" s="85">
        <v>0</v>
      </c>
      <c r="P875" s="85">
        <f>O875*H875</f>
        <v>0</v>
      </c>
      <c r="Q875" s="85">
        <v>0.09</v>
      </c>
      <c r="R875" s="85">
        <f>Q875*H875</f>
        <v>0.72</v>
      </c>
      <c r="S875" s="85">
        <v>0</v>
      </c>
      <c r="T875" s="86">
        <f>S875*H875</f>
        <v>0</v>
      </c>
      <c r="U875" s="23"/>
      <c r="V875" s="23"/>
      <c r="W875" s="23"/>
      <c r="X875" s="23"/>
      <c r="Y875" s="23"/>
      <c r="Z875" s="23"/>
      <c r="AA875" s="23"/>
      <c r="AB875" s="23"/>
      <c r="AC875" s="23"/>
      <c r="AD875" s="23"/>
      <c r="AE875" s="23"/>
      <c r="AR875" s="87" t="s">
        <v>305</v>
      </c>
      <c r="AT875" s="87" t="s">
        <v>218</v>
      </c>
      <c r="AU875" s="87" t="s">
        <v>77</v>
      </c>
      <c r="AY875" s="19" t="s">
        <v>216</v>
      </c>
      <c r="BE875" s="88">
        <f>IF(N875="základní",J875,0)</f>
        <v>0</v>
      </c>
      <c r="BF875" s="88">
        <f>IF(N875="snížená",J875,0)</f>
        <v>0</v>
      </c>
      <c r="BG875" s="88">
        <f>IF(N875="zákl. přenesená",J875,0)</f>
        <v>0</v>
      </c>
      <c r="BH875" s="88">
        <f>IF(N875="sníž. přenesená",J875,0)</f>
        <v>0</v>
      </c>
      <c r="BI875" s="88">
        <f>IF(N875="nulová",J875,0)</f>
        <v>0</v>
      </c>
      <c r="BJ875" s="19" t="s">
        <v>75</v>
      </c>
      <c r="BK875" s="88">
        <f>ROUND(I875*H875,2)</f>
        <v>0</v>
      </c>
      <c r="BL875" s="19" t="s">
        <v>305</v>
      </c>
      <c r="BM875" s="87" t="s">
        <v>1229</v>
      </c>
    </row>
    <row r="876" spans="1:65" s="2" customFormat="1" ht="313.14999999999998" customHeight="1">
      <c r="A876" s="269"/>
      <c r="B876" s="270"/>
      <c r="C876" s="308" t="s">
        <v>1230</v>
      </c>
      <c r="D876" s="308" t="s">
        <v>218</v>
      </c>
      <c r="E876" s="309" t="s">
        <v>1231</v>
      </c>
      <c r="F876" s="310" t="s">
        <v>1232</v>
      </c>
      <c r="G876" s="311" t="s">
        <v>291</v>
      </c>
      <c r="H876" s="312">
        <v>1</v>
      </c>
      <c r="I876" s="82">
        <v>0</v>
      </c>
      <c r="J876" s="82">
        <f>ROUND(I876*H876,2)</f>
        <v>0</v>
      </c>
      <c r="K876" s="310" t="s">
        <v>3</v>
      </c>
      <c r="L876" s="24"/>
      <c r="M876" s="83" t="s">
        <v>3</v>
      </c>
      <c r="N876" s="84" t="s">
        <v>39</v>
      </c>
      <c r="O876" s="85">
        <v>0</v>
      </c>
      <c r="P876" s="85">
        <f>O876*H876</f>
        <v>0</v>
      </c>
      <c r="Q876" s="85">
        <v>0.2</v>
      </c>
      <c r="R876" s="85">
        <f>Q876*H876</f>
        <v>0.2</v>
      </c>
      <c r="S876" s="85">
        <v>0</v>
      </c>
      <c r="T876" s="86">
        <f>S876*H876</f>
        <v>0</v>
      </c>
      <c r="U876" s="23"/>
      <c r="V876" s="23"/>
      <c r="W876" s="23"/>
      <c r="X876" s="23"/>
      <c r="Y876" s="23"/>
      <c r="Z876" s="23"/>
      <c r="AA876" s="23"/>
      <c r="AB876" s="23"/>
      <c r="AC876" s="23"/>
      <c r="AD876" s="23"/>
      <c r="AE876" s="23"/>
      <c r="AR876" s="87" t="s">
        <v>305</v>
      </c>
      <c r="AT876" s="87" t="s">
        <v>218</v>
      </c>
      <c r="AU876" s="87" t="s">
        <v>77</v>
      </c>
      <c r="AY876" s="19" t="s">
        <v>216</v>
      </c>
      <c r="BE876" s="88">
        <f>IF(N876="základní",J876,0)</f>
        <v>0</v>
      </c>
      <c r="BF876" s="88">
        <f>IF(N876="snížená",J876,0)</f>
        <v>0</v>
      </c>
      <c r="BG876" s="88">
        <f>IF(N876="zákl. přenesená",J876,0)</f>
        <v>0</v>
      </c>
      <c r="BH876" s="88">
        <f>IF(N876="sníž. přenesená",J876,0)</f>
        <v>0</v>
      </c>
      <c r="BI876" s="88">
        <f>IF(N876="nulová",J876,0)</f>
        <v>0</v>
      </c>
      <c r="BJ876" s="19" t="s">
        <v>75</v>
      </c>
      <c r="BK876" s="88">
        <f>ROUND(I876*H876,2)</f>
        <v>0</v>
      </c>
      <c r="BL876" s="19" t="s">
        <v>305</v>
      </c>
      <c r="BM876" s="87" t="s">
        <v>1233</v>
      </c>
    </row>
    <row r="877" spans="1:65" s="2" customFormat="1" ht="21.6" customHeight="1">
      <c r="A877" s="269"/>
      <c r="B877" s="270"/>
      <c r="C877" s="308" t="s">
        <v>1234</v>
      </c>
      <c r="D877" s="308" t="s">
        <v>218</v>
      </c>
      <c r="E877" s="309" t="s">
        <v>1235</v>
      </c>
      <c r="F877" s="310" t="s">
        <v>1236</v>
      </c>
      <c r="G877" s="311" t="s">
        <v>273</v>
      </c>
      <c r="H877" s="312">
        <v>2.266</v>
      </c>
      <c r="I877" s="82">
        <v>0</v>
      </c>
      <c r="J877" s="82">
        <f>ROUND(I877*H877,2)</f>
        <v>0</v>
      </c>
      <c r="K877" s="310" t="s">
        <v>222</v>
      </c>
      <c r="L877" s="24"/>
      <c r="M877" s="83" t="s">
        <v>3</v>
      </c>
      <c r="N877" s="84" t="s">
        <v>39</v>
      </c>
      <c r="O877" s="85">
        <v>3.327</v>
      </c>
      <c r="P877" s="85">
        <f>O877*H877</f>
        <v>7.5389819999999999</v>
      </c>
      <c r="Q877" s="85">
        <v>0</v>
      </c>
      <c r="R877" s="85">
        <f>Q877*H877</f>
        <v>0</v>
      </c>
      <c r="S877" s="85">
        <v>0</v>
      </c>
      <c r="T877" s="86">
        <f>S877*H877</f>
        <v>0</v>
      </c>
      <c r="U877" s="23"/>
      <c r="V877" s="23"/>
      <c r="W877" s="23"/>
      <c r="X877" s="23"/>
      <c r="Y877" s="23"/>
      <c r="Z877" s="23"/>
      <c r="AA877" s="23"/>
      <c r="AB877" s="23"/>
      <c r="AC877" s="23"/>
      <c r="AD877" s="23"/>
      <c r="AE877" s="23"/>
      <c r="AR877" s="87" t="s">
        <v>305</v>
      </c>
      <c r="AT877" s="87" t="s">
        <v>218</v>
      </c>
      <c r="AU877" s="87" t="s">
        <v>77</v>
      </c>
      <c r="AY877" s="19" t="s">
        <v>216</v>
      </c>
      <c r="BE877" s="88">
        <f>IF(N877="základní",J877,0)</f>
        <v>0</v>
      </c>
      <c r="BF877" s="88">
        <f>IF(N877="snížená",J877,0)</f>
        <v>0</v>
      </c>
      <c r="BG877" s="88">
        <f>IF(N877="zákl. přenesená",J877,0)</f>
        <v>0</v>
      </c>
      <c r="BH877" s="88">
        <f>IF(N877="sníž. přenesená",J877,0)</f>
        <v>0</v>
      </c>
      <c r="BI877" s="88">
        <f>IF(N877="nulová",J877,0)</f>
        <v>0</v>
      </c>
      <c r="BJ877" s="19" t="s">
        <v>75</v>
      </c>
      <c r="BK877" s="88">
        <f>ROUND(I877*H877,2)</f>
        <v>0</v>
      </c>
      <c r="BL877" s="19" t="s">
        <v>305</v>
      </c>
      <c r="BM877" s="87" t="s">
        <v>1237</v>
      </c>
    </row>
    <row r="878" spans="1:65" s="2" customFormat="1" ht="87.75">
      <c r="A878" s="269"/>
      <c r="B878" s="270"/>
      <c r="C878" s="269"/>
      <c r="D878" s="315" t="s">
        <v>231</v>
      </c>
      <c r="E878" s="269"/>
      <c r="F878" s="323" t="s">
        <v>1238</v>
      </c>
      <c r="G878" s="269"/>
      <c r="H878" s="269"/>
      <c r="I878" s="248"/>
      <c r="J878" s="248"/>
      <c r="K878" s="269"/>
      <c r="L878" s="24"/>
      <c r="M878" s="99"/>
      <c r="N878" s="100"/>
      <c r="O878" s="32"/>
      <c r="P878" s="32"/>
      <c r="Q878" s="32"/>
      <c r="R878" s="32"/>
      <c r="S878" s="32"/>
      <c r="T878" s="33"/>
      <c r="U878" s="23"/>
      <c r="V878" s="23"/>
      <c r="W878" s="23"/>
      <c r="X878" s="23"/>
      <c r="Y878" s="23"/>
      <c r="Z878" s="23"/>
      <c r="AA878" s="23"/>
      <c r="AB878" s="23"/>
      <c r="AC878" s="23"/>
      <c r="AD878" s="23"/>
      <c r="AE878" s="23"/>
      <c r="AT878" s="19" t="s">
        <v>231</v>
      </c>
      <c r="AU878" s="19" t="s">
        <v>77</v>
      </c>
    </row>
    <row r="879" spans="1:65" s="2" customFormat="1" ht="32.450000000000003" customHeight="1">
      <c r="A879" s="269"/>
      <c r="B879" s="270"/>
      <c r="C879" s="308" t="s">
        <v>1239</v>
      </c>
      <c r="D879" s="308" t="s">
        <v>218</v>
      </c>
      <c r="E879" s="309" t="s">
        <v>1240</v>
      </c>
      <c r="F879" s="310" t="s">
        <v>1241</v>
      </c>
      <c r="G879" s="311" t="s">
        <v>273</v>
      </c>
      <c r="H879" s="312">
        <v>2.266</v>
      </c>
      <c r="I879" s="82">
        <v>0</v>
      </c>
      <c r="J879" s="82">
        <f>ROUND(I879*H879,2)</f>
        <v>0</v>
      </c>
      <c r="K879" s="310" t="s">
        <v>222</v>
      </c>
      <c r="L879" s="24"/>
      <c r="M879" s="83" t="s">
        <v>3</v>
      </c>
      <c r="N879" s="84" t="s">
        <v>39</v>
      </c>
      <c r="O879" s="85">
        <v>1.39</v>
      </c>
      <c r="P879" s="85">
        <f>O879*H879</f>
        <v>3.14974</v>
      </c>
      <c r="Q879" s="85">
        <v>0</v>
      </c>
      <c r="R879" s="85">
        <f>Q879*H879</f>
        <v>0</v>
      </c>
      <c r="S879" s="85">
        <v>0</v>
      </c>
      <c r="T879" s="86">
        <f>S879*H879</f>
        <v>0</v>
      </c>
      <c r="U879" s="23"/>
      <c r="V879" s="23"/>
      <c r="W879" s="23"/>
      <c r="X879" s="23"/>
      <c r="Y879" s="23"/>
      <c r="Z879" s="23"/>
      <c r="AA879" s="23"/>
      <c r="AB879" s="23"/>
      <c r="AC879" s="23"/>
      <c r="AD879" s="23"/>
      <c r="AE879" s="23"/>
      <c r="AR879" s="87" t="s">
        <v>305</v>
      </c>
      <c r="AT879" s="87" t="s">
        <v>218</v>
      </c>
      <c r="AU879" s="87" t="s">
        <v>77</v>
      </c>
      <c r="AY879" s="19" t="s">
        <v>216</v>
      </c>
      <c r="BE879" s="88">
        <f>IF(N879="základní",J879,0)</f>
        <v>0</v>
      </c>
      <c r="BF879" s="88">
        <f>IF(N879="snížená",J879,0)</f>
        <v>0</v>
      </c>
      <c r="BG879" s="88">
        <f>IF(N879="zákl. přenesená",J879,0)</f>
        <v>0</v>
      </c>
      <c r="BH879" s="88">
        <f>IF(N879="sníž. přenesená",J879,0)</f>
        <v>0</v>
      </c>
      <c r="BI879" s="88">
        <f>IF(N879="nulová",J879,0)</f>
        <v>0</v>
      </c>
      <c r="BJ879" s="19" t="s">
        <v>75</v>
      </c>
      <c r="BK879" s="88">
        <f>ROUND(I879*H879,2)</f>
        <v>0</v>
      </c>
      <c r="BL879" s="19" t="s">
        <v>305</v>
      </c>
      <c r="BM879" s="87" t="s">
        <v>1242</v>
      </c>
    </row>
    <row r="880" spans="1:65" s="2" customFormat="1" ht="87.75">
      <c r="A880" s="269"/>
      <c r="B880" s="270"/>
      <c r="C880" s="269"/>
      <c r="D880" s="315" t="s">
        <v>231</v>
      </c>
      <c r="E880" s="269"/>
      <c r="F880" s="323" t="s">
        <v>1238</v>
      </c>
      <c r="G880" s="269"/>
      <c r="H880" s="269"/>
      <c r="I880" s="248"/>
      <c r="J880" s="248"/>
      <c r="K880" s="269"/>
      <c r="L880" s="24"/>
      <c r="M880" s="99"/>
      <c r="N880" s="100"/>
      <c r="O880" s="32"/>
      <c r="P880" s="32"/>
      <c r="Q880" s="32"/>
      <c r="R880" s="32"/>
      <c r="S880" s="32"/>
      <c r="T880" s="33"/>
      <c r="U880" s="23"/>
      <c r="V880" s="23"/>
      <c r="W880" s="23"/>
      <c r="X880" s="23"/>
      <c r="Y880" s="23"/>
      <c r="Z880" s="23"/>
      <c r="AA880" s="23"/>
      <c r="AB880" s="23"/>
      <c r="AC880" s="23"/>
      <c r="AD880" s="23"/>
      <c r="AE880" s="23"/>
      <c r="AT880" s="19" t="s">
        <v>231</v>
      </c>
      <c r="AU880" s="19" t="s">
        <v>77</v>
      </c>
    </row>
    <row r="881" spans="1:65" s="12" customFormat="1" ht="22.9" customHeight="1">
      <c r="A881" s="303"/>
      <c r="B881" s="304"/>
      <c r="C881" s="303"/>
      <c r="D881" s="305" t="s">
        <v>67</v>
      </c>
      <c r="E881" s="307" t="s">
        <v>1243</v>
      </c>
      <c r="F881" s="307" t="s">
        <v>1244</v>
      </c>
      <c r="G881" s="303"/>
      <c r="H881" s="303"/>
      <c r="I881" s="256"/>
      <c r="J881" s="258">
        <f>BK881</f>
        <v>0</v>
      </c>
      <c r="K881" s="303"/>
      <c r="L881" s="74"/>
      <c r="M881" s="76"/>
      <c r="N881" s="77"/>
      <c r="O881" s="77"/>
      <c r="P881" s="78">
        <f>SUM(P882:P1010)</f>
        <v>535.50731500000006</v>
      </c>
      <c r="Q881" s="77"/>
      <c r="R881" s="78">
        <f>SUM(R882:R1010)</f>
        <v>8.2902489500000005</v>
      </c>
      <c r="S881" s="77"/>
      <c r="T881" s="79">
        <f>SUM(T882:T1010)</f>
        <v>27.496002000000001</v>
      </c>
      <c r="AR881" s="75" t="s">
        <v>77</v>
      </c>
      <c r="AT881" s="80" t="s">
        <v>67</v>
      </c>
      <c r="AU881" s="80" t="s">
        <v>75</v>
      </c>
      <c r="AY881" s="75" t="s">
        <v>216</v>
      </c>
      <c r="BK881" s="81">
        <f>SUM(BK882:BK1010)</f>
        <v>0</v>
      </c>
    </row>
    <row r="882" spans="1:65" s="2" customFormat="1" ht="14.45" customHeight="1">
      <c r="A882" s="269"/>
      <c r="B882" s="270"/>
      <c r="C882" s="308" t="s">
        <v>1245</v>
      </c>
      <c r="D882" s="308" t="s">
        <v>218</v>
      </c>
      <c r="E882" s="309" t="s">
        <v>1246</v>
      </c>
      <c r="F882" s="310" t="s">
        <v>1247</v>
      </c>
      <c r="G882" s="311" t="s">
        <v>286</v>
      </c>
      <c r="H882" s="312">
        <v>252.3</v>
      </c>
      <c r="I882" s="82">
        <v>0</v>
      </c>
      <c r="J882" s="82">
        <f>ROUND(I882*H882,2)</f>
        <v>0</v>
      </c>
      <c r="K882" s="310" t="s">
        <v>222</v>
      </c>
      <c r="L882" s="24"/>
      <c r="M882" s="83" t="s">
        <v>3</v>
      </c>
      <c r="N882" s="84" t="s">
        <v>39</v>
      </c>
      <c r="O882" s="85">
        <v>2.4E-2</v>
      </c>
      <c r="P882" s="85">
        <f>O882*H882</f>
        <v>6.0552000000000001</v>
      </c>
      <c r="Q882" s="85">
        <v>0</v>
      </c>
      <c r="R882" s="85">
        <f>Q882*H882</f>
        <v>0</v>
      </c>
      <c r="S882" s="85">
        <v>0</v>
      </c>
      <c r="T882" s="86">
        <f>S882*H882</f>
        <v>0</v>
      </c>
      <c r="U882" s="23"/>
      <c r="V882" s="23"/>
      <c r="W882" s="23"/>
      <c r="X882" s="23"/>
      <c r="Y882" s="23"/>
      <c r="Z882" s="23"/>
      <c r="AA882" s="23"/>
      <c r="AB882" s="23"/>
      <c r="AC882" s="23"/>
      <c r="AD882" s="23"/>
      <c r="AE882" s="23"/>
      <c r="AR882" s="87" t="s">
        <v>305</v>
      </c>
      <c r="AT882" s="87" t="s">
        <v>218</v>
      </c>
      <c r="AU882" s="87" t="s">
        <v>77</v>
      </c>
      <c r="AY882" s="19" t="s">
        <v>216</v>
      </c>
      <c r="BE882" s="88">
        <f>IF(N882="základní",J882,0)</f>
        <v>0</v>
      </c>
      <c r="BF882" s="88">
        <f>IF(N882="snížená",J882,0)</f>
        <v>0</v>
      </c>
      <c r="BG882" s="88">
        <f>IF(N882="zákl. přenesená",J882,0)</f>
        <v>0</v>
      </c>
      <c r="BH882" s="88">
        <f>IF(N882="sníž. přenesená",J882,0)</f>
        <v>0</v>
      </c>
      <c r="BI882" s="88">
        <f>IF(N882="nulová",J882,0)</f>
        <v>0</v>
      </c>
      <c r="BJ882" s="19" t="s">
        <v>75</v>
      </c>
      <c r="BK882" s="88">
        <f>ROUND(I882*H882,2)</f>
        <v>0</v>
      </c>
      <c r="BL882" s="19" t="s">
        <v>305</v>
      </c>
      <c r="BM882" s="87" t="s">
        <v>1248</v>
      </c>
    </row>
    <row r="883" spans="1:65" s="2" customFormat="1" ht="48.75">
      <c r="A883" s="269"/>
      <c r="B883" s="270"/>
      <c r="C883" s="269"/>
      <c r="D883" s="315" t="s">
        <v>231</v>
      </c>
      <c r="E883" s="269"/>
      <c r="F883" s="323" t="s">
        <v>1249</v>
      </c>
      <c r="G883" s="269"/>
      <c r="H883" s="269"/>
      <c r="I883" s="248"/>
      <c r="J883" s="248"/>
      <c r="K883" s="269"/>
      <c r="L883" s="24"/>
      <c r="M883" s="99"/>
      <c r="N883" s="100"/>
      <c r="O883" s="32"/>
      <c r="P883" s="32"/>
      <c r="Q883" s="32"/>
      <c r="R883" s="32"/>
      <c r="S883" s="32"/>
      <c r="T883" s="33"/>
      <c r="U883" s="23"/>
      <c r="V883" s="23"/>
      <c r="W883" s="23"/>
      <c r="X883" s="23"/>
      <c r="Y883" s="23"/>
      <c r="Z883" s="23"/>
      <c r="AA883" s="23"/>
      <c r="AB883" s="23"/>
      <c r="AC883" s="23"/>
      <c r="AD883" s="23"/>
      <c r="AE883" s="23"/>
      <c r="AT883" s="19" t="s">
        <v>231</v>
      </c>
      <c r="AU883" s="19" t="s">
        <v>77</v>
      </c>
    </row>
    <row r="884" spans="1:65" s="13" customFormat="1">
      <c r="A884" s="313"/>
      <c r="B884" s="314"/>
      <c r="C884" s="313"/>
      <c r="D884" s="315" t="s">
        <v>225</v>
      </c>
      <c r="E884" s="316" t="s">
        <v>3</v>
      </c>
      <c r="F884" s="317" t="s">
        <v>578</v>
      </c>
      <c r="G884" s="313"/>
      <c r="H884" s="316" t="s">
        <v>3</v>
      </c>
      <c r="I884" s="259"/>
      <c r="J884" s="259"/>
      <c r="K884" s="313"/>
      <c r="L884" s="89"/>
      <c r="M884" s="91"/>
      <c r="N884" s="92"/>
      <c r="O884" s="92"/>
      <c r="P884" s="92"/>
      <c r="Q884" s="92"/>
      <c r="R884" s="92"/>
      <c r="S884" s="92"/>
      <c r="T884" s="93"/>
      <c r="AT884" s="90" t="s">
        <v>225</v>
      </c>
      <c r="AU884" s="90" t="s">
        <v>77</v>
      </c>
      <c r="AV884" s="13" t="s">
        <v>75</v>
      </c>
      <c r="AW884" s="13" t="s">
        <v>30</v>
      </c>
      <c r="AX884" s="13" t="s">
        <v>68</v>
      </c>
      <c r="AY884" s="90" t="s">
        <v>216</v>
      </c>
    </row>
    <row r="885" spans="1:65" s="13" customFormat="1">
      <c r="A885" s="313"/>
      <c r="B885" s="314"/>
      <c r="C885" s="313"/>
      <c r="D885" s="315" t="s">
        <v>225</v>
      </c>
      <c r="E885" s="316" t="s">
        <v>3</v>
      </c>
      <c r="F885" s="317" t="s">
        <v>1250</v>
      </c>
      <c r="G885" s="313"/>
      <c r="H885" s="316" t="s">
        <v>3</v>
      </c>
      <c r="I885" s="259"/>
      <c r="J885" s="259"/>
      <c r="K885" s="313"/>
      <c r="L885" s="89"/>
      <c r="M885" s="91"/>
      <c r="N885" s="92"/>
      <c r="O885" s="92"/>
      <c r="P885" s="92"/>
      <c r="Q885" s="92"/>
      <c r="R885" s="92"/>
      <c r="S885" s="92"/>
      <c r="T885" s="93"/>
      <c r="AT885" s="90" t="s">
        <v>225</v>
      </c>
      <c r="AU885" s="90" t="s">
        <v>77</v>
      </c>
      <c r="AV885" s="13" t="s">
        <v>75</v>
      </c>
      <c r="AW885" s="13" t="s">
        <v>30</v>
      </c>
      <c r="AX885" s="13" t="s">
        <v>68</v>
      </c>
      <c r="AY885" s="90" t="s">
        <v>216</v>
      </c>
    </row>
    <row r="886" spans="1:65" s="14" customFormat="1">
      <c r="A886" s="318"/>
      <c r="B886" s="319"/>
      <c r="C886" s="318"/>
      <c r="D886" s="315" t="s">
        <v>225</v>
      </c>
      <c r="E886" s="320" t="s">
        <v>3</v>
      </c>
      <c r="F886" s="321" t="s">
        <v>139</v>
      </c>
      <c r="G886" s="318"/>
      <c r="H886" s="322">
        <v>12.1</v>
      </c>
      <c r="I886" s="260"/>
      <c r="J886" s="260"/>
      <c r="K886" s="318"/>
      <c r="L886" s="94"/>
      <c r="M886" s="96"/>
      <c r="N886" s="97"/>
      <c r="O886" s="97"/>
      <c r="P886" s="97"/>
      <c r="Q886" s="97"/>
      <c r="R886" s="97"/>
      <c r="S886" s="97"/>
      <c r="T886" s="98"/>
      <c r="AT886" s="95" t="s">
        <v>225</v>
      </c>
      <c r="AU886" s="95" t="s">
        <v>77</v>
      </c>
      <c r="AV886" s="14" t="s">
        <v>77</v>
      </c>
      <c r="AW886" s="14" t="s">
        <v>30</v>
      </c>
      <c r="AX886" s="14" t="s">
        <v>68</v>
      </c>
      <c r="AY886" s="95" t="s">
        <v>216</v>
      </c>
    </row>
    <row r="887" spans="1:65" s="15" customFormat="1">
      <c r="A887" s="324"/>
      <c r="B887" s="325"/>
      <c r="C887" s="324"/>
      <c r="D887" s="315" t="s">
        <v>225</v>
      </c>
      <c r="E887" s="326" t="s">
        <v>138</v>
      </c>
      <c r="F887" s="327" t="s">
        <v>252</v>
      </c>
      <c r="G887" s="324"/>
      <c r="H887" s="328">
        <v>12.1</v>
      </c>
      <c r="I887" s="261"/>
      <c r="J887" s="261"/>
      <c r="K887" s="324"/>
      <c r="L887" s="101"/>
      <c r="M887" s="103"/>
      <c r="N887" s="104"/>
      <c r="O887" s="104"/>
      <c r="P887" s="104"/>
      <c r="Q887" s="104"/>
      <c r="R887" s="104"/>
      <c r="S887" s="104"/>
      <c r="T887" s="105"/>
      <c r="AT887" s="102" t="s">
        <v>225</v>
      </c>
      <c r="AU887" s="102" t="s">
        <v>77</v>
      </c>
      <c r="AV887" s="15" t="s">
        <v>100</v>
      </c>
      <c r="AW887" s="15" t="s">
        <v>30</v>
      </c>
      <c r="AX887" s="15" t="s">
        <v>68</v>
      </c>
      <c r="AY887" s="102" t="s">
        <v>216</v>
      </c>
    </row>
    <row r="888" spans="1:65" s="13" customFormat="1">
      <c r="A888" s="313"/>
      <c r="B888" s="314"/>
      <c r="C888" s="313"/>
      <c r="D888" s="315" t="s">
        <v>225</v>
      </c>
      <c r="E888" s="316" t="s">
        <v>3</v>
      </c>
      <c r="F888" s="317" t="s">
        <v>1251</v>
      </c>
      <c r="G888" s="313"/>
      <c r="H888" s="316" t="s">
        <v>3</v>
      </c>
      <c r="I888" s="259"/>
      <c r="J888" s="259"/>
      <c r="K888" s="313"/>
      <c r="L888" s="89"/>
      <c r="M888" s="91"/>
      <c r="N888" s="92"/>
      <c r="O888" s="92"/>
      <c r="P888" s="92"/>
      <c r="Q888" s="92"/>
      <c r="R888" s="92"/>
      <c r="S888" s="92"/>
      <c r="T888" s="93"/>
      <c r="AT888" s="90" t="s">
        <v>225</v>
      </c>
      <c r="AU888" s="90" t="s">
        <v>77</v>
      </c>
      <c r="AV888" s="13" t="s">
        <v>75</v>
      </c>
      <c r="AW888" s="13" t="s">
        <v>30</v>
      </c>
      <c r="AX888" s="13" t="s">
        <v>68</v>
      </c>
      <c r="AY888" s="90" t="s">
        <v>216</v>
      </c>
    </row>
    <row r="889" spans="1:65" s="14" customFormat="1">
      <c r="A889" s="318"/>
      <c r="B889" s="319"/>
      <c r="C889" s="318"/>
      <c r="D889" s="315" t="s">
        <v>225</v>
      </c>
      <c r="E889" s="320" t="s">
        <v>3</v>
      </c>
      <c r="F889" s="321" t="s">
        <v>141</v>
      </c>
      <c r="G889" s="318"/>
      <c r="H889" s="322">
        <v>80.900000000000006</v>
      </c>
      <c r="I889" s="260"/>
      <c r="J889" s="260"/>
      <c r="K889" s="318"/>
      <c r="L889" s="94"/>
      <c r="M889" s="96"/>
      <c r="N889" s="97"/>
      <c r="O889" s="97"/>
      <c r="P889" s="97"/>
      <c r="Q889" s="97"/>
      <c r="R889" s="97"/>
      <c r="S889" s="97"/>
      <c r="T889" s="98"/>
      <c r="AT889" s="95" t="s">
        <v>225</v>
      </c>
      <c r="AU889" s="95" t="s">
        <v>77</v>
      </c>
      <c r="AV889" s="14" t="s">
        <v>77</v>
      </c>
      <c r="AW889" s="14" t="s">
        <v>30</v>
      </c>
      <c r="AX889" s="14" t="s">
        <v>68</v>
      </c>
      <c r="AY889" s="95" t="s">
        <v>216</v>
      </c>
    </row>
    <row r="890" spans="1:65" s="15" customFormat="1">
      <c r="A890" s="324"/>
      <c r="B890" s="325"/>
      <c r="C890" s="324"/>
      <c r="D890" s="315" t="s">
        <v>225</v>
      </c>
      <c r="E890" s="326" t="s">
        <v>140</v>
      </c>
      <c r="F890" s="327" t="s">
        <v>252</v>
      </c>
      <c r="G890" s="324"/>
      <c r="H890" s="328">
        <v>80.900000000000006</v>
      </c>
      <c r="I890" s="261"/>
      <c r="J890" s="261"/>
      <c r="K890" s="324"/>
      <c r="L890" s="101"/>
      <c r="M890" s="103"/>
      <c r="N890" s="104"/>
      <c r="O890" s="104"/>
      <c r="P890" s="104"/>
      <c r="Q890" s="104"/>
      <c r="R890" s="104"/>
      <c r="S890" s="104"/>
      <c r="T890" s="105"/>
      <c r="AT890" s="102" t="s">
        <v>225</v>
      </c>
      <c r="AU890" s="102" t="s">
        <v>77</v>
      </c>
      <c r="AV890" s="15" t="s">
        <v>100</v>
      </c>
      <c r="AW890" s="15" t="s">
        <v>30</v>
      </c>
      <c r="AX890" s="15" t="s">
        <v>68</v>
      </c>
      <c r="AY890" s="102" t="s">
        <v>216</v>
      </c>
    </row>
    <row r="891" spans="1:65" s="13" customFormat="1">
      <c r="A891" s="313"/>
      <c r="B891" s="314"/>
      <c r="C891" s="313"/>
      <c r="D891" s="315" t="s">
        <v>225</v>
      </c>
      <c r="E891" s="316" t="s">
        <v>3</v>
      </c>
      <c r="F891" s="317" t="s">
        <v>1252</v>
      </c>
      <c r="G891" s="313"/>
      <c r="H891" s="316" t="s">
        <v>3</v>
      </c>
      <c r="I891" s="259"/>
      <c r="J891" s="259"/>
      <c r="K891" s="313"/>
      <c r="L891" s="89"/>
      <c r="M891" s="91"/>
      <c r="N891" s="92"/>
      <c r="O891" s="92"/>
      <c r="P891" s="92"/>
      <c r="Q891" s="92"/>
      <c r="R891" s="92"/>
      <c r="S891" s="92"/>
      <c r="T891" s="93"/>
      <c r="AT891" s="90" t="s">
        <v>225</v>
      </c>
      <c r="AU891" s="90" t="s">
        <v>77</v>
      </c>
      <c r="AV891" s="13" t="s">
        <v>75</v>
      </c>
      <c r="AW891" s="13" t="s">
        <v>30</v>
      </c>
      <c r="AX891" s="13" t="s">
        <v>68</v>
      </c>
      <c r="AY891" s="90" t="s">
        <v>216</v>
      </c>
    </row>
    <row r="892" spans="1:65" s="14" customFormat="1">
      <c r="A892" s="318"/>
      <c r="B892" s="319"/>
      <c r="C892" s="318"/>
      <c r="D892" s="315" t="s">
        <v>225</v>
      </c>
      <c r="E892" s="320" t="s">
        <v>3</v>
      </c>
      <c r="F892" s="321" t="s">
        <v>144</v>
      </c>
      <c r="G892" s="318"/>
      <c r="H892" s="322">
        <v>15.4</v>
      </c>
      <c r="I892" s="260"/>
      <c r="J892" s="260"/>
      <c r="K892" s="318"/>
      <c r="L892" s="94"/>
      <c r="M892" s="96"/>
      <c r="N892" s="97"/>
      <c r="O892" s="97"/>
      <c r="P892" s="97"/>
      <c r="Q892" s="97"/>
      <c r="R892" s="97"/>
      <c r="S892" s="97"/>
      <c r="T892" s="98"/>
      <c r="AT892" s="95" t="s">
        <v>225</v>
      </c>
      <c r="AU892" s="95" t="s">
        <v>77</v>
      </c>
      <c r="AV892" s="14" t="s">
        <v>77</v>
      </c>
      <c r="AW892" s="14" t="s">
        <v>30</v>
      </c>
      <c r="AX892" s="14" t="s">
        <v>68</v>
      </c>
      <c r="AY892" s="95" t="s">
        <v>216</v>
      </c>
    </row>
    <row r="893" spans="1:65" s="15" customFormat="1">
      <c r="A893" s="324"/>
      <c r="B893" s="325"/>
      <c r="C893" s="324"/>
      <c r="D893" s="315" t="s">
        <v>225</v>
      </c>
      <c r="E893" s="326" t="s">
        <v>143</v>
      </c>
      <c r="F893" s="327" t="s">
        <v>252</v>
      </c>
      <c r="G893" s="324"/>
      <c r="H893" s="328">
        <v>15.4</v>
      </c>
      <c r="I893" s="261"/>
      <c r="J893" s="261"/>
      <c r="K893" s="324"/>
      <c r="L893" s="101"/>
      <c r="M893" s="103"/>
      <c r="N893" s="104"/>
      <c r="O893" s="104"/>
      <c r="P893" s="104"/>
      <c r="Q893" s="104"/>
      <c r="R893" s="104"/>
      <c r="S893" s="104"/>
      <c r="T893" s="105"/>
      <c r="AT893" s="102" t="s">
        <v>225</v>
      </c>
      <c r="AU893" s="102" t="s">
        <v>77</v>
      </c>
      <c r="AV893" s="15" t="s">
        <v>100</v>
      </c>
      <c r="AW893" s="15" t="s">
        <v>30</v>
      </c>
      <c r="AX893" s="15" t="s">
        <v>68</v>
      </c>
      <c r="AY893" s="102" t="s">
        <v>216</v>
      </c>
    </row>
    <row r="894" spans="1:65" s="13" customFormat="1">
      <c r="A894" s="313"/>
      <c r="B894" s="314"/>
      <c r="C894" s="313"/>
      <c r="D894" s="315" t="s">
        <v>225</v>
      </c>
      <c r="E894" s="316" t="s">
        <v>3</v>
      </c>
      <c r="F894" s="317" t="s">
        <v>1253</v>
      </c>
      <c r="G894" s="313"/>
      <c r="H894" s="316" t="s">
        <v>3</v>
      </c>
      <c r="I894" s="259"/>
      <c r="J894" s="259"/>
      <c r="K894" s="313"/>
      <c r="L894" s="89"/>
      <c r="M894" s="91"/>
      <c r="N894" s="92"/>
      <c r="O894" s="92"/>
      <c r="P894" s="92"/>
      <c r="Q894" s="92"/>
      <c r="R894" s="92"/>
      <c r="S894" s="92"/>
      <c r="T894" s="93"/>
      <c r="AT894" s="90" t="s">
        <v>225</v>
      </c>
      <c r="AU894" s="90" t="s">
        <v>77</v>
      </c>
      <c r="AV894" s="13" t="s">
        <v>75</v>
      </c>
      <c r="AW894" s="13" t="s">
        <v>30</v>
      </c>
      <c r="AX894" s="13" t="s">
        <v>68</v>
      </c>
      <c r="AY894" s="90" t="s">
        <v>216</v>
      </c>
    </row>
    <row r="895" spans="1:65" s="14" customFormat="1">
      <c r="A895" s="318"/>
      <c r="B895" s="319"/>
      <c r="C895" s="318"/>
      <c r="D895" s="315" t="s">
        <v>225</v>
      </c>
      <c r="E895" s="320" t="s">
        <v>3</v>
      </c>
      <c r="F895" s="321" t="s">
        <v>1254</v>
      </c>
      <c r="G895" s="318"/>
      <c r="H895" s="322">
        <v>106</v>
      </c>
      <c r="I895" s="260"/>
      <c r="J895" s="260"/>
      <c r="K895" s="318"/>
      <c r="L895" s="94"/>
      <c r="M895" s="96"/>
      <c r="N895" s="97"/>
      <c r="O895" s="97"/>
      <c r="P895" s="97"/>
      <c r="Q895" s="97"/>
      <c r="R895" s="97"/>
      <c r="S895" s="97"/>
      <c r="T895" s="98"/>
      <c r="AT895" s="95" t="s">
        <v>225</v>
      </c>
      <c r="AU895" s="95" t="s">
        <v>77</v>
      </c>
      <c r="AV895" s="14" t="s">
        <v>77</v>
      </c>
      <c r="AW895" s="14" t="s">
        <v>30</v>
      </c>
      <c r="AX895" s="14" t="s">
        <v>68</v>
      </c>
      <c r="AY895" s="95" t="s">
        <v>216</v>
      </c>
    </row>
    <row r="896" spans="1:65" s="15" customFormat="1">
      <c r="A896" s="324"/>
      <c r="B896" s="325"/>
      <c r="C896" s="324"/>
      <c r="D896" s="315" t="s">
        <v>225</v>
      </c>
      <c r="E896" s="326" t="s">
        <v>145</v>
      </c>
      <c r="F896" s="327" t="s">
        <v>252</v>
      </c>
      <c r="G896" s="324"/>
      <c r="H896" s="328">
        <v>106</v>
      </c>
      <c r="I896" s="261"/>
      <c r="J896" s="261"/>
      <c r="K896" s="324"/>
      <c r="L896" s="101"/>
      <c r="M896" s="103"/>
      <c r="N896" s="104"/>
      <c r="O896" s="104"/>
      <c r="P896" s="104"/>
      <c r="Q896" s="104"/>
      <c r="R896" s="104"/>
      <c r="S896" s="104"/>
      <c r="T896" s="105"/>
      <c r="AT896" s="102" t="s">
        <v>225</v>
      </c>
      <c r="AU896" s="102" t="s">
        <v>77</v>
      </c>
      <c r="AV896" s="15" t="s">
        <v>100</v>
      </c>
      <c r="AW896" s="15" t="s">
        <v>30</v>
      </c>
      <c r="AX896" s="15" t="s">
        <v>68</v>
      </c>
      <c r="AY896" s="102" t="s">
        <v>216</v>
      </c>
    </row>
    <row r="897" spans="1:65" s="13" customFormat="1">
      <c r="A897" s="313"/>
      <c r="B897" s="314"/>
      <c r="C897" s="313"/>
      <c r="D897" s="315" t="s">
        <v>225</v>
      </c>
      <c r="E897" s="316" t="s">
        <v>3</v>
      </c>
      <c r="F897" s="317" t="s">
        <v>1255</v>
      </c>
      <c r="G897" s="313"/>
      <c r="H897" s="316" t="s">
        <v>3</v>
      </c>
      <c r="I897" s="259"/>
      <c r="J897" s="259"/>
      <c r="K897" s="313"/>
      <c r="L897" s="89"/>
      <c r="M897" s="91"/>
      <c r="N897" s="92"/>
      <c r="O897" s="92"/>
      <c r="P897" s="92"/>
      <c r="Q897" s="92"/>
      <c r="R897" s="92"/>
      <c r="S897" s="92"/>
      <c r="T897" s="93"/>
      <c r="AT897" s="90" t="s">
        <v>225</v>
      </c>
      <c r="AU897" s="90" t="s">
        <v>77</v>
      </c>
      <c r="AV897" s="13" t="s">
        <v>75</v>
      </c>
      <c r="AW897" s="13" t="s">
        <v>30</v>
      </c>
      <c r="AX897" s="13" t="s">
        <v>68</v>
      </c>
      <c r="AY897" s="90" t="s">
        <v>216</v>
      </c>
    </row>
    <row r="898" spans="1:65" s="14" customFormat="1">
      <c r="A898" s="318"/>
      <c r="B898" s="319"/>
      <c r="C898" s="318"/>
      <c r="D898" s="315" t="s">
        <v>225</v>
      </c>
      <c r="E898" s="320" t="s">
        <v>3</v>
      </c>
      <c r="F898" s="321" t="s">
        <v>1256</v>
      </c>
      <c r="G898" s="318"/>
      <c r="H898" s="322">
        <v>34</v>
      </c>
      <c r="I898" s="260"/>
      <c r="J898" s="260"/>
      <c r="K898" s="318"/>
      <c r="L898" s="94"/>
      <c r="M898" s="96"/>
      <c r="N898" s="97"/>
      <c r="O898" s="97"/>
      <c r="P898" s="97"/>
      <c r="Q898" s="97"/>
      <c r="R898" s="97"/>
      <c r="S898" s="97"/>
      <c r="T898" s="98"/>
      <c r="AT898" s="95" t="s">
        <v>225</v>
      </c>
      <c r="AU898" s="95" t="s">
        <v>77</v>
      </c>
      <c r="AV898" s="14" t="s">
        <v>77</v>
      </c>
      <c r="AW898" s="14" t="s">
        <v>30</v>
      </c>
      <c r="AX898" s="14" t="s">
        <v>68</v>
      </c>
      <c r="AY898" s="95" t="s">
        <v>216</v>
      </c>
    </row>
    <row r="899" spans="1:65" s="15" customFormat="1">
      <c r="A899" s="324"/>
      <c r="B899" s="325"/>
      <c r="C899" s="324"/>
      <c r="D899" s="315" t="s">
        <v>225</v>
      </c>
      <c r="E899" s="326" t="s">
        <v>147</v>
      </c>
      <c r="F899" s="327" t="s">
        <v>252</v>
      </c>
      <c r="G899" s="324"/>
      <c r="H899" s="328">
        <v>34</v>
      </c>
      <c r="I899" s="261"/>
      <c r="J899" s="261"/>
      <c r="K899" s="324"/>
      <c r="L899" s="101"/>
      <c r="M899" s="103"/>
      <c r="N899" s="104"/>
      <c r="O899" s="104"/>
      <c r="P899" s="104"/>
      <c r="Q899" s="104"/>
      <c r="R899" s="104"/>
      <c r="S899" s="104"/>
      <c r="T899" s="105"/>
      <c r="AT899" s="102" t="s">
        <v>225</v>
      </c>
      <c r="AU899" s="102" t="s">
        <v>77</v>
      </c>
      <c r="AV899" s="15" t="s">
        <v>100</v>
      </c>
      <c r="AW899" s="15" t="s">
        <v>30</v>
      </c>
      <c r="AX899" s="15" t="s">
        <v>68</v>
      </c>
      <c r="AY899" s="102" t="s">
        <v>216</v>
      </c>
    </row>
    <row r="900" spans="1:65" s="13" customFormat="1">
      <c r="A900" s="313"/>
      <c r="B900" s="314"/>
      <c r="C900" s="313"/>
      <c r="D900" s="315" t="s">
        <v>225</v>
      </c>
      <c r="E900" s="316" t="s">
        <v>3</v>
      </c>
      <c r="F900" s="317" t="s">
        <v>1257</v>
      </c>
      <c r="G900" s="313"/>
      <c r="H900" s="316" t="s">
        <v>3</v>
      </c>
      <c r="I900" s="259"/>
      <c r="J900" s="259"/>
      <c r="K900" s="313"/>
      <c r="L900" s="89"/>
      <c r="M900" s="91"/>
      <c r="N900" s="92"/>
      <c r="O900" s="92"/>
      <c r="P900" s="92"/>
      <c r="Q900" s="92"/>
      <c r="R900" s="92"/>
      <c r="S900" s="92"/>
      <c r="T900" s="93"/>
      <c r="AT900" s="90" t="s">
        <v>225</v>
      </c>
      <c r="AU900" s="90" t="s">
        <v>77</v>
      </c>
      <c r="AV900" s="13" t="s">
        <v>75</v>
      </c>
      <c r="AW900" s="13" t="s">
        <v>30</v>
      </c>
      <c r="AX900" s="13" t="s">
        <v>68</v>
      </c>
      <c r="AY900" s="90" t="s">
        <v>216</v>
      </c>
    </row>
    <row r="901" spans="1:65" s="14" customFormat="1">
      <c r="A901" s="318"/>
      <c r="B901" s="319"/>
      <c r="C901" s="318"/>
      <c r="D901" s="315" t="s">
        <v>225</v>
      </c>
      <c r="E901" s="320" t="s">
        <v>3</v>
      </c>
      <c r="F901" s="321" t="s">
        <v>150</v>
      </c>
      <c r="G901" s="318"/>
      <c r="H901" s="322">
        <v>3.9</v>
      </c>
      <c r="I901" s="260"/>
      <c r="J901" s="260"/>
      <c r="K901" s="318"/>
      <c r="L901" s="94"/>
      <c r="M901" s="96"/>
      <c r="N901" s="97"/>
      <c r="O901" s="97"/>
      <c r="P901" s="97"/>
      <c r="Q901" s="97"/>
      <c r="R901" s="97"/>
      <c r="S901" s="97"/>
      <c r="T901" s="98"/>
      <c r="AT901" s="95" t="s">
        <v>225</v>
      </c>
      <c r="AU901" s="95" t="s">
        <v>77</v>
      </c>
      <c r="AV901" s="14" t="s">
        <v>77</v>
      </c>
      <c r="AW901" s="14" t="s">
        <v>30</v>
      </c>
      <c r="AX901" s="14" t="s">
        <v>68</v>
      </c>
      <c r="AY901" s="95" t="s">
        <v>216</v>
      </c>
    </row>
    <row r="902" spans="1:65" s="15" customFormat="1">
      <c r="A902" s="324"/>
      <c r="B902" s="325"/>
      <c r="C902" s="324"/>
      <c r="D902" s="315" t="s">
        <v>225</v>
      </c>
      <c r="E902" s="326" t="s">
        <v>149</v>
      </c>
      <c r="F902" s="327" t="s">
        <v>252</v>
      </c>
      <c r="G902" s="324"/>
      <c r="H902" s="328">
        <v>3.9</v>
      </c>
      <c r="I902" s="261"/>
      <c r="J902" s="261"/>
      <c r="K902" s="324"/>
      <c r="L902" s="101"/>
      <c r="M902" s="103"/>
      <c r="N902" s="104"/>
      <c r="O902" s="104"/>
      <c r="P902" s="104"/>
      <c r="Q902" s="104"/>
      <c r="R902" s="104"/>
      <c r="S902" s="104"/>
      <c r="T902" s="105"/>
      <c r="AT902" s="102" t="s">
        <v>225</v>
      </c>
      <c r="AU902" s="102" t="s">
        <v>77</v>
      </c>
      <c r="AV902" s="15" t="s">
        <v>100</v>
      </c>
      <c r="AW902" s="15" t="s">
        <v>30</v>
      </c>
      <c r="AX902" s="15" t="s">
        <v>68</v>
      </c>
      <c r="AY902" s="102" t="s">
        <v>216</v>
      </c>
    </row>
    <row r="903" spans="1:65" s="16" customFormat="1">
      <c r="A903" s="329"/>
      <c r="B903" s="330"/>
      <c r="C903" s="329"/>
      <c r="D903" s="315" t="s">
        <v>225</v>
      </c>
      <c r="E903" s="331" t="s">
        <v>3</v>
      </c>
      <c r="F903" s="332" t="s">
        <v>254</v>
      </c>
      <c r="G903" s="329"/>
      <c r="H903" s="333">
        <v>252.3</v>
      </c>
      <c r="I903" s="262"/>
      <c r="J903" s="262"/>
      <c r="K903" s="329"/>
      <c r="L903" s="106"/>
      <c r="M903" s="108"/>
      <c r="N903" s="109"/>
      <c r="O903" s="109"/>
      <c r="P903" s="109"/>
      <c r="Q903" s="109"/>
      <c r="R903" s="109"/>
      <c r="S903" s="109"/>
      <c r="T903" s="110"/>
      <c r="AT903" s="107" t="s">
        <v>225</v>
      </c>
      <c r="AU903" s="107" t="s">
        <v>77</v>
      </c>
      <c r="AV903" s="16" t="s">
        <v>223</v>
      </c>
      <c r="AW903" s="16" t="s">
        <v>30</v>
      </c>
      <c r="AX903" s="16" t="s">
        <v>75</v>
      </c>
      <c r="AY903" s="107" t="s">
        <v>216</v>
      </c>
    </row>
    <row r="904" spans="1:65" s="2" customFormat="1" ht="14.45" customHeight="1">
      <c r="A904" s="269"/>
      <c r="B904" s="270"/>
      <c r="C904" s="308" t="s">
        <v>1258</v>
      </c>
      <c r="D904" s="308" t="s">
        <v>218</v>
      </c>
      <c r="E904" s="309" t="s">
        <v>1259</v>
      </c>
      <c r="F904" s="310" t="s">
        <v>1260</v>
      </c>
      <c r="G904" s="311" t="s">
        <v>286</v>
      </c>
      <c r="H904" s="312">
        <v>252.3</v>
      </c>
      <c r="I904" s="82">
        <v>0</v>
      </c>
      <c r="J904" s="82">
        <f>ROUND(I904*H904,2)</f>
        <v>0</v>
      </c>
      <c r="K904" s="310" t="s">
        <v>222</v>
      </c>
      <c r="L904" s="24"/>
      <c r="M904" s="83" t="s">
        <v>3</v>
      </c>
      <c r="N904" s="84" t="s">
        <v>39</v>
      </c>
      <c r="O904" s="85">
        <v>4.3999999999999997E-2</v>
      </c>
      <c r="P904" s="85">
        <f>O904*H904</f>
        <v>11.1012</v>
      </c>
      <c r="Q904" s="85">
        <v>2.9999999999999997E-4</v>
      </c>
      <c r="R904" s="85">
        <f>Q904*H904</f>
        <v>7.5689999999999993E-2</v>
      </c>
      <c r="S904" s="85">
        <v>0</v>
      </c>
      <c r="T904" s="86">
        <f>S904*H904</f>
        <v>0</v>
      </c>
      <c r="U904" s="23"/>
      <c r="V904" s="23"/>
      <c r="W904" s="23"/>
      <c r="X904" s="23"/>
      <c r="Y904" s="23"/>
      <c r="Z904" s="23"/>
      <c r="AA904" s="23"/>
      <c r="AB904" s="23"/>
      <c r="AC904" s="23"/>
      <c r="AD904" s="23"/>
      <c r="AE904" s="23"/>
      <c r="AR904" s="87" t="s">
        <v>305</v>
      </c>
      <c r="AT904" s="87" t="s">
        <v>218</v>
      </c>
      <c r="AU904" s="87" t="s">
        <v>77</v>
      </c>
      <c r="AY904" s="19" t="s">
        <v>216</v>
      </c>
      <c r="BE904" s="88">
        <f>IF(N904="základní",J904,0)</f>
        <v>0</v>
      </c>
      <c r="BF904" s="88">
        <f>IF(N904="snížená",J904,0)</f>
        <v>0</v>
      </c>
      <c r="BG904" s="88">
        <f>IF(N904="zákl. přenesená",J904,0)</f>
        <v>0</v>
      </c>
      <c r="BH904" s="88">
        <f>IF(N904="sníž. přenesená",J904,0)</f>
        <v>0</v>
      </c>
      <c r="BI904" s="88">
        <f>IF(N904="nulová",J904,0)</f>
        <v>0</v>
      </c>
      <c r="BJ904" s="19" t="s">
        <v>75</v>
      </c>
      <c r="BK904" s="88">
        <f>ROUND(I904*H904,2)</f>
        <v>0</v>
      </c>
      <c r="BL904" s="19" t="s">
        <v>305</v>
      </c>
      <c r="BM904" s="87" t="s">
        <v>1261</v>
      </c>
    </row>
    <row r="905" spans="1:65" s="2" customFormat="1" ht="48.75">
      <c r="A905" s="269"/>
      <c r="B905" s="270"/>
      <c r="C905" s="269"/>
      <c r="D905" s="315" t="s">
        <v>231</v>
      </c>
      <c r="E905" s="269"/>
      <c r="F905" s="323" t="s">
        <v>1249</v>
      </c>
      <c r="G905" s="269"/>
      <c r="H905" s="269"/>
      <c r="I905" s="248"/>
      <c r="J905" s="248"/>
      <c r="K905" s="269"/>
      <c r="L905" s="24"/>
      <c r="M905" s="99"/>
      <c r="N905" s="100"/>
      <c r="O905" s="32"/>
      <c r="P905" s="32"/>
      <c r="Q905" s="32"/>
      <c r="R905" s="32"/>
      <c r="S905" s="32"/>
      <c r="T905" s="33"/>
      <c r="U905" s="23"/>
      <c r="V905" s="23"/>
      <c r="W905" s="23"/>
      <c r="X905" s="23"/>
      <c r="Y905" s="23"/>
      <c r="Z905" s="23"/>
      <c r="AA905" s="23"/>
      <c r="AB905" s="23"/>
      <c r="AC905" s="23"/>
      <c r="AD905" s="23"/>
      <c r="AE905" s="23"/>
      <c r="AT905" s="19" t="s">
        <v>231</v>
      </c>
      <c r="AU905" s="19" t="s">
        <v>77</v>
      </c>
    </row>
    <row r="906" spans="1:65" s="13" customFormat="1">
      <c r="A906" s="313"/>
      <c r="B906" s="314"/>
      <c r="C906" s="313"/>
      <c r="D906" s="315" t="s">
        <v>225</v>
      </c>
      <c r="E906" s="316" t="s">
        <v>3</v>
      </c>
      <c r="F906" s="317" t="s">
        <v>578</v>
      </c>
      <c r="G906" s="313"/>
      <c r="H906" s="316" t="s">
        <v>3</v>
      </c>
      <c r="I906" s="259"/>
      <c r="J906" s="259"/>
      <c r="K906" s="313"/>
      <c r="L906" s="89"/>
      <c r="M906" s="91"/>
      <c r="N906" s="92"/>
      <c r="O906" s="92"/>
      <c r="P906" s="92"/>
      <c r="Q906" s="92"/>
      <c r="R906" s="92"/>
      <c r="S906" s="92"/>
      <c r="T906" s="93"/>
      <c r="AT906" s="90" t="s">
        <v>225</v>
      </c>
      <c r="AU906" s="90" t="s">
        <v>77</v>
      </c>
      <c r="AV906" s="13" t="s">
        <v>75</v>
      </c>
      <c r="AW906" s="13" t="s">
        <v>30</v>
      </c>
      <c r="AX906" s="13" t="s">
        <v>68</v>
      </c>
      <c r="AY906" s="90" t="s">
        <v>216</v>
      </c>
    </row>
    <row r="907" spans="1:65" s="14" customFormat="1">
      <c r="A907" s="318"/>
      <c r="B907" s="319"/>
      <c r="C907" s="318"/>
      <c r="D907" s="315" t="s">
        <v>225</v>
      </c>
      <c r="E907" s="320" t="s">
        <v>3</v>
      </c>
      <c r="F907" s="321" t="s">
        <v>585</v>
      </c>
      <c r="G907" s="318"/>
      <c r="H907" s="322">
        <v>252.3</v>
      </c>
      <c r="I907" s="260"/>
      <c r="J907" s="260"/>
      <c r="K907" s="318"/>
      <c r="L907" s="94"/>
      <c r="M907" s="96"/>
      <c r="N907" s="97"/>
      <c r="O907" s="97"/>
      <c r="P907" s="97"/>
      <c r="Q907" s="97"/>
      <c r="R907" s="97"/>
      <c r="S907" s="97"/>
      <c r="T907" s="98"/>
      <c r="AT907" s="95" t="s">
        <v>225</v>
      </c>
      <c r="AU907" s="95" t="s">
        <v>77</v>
      </c>
      <c r="AV907" s="14" t="s">
        <v>77</v>
      </c>
      <c r="AW907" s="14" t="s">
        <v>30</v>
      </c>
      <c r="AX907" s="14" t="s">
        <v>75</v>
      </c>
      <c r="AY907" s="95" t="s">
        <v>216</v>
      </c>
    </row>
    <row r="908" spans="1:65" s="2" customFormat="1" ht="21.6" customHeight="1">
      <c r="A908" s="269"/>
      <c r="B908" s="270"/>
      <c r="C908" s="308" t="s">
        <v>1262</v>
      </c>
      <c r="D908" s="308" t="s">
        <v>218</v>
      </c>
      <c r="E908" s="309" t="s">
        <v>1263</v>
      </c>
      <c r="F908" s="310" t="s">
        <v>1264</v>
      </c>
      <c r="G908" s="311" t="s">
        <v>364</v>
      </c>
      <c r="H908" s="312">
        <v>27.7</v>
      </c>
      <c r="I908" s="82">
        <v>0</v>
      </c>
      <c r="J908" s="82">
        <f>ROUND(I908*H908,2)</f>
        <v>0</v>
      </c>
      <c r="K908" s="310" t="s">
        <v>222</v>
      </c>
      <c r="L908" s="24"/>
      <c r="M908" s="83" t="s">
        <v>3</v>
      </c>
      <c r="N908" s="84" t="s">
        <v>39</v>
      </c>
      <c r="O908" s="85">
        <v>7.0000000000000007E-2</v>
      </c>
      <c r="P908" s="85">
        <f>O908*H908</f>
        <v>1.9390000000000001</v>
      </c>
      <c r="Q908" s="85">
        <v>2.0000000000000001E-4</v>
      </c>
      <c r="R908" s="85">
        <f>Q908*H908</f>
        <v>5.5399999999999998E-3</v>
      </c>
      <c r="S908" s="85">
        <v>0</v>
      </c>
      <c r="T908" s="86">
        <f>S908*H908</f>
        <v>0</v>
      </c>
      <c r="U908" s="23"/>
      <c r="V908" s="23"/>
      <c r="W908" s="23"/>
      <c r="X908" s="23"/>
      <c r="Y908" s="23"/>
      <c r="Z908" s="23"/>
      <c r="AA908" s="23"/>
      <c r="AB908" s="23"/>
      <c r="AC908" s="23"/>
      <c r="AD908" s="23"/>
      <c r="AE908" s="23"/>
      <c r="AR908" s="87" t="s">
        <v>305</v>
      </c>
      <c r="AT908" s="87" t="s">
        <v>218</v>
      </c>
      <c r="AU908" s="87" t="s">
        <v>77</v>
      </c>
      <c r="AY908" s="19" t="s">
        <v>216</v>
      </c>
      <c r="BE908" s="88">
        <f>IF(N908="základní",J908,0)</f>
        <v>0</v>
      </c>
      <c r="BF908" s="88">
        <f>IF(N908="snížená",J908,0)</f>
        <v>0</v>
      </c>
      <c r="BG908" s="88">
        <f>IF(N908="zákl. přenesená",J908,0)</f>
        <v>0</v>
      </c>
      <c r="BH908" s="88">
        <f>IF(N908="sníž. přenesená",J908,0)</f>
        <v>0</v>
      </c>
      <c r="BI908" s="88">
        <f>IF(N908="nulová",J908,0)</f>
        <v>0</v>
      </c>
      <c r="BJ908" s="19" t="s">
        <v>75</v>
      </c>
      <c r="BK908" s="88">
        <f>ROUND(I908*H908,2)</f>
        <v>0</v>
      </c>
      <c r="BL908" s="19" t="s">
        <v>305</v>
      </c>
      <c r="BM908" s="87" t="s">
        <v>1265</v>
      </c>
    </row>
    <row r="909" spans="1:65" s="2" customFormat="1" ht="48.75">
      <c r="A909" s="269"/>
      <c r="B909" s="270"/>
      <c r="C909" s="269"/>
      <c r="D909" s="315" t="s">
        <v>231</v>
      </c>
      <c r="E909" s="269"/>
      <c r="F909" s="323" t="s">
        <v>1249</v>
      </c>
      <c r="G909" s="269"/>
      <c r="H909" s="269"/>
      <c r="I909" s="248"/>
      <c r="J909" s="248"/>
      <c r="K909" s="269"/>
      <c r="L909" s="24"/>
      <c r="M909" s="99"/>
      <c r="N909" s="100"/>
      <c r="O909" s="32"/>
      <c r="P909" s="32"/>
      <c r="Q909" s="32"/>
      <c r="R909" s="32"/>
      <c r="S909" s="32"/>
      <c r="T909" s="33"/>
      <c r="U909" s="23"/>
      <c r="V909" s="23"/>
      <c r="W909" s="23"/>
      <c r="X909" s="23"/>
      <c r="Y909" s="23"/>
      <c r="Z909" s="23"/>
      <c r="AA909" s="23"/>
      <c r="AB909" s="23"/>
      <c r="AC909" s="23"/>
      <c r="AD909" s="23"/>
      <c r="AE909" s="23"/>
      <c r="AT909" s="19" t="s">
        <v>231</v>
      </c>
      <c r="AU909" s="19" t="s">
        <v>77</v>
      </c>
    </row>
    <row r="910" spans="1:65" s="13" customFormat="1">
      <c r="A910" s="313"/>
      <c r="B910" s="314"/>
      <c r="C910" s="313"/>
      <c r="D910" s="315" t="s">
        <v>225</v>
      </c>
      <c r="E910" s="316" t="s">
        <v>3</v>
      </c>
      <c r="F910" s="317" t="s">
        <v>1266</v>
      </c>
      <c r="G910" s="313"/>
      <c r="H910" s="316" t="s">
        <v>3</v>
      </c>
      <c r="I910" s="259"/>
      <c r="J910" s="259"/>
      <c r="K910" s="313"/>
      <c r="L910" s="89"/>
      <c r="M910" s="91"/>
      <c r="N910" s="92"/>
      <c r="O910" s="92"/>
      <c r="P910" s="92"/>
      <c r="Q910" s="92"/>
      <c r="R910" s="92"/>
      <c r="S910" s="92"/>
      <c r="T910" s="93"/>
      <c r="AT910" s="90" t="s">
        <v>225</v>
      </c>
      <c r="AU910" s="90" t="s">
        <v>77</v>
      </c>
      <c r="AV910" s="13" t="s">
        <v>75</v>
      </c>
      <c r="AW910" s="13" t="s">
        <v>30</v>
      </c>
      <c r="AX910" s="13" t="s">
        <v>68</v>
      </c>
      <c r="AY910" s="90" t="s">
        <v>216</v>
      </c>
    </row>
    <row r="911" spans="1:65" s="13" customFormat="1">
      <c r="A911" s="313"/>
      <c r="B911" s="314"/>
      <c r="C911" s="313"/>
      <c r="D911" s="315" t="s">
        <v>225</v>
      </c>
      <c r="E911" s="316" t="s">
        <v>3</v>
      </c>
      <c r="F911" s="317" t="s">
        <v>1267</v>
      </c>
      <c r="G911" s="313"/>
      <c r="H911" s="316" t="s">
        <v>3</v>
      </c>
      <c r="I911" s="259"/>
      <c r="J911" s="259"/>
      <c r="K911" s="313"/>
      <c r="L911" s="89"/>
      <c r="M911" s="91"/>
      <c r="N911" s="92"/>
      <c r="O911" s="92"/>
      <c r="P911" s="92"/>
      <c r="Q911" s="92"/>
      <c r="R911" s="92"/>
      <c r="S911" s="92"/>
      <c r="T911" s="93"/>
      <c r="AT911" s="90" t="s">
        <v>225</v>
      </c>
      <c r="AU911" s="90" t="s">
        <v>77</v>
      </c>
      <c r="AV911" s="13" t="s">
        <v>75</v>
      </c>
      <c r="AW911" s="13" t="s">
        <v>30</v>
      </c>
      <c r="AX911" s="13" t="s">
        <v>68</v>
      </c>
      <c r="AY911" s="90" t="s">
        <v>216</v>
      </c>
    </row>
    <row r="912" spans="1:65" s="14" customFormat="1">
      <c r="A912" s="318"/>
      <c r="B912" s="319"/>
      <c r="C912" s="318"/>
      <c r="D912" s="315" t="s">
        <v>225</v>
      </c>
      <c r="E912" s="320" t="s">
        <v>3</v>
      </c>
      <c r="F912" s="321" t="s">
        <v>1193</v>
      </c>
      <c r="G912" s="318"/>
      <c r="H912" s="322">
        <v>23.9</v>
      </c>
      <c r="I912" s="260"/>
      <c r="J912" s="260"/>
      <c r="K912" s="318"/>
      <c r="L912" s="94"/>
      <c r="M912" s="96"/>
      <c r="N912" s="97"/>
      <c r="O912" s="97"/>
      <c r="P912" s="97"/>
      <c r="Q912" s="97"/>
      <c r="R912" s="97"/>
      <c r="S912" s="97"/>
      <c r="T912" s="98"/>
      <c r="AT912" s="95" t="s">
        <v>225</v>
      </c>
      <c r="AU912" s="95" t="s">
        <v>77</v>
      </c>
      <c r="AV912" s="14" t="s">
        <v>77</v>
      </c>
      <c r="AW912" s="14" t="s">
        <v>30</v>
      </c>
      <c r="AX912" s="14" t="s">
        <v>68</v>
      </c>
      <c r="AY912" s="95" t="s">
        <v>216</v>
      </c>
    </row>
    <row r="913" spans="1:65" s="13" customFormat="1">
      <c r="A913" s="313"/>
      <c r="B913" s="314"/>
      <c r="C913" s="313"/>
      <c r="D913" s="315" t="s">
        <v>225</v>
      </c>
      <c r="E913" s="316" t="s">
        <v>3</v>
      </c>
      <c r="F913" s="317" t="s">
        <v>1268</v>
      </c>
      <c r="G913" s="313"/>
      <c r="H913" s="316" t="s">
        <v>3</v>
      </c>
      <c r="I913" s="259"/>
      <c r="J913" s="259"/>
      <c r="K913" s="313"/>
      <c r="L913" s="89"/>
      <c r="M913" s="91"/>
      <c r="N913" s="92"/>
      <c r="O913" s="92"/>
      <c r="P913" s="92"/>
      <c r="Q913" s="92"/>
      <c r="R913" s="92"/>
      <c r="S913" s="92"/>
      <c r="T913" s="93"/>
      <c r="AT913" s="90" t="s">
        <v>225</v>
      </c>
      <c r="AU913" s="90" t="s">
        <v>77</v>
      </c>
      <c r="AV913" s="13" t="s">
        <v>75</v>
      </c>
      <c r="AW913" s="13" t="s">
        <v>30</v>
      </c>
      <c r="AX913" s="13" t="s">
        <v>68</v>
      </c>
      <c r="AY913" s="90" t="s">
        <v>216</v>
      </c>
    </row>
    <row r="914" spans="1:65" s="14" customFormat="1">
      <c r="A914" s="318"/>
      <c r="B914" s="319"/>
      <c r="C914" s="318"/>
      <c r="D914" s="315" t="s">
        <v>225</v>
      </c>
      <c r="E914" s="320" t="s">
        <v>3</v>
      </c>
      <c r="F914" s="321" t="s">
        <v>1269</v>
      </c>
      <c r="G914" s="318"/>
      <c r="H914" s="322">
        <v>1</v>
      </c>
      <c r="I914" s="260"/>
      <c r="J914" s="260"/>
      <c r="K914" s="318"/>
      <c r="L914" s="94"/>
      <c r="M914" s="96"/>
      <c r="N914" s="97"/>
      <c r="O914" s="97"/>
      <c r="P914" s="97"/>
      <c r="Q914" s="97"/>
      <c r="R914" s="97"/>
      <c r="S914" s="97"/>
      <c r="T914" s="98"/>
      <c r="AT914" s="95" t="s">
        <v>225</v>
      </c>
      <c r="AU914" s="95" t="s">
        <v>77</v>
      </c>
      <c r="AV914" s="14" t="s">
        <v>77</v>
      </c>
      <c r="AW914" s="14" t="s">
        <v>30</v>
      </c>
      <c r="AX914" s="14" t="s">
        <v>68</v>
      </c>
      <c r="AY914" s="95" t="s">
        <v>216</v>
      </c>
    </row>
    <row r="915" spans="1:65" s="13" customFormat="1">
      <c r="A915" s="313"/>
      <c r="B915" s="314"/>
      <c r="C915" s="313"/>
      <c r="D915" s="315" t="s">
        <v>225</v>
      </c>
      <c r="E915" s="316" t="s">
        <v>3</v>
      </c>
      <c r="F915" s="317" t="s">
        <v>1270</v>
      </c>
      <c r="G915" s="313"/>
      <c r="H915" s="316" t="s">
        <v>3</v>
      </c>
      <c r="I915" s="259"/>
      <c r="J915" s="259"/>
      <c r="K915" s="313"/>
      <c r="L915" s="89"/>
      <c r="M915" s="91"/>
      <c r="N915" s="92"/>
      <c r="O915" s="92"/>
      <c r="P915" s="92"/>
      <c r="Q915" s="92"/>
      <c r="R915" s="92"/>
      <c r="S915" s="92"/>
      <c r="T915" s="93"/>
      <c r="AT915" s="90" t="s">
        <v>225</v>
      </c>
      <c r="AU915" s="90" t="s">
        <v>77</v>
      </c>
      <c r="AV915" s="13" t="s">
        <v>75</v>
      </c>
      <c r="AW915" s="13" t="s">
        <v>30</v>
      </c>
      <c r="AX915" s="13" t="s">
        <v>68</v>
      </c>
      <c r="AY915" s="90" t="s">
        <v>216</v>
      </c>
    </row>
    <row r="916" spans="1:65" s="14" customFormat="1">
      <c r="A916" s="318"/>
      <c r="B916" s="319"/>
      <c r="C916" s="318"/>
      <c r="D916" s="315" t="s">
        <v>225</v>
      </c>
      <c r="E916" s="320" t="s">
        <v>3</v>
      </c>
      <c r="F916" s="321" t="s">
        <v>1271</v>
      </c>
      <c r="G916" s="318"/>
      <c r="H916" s="322">
        <v>2.8</v>
      </c>
      <c r="I916" s="260"/>
      <c r="J916" s="260"/>
      <c r="K916" s="318"/>
      <c r="L916" s="94"/>
      <c r="M916" s="96"/>
      <c r="N916" s="97"/>
      <c r="O916" s="97"/>
      <c r="P916" s="97"/>
      <c r="Q916" s="97"/>
      <c r="R916" s="97"/>
      <c r="S916" s="97"/>
      <c r="T916" s="98"/>
      <c r="AT916" s="95" t="s">
        <v>225</v>
      </c>
      <c r="AU916" s="95" t="s">
        <v>77</v>
      </c>
      <c r="AV916" s="14" t="s">
        <v>77</v>
      </c>
      <c r="AW916" s="14" t="s">
        <v>30</v>
      </c>
      <c r="AX916" s="14" t="s">
        <v>68</v>
      </c>
      <c r="AY916" s="95" t="s">
        <v>216</v>
      </c>
    </row>
    <row r="917" spans="1:65" s="16" customFormat="1">
      <c r="A917" s="329"/>
      <c r="B917" s="330"/>
      <c r="C917" s="329"/>
      <c r="D917" s="315" t="s">
        <v>225</v>
      </c>
      <c r="E917" s="331" t="s">
        <v>3</v>
      </c>
      <c r="F917" s="332" t="s">
        <v>254</v>
      </c>
      <c r="G917" s="329"/>
      <c r="H917" s="333">
        <v>27.7</v>
      </c>
      <c r="I917" s="262"/>
      <c r="J917" s="262"/>
      <c r="K917" s="329"/>
      <c r="L917" s="106"/>
      <c r="M917" s="108"/>
      <c r="N917" s="109"/>
      <c r="O917" s="109"/>
      <c r="P917" s="109"/>
      <c r="Q917" s="109"/>
      <c r="R917" s="109"/>
      <c r="S917" s="109"/>
      <c r="T917" s="110"/>
      <c r="AT917" s="107" t="s">
        <v>225</v>
      </c>
      <c r="AU917" s="107" t="s">
        <v>77</v>
      </c>
      <c r="AV917" s="16" t="s">
        <v>223</v>
      </c>
      <c r="AW917" s="16" t="s">
        <v>30</v>
      </c>
      <c r="AX917" s="16" t="s">
        <v>75</v>
      </c>
      <c r="AY917" s="107" t="s">
        <v>216</v>
      </c>
    </row>
    <row r="918" spans="1:65" s="2" customFormat="1" ht="21.6" customHeight="1">
      <c r="A918" s="269"/>
      <c r="B918" s="270"/>
      <c r="C918" s="334" t="s">
        <v>1272</v>
      </c>
      <c r="D918" s="334" t="s">
        <v>535</v>
      </c>
      <c r="E918" s="335" t="s">
        <v>1273</v>
      </c>
      <c r="F918" s="336" t="s">
        <v>1274</v>
      </c>
      <c r="G918" s="337" t="s">
        <v>364</v>
      </c>
      <c r="H918" s="338">
        <v>25.094999999999999</v>
      </c>
      <c r="I918" s="111">
        <v>0</v>
      </c>
      <c r="J918" s="111">
        <f>ROUND(I918*H918,2)</f>
        <v>0</v>
      </c>
      <c r="K918" s="336" t="s">
        <v>3</v>
      </c>
      <c r="L918" s="112"/>
      <c r="M918" s="113" t="s">
        <v>3</v>
      </c>
      <c r="N918" s="114" t="s">
        <v>39</v>
      </c>
      <c r="O918" s="85">
        <v>0</v>
      </c>
      <c r="P918" s="85">
        <f>O918*H918</f>
        <v>0</v>
      </c>
      <c r="Q918" s="85">
        <v>1E-3</v>
      </c>
      <c r="R918" s="85">
        <f>Q918*H918</f>
        <v>2.5094999999999999E-2</v>
      </c>
      <c r="S918" s="85">
        <v>0</v>
      </c>
      <c r="T918" s="86">
        <f>S918*H918</f>
        <v>0</v>
      </c>
      <c r="U918" s="23"/>
      <c r="V918" s="23"/>
      <c r="W918" s="23"/>
      <c r="X918" s="23"/>
      <c r="Y918" s="23"/>
      <c r="Z918" s="23"/>
      <c r="AA918" s="23"/>
      <c r="AB918" s="23"/>
      <c r="AC918" s="23"/>
      <c r="AD918" s="23"/>
      <c r="AE918" s="23"/>
      <c r="AR918" s="87" t="s">
        <v>410</v>
      </c>
      <c r="AT918" s="87" t="s">
        <v>535</v>
      </c>
      <c r="AU918" s="87" t="s">
        <v>77</v>
      </c>
      <c r="AY918" s="19" t="s">
        <v>216</v>
      </c>
      <c r="BE918" s="88">
        <f>IF(N918="základní",J918,0)</f>
        <v>0</v>
      </c>
      <c r="BF918" s="88">
        <f>IF(N918="snížená",J918,0)</f>
        <v>0</v>
      </c>
      <c r="BG918" s="88">
        <f>IF(N918="zákl. přenesená",J918,0)</f>
        <v>0</v>
      </c>
      <c r="BH918" s="88">
        <f>IF(N918="sníž. přenesená",J918,0)</f>
        <v>0</v>
      </c>
      <c r="BI918" s="88">
        <f>IF(N918="nulová",J918,0)</f>
        <v>0</v>
      </c>
      <c r="BJ918" s="19" t="s">
        <v>75</v>
      </c>
      <c r="BK918" s="88">
        <f>ROUND(I918*H918,2)</f>
        <v>0</v>
      </c>
      <c r="BL918" s="19" t="s">
        <v>305</v>
      </c>
      <c r="BM918" s="87" t="s">
        <v>1275</v>
      </c>
    </row>
    <row r="919" spans="1:65" s="14" customFormat="1">
      <c r="A919" s="318"/>
      <c r="B919" s="319"/>
      <c r="C919" s="318"/>
      <c r="D919" s="315" t="s">
        <v>225</v>
      </c>
      <c r="E919" s="318"/>
      <c r="F919" s="321" t="s">
        <v>1276</v>
      </c>
      <c r="G919" s="318"/>
      <c r="H919" s="322">
        <v>25.094999999999999</v>
      </c>
      <c r="I919" s="260"/>
      <c r="J919" s="260"/>
      <c r="K919" s="318"/>
      <c r="L919" s="94"/>
      <c r="M919" s="96"/>
      <c r="N919" s="97"/>
      <c r="O919" s="97"/>
      <c r="P919" s="97"/>
      <c r="Q919" s="97"/>
      <c r="R919" s="97"/>
      <c r="S919" s="97"/>
      <c r="T919" s="98"/>
      <c r="AT919" s="95" t="s">
        <v>225</v>
      </c>
      <c r="AU919" s="95" t="s">
        <v>77</v>
      </c>
      <c r="AV919" s="14" t="s">
        <v>77</v>
      </c>
      <c r="AW919" s="14" t="s">
        <v>4</v>
      </c>
      <c r="AX919" s="14" t="s">
        <v>75</v>
      </c>
      <c r="AY919" s="95" t="s">
        <v>216</v>
      </c>
    </row>
    <row r="920" spans="1:65" s="2" customFormat="1" ht="14.45" customHeight="1">
      <c r="A920" s="269"/>
      <c r="B920" s="270"/>
      <c r="C920" s="334" t="s">
        <v>1277</v>
      </c>
      <c r="D920" s="334" t="s">
        <v>535</v>
      </c>
      <c r="E920" s="335" t="s">
        <v>1278</v>
      </c>
      <c r="F920" s="336" t="s">
        <v>1279</v>
      </c>
      <c r="G920" s="337" t="s">
        <v>364</v>
      </c>
      <c r="H920" s="338">
        <v>1.05</v>
      </c>
      <c r="I920" s="111">
        <v>0</v>
      </c>
      <c r="J920" s="111">
        <f>ROUND(I920*H920,2)</f>
        <v>0</v>
      </c>
      <c r="K920" s="336" t="s">
        <v>3</v>
      </c>
      <c r="L920" s="112"/>
      <c r="M920" s="113" t="s">
        <v>3</v>
      </c>
      <c r="N920" s="114" t="s">
        <v>39</v>
      </c>
      <c r="O920" s="85">
        <v>0</v>
      </c>
      <c r="P920" s="85">
        <f>O920*H920</f>
        <v>0</v>
      </c>
      <c r="Q920" s="85">
        <v>1E-3</v>
      </c>
      <c r="R920" s="85">
        <f>Q920*H920</f>
        <v>1.0500000000000002E-3</v>
      </c>
      <c r="S920" s="85">
        <v>0</v>
      </c>
      <c r="T920" s="86">
        <f>S920*H920</f>
        <v>0</v>
      </c>
      <c r="U920" s="23"/>
      <c r="V920" s="23"/>
      <c r="W920" s="23"/>
      <c r="X920" s="23"/>
      <c r="Y920" s="23"/>
      <c r="Z920" s="23"/>
      <c r="AA920" s="23"/>
      <c r="AB920" s="23"/>
      <c r="AC920" s="23"/>
      <c r="AD920" s="23"/>
      <c r="AE920" s="23"/>
      <c r="AR920" s="87" t="s">
        <v>410</v>
      </c>
      <c r="AT920" s="87" t="s">
        <v>535</v>
      </c>
      <c r="AU920" s="87" t="s">
        <v>77</v>
      </c>
      <c r="AY920" s="19" t="s">
        <v>216</v>
      </c>
      <c r="BE920" s="88">
        <f>IF(N920="základní",J920,0)</f>
        <v>0</v>
      </c>
      <c r="BF920" s="88">
        <f>IF(N920="snížená",J920,0)</f>
        <v>0</v>
      </c>
      <c r="BG920" s="88">
        <f>IF(N920="zákl. přenesená",J920,0)</f>
        <v>0</v>
      </c>
      <c r="BH920" s="88">
        <f>IF(N920="sníž. přenesená",J920,0)</f>
        <v>0</v>
      </c>
      <c r="BI920" s="88">
        <f>IF(N920="nulová",J920,0)</f>
        <v>0</v>
      </c>
      <c r="BJ920" s="19" t="s">
        <v>75</v>
      </c>
      <c r="BK920" s="88">
        <f>ROUND(I920*H920,2)</f>
        <v>0</v>
      </c>
      <c r="BL920" s="19" t="s">
        <v>305</v>
      </c>
      <c r="BM920" s="87" t="s">
        <v>1280</v>
      </c>
    </row>
    <row r="921" spans="1:65" s="14" customFormat="1">
      <c r="A921" s="318"/>
      <c r="B921" s="319"/>
      <c r="C921" s="318"/>
      <c r="D921" s="315" t="s">
        <v>225</v>
      </c>
      <c r="E921" s="318"/>
      <c r="F921" s="321" t="s">
        <v>1281</v>
      </c>
      <c r="G921" s="318"/>
      <c r="H921" s="322">
        <v>1.05</v>
      </c>
      <c r="I921" s="260"/>
      <c r="J921" s="260"/>
      <c r="K921" s="318"/>
      <c r="L921" s="94"/>
      <c r="M921" s="96"/>
      <c r="N921" s="97"/>
      <c r="O921" s="97"/>
      <c r="P921" s="97"/>
      <c r="Q921" s="97"/>
      <c r="R921" s="97"/>
      <c r="S921" s="97"/>
      <c r="T921" s="98"/>
      <c r="AT921" s="95" t="s">
        <v>225</v>
      </c>
      <c r="AU921" s="95" t="s">
        <v>77</v>
      </c>
      <c r="AV921" s="14" t="s">
        <v>77</v>
      </c>
      <c r="AW921" s="14" t="s">
        <v>4</v>
      </c>
      <c r="AX921" s="14" t="s">
        <v>75</v>
      </c>
      <c r="AY921" s="95" t="s">
        <v>216</v>
      </c>
    </row>
    <row r="922" spans="1:65" s="2" customFormat="1" ht="14.45" customHeight="1">
      <c r="A922" s="269"/>
      <c r="B922" s="270"/>
      <c r="C922" s="334" t="s">
        <v>1282</v>
      </c>
      <c r="D922" s="334" t="s">
        <v>535</v>
      </c>
      <c r="E922" s="335" t="s">
        <v>1283</v>
      </c>
      <c r="F922" s="336" t="s">
        <v>1284</v>
      </c>
      <c r="G922" s="337" t="s">
        <v>364</v>
      </c>
      <c r="H922" s="338">
        <v>2.94</v>
      </c>
      <c r="I922" s="111">
        <v>0</v>
      </c>
      <c r="J922" s="111">
        <f>ROUND(I922*H922,2)</f>
        <v>0</v>
      </c>
      <c r="K922" s="336" t="s">
        <v>3</v>
      </c>
      <c r="L922" s="112"/>
      <c r="M922" s="113" t="s">
        <v>3</v>
      </c>
      <c r="N922" s="114" t="s">
        <v>39</v>
      </c>
      <c r="O922" s="85">
        <v>0</v>
      </c>
      <c r="P922" s="85">
        <f>O922*H922</f>
        <v>0</v>
      </c>
      <c r="Q922" s="85">
        <v>1E-3</v>
      </c>
      <c r="R922" s="85">
        <f>Q922*H922</f>
        <v>2.9399999999999999E-3</v>
      </c>
      <c r="S922" s="85">
        <v>0</v>
      </c>
      <c r="T922" s="86">
        <f>S922*H922</f>
        <v>0</v>
      </c>
      <c r="U922" s="23"/>
      <c r="V922" s="23"/>
      <c r="W922" s="23"/>
      <c r="X922" s="23"/>
      <c r="Y922" s="23"/>
      <c r="Z922" s="23"/>
      <c r="AA922" s="23"/>
      <c r="AB922" s="23"/>
      <c r="AC922" s="23"/>
      <c r="AD922" s="23"/>
      <c r="AE922" s="23"/>
      <c r="AR922" s="87" t="s">
        <v>410</v>
      </c>
      <c r="AT922" s="87" t="s">
        <v>535</v>
      </c>
      <c r="AU922" s="87" t="s">
        <v>77</v>
      </c>
      <c r="AY922" s="19" t="s">
        <v>216</v>
      </c>
      <c r="BE922" s="88">
        <f>IF(N922="základní",J922,0)</f>
        <v>0</v>
      </c>
      <c r="BF922" s="88">
        <f>IF(N922="snížená",J922,0)</f>
        <v>0</v>
      </c>
      <c r="BG922" s="88">
        <f>IF(N922="zákl. přenesená",J922,0)</f>
        <v>0</v>
      </c>
      <c r="BH922" s="88">
        <f>IF(N922="sníž. přenesená",J922,0)</f>
        <v>0</v>
      </c>
      <c r="BI922" s="88">
        <f>IF(N922="nulová",J922,0)</f>
        <v>0</v>
      </c>
      <c r="BJ922" s="19" t="s">
        <v>75</v>
      </c>
      <c r="BK922" s="88">
        <f>ROUND(I922*H922,2)</f>
        <v>0</v>
      </c>
      <c r="BL922" s="19" t="s">
        <v>305</v>
      </c>
      <c r="BM922" s="87" t="s">
        <v>1285</v>
      </c>
    </row>
    <row r="923" spans="1:65" s="14" customFormat="1">
      <c r="A923" s="318"/>
      <c r="B923" s="319"/>
      <c r="C923" s="318"/>
      <c r="D923" s="315" t="s">
        <v>225</v>
      </c>
      <c r="E923" s="318"/>
      <c r="F923" s="321" t="s">
        <v>1286</v>
      </c>
      <c r="G923" s="318"/>
      <c r="H923" s="322">
        <v>2.94</v>
      </c>
      <c r="I923" s="260"/>
      <c r="J923" s="260"/>
      <c r="K923" s="318"/>
      <c r="L923" s="94"/>
      <c r="M923" s="96"/>
      <c r="N923" s="97"/>
      <c r="O923" s="97"/>
      <c r="P923" s="97"/>
      <c r="Q923" s="97"/>
      <c r="R923" s="97"/>
      <c r="S923" s="97"/>
      <c r="T923" s="98"/>
      <c r="AT923" s="95" t="s">
        <v>225</v>
      </c>
      <c r="AU923" s="95" t="s">
        <v>77</v>
      </c>
      <c r="AV923" s="14" t="s">
        <v>77</v>
      </c>
      <c r="AW923" s="14" t="s">
        <v>4</v>
      </c>
      <c r="AX923" s="14" t="s">
        <v>75</v>
      </c>
      <c r="AY923" s="95" t="s">
        <v>216</v>
      </c>
    </row>
    <row r="924" spans="1:65" s="2" customFormat="1" ht="21.6" customHeight="1">
      <c r="A924" s="269"/>
      <c r="B924" s="270"/>
      <c r="C924" s="308" t="s">
        <v>1287</v>
      </c>
      <c r="D924" s="308" t="s">
        <v>218</v>
      </c>
      <c r="E924" s="309" t="s">
        <v>1288</v>
      </c>
      <c r="F924" s="310" t="s">
        <v>1289</v>
      </c>
      <c r="G924" s="311" t="s">
        <v>364</v>
      </c>
      <c r="H924" s="312">
        <v>9.3000000000000007</v>
      </c>
      <c r="I924" s="82">
        <v>0</v>
      </c>
      <c r="J924" s="82">
        <f>ROUND(I924*H924,2)</f>
        <v>0</v>
      </c>
      <c r="K924" s="310" t="s">
        <v>3</v>
      </c>
      <c r="L924" s="24"/>
      <c r="M924" s="83" t="s">
        <v>3</v>
      </c>
      <c r="N924" s="84" t="s">
        <v>39</v>
      </c>
      <c r="O924" s="85">
        <v>0.17</v>
      </c>
      <c r="P924" s="85">
        <f>O924*H924</f>
        <v>1.5810000000000002</v>
      </c>
      <c r="Q924" s="85">
        <v>3.4000000000000002E-4</v>
      </c>
      <c r="R924" s="85">
        <f>Q924*H924</f>
        <v>3.1620000000000003E-3</v>
      </c>
      <c r="S924" s="85">
        <v>0</v>
      </c>
      <c r="T924" s="86">
        <f>S924*H924</f>
        <v>0</v>
      </c>
      <c r="U924" s="23"/>
      <c r="V924" s="23"/>
      <c r="W924" s="23"/>
      <c r="X924" s="23"/>
      <c r="Y924" s="23"/>
      <c r="Z924" s="23"/>
      <c r="AA924" s="23"/>
      <c r="AB924" s="23"/>
      <c r="AC924" s="23"/>
      <c r="AD924" s="23"/>
      <c r="AE924" s="23"/>
      <c r="AR924" s="87" t="s">
        <v>305</v>
      </c>
      <c r="AT924" s="87" t="s">
        <v>218</v>
      </c>
      <c r="AU924" s="87" t="s">
        <v>77</v>
      </c>
      <c r="AY924" s="19" t="s">
        <v>216</v>
      </c>
      <c r="BE924" s="88">
        <f>IF(N924="základní",J924,0)</f>
        <v>0</v>
      </c>
      <c r="BF924" s="88">
        <f>IF(N924="snížená",J924,0)</f>
        <v>0</v>
      </c>
      <c r="BG924" s="88">
        <f>IF(N924="zákl. přenesená",J924,0)</f>
        <v>0</v>
      </c>
      <c r="BH924" s="88">
        <f>IF(N924="sníž. přenesená",J924,0)</f>
        <v>0</v>
      </c>
      <c r="BI924" s="88">
        <f>IF(N924="nulová",J924,0)</f>
        <v>0</v>
      </c>
      <c r="BJ924" s="19" t="s">
        <v>75</v>
      </c>
      <c r="BK924" s="88">
        <f>ROUND(I924*H924,2)</f>
        <v>0</v>
      </c>
      <c r="BL924" s="19" t="s">
        <v>305</v>
      </c>
      <c r="BM924" s="87" t="s">
        <v>1290</v>
      </c>
    </row>
    <row r="925" spans="1:65" s="2" customFormat="1" ht="48.75">
      <c r="A925" s="269"/>
      <c r="B925" s="270"/>
      <c r="C925" s="269"/>
      <c r="D925" s="315" t="s">
        <v>231</v>
      </c>
      <c r="E925" s="269"/>
      <c r="F925" s="323" t="s">
        <v>1249</v>
      </c>
      <c r="G925" s="269"/>
      <c r="H925" s="269"/>
      <c r="I925" s="248"/>
      <c r="J925" s="248"/>
      <c r="K925" s="269"/>
      <c r="L925" s="24"/>
      <c r="M925" s="99"/>
      <c r="N925" s="100"/>
      <c r="O925" s="32"/>
      <c r="P925" s="32"/>
      <c r="Q925" s="32"/>
      <c r="R925" s="32"/>
      <c r="S925" s="32"/>
      <c r="T925" s="33"/>
      <c r="U925" s="23"/>
      <c r="V925" s="23"/>
      <c r="W925" s="23"/>
      <c r="X925" s="23"/>
      <c r="Y925" s="23"/>
      <c r="Z925" s="23"/>
      <c r="AA925" s="23"/>
      <c r="AB925" s="23"/>
      <c r="AC925" s="23"/>
      <c r="AD925" s="23"/>
      <c r="AE925" s="23"/>
      <c r="AT925" s="19" t="s">
        <v>231</v>
      </c>
      <c r="AU925" s="19" t="s">
        <v>77</v>
      </c>
    </row>
    <row r="926" spans="1:65" s="13" customFormat="1">
      <c r="A926" s="313"/>
      <c r="B926" s="314"/>
      <c r="C926" s="313"/>
      <c r="D926" s="315" t="s">
        <v>225</v>
      </c>
      <c r="E926" s="316" t="s">
        <v>3</v>
      </c>
      <c r="F926" s="317" t="s">
        <v>1266</v>
      </c>
      <c r="G926" s="313"/>
      <c r="H926" s="316" t="s">
        <v>3</v>
      </c>
      <c r="I926" s="259"/>
      <c r="J926" s="259"/>
      <c r="K926" s="313"/>
      <c r="L926" s="89"/>
      <c r="M926" s="91"/>
      <c r="N926" s="92"/>
      <c r="O926" s="92"/>
      <c r="P926" s="92"/>
      <c r="Q926" s="92"/>
      <c r="R926" s="92"/>
      <c r="S926" s="92"/>
      <c r="T926" s="93"/>
      <c r="AT926" s="90" t="s">
        <v>225</v>
      </c>
      <c r="AU926" s="90" t="s">
        <v>77</v>
      </c>
      <c r="AV926" s="13" t="s">
        <v>75</v>
      </c>
      <c r="AW926" s="13" t="s">
        <v>30</v>
      </c>
      <c r="AX926" s="13" t="s">
        <v>68</v>
      </c>
      <c r="AY926" s="90" t="s">
        <v>216</v>
      </c>
    </row>
    <row r="927" spans="1:65" s="13" customFormat="1">
      <c r="A927" s="313"/>
      <c r="B927" s="314"/>
      <c r="C927" s="313"/>
      <c r="D927" s="315" t="s">
        <v>225</v>
      </c>
      <c r="E927" s="316" t="s">
        <v>3</v>
      </c>
      <c r="F927" s="317" t="s">
        <v>1291</v>
      </c>
      <c r="G927" s="313"/>
      <c r="H927" s="316" t="s">
        <v>3</v>
      </c>
      <c r="I927" s="259"/>
      <c r="J927" s="259"/>
      <c r="K927" s="313"/>
      <c r="L927" s="89"/>
      <c r="M927" s="91"/>
      <c r="N927" s="92"/>
      <c r="O927" s="92"/>
      <c r="P927" s="92"/>
      <c r="Q927" s="92"/>
      <c r="R927" s="92"/>
      <c r="S927" s="92"/>
      <c r="T927" s="93"/>
      <c r="AT927" s="90" t="s">
        <v>225</v>
      </c>
      <c r="AU927" s="90" t="s">
        <v>77</v>
      </c>
      <c r="AV927" s="13" t="s">
        <v>75</v>
      </c>
      <c r="AW927" s="13" t="s">
        <v>30</v>
      </c>
      <c r="AX927" s="13" t="s">
        <v>68</v>
      </c>
      <c r="AY927" s="90" t="s">
        <v>216</v>
      </c>
    </row>
    <row r="928" spans="1:65" s="14" customFormat="1">
      <c r="A928" s="318"/>
      <c r="B928" s="319"/>
      <c r="C928" s="318"/>
      <c r="D928" s="315" t="s">
        <v>225</v>
      </c>
      <c r="E928" s="320" t="s">
        <v>3</v>
      </c>
      <c r="F928" s="321" t="s">
        <v>1292</v>
      </c>
      <c r="G928" s="318"/>
      <c r="H928" s="322">
        <v>9.3000000000000007</v>
      </c>
      <c r="I928" s="260"/>
      <c r="J928" s="260"/>
      <c r="K928" s="318"/>
      <c r="L928" s="94"/>
      <c r="M928" s="96"/>
      <c r="N928" s="97"/>
      <c r="O928" s="97"/>
      <c r="P928" s="97"/>
      <c r="Q928" s="97"/>
      <c r="R928" s="97"/>
      <c r="S928" s="97"/>
      <c r="T928" s="98"/>
      <c r="AT928" s="95" t="s">
        <v>225</v>
      </c>
      <c r="AU928" s="95" t="s">
        <v>77</v>
      </c>
      <c r="AV928" s="14" t="s">
        <v>77</v>
      </c>
      <c r="AW928" s="14" t="s">
        <v>30</v>
      </c>
      <c r="AX928" s="14" t="s">
        <v>75</v>
      </c>
      <c r="AY928" s="95" t="s">
        <v>216</v>
      </c>
    </row>
    <row r="929" spans="1:65" s="2" customFormat="1" ht="21.6" customHeight="1">
      <c r="A929" s="269"/>
      <c r="B929" s="270"/>
      <c r="C929" s="334" t="s">
        <v>1293</v>
      </c>
      <c r="D929" s="334" t="s">
        <v>535</v>
      </c>
      <c r="E929" s="335" t="s">
        <v>1294</v>
      </c>
      <c r="F929" s="336" t="s">
        <v>1295</v>
      </c>
      <c r="G929" s="337" t="s">
        <v>364</v>
      </c>
      <c r="H929" s="338">
        <v>9.7650000000000006</v>
      </c>
      <c r="I929" s="111">
        <v>0</v>
      </c>
      <c r="J929" s="111">
        <f>ROUND(I929*H929,2)</f>
        <v>0</v>
      </c>
      <c r="K929" s="336" t="s">
        <v>3</v>
      </c>
      <c r="L929" s="112"/>
      <c r="M929" s="113" t="s">
        <v>3</v>
      </c>
      <c r="N929" s="114" t="s">
        <v>39</v>
      </c>
      <c r="O929" s="85">
        <v>0</v>
      </c>
      <c r="P929" s="85">
        <f>O929*H929</f>
        <v>0</v>
      </c>
      <c r="Q929" s="85">
        <v>0</v>
      </c>
      <c r="R929" s="85">
        <f>Q929*H929</f>
        <v>0</v>
      </c>
      <c r="S929" s="85">
        <v>0</v>
      </c>
      <c r="T929" s="86">
        <f>S929*H929</f>
        <v>0</v>
      </c>
      <c r="U929" s="23"/>
      <c r="V929" s="23"/>
      <c r="W929" s="23"/>
      <c r="X929" s="23"/>
      <c r="Y929" s="23"/>
      <c r="Z929" s="23"/>
      <c r="AA929" s="23"/>
      <c r="AB929" s="23"/>
      <c r="AC929" s="23"/>
      <c r="AD929" s="23"/>
      <c r="AE929" s="23"/>
      <c r="AR929" s="87" t="s">
        <v>410</v>
      </c>
      <c r="AT929" s="87" t="s">
        <v>535</v>
      </c>
      <c r="AU929" s="87" t="s">
        <v>77</v>
      </c>
      <c r="AY929" s="19" t="s">
        <v>216</v>
      </c>
      <c r="BE929" s="88">
        <f>IF(N929="základní",J929,0)</f>
        <v>0</v>
      </c>
      <c r="BF929" s="88">
        <f>IF(N929="snížená",J929,0)</f>
        <v>0</v>
      </c>
      <c r="BG929" s="88">
        <f>IF(N929="zákl. přenesená",J929,0)</f>
        <v>0</v>
      </c>
      <c r="BH929" s="88">
        <f>IF(N929="sníž. přenesená",J929,0)</f>
        <v>0</v>
      </c>
      <c r="BI929" s="88">
        <f>IF(N929="nulová",J929,0)</f>
        <v>0</v>
      </c>
      <c r="BJ929" s="19" t="s">
        <v>75</v>
      </c>
      <c r="BK929" s="88">
        <f>ROUND(I929*H929,2)</f>
        <v>0</v>
      </c>
      <c r="BL929" s="19" t="s">
        <v>305</v>
      </c>
      <c r="BM929" s="87" t="s">
        <v>1296</v>
      </c>
    </row>
    <row r="930" spans="1:65" s="14" customFormat="1">
      <c r="A930" s="318"/>
      <c r="B930" s="319"/>
      <c r="C930" s="318"/>
      <c r="D930" s="315" t="s">
        <v>225</v>
      </c>
      <c r="E930" s="318"/>
      <c r="F930" s="321" t="s">
        <v>1297</v>
      </c>
      <c r="G930" s="318"/>
      <c r="H930" s="322">
        <v>9.7650000000000006</v>
      </c>
      <c r="I930" s="260"/>
      <c r="J930" s="260"/>
      <c r="K930" s="318"/>
      <c r="L930" s="94"/>
      <c r="M930" s="96"/>
      <c r="N930" s="97"/>
      <c r="O930" s="97"/>
      <c r="P930" s="97"/>
      <c r="Q930" s="97"/>
      <c r="R930" s="97"/>
      <c r="S930" s="97"/>
      <c r="T930" s="98"/>
      <c r="AT930" s="95" t="s">
        <v>225</v>
      </c>
      <c r="AU930" s="95" t="s">
        <v>77</v>
      </c>
      <c r="AV930" s="14" t="s">
        <v>77</v>
      </c>
      <c r="AW930" s="14" t="s">
        <v>4</v>
      </c>
      <c r="AX930" s="14" t="s">
        <v>75</v>
      </c>
      <c r="AY930" s="95" t="s">
        <v>216</v>
      </c>
    </row>
    <row r="931" spans="1:65" s="2" customFormat="1" ht="21.6" customHeight="1">
      <c r="A931" s="269"/>
      <c r="B931" s="270"/>
      <c r="C931" s="308" t="s">
        <v>1298</v>
      </c>
      <c r="D931" s="308" t="s">
        <v>218</v>
      </c>
      <c r="E931" s="309" t="s">
        <v>1299</v>
      </c>
      <c r="F931" s="310" t="s">
        <v>1300</v>
      </c>
      <c r="G931" s="311" t="s">
        <v>364</v>
      </c>
      <c r="H931" s="312">
        <v>189.8</v>
      </c>
      <c r="I931" s="82">
        <v>0</v>
      </c>
      <c r="J931" s="82">
        <f>ROUND(I931*H931,2)</f>
        <v>0</v>
      </c>
      <c r="K931" s="310" t="s">
        <v>3</v>
      </c>
      <c r="L931" s="24"/>
      <c r="M931" s="83" t="s">
        <v>3</v>
      </c>
      <c r="N931" s="84" t="s">
        <v>39</v>
      </c>
      <c r="O931" s="85">
        <v>0.19</v>
      </c>
      <c r="P931" s="85">
        <f>O931*H931</f>
        <v>36.062000000000005</v>
      </c>
      <c r="Q931" s="85">
        <v>4.2999999999999999E-4</v>
      </c>
      <c r="R931" s="85">
        <f>Q931*H931</f>
        <v>8.1614000000000006E-2</v>
      </c>
      <c r="S931" s="85">
        <v>0</v>
      </c>
      <c r="T931" s="86">
        <f>S931*H931</f>
        <v>0</v>
      </c>
      <c r="U931" s="23"/>
      <c r="V931" s="23"/>
      <c r="W931" s="23"/>
      <c r="X931" s="23"/>
      <c r="Y931" s="23"/>
      <c r="Z931" s="23"/>
      <c r="AA931" s="23"/>
      <c r="AB931" s="23"/>
      <c r="AC931" s="23"/>
      <c r="AD931" s="23"/>
      <c r="AE931" s="23"/>
      <c r="AR931" s="87" t="s">
        <v>305</v>
      </c>
      <c r="AT931" s="87" t="s">
        <v>218</v>
      </c>
      <c r="AU931" s="87" t="s">
        <v>77</v>
      </c>
      <c r="AY931" s="19" t="s">
        <v>216</v>
      </c>
      <c r="BE931" s="88">
        <f>IF(N931="základní",J931,0)</f>
        <v>0</v>
      </c>
      <c r="BF931" s="88">
        <f>IF(N931="snížená",J931,0)</f>
        <v>0</v>
      </c>
      <c r="BG931" s="88">
        <f>IF(N931="zákl. přenesená",J931,0)</f>
        <v>0</v>
      </c>
      <c r="BH931" s="88">
        <f>IF(N931="sníž. přenesená",J931,0)</f>
        <v>0</v>
      </c>
      <c r="BI931" s="88">
        <f>IF(N931="nulová",J931,0)</f>
        <v>0</v>
      </c>
      <c r="BJ931" s="19" t="s">
        <v>75</v>
      </c>
      <c r="BK931" s="88">
        <f>ROUND(I931*H931,2)</f>
        <v>0</v>
      </c>
      <c r="BL931" s="19" t="s">
        <v>305</v>
      </c>
      <c r="BM931" s="87" t="s">
        <v>1301</v>
      </c>
    </row>
    <row r="932" spans="1:65" s="13" customFormat="1">
      <c r="A932" s="313"/>
      <c r="B932" s="314"/>
      <c r="C932" s="313"/>
      <c r="D932" s="315" t="s">
        <v>225</v>
      </c>
      <c r="E932" s="316" t="s">
        <v>3</v>
      </c>
      <c r="F932" s="317" t="s">
        <v>578</v>
      </c>
      <c r="G932" s="313"/>
      <c r="H932" s="316" t="s">
        <v>3</v>
      </c>
      <c r="I932" s="259"/>
      <c r="J932" s="259"/>
      <c r="K932" s="313"/>
      <c r="L932" s="89"/>
      <c r="M932" s="91"/>
      <c r="N932" s="92"/>
      <c r="O932" s="92"/>
      <c r="P932" s="92"/>
      <c r="Q932" s="92"/>
      <c r="R932" s="92"/>
      <c r="S932" s="92"/>
      <c r="T932" s="93"/>
      <c r="AT932" s="90" t="s">
        <v>225</v>
      </c>
      <c r="AU932" s="90" t="s">
        <v>77</v>
      </c>
      <c r="AV932" s="13" t="s">
        <v>75</v>
      </c>
      <c r="AW932" s="13" t="s">
        <v>30</v>
      </c>
      <c r="AX932" s="13" t="s">
        <v>68</v>
      </c>
      <c r="AY932" s="90" t="s">
        <v>216</v>
      </c>
    </row>
    <row r="933" spans="1:65" s="13" customFormat="1">
      <c r="A933" s="313"/>
      <c r="B933" s="314"/>
      <c r="C933" s="313"/>
      <c r="D933" s="315" t="s">
        <v>225</v>
      </c>
      <c r="E933" s="316" t="s">
        <v>3</v>
      </c>
      <c r="F933" s="317" t="s">
        <v>1302</v>
      </c>
      <c r="G933" s="313"/>
      <c r="H933" s="316" t="s">
        <v>3</v>
      </c>
      <c r="I933" s="259"/>
      <c r="J933" s="259"/>
      <c r="K933" s="313"/>
      <c r="L933" s="89"/>
      <c r="M933" s="91"/>
      <c r="N933" s="92"/>
      <c r="O933" s="92"/>
      <c r="P933" s="92"/>
      <c r="Q933" s="92"/>
      <c r="R933" s="92"/>
      <c r="S933" s="92"/>
      <c r="T933" s="93"/>
      <c r="AT933" s="90" t="s">
        <v>225</v>
      </c>
      <c r="AU933" s="90" t="s">
        <v>77</v>
      </c>
      <c r="AV933" s="13" t="s">
        <v>75</v>
      </c>
      <c r="AW933" s="13" t="s">
        <v>30</v>
      </c>
      <c r="AX933" s="13" t="s">
        <v>68</v>
      </c>
      <c r="AY933" s="90" t="s">
        <v>216</v>
      </c>
    </row>
    <row r="934" spans="1:65" s="14" customFormat="1">
      <c r="A934" s="318"/>
      <c r="B934" s="319"/>
      <c r="C934" s="318"/>
      <c r="D934" s="315" t="s">
        <v>225</v>
      </c>
      <c r="E934" s="320" t="s">
        <v>3</v>
      </c>
      <c r="F934" s="321" t="s">
        <v>1303</v>
      </c>
      <c r="G934" s="318"/>
      <c r="H934" s="322">
        <v>77.400000000000006</v>
      </c>
      <c r="I934" s="260"/>
      <c r="J934" s="260"/>
      <c r="K934" s="318"/>
      <c r="L934" s="94"/>
      <c r="M934" s="96"/>
      <c r="N934" s="97"/>
      <c r="O934" s="97"/>
      <c r="P934" s="97"/>
      <c r="Q934" s="97"/>
      <c r="R934" s="97"/>
      <c r="S934" s="97"/>
      <c r="T934" s="98"/>
      <c r="AT934" s="95" t="s">
        <v>225</v>
      </c>
      <c r="AU934" s="95" t="s">
        <v>77</v>
      </c>
      <c r="AV934" s="14" t="s">
        <v>77</v>
      </c>
      <c r="AW934" s="14" t="s">
        <v>30</v>
      </c>
      <c r="AX934" s="14" t="s">
        <v>68</v>
      </c>
      <c r="AY934" s="95" t="s">
        <v>216</v>
      </c>
    </row>
    <row r="935" spans="1:65" s="13" customFormat="1">
      <c r="A935" s="313"/>
      <c r="B935" s="314"/>
      <c r="C935" s="313"/>
      <c r="D935" s="315" t="s">
        <v>225</v>
      </c>
      <c r="E935" s="316" t="s">
        <v>3</v>
      </c>
      <c r="F935" s="317" t="s">
        <v>1304</v>
      </c>
      <c r="G935" s="313"/>
      <c r="H935" s="316" t="s">
        <v>3</v>
      </c>
      <c r="I935" s="259"/>
      <c r="J935" s="259"/>
      <c r="K935" s="313"/>
      <c r="L935" s="89"/>
      <c r="M935" s="91"/>
      <c r="N935" s="92"/>
      <c r="O935" s="92"/>
      <c r="P935" s="92"/>
      <c r="Q935" s="92"/>
      <c r="R935" s="92"/>
      <c r="S935" s="92"/>
      <c r="T935" s="93"/>
      <c r="AT935" s="90" t="s">
        <v>225</v>
      </c>
      <c r="AU935" s="90" t="s">
        <v>77</v>
      </c>
      <c r="AV935" s="13" t="s">
        <v>75</v>
      </c>
      <c r="AW935" s="13" t="s">
        <v>30</v>
      </c>
      <c r="AX935" s="13" t="s">
        <v>68</v>
      </c>
      <c r="AY935" s="90" t="s">
        <v>216</v>
      </c>
    </row>
    <row r="936" spans="1:65" s="14" customFormat="1">
      <c r="A936" s="318"/>
      <c r="B936" s="319"/>
      <c r="C936" s="318"/>
      <c r="D936" s="315" t="s">
        <v>225</v>
      </c>
      <c r="E936" s="320" t="s">
        <v>3</v>
      </c>
      <c r="F936" s="321" t="s">
        <v>1305</v>
      </c>
      <c r="G936" s="318"/>
      <c r="H936" s="322">
        <v>8.1</v>
      </c>
      <c r="I936" s="260"/>
      <c r="J936" s="260"/>
      <c r="K936" s="318"/>
      <c r="L936" s="94"/>
      <c r="M936" s="96"/>
      <c r="N936" s="97"/>
      <c r="O936" s="97"/>
      <c r="P936" s="97"/>
      <c r="Q936" s="97"/>
      <c r="R936" s="97"/>
      <c r="S936" s="97"/>
      <c r="T936" s="98"/>
      <c r="AT936" s="95" t="s">
        <v>225</v>
      </c>
      <c r="AU936" s="95" t="s">
        <v>77</v>
      </c>
      <c r="AV936" s="14" t="s">
        <v>77</v>
      </c>
      <c r="AW936" s="14" t="s">
        <v>30</v>
      </c>
      <c r="AX936" s="14" t="s">
        <v>68</v>
      </c>
      <c r="AY936" s="95" t="s">
        <v>216</v>
      </c>
    </row>
    <row r="937" spans="1:65" s="13" customFormat="1">
      <c r="A937" s="313"/>
      <c r="B937" s="314"/>
      <c r="C937" s="313"/>
      <c r="D937" s="315" t="s">
        <v>225</v>
      </c>
      <c r="E937" s="316" t="s">
        <v>3</v>
      </c>
      <c r="F937" s="317" t="s">
        <v>1306</v>
      </c>
      <c r="G937" s="313"/>
      <c r="H937" s="316" t="s">
        <v>3</v>
      </c>
      <c r="I937" s="259"/>
      <c r="J937" s="259"/>
      <c r="K937" s="313"/>
      <c r="L937" s="89"/>
      <c r="M937" s="91"/>
      <c r="N937" s="92"/>
      <c r="O937" s="92"/>
      <c r="P937" s="92"/>
      <c r="Q937" s="92"/>
      <c r="R937" s="92"/>
      <c r="S937" s="92"/>
      <c r="T937" s="93"/>
      <c r="AT937" s="90" t="s">
        <v>225</v>
      </c>
      <c r="AU937" s="90" t="s">
        <v>77</v>
      </c>
      <c r="AV937" s="13" t="s">
        <v>75</v>
      </c>
      <c r="AW937" s="13" t="s">
        <v>30</v>
      </c>
      <c r="AX937" s="13" t="s">
        <v>68</v>
      </c>
      <c r="AY937" s="90" t="s">
        <v>216</v>
      </c>
    </row>
    <row r="938" spans="1:65" s="14" customFormat="1">
      <c r="A938" s="318"/>
      <c r="B938" s="319"/>
      <c r="C938" s="318"/>
      <c r="D938" s="315" t="s">
        <v>225</v>
      </c>
      <c r="E938" s="320" t="s">
        <v>3</v>
      </c>
      <c r="F938" s="321" t="s">
        <v>1307</v>
      </c>
      <c r="G938" s="318"/>
      <c r="H938" s="322">
        <v>15.3</v>
      </c>
      <c r="I938" s="260"/>
      <c r="J938" s="260"/>
      <c r="K938" s="318"/>
      <c r="L938" s="94"/>
      <c r="M938" s="96"/>
      <c r="N938" s="97"/>
      <c r="O938" s="97"/>
      <c r="P938" s="97"/>
      <c r="Q938" s="97"/>
      <c r="R938" s="97"/>
      <c r="S938" s="97"/>
      <c r="T938" s="98"/>
      <c r="AT938" s="95" t="s">
        <v>225</v>
      </c>
      <c r="AU938" s="95" t="s">
        <v>77</v>
      </c>
      <c r="AV938" s="14" t="s">
        <v>77</v>
      </c>
      <c r="AW938" s="14" t="s">
        <v>30</v>
      </c>
      <c r="AX938" s="14" t="s">
        <v>68</v>
      </c>
      <c r="AY938" s="95" t="s">
        <v>216</v>
      </c>
    </row>
    <row r="939" spans="1:65" s="13" customFormat="1">
      <c r="A939" s="313"/>
      <c r="B939" s="314"/>
      <c r="C939" s="313"/>
      <c r="D939" s="315" t="s">
        <v>225</v>
      </c>
      <c r="E939" s="316" t="s">
        <v>3</v>
      </c>
      <c r="F939" s="317" t="s">
        <v>1308</v>
      </c>
      <c r="G939" s="313"/>
      <c r="H939" s="316" t="s">
        <v>3</v>
      </c>
      <c r="I939" s="259"/>
      <c r="J939" s="259"/>
      <c r="K939" s="313"/>
      <c r="L939" s="89"/>
      <c r="M939" s="91"/>
      <c r="N939" s="92"/>
      <c r="O939" s="92"/>
      <c r="P939" s="92"/>
      <c r="Q939" s="92"/>
      <c r="R939" s="92"/>
      <c r="S939" s="92"/>
      <c r="T939" s="93"/>
      <c r="AT939" s="90" t="s">
        <v>225</v>
      </c>
      <c r="AU939" s="90" t="s">
        <v>77</v>
      </c>
      <c r="AV939" s="13" t="s">
        <v>75</v>
      </c>
      <c r="AW939" s="13" t="s">
        <v>30</v>
      </c>
      <c r="AX939" s="13" t="s">
        <v>68</v>
      </c>
      <c r="AY939" s="90" t="s">
        <v>216</v>
      </c>
    </row>
    <row r="940" spans="1:65" s="14" customFormat="1">
      <c r="A940" s="318"/>
      <c r="B940" s="319"/>
      <c r="C940" s="318"/>
      <c r="D940" s="315" t="s">
        <v>225</v>
      </c>
      <c r="E940" s="320" t="s">
        <v>3</v>
      </c>
      <c r="F940" s="321" t="s">
        <v>1309</v>
      </c>
      <c r="G940" s="318"/>
      <c r="H940" s="322">
        <v>38.700000000000003</v>
      </c>
      <c r="I940" s="260"/>
      <c r="J940" s="260"/>
      <c r="K940" s="318"/>
      <c r="L940" s="94"/>
      <c r="M940" s="96"/>
      <c r="N940" s="97"/>
      <c r="O940" s="97"/>
      <c r="P940" s="97"/>
      <c r="Q940" s="97"/>
      <c r="R940" s="97"/>
      <c r="S940" s="97"/>
      <c r="T940" s="98"/>
      <c r="AT940" s="95" t="s">
        <v>225</v>
      </c>
      <c r="AU940" s="95" t="s">
        <v>77</v>
      </c>
      <c r="AV940" s="14" t="s">
        <v>77</v>
      </c>
      <c r="AW940" s="14" t="s">
        <v>30</v>
      </c>
      <c r="AX940" s="14" t="s">
        <v>68</v>
      </c>
      <c r="AY940" s="95" t="s">
        <v>216</v>
      </c>
    </row>
    <row r="941" spans="1:65" s="13" customFormat="1">
      <c r="A941" s="313"/>
      <c r="B941" s="314"/>
      <c r="C941" s="313"/>
      <c r="D941" s="315" t="s">
        <v>225</v>
      </c>
      <c r="E941" s="316" t="s">
        <v>3</v>
      </c>
      <c r="F941" s="317" t="s">
        <v>1310</v>
      </c>
      <c r="G941" s="313"/>
      <c r="H941" s="316" t="s">
        <v>3</v>
      </c>
      <c r="I941" s="259"/>
      <c r="J941" s="259"/>
      <c r="K941" s="313"/>
      <c r="L941" s="89"/>
      <c r="M941" s="91"/>
      <c r="N941" s="92"/>
      <c r="O941" s="92"/>
      <c r="P941" s="92"/>
      <c r="Q941" s="92"/>
      <c r="R941" s="92"/>
      <c r="S941" s="92"/>
      <c r="T941" s="93"/>
      <c r="AT941" s="90" t="s">
        <v>225</v>
      </c>
      <c r="AU941" s="90" t="s">
        <v>77</v>
      </c>
      <c r="AV941" s="13" t="s">
        <v>75</v>
      </c>
      <c r="AW941" s="13" t="s">
        <v>30</v>
      </c>
      <c r="AX941" s="13" t="s">
        <v>68</v>
      </c>
      <c r="AY941" s="90" t="s">
        <v>216</v>
      </c>
    </row>
    <row r="942" spans="1:65" s="14" customFormat="1">
      <c r="A942" s="318"/>
      <c r="B942" s="319"/>
      <c r="C942" s="318"/>
      <c r="D942" s="315" t="s">
        <v>225</v>
      </c>
      <c r="E942" s="320" t="s">
        <v>3</v>
      </c>
      <c r="F942" s="321" t="s">
        <v>1311</v>
      </c>
      <c r="G942" s="318"/>
      <c r="H942" s="322">
        <v>29.8</v>
      </c>
      <c r="I942" s="260"/>
      <c r="J942" s="260"/>
      <c r="K942" s="318"/>
      <c r="L942" s="94"/>
      <c r="M942" s="96"/>
      <c r="N942" s="97"/>
      <c r="O942" s="97"/>
      <c r="P942" s="97"/>
      <c r="Q942" s="97"/>
      <c r="R942" s="97"/>
      <c r="S942" s="97"/>
      <c r="T942" s="98"/>
      <c r="AT942" s="95" t="s">
        <v>225</v>
      </c>
      <c r="AU942" s="95" t="s">
        <v>77</v>
      </c>
      <c r="AV942" s="14" t="s">
        <v>77</v>
      </c>
      <c r="AW942" s="14" t="s">
        <v>30</v>
      </c>
      <c r="AX942" s="14" t="s">
        <v>68</v>
      </c>
      <c r="AY942" s="95" t="s">
        <v>216</v>
      </c>
    </row>
    <row r="943" spans="1:65" s="13" customFormat="1">
      <c r="A943" s="313"/>
      <c r="B943" s="314"/>
      <c r="C943" s="313"/>
      <c r="D943" s="315" t="s">
        <v>225</v>
      </c>
      <c r="E943" s="316" t="s">
        <v>3</v>
      </c>
      <c r="F943" s="317" t="s">
        <v>1312</v>
      </c>
      <c r="G943" s="313"/>
      <c r="H943" s="316" t="s">
        <v>3</v>
      </c>
      <c r="I943" s="259"/>
      <c r="J943" s="259"/>
      <c r="K943" s="313"/>
      <c r="L943" s="89"/>
      <c r="M943" s="91"/>
      <c r="N943" s="92"/>
      <c r="O943" s="92"/>
      <c r="P943" s="92"/>
      <c r="Q943" s="92"/>
      <c r="R943" s="92"/>
      <c r="S943" s="92"/>
      <c r="T943" s="93"/>
      <c r="AT943" s="90" t="s">
        <v>225</v>
      </c>
      <c r="AU943" s="90" t="s">
        <v>77</v>
      </c>
      <c r="AV943" s="13" t="s">
        <v>75</v>
      </c>
      <c r="AW943" s="13" t="s">
        <v>30</v>
      </c>
      <c r="AX943" s="13" t="s">
        <v>68</v>
      </c>
      <c r="AY943" s="90" t="s">
        <v>216</v>
      </c>
    </row>
    <row r="944" spans="1:65" s="14" customFormat="1">
      <c r="A944" s="318"/>
      <c r="B944" s="319"/>
      <c r="C944" s="318"/>
      <c r="D944" s="315" t="s">
        <v>225</v>
      </c>
      <c r="E944" s="320" t="s">
        <v>3</v>
      </c>
      <c r="F944" s="321" t="s">
        <v>1313</v>
      </c>
      <c r="G944" s="318"/>
      <c r="H944" s="322">
        <v>20.5</v>
      </c>
      <c r="I944" s="260"/>
      <c r="J944" s="260"/>
      <c r="K944" s="318"/>
      <c r="L944" s="94"/>
      <c r="M944" s="96"/>
      <c r="N944" s="97"/>
      <c r="O944" s="97"/>
      <c r="P944" s="97"/>
      <c r="Q944" s="97"/>
      <c r="R944" s="97"/>
      <c r="S944" s="97"/>
      <c r="T944" s="98"/>
      <c r="AT944" s="95" t="s">
        <v>225</v>
      </c>
      <c r="AU944" s="95" t="s">
        <v>77</v>
      </c>
      <c r="AV944" s="14" t="s">
        <v>77</v>
      </c>
      <c r="AW944" s="14" t="s">
        <v>30</v>
      </c>
      <c r="AX944" s="14" t="s">
        <v>68</v>
      </c>
      <c r="AY944" s="95" t="s">
        <v>216</v>
      </c>
    </row>
    <row r="945" spans="1:65" s="16" customFormat="1">
      <c r="A945" s="329"/>
      <c r="B945" s="330"/>
      <c r="C945" s="329"/>
      <c r="D945" s="315" t="s">
        <v>225</v>
      </c>
      <c r="E945" s="331" t="s">
        <v>3</v>
      </c>
      <c r="F945" s="332" t="s">
        <v>254</v>
      </c>
      <c r="G945" s="329"/>
      <c r="H945" s="333">
        <v>189.8</v>
      </c>
      <c r="I945" s="262"/>
      <c r="J945" s="262"/>
      <c r="K945" s="329"/>
      <c r="L945" s="106"/>
      <c r="M945" s="108"/>
      <c r="N945" s="109"/>
      <c r="O945" s="109"/>
      <c r="P945" s="109"/>
      <c r="Q945" s="109"/>
      <c r="R945" s="109"/>
      <c r="S945" s="109"/>
      <c r="T945" s="110"/>
      <c r="AT945" s="107" t="s">
        <v>225</v>
      </c>
      <c r="AU945" s="107" t="s">
        <v>77</v>
      </c>
      <c r="AV945" s="16" t="s">
        <v>223</v>
      </c>
      <c r="AW945" s="16" t="s">
        <v>30</v>
      </c>
      <c r="AX945" s="16" t="s">
        <v>75</v>
      </c>
      <c r="AY945" s="107" t="s">
        <v>216</v>
      </c>
    </row>
    <row r="946" spans="1:65" s="2" customFormat="1" ht="14.45" customHeight="1">
      <c r="A946" s="269"/>
      <c r="B946" s="270"/>
      <c r="C946" s="334" t="s">
        <v>1314</v>
      </c>
      <c r="D946" s="334" t="s">
        <v>535</v>
      </c>
      <c r="E946" s="335" t="s">
        <v>1315</v>
      </c>
      <c r="F946" s="336" t="s">
        <v>1316</v>
      </c>
      <c r="G946" s="337" t="s">
        <v>291</v>
      </c>
      <c r="H946" s="338">
        <v>148.608</v>
      </c>
      <c r="I946" s="111">
        <v>0</v>
      </c>
      <c r="J946" s="111">
        <f>ROUND(I946*H946,2)</f>
        <v>0</v>
      </c>
      <c r="K946" s="336" t="s">
        <v>3</v>
      </c>
      <c r="L946" s="112"/>
      <c r="M946" s="113" t="s">
        <v>3</v>
      </c>
      <c r="N946" s="114" t="s">
        <v>39</v>
      </c>
      <c r="O946" s="85">
        <v>0</v>
      </c>
      <c r="P946" s="85">
        <f>O946*H946</f>
        <v>0</v>
      </c>
      <c r="Q946" s="85">
        <v>3.6000000000000002E-4</v>
      </c>
      <c r="R946" s="85">
        <f>Q946*H946</f>
        <v>5.3498880000000006E-2</v>
      </c>
      <c r="S946" s="85">
        <v>0</v>
      </c>
      <c r="T946" s="86">
        <f>S946*H946</f>
        <v>0</v>
      </c>
      <c r="U946" s="23"/>
      <c r="V946" s="23"/>
      <c r="W946" s="23"/>
      <c r="X946" s="23"/>
      <c r="Y946" s="23"/>
      <c r="Z946" s="23"/>
      <c r="AA946" s="23"/>
      <c r="AB946" s="23"/>
      <c r="AC946" s="23"/>
      <c r="AD946" s="23"/>
      <c r="AE946" s="23"/>
      <c r="AR946" s="87" t="s">
        <v>410</v>
      </c>
      <c r="AT946" s="87" t="s">
        <v>535</v>
      </c>
      <c r="AU946" s="87" t="s">
        <v>77</v>
      </c>
      <c r="AY946" s="19" t="s">
        <v>216</v>
      </c>
      <c r="BE946" s="88">
        <f>IF(N946="základní",J946,0)</f>
        <v>0</v>
      </c>
      <c r="BF946" s="88">
        <f>IF(N946="snížená",J946,0)</f>
        <v>0</v>
      </c>
      <c r="BG946" s="88">
        <f>IF(N946="zákl. přenesená",J946,0)</f>
        <v>0</v>
      </c>
      <c r="BH946" s="88">
        <f>IF(N946="sníž. přenesená",J946,0)</f>
        <v>0</v>
      </c>
      <c r="BI946" s="88">
        <f>IF(N946="nulová",J946,0)</f>
        <v>0</v>
      </c>
      <c r="BJ946" s="19" t="s">
        <v>75</v>
      </c>
      <c r="BK946" s="88">
        <f>ROUND(I946*H946,2)</f>
        <v>0</v>
      </c>
      <c r="BL946" s="19" t="s">
        <v>305</v>
      </c>
      <c r="BM946" s="87" t="s">
        <v>1317</v>
      </c>
    </row>
    <row r="947" spans="1:65" s="14" customFormat="1">
      <c r="A947" s="318"/>
      <c r="B947" s="319"/>
      <c r="C947" s="318"/>
      <c r="D947" s="315" t="s">
        <v>225</v>
      </c>
      <c r="E947" s="318"/>
      <c r="F947" s="321" t="s">
        <v>1318</v>
      </c>
      <c r="G947" s="318"/>
      <c r="H947" s="322">
        <v>148.608</v>
      </c>
      <c r="I947" s="260"/>
      <c r="J947" s="260"/>
      <c r="K947" s="318"/>
      <c r="L947" s="94"/>
      <c r="M947" s="96"/>
      <c r="N947" s="97"/>
      <c r="O947" s="97"/>
      <c r="P947" s="97"/>
      <c r="Q947" s="97"/>
      <c r="R947" s="97"/>
      <c r="S947" s="97"/>
      <c r="T947" s="98"/>
      <c r="AT947" s="95" t="s">
        <v>225</v>
      </c>
      <c r="AU947" s="95" t="s">
        <v>77</v>
      </c>
      <c r="AV947" s="14" t="s">
        <v>77</v>
      </c>
      <c r="AW947" s="14" t="s">
        <v>4</v>
      </c>
      <c r="AX947" s="14" t="s">
        <v>75</v>
      </c>
      <c r="AY947" s="95" t="s">
        <v>216</v>
      </c>
    </row>
    <row r="948" spans="1:65" s="2" customFormat="1" ht="14.45" customHeight="1">
      <c r="A948" s="269"/>
      <c r="B948" s="270"/>
      <c r="C948" s="334" t="s">
        <v>289</v>
      </c>
      <c r="D948" s="334" t="s">
        <v>535</v>
      </c>
      <c r="E948" s="335" t="s">
        <v>1319</v>
      </c>
      <c r="F948" s="336" t="s">
        <v>1320</v>
      </c>
      <c r="G948" s="337" t="s">
        <v>291</v>
      </c>
      <c r="H948" s="338">
        <v>15.552</v>
      </c>
      <c r="I948" s="111">
        <v>0</v>
      </c>
      <c r="J948" s="111">
        <f>ROUND(I948*H948,2)</f>
        <v>0</v>
      </c>
      <c r="K948" s="336" t="s">
        <v>3</v>
      </c>
      <c r="L948" s="112"/>
      <c r="M948" s="113" t="s">
        <v>3</v>
      </c>
      <c r="N948" s="114" t="s">
        <v>39</v>
      </c>
      <c r="O948" s="85">
        <v>0</v>
      </c>
      <c r="P948" s="85">
        <f>O948*H948</f>
        <v>0</v>
      </c>
      <c r="Q948" s="85">
        <v>3.6000000000000002E-4</v>
      </c>
      <c r="R948" s="85">
        <f>Q948*H948</f>
        <v>5.5987200000000006E-3</v>
      </c>
      <c r="S948" s="85">
        <v>0</v>
      </c>
      <c r="T948" s="86">
        <f>S948*H948</f>
        <v>0</v>
      </c>
      <c r="U948" s="23"/>
      <c r="V948" s="23"/>
      <c r="W948" s="23"/>
      <c r="X948" s="23"/>
      <c r="Y948" s="23"/>
      <c r="Z948" s="23"/>
      <c r="AA948" s="23"/>
      <c r="AB948" s="23"/>
      <c r="AC948" s="23"/>
      <c r="AD948" s="23"/>
      <c r="AE948" s="23"/>
      <c r="AR948" s="87" t="s">
        <v>410</v>
      </c>
      <c r="AT948" s="87" t="s">
        <v>535</v>
      </c>
      <c r="AU948" s="87" t="s">
        <v>77</v>
      </c>
      <c r="AY948" s="19" t="s">
        <v>216</v>
      </c>
      <c r="BE948" s="88">
        <f>IF(N948="základní",J948,0)</f>
        <v>0</v>
      </c>
      <c r="BF948" s="88">
        <f>IF(N948="snížená",J948,0)</f>
        <v>0</v>
      </c>
      <c r="BG948" s="88">
        <f>IF(N948="zákl. přenesená",J948,0)</f>
        <v>0</v>
      </c>
      <c r="BH948" s="88">
        <f>IF(N948="sníž. přenesená",J948,0)</f>
        <v>0</v>
      </c>
      <c r="BI948" s="88">
        <f>IF(N948="nulová",J948,0)</f>
        <v>0</v>
      </c>
      <c r="BJ948" s="19" t="s">
        <v>75</v>
      </c>
      <c r="BK948" s="88">
        <f>ROUND(I948*H948,2)</f>
        <v>0</v>
      </c>
      <c r="BL948" s="19" t="s">
        <v>305</v>
      </c>
      <c r="BM948" s="87" t="s">
        <v>1321</v>
      </c>
    </row>
    <row r="949" spans="1:65" s="14" customFormat="1">
      <c r="A949" s="318"/>
      <c r="B949" s="319"/>
      <c r="C949" s="318"/>
      <c r="D949" s="315" t="s">
        <v>225</v>
      </c>
      <c r="E949" s="318"/>
      <c r="F949" s="321" t="s">
        <v>1322</v>
      </c>
      <c r="G949" s="318"/>
      <c r="H949" s="322">
        <v>15.552</v>
      </c>
      <c r="I949" s="260"/>
      <c r="J949" s="260"/>
      <c r="K949" s="318"/>
      <c r="L949" s="94"/>
      <c r="M949" s="96"/>
      <c r="N949" s="97"/>
      <c r="O949" s="97"/>
      <c r="P949" s="97"/>
      <c r="Q949" s="97"/>
      <c r="R949" s="97"/>
      <c r="S949" s="97"/>
      <c r="T949" s="98"/>
      <c r="AT949" s="95" t="s">
        <v>225</v>
      </c>
      <c r="AU949" s="95" t="s">
        <v>77</v>
      </c>
      <c r="AV949" s="14" t="s">
        <v>77</v>
      </c>
      <c r="AW949" s="14" t="s">
        <v>4</v>
      </c>
      <c r="AX949" s="14" t="s">
        <v>75</v>
      </c>
      <c r="AY949" s="95" t="s">
        <v>216</v>
      </c>
    </row>
    <row r="950" spans="1:65" s="2" customFormat="1" ht="14.45" customHeight="1">
      <c r="A950" s="269"/>
      <c r="B950" s="270"/>
      <c r="C950" s="334" t="s">
        <v>1323</v>
      </c>
      <c r="D950" s="334" t="s">
        <v>535</v>
      </c>
      <c r="E950" s="335" t="s">
        <v>1324</v>
      </c>
      <c r="F950" s="336" t="s">
        <v>1325</v>
      </c>
      <c r="G950" s="337" t="s">
        <v>291</v>
      </c>
      <c r="H950" s="338">
        <v>56.61</v>
      </c>
      <c r="I950" s="111">
        <v>0</v>
      </c>
      <c r="J950" s="111">
        <f>ROUND(I950*H950,2)</f>
        <v>0</v>
      </c>
      <c r="K950" s="336" t="s">
        <v>3</v>
      </c>
      <c r="L950" s="112"/>
      <c r="M950" s="113" t="s">
        <v>3</v>
      </c>
      <c r="N950" s="114" t="s">
        <v>39</v>
      </c>
      <c r="O950" s="85">
        <v>0</v>
      </c>
      <c r="P950" s="85">
        <f>O950*H950</f>
        <v>0</v>
      </c>
      <c r="Q950" s="85">
        <v>4.4999999999999999E-4</v>
      </c>
      <c r="R950" s="85">
        <f>Q950*H950</f>
        <v>2.5474500000000001E-2</v>
      </c>
      <c r="S950" s="85">
        <v>0</v>
      </c>
      <c r="T950" s="86">
        <f>S950*H950</f>
        <v>0</v>
      </c>
      <c r="U950" s="23"/>
      <c r="V950" s="23"/>
      <c r="W950" s="23"/>
      <c r="X950" s="23"/>
      <c r="Y950" s="23"/>
      <c r="Z950" s="23"/>
      <c r="AA950" s="23"/>
      <c r="AB950" s="23"/>
      <c r="AC950" s="23"/>
      <c r="AD950" s="23"/>
      <c r="AE950" s="23"/>
      <c r="AR950" s="87" t="s">
        <v>410</v>
      </c>
      <c r="AT950" s="87" t="s">
        <v>535</v>
      </c>
      <c r="AU950" s="87" t="s">
        <v>77</v>
      </c>
      <c r="AY950" s="19" t="s">
        <v>216</v>
      </c>
      <c r="BE950" s="88">
        <f>IF(N950="základní",J950,0)</f>
        <v>0</v>
      </c>
      <c r="BF950" s="88">
        <f>IF(N950="snížená",J950,0)</f>
        <v>0</v>
      </c>
      <c r="BG950" s="88">
        <f>IF(N950="zákl. přenesená",J950,0)</f>
        <v>0</v>
      </c>
      <c r="BH950" s="88">
        <f>IF(N950="sníž. přenesená",J950,0)</f>
        <v>0</v>
      </c>
      <c r="BI950" s="88">
        <f>IF(N950="nulová",J950,0)</f>
        <v>0</v>
      </c>
      <c r="BJ950" s="19" t="s">
        <v>75</v>
      </c>
      <c r="BK950" s="88">
        <f>ROUND(I950*H950,2)</f>
        <v>0</v>
      </c>
      <c r="BL950" s="19" t="s">
        <v>305</v>
      </c>
      <c r="BM950" s="87" t="s">
        <v>1326</v>
      </c>
    </row>
    <row r="951" spans="1:65" s="14" customFormat="1">
      <c r="A951" s="318"/>
      <c r="B951" s="319"/>
      <c r="C951" s="318"/>
      <c r="D951" s="315" t="s">
        <v>225</v>
      </c>
      <c r="E951" s="318"/>
      <c r="F951" s="321" t="s">
        <v>1327</v>
      </c>
      <c r="G951" s="318"/>
      <c r="H951" s="322">
        <v>56.61</v>
      </c>
      <c r="I951" s="260"/>
      <c r="J951" s="260"/>
      <c r="K951" s="318"/>
      <c r="L951" s="94"/>
      <c r="M951" s="96"/>
      <c r="N951" s="97"/>
      <c r="O951" s="97"/>
      <c r="P951" s="97"/>
      <c r="Q951" s="97"/>
      <c r="R951" s="97"/>
      <c r="S951" s="97"/>
      <c r="T951" s="98"/>
      <c r="AT951" s="95" t="s">
        <v>225</v>
      </c>
      <c r="AU951" s="95" t="s">
        <v>77</v>
      </c>
      <c r="AV951" s="14" t="s">
        <v>77</v>
      </c>
      <c r="AW951" s="14" t="s">
        <v>4</v>
      </c>
      <c r="AX951" s="14" t="s">
        <v>75</v>
      </c>
      <c r="AY951" s="95" t="s">
        <v>216</v>
      </c>
    </row>
    <row r="952" spans="1:65" s="2" customFormat="1" ht="14.45" customHeight="1">
      <c r="A952" s="269"/>
      <c r="B952" s="270"/>
      <c r="C952" s="334" t="s">
        <v>1328</v>
      </c>
      <c r="D952" s="334" t="s">
        <v>535</v>
      </c>
      <c r="E952" s="335" t="s">
        <v>1329</v>
      </c>
      <c r="F952" s="336" t="s">
        <v>1330</v>
      </c>
      <c r="G952" s="337" t="s">
        <v>291</v>
      </c>
      <c r="H952" s="338">
        <v>212.85</v>
      </c>
      <c r="I952" s="111">
        <v>0</v>
      </c>
      <c r="J952" s="111">
        <f>ROUND(I952*H952,2)</f>
        <v>0</v>
      </c>
      <c r="K952" s="336" t="s">
        <v>3</v>
      </c>
      <c r="L952" s="112"/>
      <c r="M952" s="113" t="s">
        <v>3</v>
      </c>
      <c r="N952" s="114" t="s">
        <v>39</v>
      </c>
      <c r="O952" s="85">
        <v>0</v>
      </c>
      <c r="P952" s="85">
        <f>O952*H952</f>
        <v>0</v>
      </c>
      <c r="Q952" s="85">
        <v>4.4999999999999999E-4</v>
      </c>
      <c r="R952" s="85">
        <f>Q952*H952</f>
        <v>9.5782499999999993E-2</v>
      </c>
      <c r="S952" s="85">
        <v>0</v>
      </c>
      <c r="T952" s="86">
        <f>S952*H952</f>
        <v>0</v>
      </c>
      <c r="U952" s="23"/>
      <c r="V952" s="23"/>
      <c r="W952" s="23"/>
      <c r="X952" s="23"/>
      <c r="Y952" s="23"/>
      <c r="Z952" s="23"/>
      <c r="AA952" s="23"/>
      <c r="AB952" s="23"/>
      <c r="AC952" s="23"/>
      <c r="AD952" s="23"/>
      <c r="AE952" s="23"/>
      <c r="AR952" s="87" t="s">
        <v>410</v>
      </c>
      <c r="AT952" s="87" t="s">
        <v>535</v>
      </c>
      <c r="AU952" s="87" t="s">
        <v>77</v>
      </c>
      <c r="AY952" s="19" t="s">
        <v>216</v>
      </c>
      <c r="BE952" s="88">
        <f>IF(N952="základní",J952,0)</f>
        <v>0</v>
      </c>
      <c r="BF952" s="88">
        <f>IF(N952="snížená",J952,0)</f>
        <v>0</v>
      </c>
      <c r="BG952" s="88">
        <f>IF(N952="zákl. přenesená",J952,0)</f>
        <v>0</v>
      </c>
      <c r="BH952" s="88">
        <f>IF(N952="sníž. přenesená",J952,0)</f>
        <v>0</v>
      </c>
      <c r="BI952" s="88">
        <f>IF(N952="nulová",J952,0)</f>
        <v>0</v>
      </c>
      <c r="BJ952" s="19" t="s">
        <v>75</v>
      </c>
      <c r="BK952" s="88">
        <f>ROUND(I952*H952,2)</f>
        <v>0</v>
      </c>
      <c r="BL952" s="19" t="s">
        <v>305</v>
      </c>
      <c r="BM952" s="87" t="s">
        <v>1331</v>
      </c>
    </row>
    <row r="953" spans="1:65" s="14" customFormat="1">
      <c r="A953" s="318"/>
      <c r="B953" s="319"/>
      <c r="C953" s="318"/>
      <c r="D953" s="315" t="s">
        <v>225</v>
      </c>
      <c r="E953" s="318"/>
      <c r="F953" s="321" t="s">
        <v>1332</v>
      </c>
      <c r="G953" s="318"/>
      <c r="H953" s="322">
        <v>212.85</v>
      </c>
      <c r="I953" s="260"/>
      <c r="J953" s="260"/>
      <c r="K953" s="318"/>
      <c r="L953" s="94"/>
      <c r="M953" s="96"/>
      <c r="N953" s="97"/>
      <c r="O953" s="97"/>
      <c r="P953" s="97"/>
      <c r="Q953" s="97"/>
      <c r="R953" s="97"/>
      <c r="S953" s="97"/>
      <c r="T953" s="98"/>
      <c r="AT953" s="95" t="s">
        <v>225</v>
      </c>
      <c r="AU953" s="95" t="s">
        <v>77</v>
      </c>
      <c r="AV953" s="14" t="s">
        <v>77</v>
      </c>
      <c r="AW953" s="14" t="s">
        <v>4</v>
      </c>
      <c r="AX953" s="14" t="s">
        <v>75</v>
      </c>
      <c r="AY953" s="95" t="s">
        <v>216</v>
      </c>
    </row>
    <row r="954" spans="1:65" s="2" customFormat="1" ht="14.45" customHeight="1">
      <c r="A954" s="269"/>
      <c r="B954" s="270"/>
      <c r="C954" s="334" t="s">
        <v>1333</v>
      </c>
      <c r="D954" s="334" t="s">
        <v>535</v>
      </c>
      <c r="E954" s="335" t="s">
        <v>1334</v>
      </c>
      <c r="F954" s="336" t="s">
        <v>1335</v>
      </c>
      <c r="G954" s="337" t="s">
        <v>291</v>
      </c>
      <c r="H954" s="338">
        <v>163.9</v>
      </c>
      <c r="I954" s="111">
        <v>0</v>
      </c>
      <c r="J954" s="111">
        <f>ROUND(I954*H954,2)</f>
        <v>0</v>
      </c>
      <c r="K954" s="336" t="s">
        <v>3</v>
      </c>
      <c r="L954" s="112"/>
      <c r="M954" s="113" t="s">
        <v>3</v>
      </c>
      <c r="N954" s="114" t="s">
        <v>39</v>
      </c>
      <c r="O954" s="85">
        <v>0</v>
      </c>
      <c r="P954" s="85">
        <f>O954*H954</f>
        <v>0</v>
      </c>
      <c r="Q954" s="85">
        <v>4.4999999999999999E-4</v>
      </c>
      <c r="R954" s="85">
        <f>Q954*H954</f>
        <v>7.3755000000000001E-2</v>
      </c>
      <c r="S954" s="85">
        <v>0</v>
      </c>
      <c r="T954" s="86">
        <f>S954*H954</f>
        <v>0</v>
      </c>
      <c r="U954" s="23"/>
      <c r="V954" s="23"/>
      <c r="W954" s="23"/>
      <c r="X954" s="23"/>
      <c r="Y954" s="23"/>
      <c r="Z954" s="23"/>
      <c r="AA954" s="23"/>
      <c r="AB954" s="23"/>
      <c r="AC954" s="23"/>
      <c r="AD954" s="23"/>
      <c r="AE954" s="23"/>
      <c r="AR954" s="87" t="s">
        <v>410</v>
      </c>
      <c r="AT954" s="87" t="s">
        <v>535</v>
      </c>
      <c r="AU954" s="87" t="s">
        <v>77</v>
      </c>
      <c r="AY954" s="19" t="s">
        <v>216</v>
      </c>
      <c r="BE954" s="88">
        <f>IF(N954="základní",J954,0)</f>
        <v>0</v>
      </c>
      <c r="BF954" s="88">
        <f>IF(N954="snížená",J954,0)</f>
        <v>0</v>
      </c>
      <c r="BG954" s="88">
        <f>IF(N954="zákl. přenesená",J954,0)</f>
        <v>0</v>
      </c>
      <c r="BH954" s="88">
        <f>IF(N954="sníž. přenesená",J954,0)</f>
        <v>0</v>
      </c>
      <c r="BI954" s="88">
        <f>IF(N954="nulová",J954,0)</f>
        <v>0</v>
      </c>
      <c r="BJ954" s="19" t="s">
        <v>75</v>
      </c>
      <c r="BK954" s="88">
        <f>ROUND(I954*H954,2)</f>
        <v>0</v>
      </c>
      <c r="BL954" s="19" t="s">
        <v>305</v>
      </c>
      <c r="BM954" s="87" t="s">
        <v>1336</v>
      </c>
    </row>
    <row r="955" spans="1:65" s="14" customFormat="1">
      <c r="A955" s="318"/>
      <c r="B955" s="319"/>
      <c r="C955" s="318"/>
      <c r="D955" s="315" t="s">
        <v>225</v>
      </c>
      <c r="E955" s="318"/>
      <c r="F955" s="321" t="s">
        <v>1337</v>
      </c>
      <c r="G955" s="318"/>
      <c r="H955" s="322">
        <v>163.9</v>
      </c>
      <c r="I955" s="260"/>
      <c r="J955" s="260"/>
      <c r="K955" s="318"/>
      <c r="L955" s="94"/>
      <c r="M955" s="96"/>
      <c r="N955" s="97"/>
      <c r="O955" s="97"/>
      <c r="P955" s="97"/>
      <c r="Q955" s="97"/>
      <c r="R955" s="97"/>
      <c r="S955" s="97"/>
      <c r="T955" s="98"/>
      <c r="AT955" s="95" t="s">
        <v>225</v>
      </c>
      <c r="AU955" s="95" t="s">
        <v>77</v>
      </c>
      <c r="AV955" s="14" t="s">
        <v>77</v>
      </c>
      <c r="AW955" s="14" t="s">
        <v>4</v>
      </c>
      <c r="AX955" s="14" t="s">
        <v>75</v>
      </c>
      <c r="AY955" s="95" t="s">
        <v>216</v>
      </c>
    </row>
    <row r="956" spans="1:65" s="2" customFormat="1" ht="14.45" customHeight="1">
      <c r="A956" s="269"/>
      <c r="B956" s="270"/>
      <c r="C956" s="334" t="s">
        <v>1338</v>
      </c>
      <c r="D956" s="334" t="s">
        <v>535</v>
      </c>
      <c r="E956" s="335" t="s">
        <v>1339</v>
      </c>
      <c r="F956" s="336" t="s">
        <v>1340</v>
      </c>
      <c r="G956" s="337" t="s">
        <v>291</v>
      </c>
      <c r="H956" s="338">
        <v>39.36</v>
      </c>
      <c r="I956" s="111">
        <v>0</v>
      </c>
      <c r="J956" s="111">
        <f>ROUND(I956*H956,2)</f>
        <v>0</v>
      </c>
      <c r="K956" s="336" t="s">
        <v>3</v>
      </c>
      <c r="L956" s="112"/>
      <c r="M956" s="113" t="s">
        <v>3</v>
      </c>
      <c r="N956" s="114" t="s">
        <v>39</v>
      </c>
      <c r="O956" s="85">
        <v>0</v>
      </c>
      <c r="P956" s="85">
        <f>O956*H956</f>
        <v>0</v>
      </c>
      <c r="Q956" s="85">
        <v>3.6000000000000002E-4</v>
      </c>
      <c r="R956" s="85">
        <f>Q956*H956</f>
        <v>1.4169600000000001E-2</v>
      </c>
      <c r="S956" s="85">
        <v>0</v>
      </c>
      <c r="T956" s="86">
        <f>S956*H956</f>
        <v>0</v>
      </c>
      <c r="U956" s="23"/>
      <c r="V956" s="23"/>
      <c r="W956" s="23"/>
      <c r="X956" s="23"/>
      <c r="Y956" s="23"/>
      <c r="Z956" s="23"/>
      <c r="AA956" s="23"/>
      <c r="AB956" s="23"/>
      <c r="AC956" s="23"/>
      <c r="AD956" s="23"/>
      <c r="AE956" s="23"/>
      <c r="AR956" s="87" t="s">
        <v>410</v>
      </c>
      <c r="AT956" s="87" t="s">
        <v>535</v>
      </c>
      <c r="AU956" s="87" t="s">
        <v>77</v>
      </c>
      <c r="AY956" s="19" t="s">
        <v>216</v>
      </c>
      <c r="BE956" s="88">
        <f>IF(N956="základní",J956,0)</f>
        <v>0</v>
      </c>
      <c r="BF956" s="88">
        <f>IF(N956="snížená",J956,0)</f>
        <v>0</v>
      </c>
      <c r="BG956" s="88">
        <f>IF(N956="zákl. přenesená",J956,0)</f>
        <v>0</v>
      </c>
      <c r="BH956" s="88">
        <f>IF(N956="sníž. přenesená",J956,0)</f>
        <v>0</v>
      </c>
      <c r="BI956" s="88">
        <f>IF(N956="nulová",J956,0)</f>
        <v>0</v>
      </c>
      <c r="BJ956" s="19" t="s">
        <v>75</v>
      </c>
      <c r="BK956" s="88">
        <f>ROUND(I956*H956,2)</f>
        <v>0</v>
      </c>
      <c r="BL956" s="19" t="s">
        <v>305</v>
      </c>
      <c r="BM956" s="87" t="s">
        <v>1341</v>
      </c>
    </row>
    <row r="957" spans="1:65" s="14" customFormat="1">
      <c r="A957" s="318"/>
      <c r="B957" s="319"/>
      <c r="C957" s="318"/>
      <c r="D957" s="315" t="s">
        <v>225</v>
      </c>
      <c r="E957" s="318"/>
      <c r="F957" s="321" t="s">
        <v>1342</v>
      </c>
      <c r="G957" s="318"/>
      <c r="H957" s="322">
        <v>39.36</v>
      </c>
      <c r="I957" s="260"/>
      <c r="J957" s="260"/>
      <c r="K957" s="318"/>
      <c r="L957" s="94"/>
      <c r="M957" s="96"/>
      <c r="N957" s="97"/>
      <c r="O957" s="97"/>
      <c r="P957" s="97"/>
      <c r="Q957" s="97"/>
      <c r="R957" s="97"/>
      <c r="S957" s="97"/>
      <c r="T957" s="98"/>
      <c r="AT957" s="95" t="s">
        <v>225</v>
      </c>
      <c r="AU957" s="95" t="s">
        <v>77</v>
      </c>
      <c r="AV957" s="14" t="s">
        <v>77</v>
      </c>
      <c r="AW957" s="14" t="s">
        <v>4</v>
      </c>
      <c r="AX957" s="14" t="s">
        <v>75</v>
      </c>
      <c r="AY957" s="95" t="s">
        <v>216</v>
      </c>
    </row>
    <row r="958" spans="1:65" s="2" customFormat="1" ht="14.45" customHeight="1">
      <c r="A958" s="269"/>
      <c r="B958" s="270"/>
      <c r="C958" s="308" t="s">
        <v>1343</v>
      </c>
      <c r="D958" s="308" t="s">
        <v>218</v>
      </c>
      <c r="E958" s="309" t="s">
        <v>1344</v>
      </c>
      <c r="F958" s="310" t="s">
        <v>1345</v>
      </c>
      <c r="G958" s="311" t="s">
        <v>286</v>
      </c>
      <c r="H958" s="312">
        <v>330.6</v>
      </c>
      <c r="I958" s="82">
        <v>0</v>
      </c>
      <c r="J958" s="82">
        <f>ROUND(I958*H958,2)</f>
        <v>0</v>
      </c>
      <c r="K958" s="310" t="s">
        <v>222</v>
      </c>
      <c r="L958" s="24"/>
      <c r="M958" s="83" t="s">
        <v>3</v>
      </c>
      <c r="N958" s="84" t="s">
        <v>39</v>
      </c>
      <c r="O958" s="85">
        <v>0.36799999999999999</v>
      </c>
      <c r="P958" s="85">
        <f>O958*H958</f>
        <v>121.66080000000001</v>
      </c>
      <c r="Q958" s="85">
        <v>0</v>
      </c>
      <c r="R958" s="85">
        <f>Q958*H958</f>
        <v>0</v>
      </c>
      <c r="S958" s="85">
        <v>8.3169999999999994E-2</v>
      </c>
      <c r="T958" s="86">
        <f>S958*H958</f>
        <v>27.496002000000001</v>
      </c>
      <c r="U958" s="23"/>
      <c r="V958" s="23"/>
      <c r="W958" s="23"/>
      <c r="X958" s="23"/>
      <c r="Y958" s="23"/>
      <c r="Z958" s="23"/>
      <c r="AA958" s="23"/>
      <c r="AB958" s="23"/>
      <c r="AC958" s="23"/>
      <c r="AD958" s="23"/>
      <c r="AE958" s="23"/>
      <c r="AR958" s="87" t="s">
        <v>305</v>
      </c>
      <c r="AT958" s="87" t="s">
        <v>218</v>
      </c>
      <c r="AU958" s="87" t="s">
        <v>77</v>
      </c>
      <c r="AY958" s="19" t="s">
        <v>216</v>
      </c>
      <c r="BE958" s="88">
        <f>IF(N958="základní",J958,0)</f>
        <v>0</v>
      </c>
      <c r="BF958" s="88">
        <f>IF(N958="snížená",J958,0)</f>
        <v>0</v>
      </c>
      <c r="BG958" s="88">
        <f>IF(N958="zákl. přenesená",J958,0)</f>
        <v>0</v>
      </c>
      <c r="BH958" s="88">
        <f>IF(N958="sníž. přenesená",J958,0)</f>
        <v>0</v>
      </c>
      <c r="BI958" s="88">
        <f>IF(N958="nulová",J958,0)</f>
        <v>0</v>
      </c>
      <c r="BJ958" s="19" t="s">
        <v>75</v>
      </c>
      <c r="BK958" s="88">
        <f>ROUND(I958*H958,2)</f>
        <v>0</v>
      </c>
      <c r="BL958" s="19" t="s">
        <v>305</v>
      </c>
      <c r="BM958" s="87" t="s">
        <v>1346</v>
      </c>
    </row>
    <row r="959" spans="1:65" s="13" customFormat="1">
      <c r="A959" s="313"/>
      <c r="B959" s="314"/>
      <c r="C959" s="313"/>
      <c r="D959" s="315" t="s">
        <v>225</v>
      </c>
      <c r="E959" s="316" t="s">
        <v>3</v>
      </c>
      <c r="F959" s="317" t="s">
        <v>241</v>
      </c>
      <c r="G959" s="313"/>
      <c r="H959" s="316" t="s">
        <v>3</v>
      </c>
      <c r="I959" s="259"/>
      <c r="J959" s="259"/>
      <c r="K959" s="313"/>
      <c r="L959" s="89"/>
      <c r="M959" s="91"/>
      <c r="N959" s="92"/>
      <c r="O959" s="92"/>
      <c r="P959" s="92"/>
      <c r="Q959" s="92"/>
      <c r="R959" s="92"/>
      <c r="S959" s="92"/>
      <c r="T959" s="93"/>
      <c r="AT959" s="90" t="s">
        <v>225</v>
      </c>
      <c r="AU959" s="90" t="s">
        <v>77</v>
      </c>
      <c r="AV959" s="13" t="s">
        <v>75</v>
      </c>
      <c r="AW959" s="13" t="s">
        <v>30</v>
      </c>
      <c r="AX959" s="13" t="s">
        <v>68</v>
      </c>
      <c r="AY959" s="90" t="s">
        <v>216</v>
      </c>
    </row>
    <row r="960" spans="1:65" s="13" customFormat="1">
      <c r="A960" s="313"/>
      <c r="B960" s="314"/>
      <c r="C960" s="313"/>
      <c r="D960" s="315" t="s">
        <v>225</v>
      </c>
      <c r="E960" s="316" t="s">
        <v>3</v>
      </c>
      <c r="F960" s="317" t="s">
        <v>659</v>
      </c>
      <c r="G960" s="313"/>
      <c r="H960" s="316" t="s">
        <v>3</v>
      </c>
      <c r="I960" s="259"/>
      <c r="J960" s="259"/>
      <c r="K960" s="313"/>
      <c r="L960" s="89"/>
      <c r="M960" s="91"/>
      <c r="N960" s="92"/>
      <c r="O960" s="92"/>
      <c r="P960" s="92"/>
      <c r="Q960" s="92"/>
      <c r="R960" s="92"/>
      <c r="S960" s="92"/>
      <c r="T960" s="93"/>
      <c r="AT960" s="90" t="s">
        <v>225</v>
      </c>
      <c r="AU960" s="90" t="s">
        <v>77</v>
      </c>
      <c r="AV960" s="13" t="s">
        <v>75</v>
      </c>
      <c r="AW960" s="13" t="s">
        <v>30</v>
      </c>
      <c r="AX960" s="13" t="s">
        <v>68</v>
      </c>
      <c r="AY960" s="90" t="s">
        <v>216</v>
      </c>
    </row>
    <row r="961" spans="1:65" s="14" customFormat="1">
      <c r="A961" s="318"/>
      <c r="B961" s="319"/>
      <c r="C961" s="318"/>
      <c r="D961" s="315" t="s">
        <v>225</v>
      </c>
      <c r="E961" s="320" t="s">
        <v>3</v>
      </c>
      <c r="F961" s="321" t="s">
        <v>1347</v>
      </c>
      <c r="G961" s="318"/>
      <c r="H961" s="322">
        <v>300.60000000000002</v>
      </c>
      <c r="I961" s="260"/>
      <c r="J961" s="260"/>
      <c r="K961" s="318"/>
      <c r="L961" s="94"/>
      <c r="M961" s="96"/>
      <c r="N961" s="97"/>
      <c r="O961" s="97"/>
      <c r="P961" s="97"/>
      <c r="Q961" s="97"/>
      <c r="R961" s="97"/>
      <c r="S961" s="97"/>
      <c r="T961" s="98"/>
      <c r="AT961" s="95" t="s">
        <v>225</v>
      </c>
      <c r="AU961" s="95" t="s">
        <v>77</v>
      </c>
      <c r="AV961" s="14" t="s">
        <v>77</v>
      </c>
      <c r="AW961" s="14" t="s">
        <v>30</v>
      </c>
      <c r="AX961" s="14" t="s">
        <v>68</v>
      </c>
      <c r="AY961" s="95" t="s">
        <v>216</v>
      </c>
    </row>
    <row r="962" spans="1:65" s="14" customFormat="1">
      <c r="A962" s="318"/>
      <c r="B962" s="319"/>
      <c r="C962" s="318"/>
      <c r="D962" s="315" t="s">
        <v>225</v>
      </c>
      <c r="E962" s="320" t="s">
        <v>3</v>
      </c>
      <c r="F962" s="321" t="s">
        <v>1348</v>
      </c>
      <c r="G962" s="318"/>
      <c r="H962" s="322">
        <v>30</v>
      </c>
      <c r="I962" s="260"/>
      <c r="J962" s="260"/>
      <c r="K962" s="318"/>
      <c r="L962" s="94"/>
      <c r="M962" s="96"/>
      <c r="N962" s="97"/>
      <c r="O962" s="97"/>
      <c r="P962" s="97"/>
      <c r="Q962" s="97"/>
      <c r="R962" s="97"/>
      <c r="S962" s="97"/>
      <c r="T962" s="98"/>
      <c r="AT962" s="95" t="s">
        <v>225</v>
      </c>
      <c r="AU962" s="95" t="s">
        <v>77</v>
      </c>
      <c r="AV962" s="14" t="s">
        <v>77</v>
      </c>
      <c r="AW962" s="14" t="s">
        <v>30</v>
      </c>
      <c r="AX962" s="14" t="s">
        <v>68</v>
      </c>
      <c r="AY962" s="95" t="s">
        <v>216</v>
      </c>
    </row>
    <row r="963" spans="1:65" s="16" customFormat="1">
      <c r="A963" s="329"/>
      <c r="B963" s="330"/>
      <c r="C963" s="329"/>
      <c r="D963" s="315" t="s">
        <v>225</v>
      </c>
      <c r="E963" s="331" t="s">
        <v>3</v>
      </c>
      <c r="F963" s="332" t="s">
        <v>254</v>
      </c>
      <c r="G963" s="329"/>
      <c r="H963" s="333">
        <v>330.6</v>
      </c>
      <c r="I963" s="262"/>
      <c r="J963" s="262"/>
      <c r="K963" s="329"/>
      <c r="L963" s="106"/>
      <c r="M963" s="108"/>
      <c r="N963" s="109"/>
      <c r="O963" s="109"/>
      <c r="P963" s="109"/>
      <c r="Q963" s="109"/>
      <c r="R963" s="109"/>
      <c r="S963" s="109"/>
      <c r="T963" s="110"/>
      <c r="AT963" s="107" t="s">
        <v>225</v>
      </c>
      <c r="AU963" s="107" t="s">
        <v>77</v>
      </c>
      <c r="AV963" s="16" t="s">
        <v>223</v>
      </c>
      <c r="AW963" s="16" t="s">
        <v>30</v>
      </c>
      <c r="AX963" s="16" t="s">
        <v>75</v>
      </c>
      <c r="AY963" s="107" t="s">
        <v>216</v>
      </c>
    </row>
    <row r="964" spans="1:65" s="2" customFormat="1" ht="32.450000000000003" customHeight="1">
      <c r="A964" s="269"/>
      <c r="B964" s="270"/>
      <c r="C964" s="308" t="s">
        <v>1349</v>
      </c>
      <c r="D964" s="308" t="s">
        <v>218</v>
      </c>
      <c r="E964" s="309" t="s">
        <v>1350</v>
      </c>
      <c r="F964" s="310" t="s">
        <v>1351</v>
      </c>
      <c r="G964" s="311" t="s">
        <v>286</v>
      </c>
      <c r="H964" s="312">
        <v>96.3</v>
      </c>
      <c r="I964" s="82">
        <v>0</v>
      </c>
      <c r="J964" s="82">
        <f>ROUND(I964*H964,2)</f>
        <v>0</v>
      </c>
      <c r="K964" s="310" t="s">
        <v>222</v>
      </c>
      <c r="L964" s="24"/>
      <c r="M964" s="83" t="s">
        <v>3</v>
      </c>
      <c r="N964" s="84" t="s">
        <v>39</v>
      </c>
      <c r="O964" s="85">
        <v>1.6</v>
      </c>
      <c r="P964" s="85">
        <f>O964*H964</f>
        <v>154.08000000000001</v>
      </c>
      <c r="Q964" s="85">
        <v>8.9999999999999993E-3</v>
      </c>
      <c r="R964" s="85">
        <f>Q964*H964</f>
        <v>0.86669999999999991</v>
      </c>
      <c r="S964" s="85">
        <v>0</v>
      </c>
      <c r="T964" s="86">
        <f>S964*H964</f>
        <v>0</v>
      </c>
      <c r="U964" s="23"/>
      <c r="V964" s="23"/>
      <c r="W964" s="23"/>
      <c r="X964" s="23"/>
      <c r="Y964" s="23"/>
      <c r="Z964" s="23"/>
      <c r="AA964" s="23"/>
      <c r="AB964" s="23"/>
      <c r="AC964" s="23"/>
      <c r="AD964" s="23"/>
      <c r="AE964" s="23"/>
      <c r="AR964" s="87" t="s">
        <v>305</v>
      </c>
      <c r="AT964" s="87" t="s">
        <v>218</v>
      </c>
      <c r="AU964" s="87" t="s">
        <v>77</v>
      </c>
      <c r="AY964" s="19" t="s">
        <v>216</v>
      </c>
      <c r="BE964" s="88">
        <f>IF(N964="základní",J964,0)</f>
        <v>0</v>
      </c>
      <c r="BF964" s="88">
        <f>IF(N964="snížená",J964,0)</f>
        <v>0</v>
      </c>
      <c r="BG964" s="88">
        <f>IF(N964="zákl. přenesená",J964,0)</f>
        <v>0</v>
      </c>
      <c r="BH964" s="88">
        <f>IF(N964="sníž. přenesená",J964,0)</f>
        <v>0</v>
      </c>
      <c r="BI964" s="88">
        <f>IF(N964="nulová",J964,0)</f>
        <v>0</v>
      </c>
      <c r="BJ964" s="19" t="s">
        <v>75</v>
      </c>
      <c r="BK964" s="88">
        <f>ROUND(I964*H964,2)</f>
        <v>0</v>
      </c>
      <c r="BL964" s="19" t="s">
        <v>305</v>
      </c>
      <c r="BM964" s="87" t="s">
        <v>1352</v>
      </c>
    </row>
    <row r="965" spans="1:65" s="2" customFormat="1" ht="29.25">
      <c r="A965" s="269"/>
      <c r="B965" s="270"/>
      <c r="C965" s="269"/>
      <c r="D965" s="315" t="s">
        <v>231</v>
      </c>
      <c r="E965" s="269"/>
      <c r="F965" s="323" t="s">
        <v>1353</v>
      </c>
      <c r="G965" s="269"/>
      <c r="H965" s="269"/>
      <c r="I965" s="248"/>
      <c r="J965" s="248"/>
      <c r="K965" s="269"/>
      <c r="L965" s="24"/>
      <c r="M965" s="99"/>
      <c r="N965" s="100"/>
      <c r="O965" s="32"/>
      <c r="P965" s="32"/>
      <c r="Q965" s="32"/>
      <c r="R965" s="32"/>
      <c r="S965" s="32"/>
      <c r="T965" s="33"/>
      <c r="U965" s="23"/>
      <c r="V965" s="23"/>
      <c r="W965" s="23"/>
      <c r="X965" s="23"/>
      <c r="Y965" s="23"/>
      <c r="Z965" s="23"/>
      <c r="AA965" s="23"/>
      <c r="AB965" s="23"/>
      <c r="AC965" s="23"/>
      <c r="AD965" s="23"/>
      <c r="AE965" s="23"/>
      <c r="AT965" s="19" t="s">
        <v>231</v>
      </c>
      <c r="AU965" s="19" t="s">
        <v>77</v>
      </c>
    </row>
    <row r="966" spans="1:65" s="13" customFormat="1">
      <c r="A966" s="313"/>
      <c r="B966" s="314"/>
      <c r="C966" s="313"/>
      <c r="D966" s="315" t="s">
        <v>225</v>
      </c>
      <c r="E966" s="316" t="s">
        <v>3</v>
      </c>
      <c r="F966" s="317" t="s">
        <v>578</v>
      </c>
      <c r="G966" s="313"/>
      <c r="H966" s="316" t="s">
        <v>3</v>
      </c>
      <c r="I966" s="259"/>
      <c r="J966" s="259"/>
      <c r="K966" s="313"/>
      <c r="L966" s="89"/>
      <c r="M966" s="91"/>
      <c r="N966" s="92"/>
      <c r="O966" s="92"/>
      <c r="P966" s="92"/>
      <c r="Q966" s="92"/>
      <c r="R966" s="92"/>
      <c r="S966" s="92"/>
      <c r="T966" s="93"/>
      <c r="AT966" s="90" t="s">
        <v>225</v>
      </c>
      <c r="AU966" s="90" t="s">
        <v>77</v>
      </c>
      <c r="AV966" s="13" t="s">
        <v>75</v>
      </c>
      <c r="AW966" s="13" t="s">
        <v>30</v>
      </c>
      <c r="AX966" s="13" t="s">
        <v>68</v>
      </c>
      <c r="AY966" s="90" t="s">
        <v>216</v>
      </c>
    </row>
    <row r="967" spans="1:65" s="14" customFormat="1">
      <c r="A967" s="318"/>
      <c r="B967" s="319"/>
      <c r="C967" s="318"/>
      <c r="D967" s="315" t="s">
        <v>225</v>
      </c>
      <c r="E967" s="320" t="s">
        <v>3</v>
      </c>
      <c r="F967" s="321" t="s">
        <v>1354</v>
      </c>
      <c r="G967" s="318"/>
      <c r="H967" s="322">
        <v>96.3</v>
      </c>
      <c r="I967" s="260"/>
      <c r="J967" s="260"/>
      <c r="K967" s="318"/>
      <c r="L967" s="94"/>
      <c r="M967" s="96"/>
      <c r="N967" s="97"/>
      <c r="O967" s="97"/>
      <c r="P967" s="97"/>
      <c r="Q967" s="97"/>
      <c r="R967" s="97"/>
      <c r="S967" s="97"/>
      <c r="T967" s="98"/>
      <c r="AT967" s="95" t="s">
        <v>225</v>
      </c>
      <c r="AU967" s="95" t="s">
        <v>77</v>
      </c>
      <c r="AV967" s="14" t="s">
        <v>77</v>
      </c>
      <c r="AW967" s="14" t="s">
        <v>30</v>
      </c>
      <c r="AX967" s="14" t="s">
        <v>75</v>
      </c>
      <c r="AY967" s="95" t="s">
        <v>216</v>
      </c>
    </row>
    <row r="968" spans="1:65" s="2" customFormat="1" ht="324" customHeight="1">
      <c r="A968" s="269"/>
      <c r="B968" s="270"/>
      <c r="C968" s="334" t="s">
        <v>1355</v>
      </c>
      <c r="D968" s="334" t="s">
        <v>535</v>
      </c>
      <c r="E968" s="335" t="s">
        <v>1356</v>
      </c>
      <c r="F968" s="336" t="s">
        <v>1357</v>
      </c>
      <c r="G968" s="337" t="s">
        <v>286</v>
      </c>
      <c r="H968" s="338">
        <v>93.034999999999997</v>
      </c>
      <c r="I968" s="111">
        <v>0</v>
      </c>
      <c r="J968" s="111">
        <f>ROUND(I968*H968,2)</f>
        <v>0</v>
      </c>
      <c r="K968" s="336" t="s">
        <v>3</v>
      </c>
      <c r="L968" s="112"/>
      <c r="M968" s="113" t="s">
        <v>3</v>
      </c>
      <c r="N968" s="114" t="s">
        <v>39</v>
      </c>
      <c r="O968" s="85">
        <v>0</v>
      </c>
      <c r="P968" s="85">
        <f>O968*H968</f>
        <v>0</v>
      </c>
      <c r="Q968" s="85">
        <v>2.5000000000000001E-2</v>
      </c>
      <c r="R968" s="85">
        <f>Q968*H968</f>
        <v>2.3258749999999999</v>
      </c>
      <c r="S968" s="85">
        <v>0</v>
      </c>
      <c r="T968" s="86">
        <f>S968*H968</f>
        <v>0</v>
      </c>
      <c r="U968" s="23"/>
      <c r="V968" s="23"/>
      <c r="W968" s="23"/>
      <c r="X968" s="23"/>
      <c r="Y968" s="23"/>
      <c r="Z968" s="23"/>
      <c r="AA968" s="23"/>
      <c r="AB968" s="23"/>
      <c r="AC968" s="23"/>
      <c r="AD968" s="23"/>
      <c r="AE968" s="23"/>
      <c r="AR968" s="87" t="s">
        <v>410</v>
      </c>
      <c r="AT968" s="87" t="s">
        <v>535</v>
      </c>
      <c r="AU968" s="87" t="s">
        <v>77</v>
      </c>
      <c r="AY968" s="19" t="s">
        <v>216</v>
      </c>
      <c r="BE968" s="88">
        <f>IF(N968="základní",J968,0)</f>
        <v>0</v>
      </c>
      <c r="BF968" s="88">
        <f>IF(N968="snížená",J968,0)</f>
        <v>0</v>
      </c>
      <c r="BG968" s="88">
        <f>IF(N968="zákl. přenesená",J968,0)</f>
        <v>0</v>
      </c>
      <c r="BH968" s="88">
        <f>IF(N968="sníž. přenesená",J968,0)</f>
        <v>0</v>
      </c>
      <c r="BI968" s="88">
        <f>IF(N968="nulová",J968,0)</f>
        <v>0</v>
      </c>
      <c r="BJ968" s="19" t="s">
        <v>75</v>
      </c>
      <c r="BK968" s="88">
        <f>ROUND(I968*H968,2)</f>
        <v>0</v>
      </c>
      <c r="BL968" s="19" t="s">
        <v>305</v>
      </c>
      <c r="BM968" s="87" t="s">
        <v>1358</v>
      </c>
    </row>
    <row r="969" spans="1:65" s="14" customFormat="1">
      <c r="A969" s="318"/>
      <c r="B969" s="319"/>
      <c r="C969" s="318"/>
      <c r="D969" s="315" t="s">
        <v>225</v>
      </c>
      <c r="E969" s="320" t="s">
        <v>3</v>
      </c>
      <c r="F969" s="321" t="s">
        <v>140</v>
      </c>
      <c r="G969" s="318"/>
      <c r="H969" s="322">
        <v>80.900000000000006</v>
      </c>
      <c r="I969" s="260"/>
      <c r="J969" s="260"/>
      <c r="K969" s="318"/>
      <c r="L969" s="94"/>
      <c r="M969" s="96"/>
      <c r="N969" s="97"/>
      <c r="O969" s="97"/>
      <c r="P969" s="97"/>
      <c r="Q969" s="97"/>
      <c r="R969" s="97"/>
      <c r="S969" s="97"/>
      <c r="T969" s="98"/>
      <c r="AT969" s="95" t="s">
        <v>225</v>
      </c>
      <c r="AU969" s="95" t="s">
        <v>77</v>
      </c>
      <c r="AV969" s="14" t="s">
        <v>77</v>
      </c>
      <c r="AW969" s="14" t="s">
        <v>30</v>
      </c>
      <c r="AX969" s="14" t="s">
        <v>75</v>
      </c>
      <c r="AY969" s="95" t="s">
        <v>216</v>
      </c>
    </row>
    <row r="970" spans="1:65" s="14" customFormat="1">
      <c r="A970" s="318"/>
      <c r="B970" s="319"/>
      <c r="C970" s="318"/>
      <c r="D970" s="315" t="s">
        <v>225</v>
      </c>
      <c r="E970" s="318"/>
      <c r="F970" s="321" t="s">
        <v>1359</v>
      </c>
      <c r="G970" s="318"/>
      <c r="H970" s="322">
        <v>93.034999999999997</v>
      </c>
      <c r="I970" s="260"/>
      <c r="J970" s="260"/>
      <c r="K970" s="318"/>
      <c r="L970" s="94"/>
      <c r="M970" s="96"/>
      <c r="N970" s="97"/>
      <c r="O970" s="97"/>
      <c r="P970" s="97"/>
      <c r="Q970" s="97"/>
      <c r="R970" s="97"/>
      <c r="S970" s="97"/>
      <c r="T970" s="98"/>
      <c r="AT970" s="95" t="s">
        <v>225</v>
      </c>
      <c r="AU970" s="95" t="s">
        <v>77</v>
      </c>
      <c r="AV970" s="14" t="s">
        <v>77</v>
      </c>
      <c r="AW970" s="14" t="s">
        <v>4</v>
      </c>
      <c r="AX970" s="14" t="s">
        <v>75</v>
      </c>
      <c r="AY970" s="95" t="s">
        <v>216</v>
      </c>
    </row>
    <row r="971" spans="1:65" s="2" customFormat="1" ht="302.45" customHeight="1">
      <c r="A971" s="269"/>
      <c r="B971" s="270"/>
      <c r="C971" s="334" t="s">
        <v>1360</v>
      </c>
      <c r="D971" s="334" t="s">
        <v>535</v>
      </c>
      <c r="E971" s="335" t="s">
        <v>1361</v>
      </c>
      <c r="F971" s="336" t="s">
        <v>1362</v>
      </c>
      <c r="G971" s="337" t="s">
        <v>286</v>
      </c>
      <c r="H971" s="338">
        <v>15.4</v>
      </c>
      <c r="I971" s="111">
        <v>0</v>
      </c>
      <c r="J971" s="111">
        <f>ROUND(I971*H971,2)</f>
        <v>0</v>
      </c>
      <c r="K971" s="336" t="s">
        <v>3</v>
      </c>
      <c r="L971" s="112"/>
      <c r="M971" s="113" t="s">
        <v>3</v>
      </c>
      <c r="N971" s="114" t="s">
        <v>39</v>
      </c>
      <c r="O971" s="85">
        <v>0</v>
      </c>
      <c r="P971" s="85">
        <f>O971*H971</f>
        <v>0</v>
      </c>
      <c r="Q971" s="85">
        <v>2.5000000000000001E-2</v>
      </c>
      <c r="R971" s="85">
        <f>Q971*H971</f>
        <v>0.38500000000000001</v>
      </c>
      <c r="S971" s="85">
        <v>0</v>
      </c>
      <c r="T971" s="86">
        <f>S971*H971</f>
        <v>0</v>
      </c>
      <c r="U971" s="23"/>
      <c r="V971" s="23"/>
      <c r="W971" s="23"/>
      <c r="X971" s="23"/>
      <c r="Y971" s="23"/>
      <c r="Z971" s="23"/>
      <c r="AA971" s="23"/>
      <c r="AB971" s="23"/>
      <c r="AC971" s="23"/>
      <c r="AD971" s="23"/>
      <c r="AE971" s="23"/>
      <c r="AR971" s="87" t="s">
        <v>410</v>
      </c>
      <c r="AT971" s="87" t="s">
        <v>535</v>
      </c>
      <c r="AU971" s="87" t="s">
        <v>77</v>
      </c>
      <c r="AY971" s="19" t="s">
        <v>216</v>
      </c>
      <c r="BE971" s="88">
        <f>IF(N971="základní",J971,0)</f>
        <v>0</v>
      </c>
      <c r="BF971" s="88">
        <f>IF(N971="snížená",J971,0)</f>
        <v>0</v>
      </c>
      <c r="BG971" s="88">
        <f>IF(N971="zákl. přenesená",J971,0)</f>
        <v>0</v>
      </c>
      <c r="BH971" s="88">
        <f>IF(N971="sníž. přenesená",J971,0)</f>
        <v>0</v>
      </c>
      <c r="BI971" s="88">
        <f>IF(N971="nulová",J971,0)</f>
        <v>0</v>
      </c>
      <c r="BJ971" s="19" t="s">
        <v>75</v>
      </c>
      <c r="BK971" s="88">
        <f>ROUND(I971*H971,2)</f>
        <v>0</v>
      </c>
      <c r="BL971" s="19" t="s">
        <v>305</v>
      </c>
      <c r="BM971" s="87" t="s">
        <v>1363</v>
      </c>
    </row>
    <row r="972" spans="1:65" s="14" customFormat="1">
      <c r="A972" s="318"/>
      <c r="B972" s="319"/>
      <c r="C972" s="318"/>
      <c r="D972" s="315" t="s">
        <v>225</v>
      </c>
      <c r="E972" s="320" t="s">
        <v>3</v>
      </c>
      <c r="F972" s="321" t="s">
        <v>143</v>
      </c>
      <c r="G972" s="318"/>
      <c r="H972" s="322">
        <v>15.4</v>
      </c>
      <c r="I972" s="260"/>
      <c r="J972" s="260"/>
      <c r="K972" s="318"/>
      <c r="L972" s="94"/>
      <c r="M972" s="96"/>
      <c r="N972" s="97"/>
      <c r="O972" s="97"/>
      <c r="P972" s="97"/>
      <c r="Q972" s="97"/>
      <c r="R972" s="97"/>
      <c r="S972" s="97"/>
      <c r="T972" s="98"/>
      <c r="AT972" s="95" t="s">
        <v>225</v>
      </c>
      <c r="AU972" s="95" t="s">
        <v>77</v>
      </c>
      <c r="AV972" s="14" t="s">
        <v>77</v>
      </c>
      <c r="AW972" s="14" t="s">
        <v>30</v>
      </c>
      <c r="AX972" s="14" t="s">
        <v>75</v>
      </c>
      <c r="AY972" s="95" t="s">
        <v>216</v>
      </c>
    </row>
    <row r="973" spans="1:65" s="2" customFormat="1" ht="32.450000000000003" customHeight="1">
      <c r="A973" s="269"/>
      <c r="B973" s="270"/>
      <c r="C973" s="308" t="s">
        <v>1364</v>
      </c>
      <c r="D973" s="308" t="s">
        <v>218</v>
      </c>
      <c r="E973" s="309" t="s">
        <v>1365</v>
      </c>
      <c r="F973" s="310" t="s">
        <v>1366</v>
      </c>
      <c r="G973" s="311" t="s">
        <v>286</v>
      </c>
      <c r="H973" s="312">
        <v>12.1</v>
      </c>
      <c r="I973" s="82">
        <v>0</v>
      </c>
      <c r="J973" s="82">
        <f>ROUND(I973*H973,2)</f>
        <v>0</v>
      </c>
      <c r="K973" s="310" t="s">
        <v>222</v>
      </c>
      <c r="L973" s="24"/>
      <c r="M973" s="83" t="s">
        <v>3</v>
      </c>
      <c r="N973" s="84" t="s">
        <v>39</v>
      </c>
      <c r="O973" s="85">
        <v>0.74099999999999999</v>
      </c>
      <c r="P973" s="85">
        <f>O973*H973</f>
        <v>8.9660999999999991</v>
      </c>
      <c r="Q973" s="85">
        <v>6.8900000000000003E-3</v>
      </c>
      <c r="R973" s="85">
        <f>Q973*H973</f>
        <v>8.3368999999999999E-2</v>
      </c>
      <c r="S973" s="85">
        <v>0</v>
      </c>
      <c r="T973" s="86">
        <f>S973*H973</f>
        <v>0</v>
      </c>
      <c r="U973" s="23"/>
      <c r="V973" s="23"/>
      <c r="W973" s="23"/>
      <c r="X973" s="23"/>
      <c r="Y973" s="23"/>
      <c r="Z973" s="23"/>
      <c r="AA973" s="23"/>
      <c r="AB973" s="23"/>
      <c r="AC973" s="23"/>
      <c r="AD973" s="23"/>
      <c r="AE973" s="23"/>
      <c r="AR973" s="87" t="s">
        <v>305</v>
      </c>
      <c r="AT973" s="87" t="s">
        <v>218</v>
      </c>
      <c r="AU973" s="87" t="s">
        <v>77</v>
      </c>
      <c r="AY973" s="19" t="s">
        <v>216</v>
      </c>
      <c r="BE973" s="88">
        <f>IF(N973="základní",J973,0)</f>
        <v>0</v>
      </c>
      <c r="BF973" s="88">
        <f>IF(N973="snížená",J973,0)</f>
        <v>0</v>
      </c>
      <c r="BG973" s="88">
        <f>IF(N973="zákl. přenesená",J973,0)</f>
        <v>0</v>
      </c>
      <c r="BH973" s="88">
        <f>IF(N973="sníž. přenesená",J973,0)</f>
        <v>0</v>
      </c>
      <c r="BI973" s="88">
        <f>IF(N973="nulová",J973,0)</f>
        <v>0</v>
      </c>
      <c r="BJ973" s="19" t="s">
        <v>75</v>
      </c>
      <c r="BK973" s="88">
        <f>ROUND(I973*H973,2)</f>
        <v>0</v>
      </c>
      <c r="BL973" s="19" t="s">
        <v>305</v>
      </c>
      <c r="BM973" s="87" t="s">
        <v>1367</v>
      </c>
    </row>
    <row r="974" spans="1:65" s="2" customFormat="1" ht="29.25">
      <c r="A974" s="269"/>
      <c r="B974" s="270"/>
      <c r="C974" s="269"/>
      <c r="D974" s="315" t="s">
        <v>231</v>
      </c>
      <c r="E974" s="269"/>
      <c r="F974" s="323" t="s">
        <v>1353</v>
      </c>
      <c r="G974" s="269"/>
      <c r="H974" s="269"/>
      <c r="I974" s="248"/>
      <c r="J974" s="248"/>
      <c r="K974" s="269"/>
      <c r="L974" s="24"/>
      <c r="M974" s="99"/>
      <c r="N974" s="100"/>
      <c r="O974" s="32"/>
      <c r="P974" s="32"/>
      <c r="Q974" s="32"/>
      <c r="R974" s="32"/>
      <c r="S974" s="32"/>
      <c r="T974" s="33"/>
      <c r="U974" s="23"/>
      <c r="V974" s="23"/>
      <c r="W974" s="23"/>
      <c r="X974" s="23"/>
      <c r="Y974" s="23"/>
      <c r="Z974" s="23"/>
      <c r="AA974" s="23"/>
      <c r="AB974" s="23"/>
      <c r="AC974" s="23"/>
      <c r="AD974" s="23"/>
      <c r="AE974" s="23"/>
      <c r="AT974" s="19" t="s">
        <v>231</v>
      </c>
      <c r="AU974" s="19" t="s">
        <v>77</v>
      </c>
    </row>
    <row r="975" spans="1:65" s="13" customFormat="1">
      <c r="A975" s="313"/>
      <c r="B975" s="314"/>
      <c r="C975" s="313"/>
      <c r="D975" s="315" t="s">
        <v>225</v>
      </c>
      <c r="E975" s="316" t="s">
        <v>3</v>
      </c>
      <c r="F975" s="317" t="s">
        <v>578</v>
      </c>
      <c r="G975" s="313"/>
      <c r="H975" s="316" t="s">
        <v>3</v>
      </c>
      <c r="I975" s="259"/>
      <c r="J975" s="259"/>
      <c r="K975" s="313"/>
      <c r="L975" s="89"/>
      <c r="M975" s="91"/>
      <c r="N975" s="92"/>
      <c r="O975" s="92"/>
      <c r="P975" s="92"/>
      <c r="Q975" s="92"/>
      <c r="R975" s="92"/>
      <c r="S975" s="92"/>
      <c r="T975" s="93"/>
      <c r="AT975" s="90" t="s">
        <v>225</v>
      </c>
      <c r="AU975" s="90" t="s">
        <v>77</v>
      </c>
      <c r="AV975" s="13" t="s">
        <v>75</v>
      </c>
      <c r="AW975" s="13" t="s">
        <v>30</v>
      </c>
      <c r="AX975" s="13" t="s">
        <v>68</v>
      </c>
      <c r="AY975" s="90" t="s">
        <v>216</v>
      </c>
    </row>
    <row r="976" spans="1:65" s="14" customFormat="1">
      <c r="A976" s="318"/>
      <c r="B976" s="319"/>
      <c r="C976" s="318"/>
      <c r="D976" s="315" t="s">
        <v>225</v>
      </c>
      <c r="E976" s="320" t="s">
        <v>3</v>
      </c>
      <c r="F976" s="321" t="s">
        <v>138</v>
      </c>
      <c r="G976" s="318"/>
      <c r="H976" s="322">
        <v>12.1</v>
      </c>
      <c r="I976" s="260"/>
      <c r="J976" s="260"/>
      <c r="K976" s="318"/>
      <c r="L976" s="94"/>
      <c r="M976" s="96"/>
      <c r="N976" s="97"/>
      <c r="O976" s="97"/>
      <c r="P976" s="97"/>
      <c r="Q976" s="97"/>
      <c r="R976" s="97"/>
      <c r="S976" s="97"/>
      <c r="T976" s="98"/>
      <c r="AT976" s="95" t="s">
        <v>225</v>
      </c>
      <c r="AU976" s="95" t="s">
        <v>77</v>
      </c>
      <c r="AV976" s="14" t="s">
        <v>77</v>
      </c>
      <c r="AW976" s="14" t="s">
        <v>30</v>
      </c>
      <c r="AX976" s="14" t="s">
        <v>75</v>
      </c>
      <c r="AY976" s="95" t="s">
        <v>216</v>
      </c>
    </row>
    <row r="977" spans="1:65" s="2" customFormat="1" ht="313.14999999999998" customHeight="1">
      <c r="A977" s="269"/>
      <c r="B977" s="270"/>
      <c r="C977" s="334" t="s">
        <v>1368</v>
      </c>
      <c r="D977" s="334" t="s">
        <v>535</v>
      </c>
      <c r="E977" s="335" t="s">
        <v>1369</v>
      </c>
      <c r="F977" s="336" t="s">
        <v>1370</v>
      </c>
      <c r="G977" s="337" t="s">
        <v>286</v>
      </c>
      <c r="H977" s="338">
        <v>13.31</v>
      </c>
      <c r="I977" s="111">
        <v>0</v>
      </c>
      <c r="J977" s="111">
        <f>ROUND(I977*H977,2)</f>
        <v>0</v>
      </c>
      <c r="K977" s="336" t="s">
        <v>3</v>
      </c>
      <c r="L977" s="112"/>
      <c r="M977" s="113" t="s">
        <v>3</v>
      </c>
      <c r="N977" s="114" t="s">
        <v>39</v>
      </c>
      <c r="O977" s="85">
        <v>0</v>
      </c>
      <c r="P977" s="85">
        <f>O977*H977</f>
        <v>0</v>
      </c>
      <c r="Q977" s="85">
        <v>1.9199999999999998E-2</v>
      </c>
      <c r="R977" s="85">
        <f>Q977*H977</f>
        <v>0.255552</v>
      </c>
      <c r="S977" s="85">
        <v>0</v>
      </c>
      <c r="T977" s="86">
        <f>S977*H977</f>
        <v>0</v>
      </c>
      <c r="U977" s="23"/>
      <c r="V977" s="23"/>
      <c r="W977" s="23"/>
      <c r="X977" s="23"/>
      <c r="Y977" s="23"/>
      <c r="Z977" s="23"/>
      <c r="AA977" s="23"/>
      <c r="AB977" s="23"/>
      <c r="AC977" s="23"/>
      <c r="AD977" s="23"/>
      <c r="AE977" s="23"/>
      <c r="AR977" s="87" t="s">
        <v>410</v>
      </c>
      <c r="AT977" s="87" t="s">
        <v>535</v>
      </c>
      <c r="AU977" s="87" t="s">
        <v>77</v>
      </c>
      <c r="AY977" s="19" t="s">
        <v>216</v>
      </c>
      <c r="BE977" s="88">
        <f>IF(N977="základní",J977,0)</f>
        <v>0</v>
      </c>
      <c r="BF977" s="88">
        <f>IF(N977="snížená",J977,0)</f>
        <v>0</v>
      </c>
      <c r="BG977" s="88">
        <f>IF(N977="zákl. přenesená",J977,0)</f>
        <v>0</v>
      </c>
      <c r="BH977" s="88">
        <f>IF(N977="sníž. přenesená",J977,0)</f>
        <v>0</v>
      </c>
      <c r="BI977" s="88">
        <f>IF(N977="nulová",J977,0)</f>
        <v>0</v>
      </c>
      <c r="BJ977" s="19" t="s">
        <v>75</v>
      </c>
      <c r="BK977" s="88">
        <f>ROUND(I977*H977,2)</f>
        <v>0</v>
      </c>
      <c r="BL977" s="19" t="s">
        <v>305</v>
      </c>
      <c r="BM977" s="87" t="s">
        <v>1371</v>
      </c>
    </row>
    <row r="978" spans="1:65" s="14" customFormat="1">
      <c r="A978" s="318"/>
      <c r="B978" s="319"/>
      <c r="C978" s="318"/>
      <c r="D978" s="315" t="s">
        <v>225</v>
      </c>
      <c r="E978" s="320" t="s">
        <v>3</v>
      </c>
      <c r="F978" s="321" t="s">
        <v>138</v>
      </c>
      <c r="G978" s="318"/>
      <c r="H978" s="322">
        <v>12.1</v>
      </c>
      <c r="I978" s="260"/>
      <c r="J978" s="260"/>
      <c r="K978" s="318"/>
      <c r="L978" s="94"/>
      <c r="M978" s="96"/>
      <c r="N978" s="97"/>
      <c r="O978" s="97"/>
      <c r="P978" s="97"/>
      <c r="Q978" s="97"/>
      <c r="R978" s="97"/>
      <c r="S978" s="97"/>
      <c r="T978" s="98"/>
      <c r="AT978" s="95" t="s">
        <v>225</v>
      </c>
      <c r="AU978" s="95" t="s">
        <v>77</v>
      </c>
      <c r="AV978" s="14" t="s">
        <v>77</v>
      </c>
      <c r="AW978" s="14" t="s">
        <v>30</v>
      </c>
      <c r="AX978" s="14" t="s">
        <v>75</v>
      </c>
      <c r="AY978" s="95" t="s">
        <v>216</v>
      </c>
    </row>
    <row r="979" spans="1:65" s="14" customFormat="1">
      <c r="A979" s="318"/>
      <c r="B979" s="319"/>
      <c r="C979" s="318"/>
      <c r="D979" s="315" t="s">
        <v>225</v>
      </c>
      <c r="E979" s="318"/>
      <c r="F979" s="321" t="s">
        <v>1372</v>
      </c>
      <c r="G979" s="318"/>
      <c r="H979" s="322">
        <v>13.31</v>
      </c>
      <c r="I979" s="260"/>
      <c r="J979" s="260"/>
      <c r="K979" s="318"/>
      <c r="L979" s="94"/>
      <c r="M979" s="96"/>
      <c r="N979" s="97"/>
      <c r="O979" s="97"/>
      <c r="P979" s="97"/>
      <c r="Q979" s="97"/>
      <c r="R979" s="97"/>
      <c r="S979" s="97"/>
      <c r="T979" s="98"/>
      <c r="AT979" s="95" t="s">
        <v>225</v>
      </c>
      <c r="AU979" s="95" t="s">
        <v>77</v>
      </c>
      <c r="AV979" s="14" t="s">
        <v>77</v>
      </c>
      <c r="AW979" s="14" t="s">
        <v>4</v>
      </c>
      <c r="AX979" s="14" t="s">
        <v>75</v>
      </c>
      <c r="AY979" s="95" t="s">
        <v>216</v>
      </c>
    </row>
    <row r="980" spans="1:65" s="2" customFormat="1" ht="32.450000000000003" customHeight="1">
      <c r="A980" s="269"/>
      <c r="B980" s="270"/>
      <c r="C980" s="308" t="s">
        <v>1373</v>
      </c>
      <c r="D980" s="308" t="s">
        <v>218</v>
      </c>
      <c r="E980" s="309" t="s">
        <v>1374</v>
      </c>
      <c r="F980" s="310" t="s">
        <v>1375</v>
      </c>
      <c r="G980" s="311" t="s">
        <v>286</v>
      </c>
      <c r="H980" s="312">
        <v>143.9</v>
      </c>
      <c r="I980" s="82">
        <v>0</v>
      </c>
      <c r="J980" s="82">
        <f>ROUND(I980*H980,2)</f>
        <v>0</v>
      </c>
      <c r="K980" s="310" t="s">
        <v>222</v>
      </c>
      <c r="L980" s="24"/>
      <c r="M980" s="83" t="s">
        <v>3</v>
      </c>
      <c r="N980" s="84" t="s">
        <v>39</v>
      </c>
      <c r="O980" s="85">
        <v>0.83699999999999997</v>
      </c>
      <c r="P980" s="85">
        <f>O980*H980</f>
        <v>120.4443</v>
      </c>
      <c r="Q980" s="85">
        <v>5.8799999999999998E-3</v>
      </c>
      <c r="R980" s="85">
        <f>Q980*H980</f>
        <v>0.846132</v>
      </c>
      <c r="S980" s="85">
        <v>0</v>
      </c>
      <c r="T980" s="86">
        <f>S980*H980</f>
        <v>0</v>
      </c>
      <c r="U980" s="23"/>
      <c r="V980" s="23"/>
      <c r="W980" s="23"/>
      <c r="X980" s="23"/>
      <c r="Y980" s="23"/>
      <c r="Z980" s="23"/>
      <c r="AA980" s="23"/>
      <c r="AB980" s="23"/>
      <c r="AC980" s="23"/>
      <c r="AD980" s="23"/>
      <c r="AE980" s="23"/>
      <c r="AR980" s="87" t="s">
        <v>305</v>
      </c>
      <c r="AT980" s="87" t="s">
        <v>218</v>
      </c>
      <c r="AU980" s="87" t="s">
        <v>77</v>
      </c>
      <c r="AY980" s="19" t="s">
        <v>216</v>
      </c>
      <c r="BE980" s="88">
        <f>IF(N980="základní",J980,0)</f>
        <v>0</v>
      </c>
      <c r="BF980" s="88">
        <f>IF(N980="snížená",J980,0)</f>
        <v>0</v>
      </c>
      <c r="BG980" s="88">
        <f>IF(N980="zákl. přenesená",J980,0)</f>
        <v>0</v>
      </c>
      <c r="BH980" s="88">
        <f>IF(N980="sníž. přenesená",J980,0)</f>
        <v>0</v>
      </c>
      <c r="BI980" s="88">
        <f>IF(N980="nulová",J980,0)</f>
        <v>0</v>
      </c>
      <c r="BJ980" s="19" t="s">
        <v>75</v>
      </c>
      <c r="BK980" s="88">
        <f>ROUND(I980*H980,2)</f>
        <v>0</v>
      </c>
      <c r="BL980" s="19" t="s">
        <v>305</v>
      </c>
      <c r="BM980" s="87" t="s">
        <v>1376</v>
      </c>
    </row>
    <row r="981" spans="1:65" s="2" customFormat="1" ht="29.25">
      <c r="A981" s="269"/>
      <c r="B981" s="270"/>
      <c r="C981" s="269"/>
      <c r="D981" s="315" t="s">
        <v>231</v>
      </c>
      <c r="E981" s="269"/>
      <c r="F981" s="323" t="s">
        <v>1353</v>
      </c>
      <c r="G981" s="269"/>
      <c r="H981" s="269"/>
      <c r="I981" s="248"/>
      <c r="J981" s="248"/>
      <c r="K981" s="269"/>
      <c r="L981" s="24"/>
      <c r="M981" s="99"/>
      <c r="N981" s="100"/>
      <c r="O981" s="32"/>
      <c r="P981" s="32"/>
      <c r="Q981" s="32"/>
      <c r="R981" s="32"/>
      <c r="S981" s="32"/>
      <c r="T981" s="33"/>
      <c r="U981" s="23"/>
      <c r="V981" s="23"/>
      <c r="W981" s="23"/>
      <c r="X981" s="23"/>
      <c r="Y981" s="23"/>
      <c r="Z981" s="23"/>
      <c r="AA981" s="23"/>
      <c r="AB981" s="23"/>
      <c r="AC981" s="23"/>
      <c r="AD981" s="23"/>
      <c r="AE981" s="23"/>
      <c r="AT981" s="19" t="s">
        <v>231</v>
      </c>
      <c r="AU981" s="19" t="s">
        <v>77</v>
      </c>
    </row>
    <row r="982" spans="1:65" s="13" customFormat="1">
      <c r="A982" s="313"/>
      <c r="B982" s="314"/>
      <c r="C982" s="313"/>
      <c r="D982" s="315" t="s">
        <v>225</v>
      </c>
      <c r="E982" s="316" t="s">
        <v>3</v>
      </c>
      <c r="F982" s="317" t="s">
        <v>578</v>
      </c>
      <c r="G982" s="313"/>
      <c r="H982" s="316" t="s">
        <v>3</v>
      </c>
      <c r="I982" s="259"/>
      <c r="J982" s="259"/>
      <c r="K982" s="313"/>
      <c r="L982" s="89"/>
      <c r="M982" s="91"/>
      <c r="N982" s="92"/>
      <c r="O982" s="92"/>
      <c r="P982" s="92"/>
      <c r="Q982" s="92"/>
      <c r="R982" s="92"/>
      <c r="S982" s="92"/>
      <c r="T982" s="93"/>
      <c r="AT982" s="90" t="s">
        <v>225</v>
      </c>
      <c r="AU982" s="90" t="s">
        <v>77</v>
      </c>
      <c r="AV982" s="13" t="s">
        <v>75</v>
      </c>
      <c r="AW982" s="13" t="s">
        <v>30</v>
      </c>
      <c r="AX982" s="13" t="s">
        <v>68</v>
      </c>
      <c r="AY982" s="90" t="s">
        <v>216</v>
      </c>
    </row>
    <row r="983" spans="1:65" s="14" customFormat="1">
      <c r="A983" s="318"/>
      <c r="B983" s="319"/>
      <c r="C983" s="318"/>
      <c r="D983" s="315" t="s">
        <v>225</v>
      </c>
      <c r="E983" s="320" t="s">
        <v>3</v>
      </c>
      <c r="F983" s="321" t="s">
        <v>1377</v>
      </c>
      <c r="G983" s="318"/>
      <c r="H983" s="322">
        <v>143.9</v>
      </c>
      <c r="I983" s="260"/>
      <c r="J983" s="260"/>
      <c r="K983" s="318"/>
      <c r="L983" s="94"/>
      <c r="M983" s="96"/>
      <c r="N983" s="97"/>
      <c r="O983" s="97"/>
      <c r="P983" s="97"/>
      <c r="Q983" s="97"/>
      <c r="R983" s="97"/>
      <c r="S983" s="97"/>
      <c r="T983" s="98"/>
      <c r="AT983" s="95" t="s">
        <v>225</v>
      </c>
      <c r="AU983" s="95" t="s">
        <v>77</v>
      </c>
      <c r="AV983" s="14" t="s">
        <v>77</v>
      </c>
      <c r="AW983" s="14" t="s">
        <v>30</v>
      </c>
      <c r="AX983" s="14" t="s">
        <v>75</v>
      </c>
      <c r="AY983" s="95" t="s">
        <v>216</v>
      </c>
    </row>
    <row r="984" spans="1:65" s="2" customFormat="1" ht="324" customHeight="1">
      <c r="A984" s="269"/>
      <c r="B984" s="270"/>
      <c r="C984" s="334" t="s">
        <v>1378</v>
      </c>
      <c r="D984" s="334" t="s">
        <v>535</v>
      </c>
      <c r="E984" s="335" t="s">
        <v>1379</v>
      </c>
      <c r="F984" s="336" t="s">
        <v>1380</v>
      </c>
      <c r="G984" s="337" t="s">
        <v>286</v>
      </c>
      <c r="H984" s="338">
        <v>116.6</v>
      </c>
      <c r="I984" s="111">
        <v>0</v>
      </c>
      <c r="J984" s="111">
        <f>ROUND(I984*H984,2)</f>
        <v>0</v>
      </c>
      <c r="K984" s="336" t="s">
        <v>3</v>
      </c>
      <c r="L984" s="112"/>
      <c r="M984" s="113" t="s">
        <v>3</v>
      </c>
      <c r="N984" s="114" t="s">
        <v>39</v>
      </c>
      <c r="O984" s="85">
        <v>0</v>
      </c>
      <c r="P984" s="85">
        <f>O984*H984</f>
        <v>0</v>
      </c>
      <c r="Q984" s="85">
        <v>1.9199999999999998E-2</v>
      </c>
      <c r="R984" s="85">
        <f>Q984*H984</f>
        <v>2.2387199999999998</v>
      </c>
      <c r="S984" s="85">
        <v>0</v>
      </c>
      <c r="T984" s="86">
        <f>S984*H984</f>
        <v>0</v>
      </c>
      <c r="U984" s="23"/>
      <c r="V984" s="23"/>
      <c r="W984" s="23"/>
      <c r="X984" s="23"/>
      <c r="Y984" s="23"/>
      <c r="Z984" s="23"/>
      <c r="AA984" s="23"/>
      <c r="AB984" s="23"/>
      <c r="AC984" s="23"/>
      <c r="AD984" s="23"/>
      <c r="AE984" s="23"/>
      <c r="AR984" s="87" t="s">
        <v>410</v>
      </c>
      <c r="AT984" s="87" t="s">
        <v>535</v>
      </c>
      <c r="AU984" s="87" t="s">
        <v>77</v>
      </c>
      <c r="AY984" s="19" t="s">
        <v>216</v>
      </c>
      <c r="BE984" s="88">
        <f>IF(N984="základní",J984,0)</f>
        <v>0</v>
      </c>
      <c r="BF984" s="88">
        <f>IF(N984="snížená",J984,0)</f>
        <v>0</v>
      </c>
      <c r="BG984" s="88">
        <f>IF(N984="zákl. přenesená",J984,0)</f>
        <v>0</v>
      </c>
      <c r="BH984" s="88">
        <f>IF(N984="sníž. přenesená",J984,0)</f>
        <v>0</v>
      </c>
      <c r="BI984" s="88">
        <f>IF(N984="nulová",J984,0)</f>
        <v>0</v>
      </c>
      <c r="BJ984" s="19" t="s">
        <v>75</v>
      </c>
      <c r="BK984" s="88">
        <f>ROUND(I984*H984,2)</f>
        <v>0</v>
      </c>
      <c r="BL984" s="19" t="s">
        <v>305</v>
      </c>
      <c r="BM984" s="87" t="s">
        <v>1381</v>
      </c>
    </row>
    <row r="985" spans="1:65" s="14" customFormat="1">
      <c r="A985" s="318"/>
      <c r="B985" s="319"/>
      <c r="C985" s="318"/>
      <c r="D985" s="315" t="s">
        <v>225</v>
      </c>
      <c r="E985" s="320" t="s">
        <v>3</v>
      </c>
      <c r="F985" s="321" t="s">
        <v>145</v>
      </c>
      <c r="G985" s="318"/>
      <c r="H985" s="322">
        <v>106</v>
      </c>
      <c r="I985" s="260"/>
      <c r="J985" s="260"/>
      <c r="K985" s="318"/>
      <c r="L985" s="94"/>
      <c r="M985" s="96"/>
      <c r="N985" s="97"/>
      <c r="O985" s="97"/>
      <c r="P985" s="97"/>
      <c r="Q985" s="97"/>
      <c r="R985" s="97"/>
      <c r="S985" s="97"/>
      <c r="T985" s="98"/>
      <c r="AT985" s="95" t="s">
        <v>225</v>
      </c>
      <c r="AU985" s="95" t="s">
        <v>77</v>
      </c>
      <c r="AV985" s="14" t="s">
        <v>77</v>
      </c>
      <c r="AW985" s="14" t="s">
        <v>30</v>
      </c>
      <c r="AX985" s="14" t="s">
        <v>75</v>
      </c>
      <c r="AY985" s="95" t="s">
        <v>216</v>
      </c>
    </row>
    <row r="986" spans="1:65" s="14" customFormat="1">
      <c r="A986" s="318"/>
      <c r="B986" s="319"/>
      <c r="C986" s="318"/>
      <c r="D986" s="315" t="s">
        <v>225</v>
      </c>
      <c r="E986" s="318"/>
      <c r="F986" s="321" t="s">
        <v>1382</v>
      </c>
      <c r="G986" s="318"/>
      <c r="H986" s="322">
        <v>116.6</v>
      </c>
      <c r="I986" s="260"/>
      <c r="J986" s="260"/>
      <c r="K986" s="318"/>
      <c r="L986" s="94"/>
      <c r="M986" s="96"/>
      <c r="N986" s="97"/>
      <c r="O986" s="97"/>
      <c r="P986" s="97"/>
      <c r="Q986" s="97"/>
      <c r="R986" s="97"/>
      <c r="S986" s="97"/>
      <c r="T986" s="98"/>
      <c r="AT986" s="95" t="s">
        <v>225</v>
      </c>
      <c r="AU986" s="95" t="s">
        <v>77</v>
      </c>
      <c r="AV986" s="14" t="s">
        <v>77</v>
      </c>
      <c r="AW986" s="14" t="s">
        <v>4</v>
      </c>
      <c r="AX986" s="14" t="s">
        <v>75</v>
      </c>
      <c r="AY986" s="95" t="s">
        <v>216</v>
      </c>
    </row>
    <row r="987" spans="1:65" s="2" customFormat="1" ht="313.14999999999998" customHeight="1">
      <c r="A987" s="269"/>
      <c r="B987" s="270"/>
      <c r="C987" s="334" t="s">
        <v>1383</v>
      </c>
      <c r="D987" s="334" t="s">
        <v>535</v>
      </c>
      <c r="E987" s="335" t="s">
        <v>1384</v>
      </c>
      <c r="F987" s="336" t="s">
        <v>1385</v>
      </c>
      <c r="G987" s="337" t="s">
        <v>286</v>
      </c>
      <c r="H987" s="338">
        <v>37.4</v>
      </c>
      <c r="I987" s="111">
        <v>0</v>
      </c>
      <c r="J987" s="111">
        <f>ROUND(I987*H987,2)</f>
        <v>0</v>
      </c>
      <c r="K987" s="336" t="s">
        <v>3</v>
      </c>
      <c r="L987" s="112"/>
      <c r="M987" s="113" t="s">
        <v>3</v>
      </c>
      <c r="N987" s="114" t="s">
        <v>39</v>
      </c>
      <c r="O987" s="85">
        <v>0</v>
      </c>
      <c r="P987" s="85">
        <f>O987*H987</f>
        <v>0</v>
      </c>
      <c r="Q987" s="85">
        <v>1.9199999999999998E-2</v>
      </c>
      <c r="R987" s="85">
        <f>Q987*H987</f>
        <v>0.71807999999999994</v>
      </c>
      <c r="S987" s="85">
        <v>0</v>
      </c>
      <c r="T987" s="86">
        <f>S987*H987</f>
        <v>0</v>
      </c>
      <c r="U987" s="23"/>
      <c r="V987" s="23"/>
      <c r="W987" s="23"/>
      <c r="X987" s="23"/>
      <c r="Y987" s="23"/>
      <c r="Z987" s="23"/>
      <c r="AA987" s="23"/>
      <c r="AB987" s="23"/>
      <c r="AC987" s="23"/>
      <c r="AD987" s="23"/>
      <c r="AE987" s="23"/>
      <c r="AR987" s="87" t="s">
        <v>410</v>
      </c>
      <c r="AT987" s="87" t="s">
        <v>535</v>
      </c>
      <c r="AU987" s="87" t="s">
        <v>77</v>
      </c>
      <c r="AY987" s="19" t="s">
        <v>216</v>
      </c>
      <c r="BE987" s="88">
        <f>IF(N987="základní",J987,0)</f>
        <v>0</v>
      </c>
      <c r="BF987" s="88">
        <f>IF(N987="snížená",J987,0)</f>
        <v>0</v>
      </c>
      <c r="BG987" s="88">
        <f>IF(N987="zákl. přenesená",J987,0)</f>
        <v>0</v>
      </c>
      <c r="BH987" s="88">
        <f>IF(N987="sníž. přenesená",J987,0)</f>
        <v>0</v>
      </c>
      <c r="BI987" s="88">
        <f>IF(N987="nulová",J987,0)</f>
        <v>0</v>
      </c>
      <c r="BJ987" s="19" t="s">
        <v>75</v>
      </c>
      <c r="BK987" s="88">
        <f>ROUND(I987*H987,2)</f>
        <v>0</v>
      </c>
      <c r="BL987" s="19" t="s">
        <v>305</v>
      </c>
      <c r="BM987" s="87" t="s">
        <v>1386</v>
      </c>
    </row>
    <row r="988" spans="1:65" s="14" customFormat="1">
      <c r="A988" s="318"/>
      <c r="B988" s="319"/>
      <c r="C988" s="318"/>
      <c r="D988" s="315" t="s">
        <v>225</v>
      </c>
      <c r="E988" s="320" t="s">
        <v>3</v>
      </c>
      <c r="F988" s="321" t="s">
        <v>147</v>
      </c>
      <c r="G988" s="318"/>
      <c r="H988" s="322">
        <v>34</v>
      </c>
      <c r="I988" s="260"/>
      <c r="J988" s="260"/>
      <c r="K988" s="318"/>
      <c r="L988" s="94"/>
      <c r="M988" s="96"/>
      <c r="N988" s="97"/>
      <c r="O988" s="97"/>
      <c r="P988" s="97"/>
      <c r="Q988" s="97"/>
      <c r="R988" s="97"/>
      <c r="S988" s="97"/>
      <c r="T988" s="98"/>
      <c r="AT988" s="95" t="s">
        <v>225</v>
      </c>
      <c r="AU988" s="95" t="s">
        <v>77</v>
      </c>
      <c r="AV988" s="14" t="s">
        <v>77</v>
      </c>
      <c r="AW988" s="14" t="s">
        <v>30</v>
      </c>
      <c r="AX988" s="14" t="s">
        <v>75</v>
      </c>
      <c r="AY988" s="95" t="s">
        <v>216</v>
      </c>
    </row>
    <row r="989" spans="1:65" s="14" customFormat="1">
      <c r="A989" s="318"/>
      <c r="B989" s="319"/>
      <c r="C989" s="318"/>
      <c r="D989" s="315" t="s">
        <v>225</v>
      </c>
      <c r="E989" s="318"/>
      <c r="F989" s="321" t="s">
        <v>1387</v>
      </c>
      <c r="G989" s="318"/>
      <c r="H989" s="322">
        <v>37.4</v>
      </c>
      <c r="I989" s="260"/>
      <c r="J989" s="260"/>
      <c r="K989" s="318"/>
      <c r="L989" s="94"/>
      <c r="M989" s="96"/>
      <c r="N989" s="97"/>
      <c r="O989" s="97"/>
      <c r="P989" s="97"/>
      <c r="Q989" s="97"/>
      <c r="R989" s="97"/>
      <c r="S989" s="97"/>
      <c r="T989" s="98"/>
      <c r="AT989" s="95" t="s">
        <v>225</v>
      </c>
      <c r="AU989" s="95" t="s">
        <v>77</v>
      </c>
      <c r="AV989" s="14" t="s">
        <v>77</v>
      </c>
      <c r="AW989" s="14" t="s">
        <v>4</v>
      </c>
      <c r="AX989" s="14" t="s">
        <v>75</v>
      </c>
      <c r="AY989" s="95" t="s">
        <v>216</v>
      </c>
    </row>
    <row r="990" spans="1:65" s="2" customFormat="1" ht="313.14999999999998" customHeight="1">
      <c r="A990" s="269"/>
      <c r="B990" s="270"/>
      <c r="C990" s="334" t="s">
        <v>1388</v>
      </c>
      <c r="D990" s="334" t="s">
        <v>535</v>
      </c>
      <c r="E990" s="335" t="s">
        <v>1389</v>
      </c>
      <c r="F990" s="336" t="s">
        <v>1390</v>
      </c>
      <c r="G990" s="337" t="s">
        <v>286</v>
      </c>
      <c r="H990" s="338">
        <v>4.29</v>
      </c>
      <c r="I990" s="111">
        <v>0</v>
      </c>
      <c r="J990" s="111">
        <f>ROUND(I990*H990,2)</f>
        <v>0</v>
      </c>
      <c r="K990" s="336" t="s">
        <v>3</v>
      </c>
      <c r="L990" s="112"/>
      <c r="M990" s="113" t="s">
        <v>3</v>
      </c>
      <c r="N990" s="114" t="s">
        <v>39</v>
      </c>
      <c r="O990" s="85">
        <v>0</v>
      </c>
      <c r="P990" s="85">
        <f>O990*H990</f>
        <v>0</v>
      </c>
      <c r="Q990" s="85">
        <v>1.9199999999999998E-2</v>
      </c>
      <c r="R990" s="85">
        <f>Q990*H990</f>
        <v>8.2367999999999997E-2</v>
      </c>
      <c r="S990" s="85">
        <v>0</v>
      </c>
      <c r="T990" s="86">
        <f>S990*H990</f>
        <v>0</v>
      </c>
      <c r="U990" s="23"/>
      <c r="V990" s="23"/>
      <c r="W990" s="23"/>
      <c r="X990" s="23"/>
      <c r="Y990" s="23"/>
      <c r="Z990" s="23"/>
      <c r="AA990" s="23"/>
      <c r="AB990" s="23"/>
      <c r="AC990" s="23"/>
      <c r="AD990" s="23"/>
      <c r="AE990" s="23"/>
      <c r="AR990" s="87" t="s">
        <v>410</v>
      </c>
      <c r="AT990" s="87" t="s">
        <v>535</v>
      </c>
      <c r="AU990" s="87" t="s">
        <v>77</v>
      </c>
      <c r="AY990" s="19" t="s">
        <v>216</v>
      </c>
      <c r="BE990" s="88">
        <f>IF(N990="základní",J990,0)</f>
        <v>0</v>
      </c>
      <c r="BF990" s="88">
        <f>IF(N990="snížená",J990,0)</f>
        <v>0</v>
      </c>
      <c r="BG990" s="88">
        <f>IF(N990="zákl. přenesená",J990,0)</f>
        <v>0</v>
      </c>
      <c r="BH990" s="88">
        <f>IF(N990="sníž. přenesená",J990,0)</f>
        <v>0</v>
      </c>
      <c r="BI990" s="88">
        <f>IF(N990="nulová",J990,0)</f>
        <v>0</v>
      </c>
      <c r="BJ990" s="19" t="s">
        <v>75</v>
      </c>
      <c r="BK990" s="88">
        <f>ROUND(I990*H990,2)</f>
        <v>0</v>
      </c>
      <c r="BL990" s="19" t="s">
        <v>305</v>
      </c>
      <c r="BM990" s="87" t="s">
        <v>1391</v>
      </c>
    </row>
    <row r="991" spans="1:65" s="14" customFormat="1">
      <c r="A991" s="318"/>
      <c r="B991" s="319"/>
      <c r="C991" s="318"/>
      <c r="D991" s="315" t="s">
        <v>225</v>
      </c>
      <c r="E991" s="320" t="s">
        <v>3</v>
      </c>
      <c r="F991" s="321" t="s">
        <v>149</v>
      </c>
      <c r="G991" s="318"/>
      <c r="H991" s="322">
        <v>3.9</v>
      </c>
      <c r="I991" s="260"/>
      <c r="J991" s="260"/>
      <c r="K991" s="318"/>
      <c r="L991" s="94"/>
      <c r="M991" s="96"/>
      <c r="N991" s="97"/>
      <c r="O991" s="97"/>
      <c r="P991" s="97"/>
      <c r="Q991" s="97"/>
      <c r="R991" s="97"/>
      <c r="S991" s="97"/>
      <c r="T991" s="98"/>
      <c r="AT991" s="95" t="s">
        <v>225</v>
      </c>
      <c r="AU991" s="95" t="s">
        <v>77</v>
      </c>
      <c r="AV991" s="14" t="s">
        <v>77</v>
      </c>
      <c r="AW991" s="14" t="s">
        <v>30</v>
      </c>
      <c r="AX991" s="14" t="s">
        <v>75</v>
      </c>
      <c r="AY991" s="95" t="s">
        <v>216</v>
      </c>
    </row>
    <row r="992" spans="1:65" s="14" customFormat="1">
      <c r="A992" s="318"/>
      <c r="B992" s="319"/>
      <c r="C992" s="318"/>
      <c r="D992" s="315" t="s">
        <v>225</v>
      </c>
      <c r="E992" s="318"/>
      <c r="F992" s="321" t="s">
        <v>1392</v>
      </c>
      <c r="G992" s="318"/>
      <c r="H992" s="322">
        <v>4.29</v>
      </c>
      <c r="I992" s="260"/>
      <c r="J992" s="260"/>
      <c r="K992" s="318"/>
      <c r="L992" s="94"/>
      <c r="M992" s="96"/>
      <c r="N992" s="97"/>
      <c r="O992" s="97"/>
      <c r="P992" s="97"/>
      <c r="Q992" s="97"/>
      <c r="R992" s="97"/>
      <c r="S992" s="97"/>
      <c r="T992" s="98"/>
      <c r="AT992" s="95" t="s">
        <v>225</v>
      </c>
      <c r="AU992" s="95" t="s">
        <v>77</v>
      </c>
      <c r="AV992" s="14" t="s">
        <v>77</v>
      </c>
      <c r="AW992" s="14" t="s">
        <v>4</v>
      </c>
      <c r="AX992" s="14" t="s">
        <v>75</v>
      </c>
      <c r="AY992" s="95" t="s">
        <v>216</v>
      </c>
    </row>
    <row r="993" spans="1:65" s="2" customFormat="1" ht="14.45" customHeight="1">
      <c r="A993" s="269"/>
      <c r="B993" s="270"/>
      <c r="C993" s="308" t="s">
        <v>1393</v>
      </c>
      <c r="D993" s="308" t="s">
        <v>218</v>
      </c>
      <c r="E993" s="309" t="s">
        <v>1394</v>
      </c>
      <c r="F993" s="310" t="s">
        <v>1395</v>
      </c>
      <c r="G993" s="311" t="s">
        <v>364</v>
      </c>
      <c r="H993" s="312">
        <v>379.6</v>
      </c>
      <c r="I993" s="82">
        <v>0</v>
      </c>
      <c r="J993" s="82">
        <f>ROUND(I993*H993,2)</f>
        <v>0</v>
      </c>
      <c r="K993" s="310" t="s">
        <v>222</v>
      </c>
      <c r="L993" s="24"/>
      <c r="M993" s="83" t="s">
        <v>3</v>
      </c>
      <c r="N993" s="84" t="s">
        <v>39</v>
      </c>
      <c r="O993" s="85">
        <v>0.05</v>
      </c>
      <c r="P993" s="85">
        <f>O993*H993</f>
        <v>18.98</v>
      </c>
      <c r="Q993" s="85">
        <v>3.0000000000000001E-5</v>
      </c>
      <c r="R993" s="85">
        <f>Q993*H993</f>
        <v>1.1388000000000001E-2</v>
      </c>
      <c r="S993" s="85">
        <v>0</v>
      </c>
      <c r="T993" s="86">
        <f>S993*H993</f>
        <v>0</v>
      </c>
      <c r="U993" s="23"/>
      <c r="V993" s="23"/>
      <c r="W993" s="23"/>
      <c r="X993" s="23"/>
      <c r="Y993" s="23"/>
      <c r="Z993" s="23"/>
      <c r="AA993" s="23"/>
      <c r="AB993" s="23"/>
      <c r="AC993" s="23"/>
      <c r="AD993" s="23"/>
      <c r="AE993" s="23"/>
      <c r="AR993" s="87" t="s">
        <v>305</v>
      </c>
      <c r="AT993" s="87" t="s">
        <v>218</v>
      </c>
      <c r="AU993" s="87" t="s">
        <v>77</v>
      </c>
      <c r="AY993" s="19" t="s">
        <v>216</v>
      </c>
      <c r="BE993" s="88">
        <f>IF(N993="základní",J993,0)</f>
        <v>0</v>
      </c>
      <c r="BF993" s="88">
        <f>IF(N993="snížená",J993,0)</f>
        <v>0</v>
      </c>
      <c r="BG993" s="88">
        <f>IF(N993="zákl. přenesená",J993,0)</f>
        <v>0</v>
      </c>
      <c r="BH993" s="88">
        <f>IF(N993="sníž. přenesená",J993,0)</f>
        <v>0</v>
      </c>
      <c r="BI993" s="88">
        <f>IF(N993="nulová",J993,0)</f>
        <v>0</v>
      </c>
      <c r="BJ993" s="19" t="s">
        <v>75</v>
      </c>
      <c r="BK993" s="88">
        <f>ROUND(I993*H993,2)</f>
        <v>0</v>
      </c>
      <c r="BL993" s="19" t="s">
        <v>305</v>
      </c>
      <c r="BM993" s="87" t="s">
        <v>1396</v>
      </c>
    </row>
    <row r="994" spans="1:65" s="2" customFormat="1" ht="48.75">
      <c r="A994" s="269"/>
      <c r="B994" s="270"/>
      <c r="C994" s="269"/>
      <c r="D994" s="315" t="s">
        <v>231</v>
      </c>
      <c r="E994" s="269"/>
      <c r="F994" s="323" t="s">
        <v>1397</v>
      </c>
      <c r="G994" s="269"/>
      <c r="H994" s="269"/>
      <c r="I994" s="248"/>
      <c r="J994" s="248"/>
      <c r="K994" s="269"/>
      <c r="L994" s="24"/>
      <c r="M994" s="99"/>
      <c r="N994" s="100"/>
      <c r="O994" s="32"/>
      <c r="P994" s="32"/>
      <c r="Q994" s="32"/>
      <c r="R994" s="32"/>
      <c r="S994" s="32"/>
      <c r="T994" s="33"/>
      <c r="U994" s="23"/>
      <c r="V994" s="23"/>
      <c r="W994" s="23"/>
      <c r="X994" s="23"/>
      <c r="Y994" s="23"/>
      <c r="Z994" s="23"/>
      <c r="AA994" s="23"/>
      <c r="AB994" s="23"/>
      <c r="AC994" s="23"/>
      <c r="AD994" s="23"/>
      <c r="AE994" s="23"/>
      <c r="AT994" s="19" t="s">
        <v>231</v>
      </c>
      <c r="AU994" s="19" t="s">
        <v>77</v>
      </c>
    </row>
    <row r="995" spans="1:65" s="13" customFormat="1">
      <c r="A995" s="313"/>
      <c r="B995" s="314"/>
      <c r="C995" s="313"/>
      <c r="D995" s="315" t="s">
        <v>225</v>
      </c>
      <c r="E995" s="316" t="s">
        <v>3</v>
      </c>
      <c r="F995" s="317" t="s">
        <v>578</v>
      </c>
      <c r="G995" s="313"/>
      <c r="H995" s="316" t="s">
        <v>3</v>
      </c>
      <c r="I995" s="259"/>
      <c r="J995" s="259"/>
      <c r="K995" s="313"/>
      <c r="L995" s="89"/>
      <c r="M995" s="91"/>
      <c r="N995" s="92"/>
      <c r="O995" s="92"/>
      <c r="P995" s="92"/>
      <c r="Q995" s="92"/>
      <c r="R995" s="92"/>
      <c r="S995" s="92"/>
      <c r="T995" s="93"/>
      <c r="AT995" s="90" t="s">
        <v>225</v>
      </c>
      <c r="AU995" s="90" t="s">
        <v>77</v>
      </c>
      <c r="AV995" s="13" t="s">
        <v>75</v>
      </c>
      <c r="AW995" s="13" t="s">
        <v>30</v>
      </c>
      <c r="AX995" s="13" t="s">
        <v>68</v>
      </c>
      <c r="AY995" s="90" t="s">
        <v>216</v>
      </c>
    </row>
    <row r="996" spans="1:65" s="14" customFormat="1">
      <c r="A996" s="318"/>
      <c r="B996" s="319"/>
      <c r="C996" s="318"/>
      <c r="D996" s="315" t="s">
        <v>225</v>
      </c>
      <c r="E996" s="320" t="s">
        <v>3</v>
      </c>
      <c r="F996" s="321" t="s">
        <v>1398</v>
      </c>
      <c r="G996" s="318"/>
      <c r="H996" s="322">
        <v>379.6</v>
      </c>
      <c r="I996" s="260"/>
      <c r="J996" s="260"/>
      <c r="K996" s="318"/>
      <c r="L996" s="94"/>
      <c r="M996" s="96"/>
      <c r="N996" s="97"/>
      <c r="O996" s="97"/>
      <c r="P996" s="97"/>
      <c r="Q996" s="97"/>
      <c r="R996" s="97"/>
      <c r="S996" s="97"/>
      <c r="T996" s="98"/>
      <c r="AT996" s="95" t="s">
        <v>225</v>
      </c>
      <c r="AU996" s="95" t="s">
        <v>77</v>
      </c>
      <c r="AV996" s="14" t="s">
        <v>77</v>
      </c>
      <c r="AW996" s="14" t="s">
        <v>30</v>
      </c>
      <c r="AX996" s="14" t="s">
        <v>75</v>
      </c>
      <c r="AY996" s="95" t="s">
        <v>216</v>
      </c>
    </row>
    <row r="997" spans="1:65" s="2" customFormat="1" ht="14.45" customHeight="1">
      <c r="A997" s="269"/>
      <c r="B997" s="270"/>
      <c r="C997" s="308" t="s">
        <v>1399</v>
      </c>
      <c r="D997" s="308" t="s">
        <v>218</v>
      </c>
      <c r="E997" s="309" t="s">
        <v>1400</v>
      </c>
      <c r="F997" s="310" t="s">
        <v>1401</v>
      </c>
      <c r="G997" s="311" t="s">
        <v>291</v>
      </c>
      <c r="H997" s="312">
        <v>545</v>
      </c>
      <c r="I997" s="82">
        <v>0</v>
      </c>
      <c r="J997" s="82">
        <f>ROUND(I997*H997,2)</f>
        <v>0</v>
      </c>
      <c r="K997" s="310" t="s">
        <v>222</v>
      </c>
      <c r="L997" s="24"/>
      <c r="M997" s="83" t="s">
        <v>3</v>
      </c>
      <c r="N997" s="84" t="s">
        <v>39</v>
      </c>
      <c r="O997" s="85">
        <v>3.7999999999999999E-2</v>
      </c>
      <c r="P997" s="85">
        <f>O997*H997</f>
        <v>20.71</v>
      </c>
      <c r="Q997" s="85">
        <v>0</v>
      </c>
      <c r="R997" s="85">
        <f>Q997*H997</f>
        <v>0</v>
      </c>
      <c r="S997" s="85">
        <v>0</v>
      </c>
      <c r="T997" s="86">
        <f>S997*H997</f>
        <v>0</v>
      </c>
      <c r="U997" s="23"/>
      <c r="V997" s="23"/>
      <c r="W997" s="23"/>
      <c r="X997" s="23"/>
      <c r="Y997" s="23"/>
      <c r="Z997" s="23"/>
      <c r="AA997" s="23"/>
      <c r="AB997" s="23"/>
      <c r="AC997" s="23"/>
      <c r="AD997" s="23"/>
      <c r="AE997" s="23"/>
      <c r="AR997" s="87" t="s">
        <v>305</v>
      </c>
      <c r="AT997" s="87" t="s">
        <v>218</v>
      </c>
      <c r="AU997" s="87" t="s">
        <v>77</v>
      </c>
      <c r="AY997" s="19" t="s">
        <v>216</v>
      </c>
      <c r="BE997" s="88">
        <f>IF(N997="základní",J997,0)</f>
        <v>0</v>
      </c>
      <c r="BF997" s="88">
        <f>IF(N997="snížená",J997,0)</f>
        <v>0</v>
      </c>
      <c r="BG997" s="88">
        <f>IF(N997="zákl. přenesená",J997,0)</f>
        <v>0</v>
      </c>
      <c r="BH997" s="88">
        <f>IF(N997="sníž. přenesená",J997,0)</f>
        <v>0</v>
      </c>
      <c r="BI997" s="88">
        <f>IF(N997="nulová",J997,0)</f>
        <v>0</v>
      </c>
      <c r="BJ997" s="19" t="s">
        <v>75</v>
      </c>
      <c r="BK997" s="88">
        <f>ROUND(I997*H997,2)</f>
        <v>0</v>
      </c>
      <c r="BL997" s="19" t="s">
        <v>305</v>
      </c>
      <c r="BM997" s="87" t="s">
        <v>1402</v>
      </c>
    </row>
    <row r="998" spans="1:65" s="2" customFormat="1" ht="48.75">
      <c r="A998" s="269"/>
      <c r="B998" s="270"/>
      <c r="C998" s="269"/>
      <c r="D998" s="315" t="s">
        <v>231</v>
      </c>
      <c r="E998" s="269"/>
      <c r="F998" s="323" t="s">
        <v>1397</v>
      </c>
      <c r="G998" s="269"/>
      <c r="H998" s="269"/>
      <c r="I998" s="248"/>
      <c r="J998" s="248"/>
      <c r="K998" s="269"/>
      <c r="L998" s="24"/>
      <c r="M998" s="99"/>
      <c r="N998" s="100"/>
      <c r="O998" s="32"/>
      <c r="P998" s="32"/>
      <c r="Q998" s="32"/>
      <c r="R998" s="32"/>
      <c r="S998" s="32"/>
      <c r="T998" s="33"/>
      <c r="U998" s="23"/>
      <c r="V998" s="23"/>
      <c r="W998" s="23"/>
      <c r="X998" s="23"/>
      <c r="Y998" s="23"/>
      <c r="Z998" s="23"/>
      <c r="AA998" s="23"/>
      <c r="AB998" s="23"/>
      <c r="AC998" s="23"/>
      <c r="AD998" s="23"/>
      <c r="AE998" s="23"/>
      <c r="AT998" s="19" t="s">
        <v>231</v>
      </c>
      <c r="AU998" s="19" t="s">
        <v>77</v>
      </c>
    </row>
    <row r="999" spans="1:65" s="13" customFormat="1">
      <c r="A999" s="313"/>
      <c r="B999" s="314"/>
      <c r="C999" s="313"/>
      <c r="D999" s="315" t="s">
        <v>225</v>
      </c>
      <c r="E999" s="316" t="s">
        <v>3</v>
      </c>
      <c r="F999" s="317" t="s">
        <v>578</v>
      </c>
      <c r="G999" s="313"/>
      <c r="H999" s="316" t="s">
        <v>3</v>
      </c>
      <c r="I999" s="259"/>
      <c r="J999" s="259"/>
      <c r="K999" s="313"/>
      <c r="L999" s="89"/>
      <c r="M999" s="91"/>
      <c r="N999" s="92"/>
      <c r="O999" s="92"/>
      <c r="P999" s="92"/>
      <c r="Q999" s="92"/>
      <c r="R999" s="92"/>
      <c r="S999" s="92"/>
      <c r="T999" s="93"/>
      <c r="AT999" s="90" t="s">
        <v>225</v>
      </c>
      <c r="AU999" s="90" t="s">
        <v>77</v>
      </c>
      <c r="AV999" s="13" t="s">
        <v>75</v>
      </c>
      <c r="AW999" s="13" t="s">
        <v>30</v>
      </c>
      <c r="AX999" s="13" t="s">
        <v>68</v>
      </c>
      <c r="AY999" s="90" t="s">
        <v>216</v>
      </c>
    </row>
    <row r="1000" spans="1:65" s="14" customFormat="1">
      <c r="A1000" s="318"/>
      <c r="B1000" s="319"/>
      <c r="C1000" s="318"/>
      <c r="D1000" s="315" t="s">
        <v>225</v>
      </c>
      <c r="E1000" s="320" t="s">
        <v>3</v>
      </c>
      <c r="F1000" s="321" t="s">
        <v>1403</v>
      </c>
      <c r="G1000" s="318"/>
      <c r="H1000" s="322">
        <v>545</v>
      </c>
      <c r="I1000" s="260"/>
      <c r="J1000" s="260"/>
      <c r="K1000" s="318"/>
      <c r="L1000" s="94"/>
      <c r="M1000" s="96"/>
      <c r="N1000" s="97"/>
      <c r="O1000" s="97"/>
      <c r="P1000" s="97"/>
      <c r="Q1000" s="97"/>
      <c r="R1000" s="97"/>
      <c r="S1000" s="97"/>
      <c r="T1000" s="98"/>
      <c r="AT1000" s="95" t="s">
        <v>225</v>
      </c>
      <c r="AU1000" s="95" t="s">
        <v>77</v>
      </c>
      <c r="AV1000" s="14" t="s">
        <v>77</v>
      </c>
      <c r="AW1000" s="14" t="s">
        <v>30</v>
      </c>
      <c r="AX1000" s="14" t="s">
        <v>75</v>
      </c>
      <c r="AY1000" s="95" t="s">
        <v>216</v>
      </c>
    </row>
    <row r="1001" spans="1:65" s="2" customFormat="1" ht="14.45" customHeight="1">
      <c r="A1001" s="269"/>
      <c r="B1001" s="270"/>
      <c r="C1001" s="308" t="s">
        <v>1404</v>
      </c>
      <c r="D1001" s="308" t="s">
        <v>218</v>
      </c>
      <c r="E1001" s="309" t="s">
        <v>1405</v>
      </c>
      <c r="F1001" s="310" t="s">
        <v>1406</v>
      </c>
      <c r="G1001" s="311" t="s">
        <v>286</v>
      </c>
      <c r="H1001" s="312">
        <v>273.89499999999998</v>
      </c>
      <c r="I1001" s="82">
        <v>0</v>
      </c>
      <c r="J1001" s="82">
        <f>ROUND(I1001*H1001,2)</f>
        <v>0</v>
      </c>
      <c r="K1001" s="310" t="s">
        <v>222</v>
      </c>
      <c r="L1001" s="24"/>
      <c r="M1001" s="83" t="s">
        <v>3</v>
      </c>
      <c r="N1001" s="84" t="s">
        <v>39</v>
      </c>
      <c r="O1001" s="85">
        <v>4.1000000000000002E-2</v>
      </c>
      <c r="P1001" s="85">
        <f>O1001*H1001</f>
        <v>11.229695</v>
      </c>
      <c r="Q1001" s="85">
        <v>5.0000000000000002E-5</v>
      </c>
      <c r="R1001" s="85">
        <f>Q1001*H1001</f>
        <v>1.369475E-2</v>
      </c>
      <c r="S1001" s="85">
        <v>0</v>
      </c>
      <c r="T1001" s="86">
        <f>S1001*H1001</f>
        <v>0</v>
      </c>
      <c r="U1001" s="23"/>
      <c r="V1001" s="23"/>
      <c r="W1001" s="23"/>
      <c r="X1001" s="23"/>
      <c r="Y1001" s="23"/>
      <c r="Z1001" s="23"/>
      <c r="AA1001" s="23"/>
      <c r="AB1001" s="23"/>
      <c r="AC1001" s="23"/>
      <c r="AD1001" s="23"/>
      <c r="AE1001" s="23"/>
      <c r="AR1001" s="87" t="s">
        <v>305</v>
      </c>
      <c r="AT1001" s="87" t="s">
        <v>218</v>
      </c>
      <c r="AU1001" s="87" t="s">
        <v>77</v>
      </c>
      <c r="AY1001" s="19" t="s">
        <v>216</v>
      </c>
      <c r="BE1001" s="88">
        <f>IF(N1001="základní",J1001,0)</f>
        <v>0</v>
      </c>
      <c r="BF1001" s="88">
        <f>IF(N1001="snížená",J1001,0)</f>
        <v>0</v>
      </c>
      <c r="BG1001" s="88">
        <f>IF(N1001="zákl. přenesená",J1001,0)</f>
        <v>0</v>
      </c>
      <c r="BH1001" s="88">
        <f>IF(N1001="sníž. přenesená",J1001,0)</f>
        <v>0</v>
      </c>
      <c r="BI1001" s="88">
        <f>IF(N1001="nulová",J1001,0)</f>
        <v>0</v>
      </c>
      <c r="BJ1001" s="19" t="s">
        <v>75</v>
      </c>
      <c r="BK1001" s="88">
        <f>ROUND(I1001*H1001,2)</f>
        <v>0</v>
      </c>
      <c r="BL1001" s="19" t="s">
        <v>305</v>
      </c>
      <c r="BM1001" s="87" t="s">
        <v>1407</v>
      </c>
    </row>
    <row r="1002" spans="1:65" s="13" customFormat="1">
      <c r="A1002" s="313"/>
      <c r="B1002" s="314"/>
      <c r="C1002" s="313"/>
      <c r="D1002" s="315" t="s">
        <v>225</v>
      </c>
      <c r="E1002" s="316" t="s">
        <v>3</v>
      </c>
      <c r="F1002" s="317" t="s">
        <v>578</v>
      </c>
      <c r="G1002" s="313"/>
      <c r="H1002" s="316" t="s">
        <v>3</v>
      </c>
      <c r="I1002" s="259"/>
      <c r="J1002" s="259"/>
      <c r="K1002" s="313"/>
      <c r="L1002" s="89"/>
      <c r="M1002" s="91"/>
      <c r="N1002" s="92"/>
      <c r="O1002" s="92"/>
      <c r="P1002" s="92"/>
      <c r="Q1002" s="92"/>
      <c r="R1002" s="92"/>
      <c r="S1002" s="92"/>
      <c r="T1002" s="93"/>
      <c r="AT1002" s="90" t="s">
        <v>225</v>
      </c>
      <c r="AU1002" s="90" t="s">
        <v>77</v>
      </c>
      <c r="AV1002" s="13" t="s">
        <v>75</v>
      </c>
      <c r="AW1002" s="13" t="s">
        <v>30</v>
      </c>
      <c r="AX1002" s="13" t="s">
        <v>68</v>
      </c>
      <c r="AY1002" s="90" t="s">
        <v>216</v>
      </c>
    </row>
    <row r="1003" spans="1:65" s="14" customFormat="1">
      <c r="A1003" s="318"/>
      <c r="B1003" s="319"/>
      <c r="C1003" s="318"/>
      <c r="D1003" s="315" t="s">
        <v>225</v>
      </c>
      <c r="E1003" s="320" t="s">
        <v>3</v>
      </c>
      <c r="F1003" s="321" t="s">
        <v>585</v>
      </c>
      <c r="G1003" s="318"/>
      <c r="H1003" s="322">
        <v>252.3</v>
      </c>
      <c r="I1003" s="260"/>
      <c r="J1003" s="260"/>
      <c r="K1003" s="318"/>
      <c r="L1003" s="94"/>
      <c r="M1003" s="96"/>
      <c r="N1003" s="97"/>
      <c r="O1003" s="97"/>
      <c r="P1003" s="97"/>
      <c r="Q1003" s="97"/>
      <c r="R1003" s="97"/>
      <c r="S1003" s="97"/>
      <c r="T1003" s="98"/>
      <c r="AT1003" s="95" t="s">
        <v>225</v>
      </c>
      <c r="AU1003" s="95" t="s">
        <v>77</v>
      </c>
      <c r="AV1003" s="14" t="s">
        <v>77</v>
      </c>
      <c r="AW1003" s="14" t="s">
        <v>30</v>
      </c>
      <c r="AX1003" s="14" t="s">
        <v>68</v>
      </c>
      <c r="AY1003" s="95" t="s">
        <v>216</v>
      </c>
    </row>
    <row r="1004" spans="1:65" s="14" customFormat="1">
      <c r="A1004" s="318"/>
      <c r="B1004" s="319"/>
      <c r="C1004" s="318"/>
      <c r="D1004" s="315" t="s">
        <v>225</v>
      </c>
      <c r="E1004" s="320" t="s">
        <v>3</v>
      </c>
      <c r="F1004" s="321" t="s">
        <v>1408</v>
      </c>
      <c r="G1004" s="318"/>
      <c r="H1004" s="322">
        <v>14.05</v>
      </c>
      <c r="I1004" s="260"/>
      <c r="J1004" s="260"/>
      <c r="K1004" s="318"/>
      <c r="L1004" s="94"/>
      <c r="M1004" s="96"/>
      <c r="N1004" s="97"/>
      <c r="O1004" s="97"/>
      <c r="P1004" s="97"/>
      <c r="Q1004" s="97"/>
      <c r="R1004" s="97"/>
      <c r="S1004" s="97"/>
      <c r="T1004" s="98"/>
      <c r="AT1004" s="95" t="s">
        <v>225</v>
      </c>
      <c r="AU1004" s="95" t="s">
        <v>77</v>
      </c>
      <c r="AV1004" s="14" t="s">
        <v>77</v>
      </c>
      <c r="AW1004" s="14" t="s">
        <v>30</v>
      </c>
      <c r="AX1004" s="14" t="s">
        <v>68</v>
      </c>
      <c r="AY1004" s="95" t="s">
        <v>216</v>
      </c>
    </row>
    <row r="1005" spans="1:65" s="14" customFormat="1">
      <c r="A1005" s="318"/>
      <c r="B1005" s="319"/>
      <c r="C1005" s="318"/>
      <c r="D1005" s="315" t="s">
        <v>225</v>
      </c>
      <c r="E1005" s="320" t="s">
        <v>3</v>
      </c>
      <c r="F1005" s="321" t="s">
        <v>1409</v>
      </c>
      <c r="G1005" s="318"/>
      <c r="H1005" s="322">
        <v>7.5449999999999999</v>
      </c>
      <c r="I1005" s="260"/>
      <c r="J1005" s="260"/>
      <c r="K1005" s="318"/>
      <c r="L1005" s="94"/>
      <c r="M1005" s="96"/>
      <c r="N1005" s="97"/>
      <c r="O1005" s="97"/>
      <c r="P1005" s="97"/>
      <c r="Q1005" s="97"/>
      <c r="R1005" s="97"/>
      <c r="S1005" s="97"/>
      <c r="T1005" s="98"/>
      <c r="AT1005" s="95" t="s">
        <v>225</v>
      </c>
      <c r="AU1005" s="95" t="s">
        <v>77</v>
      </c>
      <c r="AV1005" s="14" t="s">
        <v>77</v>
      </c>
      <c r="AW1005" s="14" t="s">
        <v>30</v>
      </c>
      <c r="AX1005" s="14" t="s">
        <v>68</v>
      </c>
      <c r="AY1005" s="95" t="s">
        <v>216</v>
      </c>
    </row>
    <row r="1006" spans="1:65" s="16" customFormat="1">
      <c r="A1006" s="329"/>
      <c r="B1006" s="330"/>
      <c r="C1006" s="329"/>
      <c r="D1006" s="315" t="s">
        <v>225</v>
      </c>
      <c r="E1006" s="331" t="s">
        <v>3</v>
      </c>
      <c r="F1006" s="332" t="s">
        <v>254</v>
      </c>
      <c r="G1006" s="329"/>
      <c r="H1006" s="333">
        <v>273.89499999999998</v>
      </c>
      <c r="I1006" s="262"/>
      <c r="J1006" s="262"/>
      <c r="K1006" s="329"/>
      <c r="L1006" s="106"/>
      <c r="M1006" s="108"/>
      <c r="N1006" s="109"/>
      <c r="O1006" s="109"/>
      <c r="P1006" s="109"/>
      <c r="Q1006" s="109"/>
      <c r="R1006" s="109"/>
      <c r="S1006" s="109"/>
      <c r="T1006" s="110"/>
      <c r="AT1006" s="107" t="s">
        <v>225</v>
      </c>
      <c r="AU1006" s="107" t="s">
        <v>77</v>
      </c>
      <c r="AV1006" s="16" t="s">
        <v>223</v>
      </c>
      <c r="AW1006" s="16" t="s">
        <v>30</v>
      </c>
      <c r="AX1006" s="16" t="s">
        <v>75</v>
      </c>
      <c r="AY1006" s="107" t="s">
        <v>216</v>
      </c>
    </row>
    <row r="1007" spans="1:65" s="2" customFormat="1" ht="21.6" customHeight="1">
      <c r="A1007" s="269"/>
      <c r="B1007" s="270"/>
      <c r="C1007" s="308" t="s">
        <v>1410</v>
      </c>
      <c r="D1007" s="308" t="s">
        <v>218</v>
      </c>
      <c r="E1007" s="309" t="s">
        <v>1411</v>
      </c>
      <c r="F1007" s="310" t="s">
        <v>1412</v>
      </c>
      <c r="G1007" s="311" t="s">
        <v>273</v>
      </c>
      <c r="H1007" s="312">
        <v>8.2899999999999991</v>
      </c>
      <c r="I1007" s="82">
        <v>0</v>
      </c>
      <c r="J1007" s="82">
        <f>ROUND(I1007*H1007,2)</f>
        <v>0</v>
      </c>
      <c r="K1007" s="310" t="s">
        <v>222</v>
      </c>
      <c r="L1007" s="24"/>
      <c r="M1007" s="83" t="s">
        <v>3</v>
      </c>
      <c r="N1007" s="84" t="s">
        <v>39</v>
      </c>
      <c r="O1007" s="85">
        <v>1.5980000000000001</v>
      </c>
      <c r="P1007" s="85">
        <f>O1007*H1007</f>
        <v>13.24742</v>
      </c>
      <c r="Q1007" s="85">
        <v>0</v>
      </c>
      <c r="R1007" s="85">
        <f>Q1007*H1007</f>
        <v>0</v>
      </c>
      <c r="S1007" s="85">
        <v>0</v>
      </c>
      <c r="T1007" s="86">
        <f>S1007*H1007</f>
        <v>0</v>
      </c>
      <c r="U1007" s="23"/>
      <c r="V1007" s="23"/>
      <c r="W1007" s="23"/>
      <c r="X1007" s="23"/>
      <c r="Y1007" s="23"/>
      <c r="Z1007" s="23"/>
      <c r="AA1007" s="23"/>
      <c r="AB1007" s="23"/>
      <c r="AC1007" s="23"/>
      <c r="AD1007" s="23"/>
      <c r="AE1007" s="23"/>
      <c r="AR1007" s="87" t="s">
        <v>305</v>
      </c>
      <c r="AT1007" s="87" t="s">
        <v>218</v>
      </c>
      <c r="AU1007" s="87" t="s">
        <v>77</v>
      </c>
      <c r="AY1007" s="19" t="s">
        <v>216</v>
      </c>
      <c r="BE1007" s="88">
        <f>IF(N1007="základní",J1007,0)</f>
        <v>0</v>
      </c>
      <c r="BF1007" s="88">
        <f>IF(N1007="snížená",J1007,0)</f>
        <v>0</v>
      </c>
      <c r="BG1007" s="88">
        <f>IF(N1007="zákl. přenesená",J1007,0)</f>
        <v>0</v>
      </c>
      <c r="BH1007" s="88">
        <f>IF(N1007="sníž. přenesená",J1007,0)</f>
        <v>0</v>
      </c>
      <c r="BI1007" s="88">
        <f>IF(N1007="nulová",J1007,0)</f>
        <v>0</v>
      </c>
      <c r="BJ1007" s="19" t="s">
        <v>75</v>
      </c>
      <c r="BK1007" s="88">
        <f>ROUND(I1007*H1007,2)</f>
        <v>0</v>
      </c>
      <c r="BL1007" s="19" t="s">
        <v>305</v>
      </c>
      <c r="BM1007" s="87" t="s">
        <v>1413</v>
      </c>
    </row>
    <row r="1008" spans="1:65" s="2" customFormat="1" ht="87.75">
      <c r="A1008" s="269"/>
      <c r="B1008" s="270"/>
      <c r="C1008" s="269"/>
      <c r="D1008" s="315" t="s">
        <v>231</v>
      </c>
      <c r="E1008" s="269"/>
      <c r="F1008" s="323" t="s">
        <v>923</v>
      </c>
      <c r="G1008" s="269"/>
      <c r="H1008" s="269"/>
      <c r="I1008" s="248"/>
      <c r="J1008" s="248"/>
      <c r="K1008" s="269"/>
      <c r="L1008" s="24"/>
      <c r="M1008" s="99"/>
      <c r="N1008" s="100"/>
      <c r="O1008" s="32"/>
      <c r="P1008" s="32"/>
      <c r="Q1008" s="32"/>
      <c r="R1008" s="32"/>
      <c r="S1008" s="32"/>
      <c r="T1008" s="33"/>
      <c r="U1008" s="23"/>
      <c r="V1008" s="23"/>
      <c r="W1008" s="23"/>
      <c r="X1008" s="23"/>
      <c r="Y1008" s="23"/>
      <c r="Z1008" s="23"/>
      <c r="AA1008" s="23"/>
      <c r="AB1008" s="23"/>
      <c r="AC1008" s="23"/>
      <c r="AD1008" s="23"/>
      <c r="AE1008" s="23"/>
      <c r="AT1008" s="19" t="s">
        <v>231</v>
      </c>
      <c r="AU1008" s="19" t="s">
        <v>77</v>
      </c>
    </row>
    <row r="1009" spans="1:65" s="2" customFormat="1" ht="21.6" customHeight="1">
      <c r="A1009" s="269"/>
      <c r="B1009" s="270"/>
      <c r="C1009" s="308" t="s">
        <v>1414</v>
      </c>
      <c r="D1009" s="308" t="s">
        <v>218</v>
      </c>
      <c r="E1009" s="309" t="s">
        <v>1415</v>
      </c>
      <c r="F1009" s="310" t="s">
        <v>1416</v>
      </c>
      <c r="G1009" s="311" t="s">
        <v>273</v>
      </c>
      <c r="H1009" s="312">
        <v>8.2899999999999991</v>
      </c>
      <c r="I1009" s="82">
        <v>0</v>
      </c>
      <c r="J1009" s="82">
        <f>ROUND(I1009*H1009,2)</f>
        <v>0</v>
      </c>
      <c r="K1009" s="310" t="s">
        <v>222</v>
      </c>
      <c r="L1009" s="24"/>
      <c r="M1009" s="83" t="s">
        <v>3</v>
      </c>
      <c r="N1009" s="84" t="s">
        <v>39</v>
      </c>
      <c r="O1009" s="85">
        <v>1.1399999999999999</v>
      </c>
      <c r="P1009" s="85">
        <f>O1009*H1009</f>
        <v>9.4505999999999979</v>
      </c>
      <c r="Q1009" s="85">
        <v>0</v>
      </c>
      <c r="R1009" s="85">
        <f>Q1009*H1009</f>
        <v>0</v>
      </c>
      <c r="S1009" s="85">
        <v>0</v>
      </c>
      <c r="T1009" s="86">
        <f>S1009*H1009</f>
        <v>0</v>
      </c>
      <c r="U1009" s="23"/>
      <c r="V1009" s="23"/>
      <c r="W1009" s="23"/>
      <c r="X1009" s="23"/>
      <c r="Y1009" s="23"/>
      <c r="Z1009" s="23"/>
      <c r="AA1009" s="23"/>
      <c r="AB1009" s="23"/>
      <c r="AC1009" s="23"/>
      <c r="AD1009" s="23"/>
      <c r="AE1009" s="23"/>
      <c r="AR1009" s="87" t="s">
        <v>305</v>
      </c>
      <c r="AT1009" s="87" t="s">
        <v>218</v>
      </c>
      <c r="AU1009" s="87" t="s">
        <v>77</v>
      </c>
      <c r="AY1009" s="19" t="s">
        <v>216</v>
      </c>
      <c r="BE1009" s="88">
        <f>IF(N1009="základní",J1009,0)</f>
        <v>0</v>
      </c>
      <c r="BF1009" s="88">
        <f>IF(N1009="snížená",J1009,0)</f>
        <v>0</v>
      </c>
      <c r="BG1009" s="88">
        <f>IF(N1009="zákl. přenesená",J1009,0)</f>
        <v>0</v>
      </c>
      <c r="BH1009" s="88">
        <f>IF(N1009="sníž. přenesená",J1009,0)</f>
        <v>0</v>
      </c>
      <c r="BI1009" s="88">
        <f>IF(N1009="nulová",J1009,0)</f>
        <v>0</v>
      </c>
      <c r="BJ1009" s="19" t="s">
        <v>75</v>
      </c>
      <c r="BK1009" s="88">
        <f>ROUND(I1009*H1009,2)</f>
        <v>0</v>
      </c>
      <c r="BL1009" s="19" t="s">
        <v>305</v>
      </c>
      <c r="BM1009" s="87" t="s">
        <v>1417</v>
      </c>
    </row>
    <row r="1010" spans="1:65" s="2" customFormat="1" ht="87.75">
      <c r="A1010" s="269"/>
      <c r="B1010" s="270"/>
      <c r="C1010" s="269"/>
      <c r="D1010" s="315" t="s">
        <v>231</v>
      </c>
      <c r="E1010" s="269"/>
      <c r="F1010" s="323" t="s">
        <v>923</v>
      </c>
      <c r="G1010" s="269"/>
      <c r="H1010" s="269"/>
      <c r="I1010" s="248"/>
      <c r="J1010" s="248"/>
      <c r="K1010" s="269"/>
      <c r="L1010" s="24"/>
      <c r="M1010" s="99"/>
      <c r="N1010" s="100"/>
      <c r="O1010" s="32"/>
      <c r="P1010" s="32"/>
      <c r="Q1010" s="32"/>
      <c r="R1010" s="32"/>
      <c r="S1010" s="32"/>
      <c r="T1010" s="33"/>
      <c r="U1010" s="23"/>
      <c r="V1010" s="23"/>
      <c r="W1010" s="23"/>
      <c r="X1010" s="23"/>
      <c r="Y1010" s="23"/>
      <c r="Z1010" s="23"/>
      <c r="AA1010" s="23"/>
      <c r="AB1010" s="23"/>
      <c r="AC1010" s="23"/>
      <c r="AD1010" s="23"/>
      <c r="AE1010" s="23"/>
      <c r="AT1010" s="19" t="s">
        <v>231</v>
      </c>
      <c r="AU1010" s="19" t="s">
        <v>77</v>
      </c>
    </row>
    <row r="1011" spans="1:65" s="12" customFormat="1" ht="22.9" customHeight="1">
      <c r="A1011" s="303"/>
      <c r="B1011" s="304"/>
      <c r="C1011" s="303"/>
      <c r="D1011" s="305" t="s">
        <v>67</v>
      </c>
      <c r="E1011" s="307" t="s">
        <v>1418</v>
      </c>
      <c r="F1011" s="307" t="s">
        <v>1419</v>
      </c>
      <c r="G1011" s="303"/>
      <c r="H1011" s="303"/>
      <c r="I1011" s="256"/>
      <c r="J1011" s="258">
        <f>BK1011</f>
        <v>0</v>
      </c>
      <c r="K1011" s="303"/>
      <c r="L1011" s="74"/>
      <c r="M1011" s="76"/>
      <c r="N1011" s="77"/>
      <c r="O1011" s="77"/>
      <c r="P1011" s="78">
        <f>SUM(P1012:P1021)</f>
        <v>20.979965999999997</v>
      </c>
      <c r="Q1011" s="77"/>
      <c r="R1011" s="78">
        <f>SUM(R1012:R1021)</f>
        <v>1.0743900000000002</v>
      </c>
      <c r="S1011" s="77"/>
      <c r="T1011" s="79">
        <f>SUM(T1012:T1021)</f>
        <v>0</v>
      </c>
      <c r="AR1011" s="75" t="s">
        <v>77</v>
      </c>
      <c r="AT1011" s="80" t="s">
        <v>67</v>
      </c>
      <c r="AU1011" s="80" t="s">
        <v>75</v>
      </c>
      <c r="AY1011" s="75" t="s">
        <v>216</v>
      </c>
      <c r="BK1011" s="81">
        <f>SUM(BK1012:BK1021)</f>
        <v>0</v>
      </c>
    </row>
    <row r="1012" spans="1:65" s="2" customFormat="1" ht="129.6" customHeight="1">
      <c r="A1012" s="269"/>
      <c r="B1012" s="270"/>
      <c r="C1012" s="308" t="s">
        <v>1420</v>
      </c>
      <c r="D1012" s="308" t="s">
        <v>218</v>
      </c>
      <c r="E1012" s="309" t="s">
        <v>1421</v>
      </c>
      <c r="F1012" s="310" t="s">
        <v>1422</v>
      </c>
      <c r="G1012" s="311" t="s">
        <v>286</v>
      </c>
      <c r="H1012" s="312">
        <v>17.7</v>
      </c>
      <c r="I1012" s="82">
        <v>0</v>
      </c>
      <c r="J1012" s="82">
        <f>ROUND(I1012*H1012,2)</f>
        <v>0</v>
      </c>
      <c r="K1012" s="310" t="s">
        <v>3</v>
      </c>
      <c r="L1012" s="24"/>
      <c r="M1012" s="83" t="s">
        <v>3</v>
      </c>
      <c r="N1012" s="84" t="s">
        <v>39</v>
      </c>
      <c r="O1012" s="85">
        <v>1.0269999999999999</v>
      </c>
      <c r="P1012" s="85">
        <f>O1012*H1012</f>
        <v>18.177899999999998</v>
      </c>
      <c r="Q1012" s="85">
        <v>1.66E-2</v>
      </c>
      <c r="R1012" s="85">
        <f>Q1012*H1012</f>
        <v>0.29381999999999997</v>
      </c>
      <c r="S1012" s="85">
        <v>0</v>
      </c>
      <c r="T1012" s="86">
        <f>S1012*H1012</f>
        <v>0</v>
      </c>
      <c r="U1012" s="23"/>
      <c r="V1012" s="23"/>
      <c r="W1012" s="23"/>
      <c r="X1012" s="23"/>
      <c r="Y1012" s="23"/>
      <c r="Z1012" s="23"/>
      <c r="AA1012" s="23"/>
      <c r="AB1012" s="23"/>
      <c r="AC1012" s="23"/>
      <c r="AD1012" s="23"/>
      <c r="AE1012" s="23"/>
      <c r="AR1012" s="87" t="s">
        <v>305</v>
      </c>
      <c r="AT1012" s="87" t="s">
        <v>218</v>
      </c>
      <c r="AU1012" s="87" t="s">
        <v>77</v>
      </c>
      <c r="AY1012" s="19" t="s">
        <v>216</v>
      </c>
      <c r="BE1012" s="88">
        <f>IF(N1012="základní",J1012,0)</f>
        <v>0</v>
      </c>
      <c r="BF1012" s="88">
        <f>IF(N1012="snížená",J1012,0)</f>
        <v>0</v>
      </c>
      <c r="BG1012" s="88">
        <f>IF(N1012="zákl. přenesená",J1012,0)</f>
        <v>0</v>
      </c>
      <c r="BH1012" s="88">
        <f>IF(N1012="sníž. přenesená",J1012,0)</f>
        <v>0</v>
      </c>
      <c r="BI1012" s="88">
        <f>IF(N1012="nulová",J1012,0)</f>
        <v>0</v>
      </c>
      <c r="BJ1012" s="19" t="s">
        <v>75</v>
      </c>
      <c r="BK1012" s="88">
        <f>ROUND(I1012*H1012,2)</f>
        <v>0</v>
      </c>
      <c r="BL1012" s="19" t="s">
        <v>305</v>
      </c>
      <c r="BM1012" s="87" t="s">
        <v>1423</v>
      </c>
    </row>
    <row r="1013" spans="1:65" s="13" customFormat="1">
      <c r="A1013" s="313"/>
      <c r="B1013" s="314"/>
      <c r="C1013" s="313"/>
      <c r="D1013" s="315" t="s">
        <v>225</v>
      </c>
      <c r="E1013" s="316" t="s">
        <v>3</v>
      </c>
      <c r="F1013" s="317" t="s">
        <v>578</v>
      </c>
      <c r="G1013" s="313"/>
      <c r="H1013" s="316" t="s">
        <v>3</v>
      </c>
      <c r="I1013" s="259"/>
      <c r="J1013" s="259"/>
      <c r="K1013" s="313"/>
      <c r="L1013" s="89"/>
      <c r="M1013" s="91"/>
      <c r="N1013" s="92"/>
      <c r="O1013" s="92"/>
      <c r="P1013" s="92"/>
      <c r="Q1013" s="92"/>
      <c r="R1013" s="92"/>
      <c r="S1013" s="92"/>
      <c r="T1013" s="93"/>
      <c r="AT1013" s="90" t="s">
        <v>225</v>
      </c>
      <c r="AU1013" s="90" t="s">
        <v>77</v>
      </c>
      <c r="AV1013" s="13" t="s">
        <v>75</v>
      </c>
      <c r="AW1013" s="13" t="s">
        <v>30</v>
      </c>
      <c r="AX1013" s="13" t="s">
        <v>68</v>
      </c>
      <c r="AY1013" s="90" t="s">
        <v>216</v>
      </c>
    </row>
    <row r="1014" spans="1:65" s="14" customFormat="1">
      <c r="A1014" s="318"/>
      <c r="B1014" s="319"/>
      <c r="C1014" s="318"/>
      <c r="D1014" s="315" t="s">
        <v>225</v>
      </c>
      <c r="E1014" s="320" t="s">
        <v>3</v>
      </c>
      <c r="F1014" s="321" t="s">
        <v>156</v>
      </c>
      <c r="G1014" s="318"/>
      <c r="H1014" s="322">
        <v>17.7</v>
      </c>
      <c r="I1014" s="260"/>
      <c r="J1014" s="260"/>
      <c r="K1014" s="318"/>
      <c r="L1014" s="94"/>
      <c r="M1014" s="96"/>
      <c r="N1014" s="97"/>
      <c r="O1014" s="97"/>
      <c r="P1014" s="97"/>
      <c r="Q1014" s="97"/>
      <c r="R1014" s="97"/>
      <c r="S1014" s="97"/>
      <c r="T1014" s="98"/>
      <c r="AT1014" s="95" t="s">
        <v>225</v>
      </c>
      <c r="AU1014" s="95" t="s">
        <v>77</v>
      </c>
      <c r="AV1014" s="14" t="s">
        <v>77</v>
      </c>
      <c r="AW1014" s="14" t="s">
        <v>30</v>
      </c>
      <c r="AX1014" s="14" t="s">
        <v>68</v>
      </c>
      <c r="AY1014" s="95" t="s">
        <v>216</v>
      </c>
    </row>
    <row r="1015" spans="1:65" s="15" customFormat="1">
      <c r="A1015" s="324"/>
      <c r="B1015" s="325"/>
      <c r="C1015" s="324"/>
      <c r="D1015" s="315" t="s">
        <v>225</v>
      </c>
      <c r="E1015" s="326" t="s">
        <v>155</v>
      </c>
      <c r="F1015" s="327" t="s">
        <v>252</v>
      </c>
      <c r="G1015" s="324"/>
      <c r="H1015" s="328">
        <v>17.7</v>
      </c>
      <c r="I1015" s="261"/>
      <c r="J1015" s="261"/>
      <c r="K1015" s="324"/>
      <c r="L1015" s="101"/>
      <c r="M1015" s="103"/>
      <c r="N1015" s="104"/>
      <c r="O1015" s="104"/>
      <c r="P1015" s="104"/>
      <c r="Q1015" s="104"/>
      <c r="R1015" s="104"/>
      <c r="S1015" s="104"/>
      <c r="T1015" s="105"/>
      <c r="AT1015" s="102" t="s">
        <v>225</v>
      </c>
      <c r="AU1015" s="102" t="s">
        <v>77</v>
      </c>
      <c r="AV1015" s="15" t="s">
        <v>100</v>
      </c>
      <c r="AW1015" s="15" t="s">
        <v>30</v>
      </c>
      <c r="AX1015" s="15" t="s">
        <v>75</v>
      </c>
      <c r="AY1015" s="102" t="s">
        <v>216</v>
      </c>
    </row>
    <row r="1016" spans="1:65" s="2" customFormat="1" ht="14.45" customHeight="1">
      <c r="A1016" s="269"/>
      <c r="B1016" s="270"/>
      <c r="C1016" s="334" t="s">
        <v>1424</v>
      </c>
      <c r="D1016" s="334" t="s">
        <v>535</v>
      </c>
      <c r="E1016" s="335" t="s">
        <v>1425</v>
      </c>
      <c r="F1016" s="336" t="s">
        <v>1426</v>
      </c>
      <c r="G1016" s="337" t="s">
        <v>286</v>
      </c>
      <c r="H1016" s="338">
        <v>18.585000000000001</v>
      </c>
      <c r="I1016" s="111">
        <v>0</v>
      </c>
      <c r="J1016" s="111">
        <f>ROUND(I1016*H1016,2)</f>
        <v>0</v>
      </c>
      <c r="K1016" s="336" t="s">
        <v>3</v>
      </c>
      <c r="L1016" s="112"/>
      <c r="M1016" s="113" t="s">
        <v>3</v>
      </c>
      <c r="N1016" s="114" t="s">
        <v>39</v>
      </c>
      <c r="O1016" s="85">
        <v>0</v>
      </c>
      <c r="P1016" s="85">
        <f>O1016*H1016</f>
        <v>0</v>
      </c>
      <c r="Q1016" s="85">
        <v>4.2000000000000003E-2</v>
      </c>
      <c r="R1016" s="85">
        <f>Q1016*H1016</f>
        <v>0.7805700000000001</v>
      </c>
      <c r="S1016" s="85">
        <v>0</v>
      </c>
      <c r="T1016" s="86">
        <f>S1016*H1016</f>
        <v>0</v>
      </c>
      <c r="U1016" s="23"/>
      <c r="V1016" s="23"/>
      <c r="W1016" s="23"/>
      <c r="X1016" s="23"/>
      <c r="Y1016" s="23"/>
      <c r="Z1016" s="23"/>
      <c r="AA1016" s="23"/>
      <c r="AB1016" s="23"/>
      <c r="AC1016" s="23"/>
      <c r="AD1016" s="23"/>
      <c r="AE1016" s="23"/>
      <c r="AR1016" s="87" t="s">
        <v>410</v>
      </c>
      <c r="AT1016" s="87" t="s">
        <v>535</v>
      </c>
      <c r="AU1016" s="87" t="s">
        <v>77</v>
      </c>
      <c r="AY1016" s="19" t="s">
        <v>216</v>
      </c>
      <c r="BE1016" s="88">
        <f>IF(N1016="základní",J1016,0)</f>
        <v>0</v>
      </c>
      <c r="BF1016" s="88">
        <f>IF(N1016="snížená",J1016,0)</f>
        <v>0</v>
      </c>
      <c r="BG1016" s="88">
        <f>IF(N1016="zákl. přenesená",J1016,0)</f>
        <v>0</v>
      </c>
      <c r="BH1016" s="88">
        <f>IF(N1016="sníž. přenesená",J1016,0)</f>
        <v>0</v>
      </c>
      <c r="BI1016" s="88">
        <f>IF(N1016="nulová",J1016,0)</f>
        <v>0</v>
      </c>
      <c r="BJ1016" s="19" t="s">
        <v>75</v>
      </c>
      <c r="BK1016" s="88">
        <f>ROUND(I1016*H1016,2)</f>
        <v>0</v>
      </c>
      <c r="BL1016" s="19" t="s">
        <v>305</v>
      </c>
      <c r="BM1016" s="87" t="s">
        <v>1427</v>
      </c>
    </row>
    <row r="1017" spans="1:65" s="14" customFormat="1">
      <c r="A1017" s="318"/>
      <c r="B1017" s="319"/>
      <c r="C1017" s="318"/>
      <c r="D1017" s="315" t="s">
        <v>225</v>
      </c>
      <c r="E1017" s="318"/>
      <c r="F1017" s="321" t="s">
        <v>1428</v>
      </c>
      <c r="G1017" s="318"/>
      <c r="H1017" s="322">
        <v>18.585000000000001</v>
      </c>
      <c r="I1017" s="260"/>
      <c r="J1017" s="260"/>
      <c r="K1017" s="318"/>
      <c r="L1017" s="94"/>
      <c r="M1017" s="96"/>
      <c r="N1017" s="97"/>
      <c r="O1017" s="97"/>
      <c r="P1017" s="97"/>
      <c r="Q1017" s="97"/>
      <c r="R1017" s="97"/>
      <c r="S1017" s="97"/>
      <c r="T1017" s="98"/>
      <c r="AT1017" s="95" t="s">
        <v>225</v>
      </c>
      <c r="AU1017" s="95" t="s">
        <v>77</v>
      </c>
      <c r="AV1017" s="14" t="s">
        <v>77</v>
      </c>
      <c r="AW1017" s="14" t="s">
        <v>4</v>
      </c>
      <c r="AX1017" s="14" t="s">
        <v>75</v>
      </c>
      <c r="AY1017" s="95" t="s">
        <v>216</v>
      </c>
    </row>
    <row r="1018" spans="1:65" s="2" customFormat="1" ht="21.6" customHeight="1">
      <c r="A1018" s="269"/>
      <c r="B1018" s="270"/>
      <c r="C1018" s="308" t="s">
        <v>1429</v>
      </c>
      <c r="D1018" s="308" t="s">
        <v>218</v>
      </c>
      <c r="E1018" s="309" t="s">
        <v>1430</v>
      </c>
      <c r="F1018" s="310" t="s">
        <v>1431</v>
      </c>
      <c r="G1018" s="311" t="s">
        <v>273</v>
      </c>
      <c r="H1018" s="312">
        <v>1.0740000000000001</v>
      </c>
      <c r="I1018" s="82">
        <v>0</v>
      </c>
      <c r="J1018" s="82">
        <f>ROUND(I1018*H1018,2)</f>
        <v>0</v>
      </c>
      <c r="K1018" s="310" t="s">
        <v>222</v>
      </c>
      <c r="L1018" s="24"/>
      <c r="M1018" s="83" t="s">
        <v>3</v>
      </c>
      <c r="N1018" s="84" t="s">
        <v>39</v>
      </c>
      <c r="O1018" s="85">
        <v>1.4990000000000001</v>
      </c>
      <c r="P1018" s="85">
        <f>O1018*H1018</f>
        <v>1.6099260000000002</v>
      </c>
      <c r="Q1018" s="85">
        <v>0</v>
      </c>
      <c r="R1018" s="85">
        <f>Q1018*H1018</f>
        <v>0</v>
      </c>
      <c r="S1018" s="85">
        <v>0</v>
      </c>
      <c r="T1018" s="86">
        <f>S1018*H1018</f>
        <v>0</v>
      </c>
      <c r="U1018" s="23"/>
      <c r="V1018" s="23"/>
      <c r="W1018" s="23"/>
      <c r="X1018" s="23"/>
      <c r="Y1018" s="23"/>
      <c r="Z1018" s="23"/>
      <c r="AA1018" s="23"/>
      <c r="AB1018" s="23"/>
      <c r="AC1018" s="23"/>
      <c r="AD1018" s="23"/>
      <c r="AE1018" s="23"/>
      <c r="AR1018" s="87" t="s">
        <v>305</v>
      </c>
      <c r="AT1018" s="87" t="s">
        <v>218</v>
      </c>
      <c r="AU1018" s="87" t="s">
        <v>77</v>
      </c>
      <c r="AY1018" s="19" t="s">
        <v>216</v>
      </c>
      <c r="BE1018" s="88">
        <f>IF(N1018="základní",J1018,0)</f>
        <v>0</v>
      </c>
      <c r="BF1018" s="88">
        <f>IF(N1018="snížená",J1018,0)</f>
        <v>0</v>
      </c>
      <c r="BG1018" s="88">
        <f>IF(N1018="zákl. přenesená",J1018,0)</f>
        <v>0</v>
      </c>
      <c r="BH1018" s="88">
        <f>IF(N1018="sníž. přenesená",J1018,0)</f>
        <v>0</v>
      </c>
      <c r="BI1018" s="88">
        <f>IF(N1018="nulová",J1018,0)</f>
        <v>0</v>
      </c>
      <c r="BJ1018" s="19" t="s">
        <v>75</v>
      </c>
      <c r="BK1018" s="88">
        <f>ROUND(I1018*H1018,2)</f>
        <v>0</v>
      </c>
      <c r="BL1018" s="19" t="s">
        <v>305</v>
      </c>
      <c r="BM1018" s="87" t="s">
        <v>1432</v>
      </c>
    </row>
    <row r="1019" spans="1:65" s="2" customFormat="1" ht="87.75">
      <c r="A1019" s="269"/>
      <c r="B1019" s="270"/>
      <c r="C1019" s="269"/>
      <c r="D1019" s="315" t="s">
        <v>231</v>
      </c>
      <c r="E1019" s="269"/>
      <c r="F1019" s="323" t="s">
        <v>1433</v>
      </c>
      <c r="G1019" s="269"/>
      <c r="H1019" s="269"/>
      <c r="I1019" s="248"/>
      <c r="J1019" s="248"/>
      <c r="K1019" s="269"/>
      <c r="L1019" s="24"/>
      <c r="M1019" s="99"/>
      <c r="N1019" s="100"/>
      <c r="O1019" s="32"/>
      <c r="P1019" s="32"/>
      <c r="Q1019" s="32"/>
      <c r="R1019" s="32"/>
      <c r="S1019" s="32"/>
      <c r="T1019" s="33"/>
      <c r="U1019" s="23"/>
      <c r="V1019" s="23"/>
      <c r="W1019" s="23"/>
      <c r="X1019" s="23"/>
      <c r="Y1019" s="23"/>
      <c r="Z1019" s="23"/>
      <c r="AA1019" s="23"/>
      <c r="AB1019" s="23"/>
      <c r="AC1019" s="23"/>
      <c r="AD1019" s="23"/>
      <c r="AE1019" s="23"/>
      <c r="AT1019" s="19" t="s">
        <v>231</v>
      </c>
      <c r="AU1019" s="19" t="s">
        <v>77</v>
      </c>
    </row>
    <row r="1020" spans="1:65" s="2" customFormat="1" ht="32.450000000000003" customHeight="1">
      <c r="A1020" s="269"/>
      <c r="B1020" s="270"/>
      <c r="C1020" s="308" t="s">
        <v>1434</v>
      </c>
      <c r="D1020" s="308" t="s">
        <v>218</v>
      </c>
      <c r="E1020" s="309" t="s">
        <v>1435</v>
      </c>
      <c r="F1020" s="310" t="s">
        <v>1436</v>
      </c>
      <c r="G1020" s="311" t="s">
        <v>273</v>
      </c>
      <c r="H1020" s="312">
        <v>1.0740000000000001</v>
      </c>
      <c r="I1020" s="82">
        <v>0</v>
      </c>
      <c r="J1020" s="82">
        <f>ROUND(I1020*H1020,2)</f>
        <v>0</v>
      </c>
      <c r="K1020" s="310" t="s">
        <v>222</v>
      </c>
      <c r="L1020" s="24"/>
      <c r="M1020" s="83" t="s">
        <v>3</v>
      </c>
      <c r="N1020" s="84" t="s">
        <v>39</v>
      </c>
      <c r="O1020" s="85">
        <v>1.1100000000000001</v>
      </c>
      <c r="P1020" s="85">
        <f>O1020*H1020</f>
        <v>1.1921400000000002</v>
      </c>
      <c r="Q1020" s="85">
        <v>0</v>
      </c>
      <c r="R1020" s="85">
        <f>Q1020*H1020</f>
        <v>0</v>
      </c>
      <c r="S1020" s="85">
        <v>0</v>
      </c>
      <c r="T1020" s="86">
        <f>S1020*H1020</f>
        <v>0</v>
      </c>
      <c r="U1020" s="23"/>
      <c r="V1020" s="23"/>
      <c r="W1020" s="23"/>
      <c r="X1020" s="23"/>
      <c r="Y1020" s="23"/>
      <c r="Z1020" s="23"/>
      <c r="AA1020" s="23"/>
      <c r="AB1020" s="23"/>
      <c r="AC1020" s="23"/>
      <c r="AD1020" s="23"/>
      <c r="AE1020" s="23"/>
      <c r="AR1020" s="87" t="s">
        <v>305</v>
      </c>
      <c r="AT1020" s="87" t="s">
        <v>218</v>
      </c>
      <c r="AU1020" s="87" t="s">
        <v>77</v>
      </c>
      <c r="AY1020" s="19" t="s">
        <v>216</v>
      </c>
      <c r="BE1020" s="88">
        <f>IF(N1020="základní",J1020,0)</f>
        <v>0</v>
      </c>
      <c r="BF1020" s="88">
        <f>IF(N1020="snížená",J1020,0)</f>
        <v>0</v>
      </c>
      <c r="BG1020" s="88">
        <f>IF(N1020="zákl. přenesená",J1020,0)</f>
        <v>0</v>
      </c>
      <c r="BH1020" s="88">
        <f>IF(N1020="sníž. přenesená",J1020,0)</f>
        <v>0</v>
      </c>
      <c r="BI1020" s="88">
        <f>IF(N1020="nulová",J1020,0)</f>
        <v>0</v>
      </c>
      <c r="BJ1020" s="19" t="s">
        <v>75</v>
      </c>
      <c r="BK1020" s="88">
        <f>ROUND(I1020*H1020,2)</f>
        <v>0</v>
      </c>
      <c r="BL1020" s="19" t="s">
        <v>305</v>
      </c>
      <c r="BM1020" s="87" t="s">
        <v>1437</v>
      </c>
    </row>
    <row r="1021" spans="1:65" s="2" customFormat="1" ht="87.75">
      <c r="A1021" s="269"/>
      <c r="B1021" s="270"/>
      <c r="C1021" s="269"/>
      <c r="D1021" s="315" t="s">
        <v>231</v>
      </c>
      <c r="E1021" s="269"/>
      <c r="F1021" s="323" t="s">
        <v>1433</v>
      </c>
      <c r="G1021" s="269"/>
      <c r="H1021" s="269"/>
      <c r="I1021" s="248"/>
      <c r="J1021" s="248"/>
      <c r="K1021" s="269"/>
      <c r="L1021" s="24"/>
      <c r="M1021" s="99"/>
      <c r="N1021" s="100"/>
      <c r="O1021" s="32"/>
      <c r="P1021" s="32"/>
      <c r="Q1021" s="32"/>
      <c r="R1021" s="32"/>
      <c r="S1021" s="32"/>
      <c r="T1021" s="33"/>
      <c r="U1021" s="23"/>
      <c r="V1021" s="23"/>
      <c r="W1021" s="23"/>
      <c r="X1021" s="23"/>
      <c r="Y1021" s="23"/>
      <c r="Z1021" s="23"/>
      <c r="AA1021" s="23"/>
      <c r="AB1021" s="23"/>
      <c r="AC1021" s="23"/>
      <c r="AD1021" s="23"/>
      <c r="AE1021" s="23"/>
      <c r="AT1021" s="19" t="s">
        <v>231</v>
      </c>
      <c r="AU1021" s="19" t="s">
        <v>77</v>
      </c>
    </row>
    <row r="1022" spans="1:65" s="12" customFormat="1" ht="22.9" customHeight="1">
      <c r="A1022" s="303"/>
      <c r="B1022" s="304"/>
      <c r="C1022" s="303"/>
      <c r="D1022" s="305" t="s">
        <v>67</v>
      </c>
      <c r="E1022" s="307" t="s">
        <v>1438</v>
      </c>
      <c r="F1022" s="307" t="s">
        <v>1439</v>
      </c>
      <c r="G1022" s="303"/>
      <c r="H1022" s="303"/>
      <c r="I1022" s="256"/>
      <c r="J1022" s="258">
        <f>BK1022</f>
        <v>0</v>
      </c>
      <c r="K1022" s="303"/>
      <c r="L1022" s="74"/>
      <c r="M1022" s="76"/>
      <c r="N1022" s="77"/>
      <c r="O1022" s="77"/>
      <c r="P1022" s="78">
        <f>SUM(P1023:P1061)</f>
        <v>41.280889000000002</v>
      </c>
      <c r="Q1022" s="77"/>
      <c r="R1022" s="78">
        <f>SUM(R1023:R1061)</f>
        <v>0.1187204</v>
      </c>
      <c r="S1022" s="77"/>
      <c r="T1022" s="79">
        <f>SUM(T1023:T1061)</f>
        <v>0</v>
      </c>
      <c r="AR1022" s="75" t="s">
        <v>77</v>
      </c>
      <c r="AT1022" s="80" t="s">
        <v>67</v>
      </c>
      <c r="AU1022" s="80" t="s">
        <v>75</v>
      </c>
      <c r="AY1022" s="75" t="s">
        <v>216</v>
      </c>
      <c r="BK1022" s="81">
        <f>SUM(BK1023:BK1061)</f>
        <v>0</v>
      </c>
    </row>
    <row r="1023" spans="1:65" s="2" customFormat="1" ht="14.45" customHeight="1">
      <c r="A1023" s="269"/>
      <c r="B1023" s="270"/>
      <c r="C1023" s="308" t="s">
        <v>1440</v>
      </c>
      <c r="D1023" s="308" t="s">
        <v>218</v>
      </c>
      <c r="E1023" s="309" t="s">
        <v>1441</v>
      </c>
      <c r="F1023" s="310" t="s">
        <v>1442</v>
      </c>
      <c r="G1023" s="311" t="s">
        <v>286</v>
      </c>
      <c r="H1023" s="312">
        <v>28.5</v>
      </c>
      <c r="I1023" s="82">
        <v>0</v>
      </c>
      <c r="J1023" s="82">
        <f>ROUND(I1023*H1023,2)</f>
        <v>0</v>
      </c>
      <c r="K1023" s="310" t="s">
        <v>222</v>
      </c>
      <c r="L1023" s="24"/>
      <c r="M1023" s="83" t="s">
        <v>3</v>
      </c>
      <c r="N1023" s="84" t="s">
        <v>39</v>
      </c>
      <c r="O1023" s="85">
        <v>7.2999999999999995E-2</v>
      </c>
      <c r="P1023" s="85">
        <f>O1023*H1023</f>
        <v>2.0804999999999998</v>
      </c>
      <c r="Q1023" s="85">
        <v>0</v>
      </c>
      <c r="R1023" s="85">
        <f>Q1023*H1023</f>
        <v>0</v>
      </c>
      <c r="S1023" s="85">
        <v>0</v>
      </c>
      <c r="T1023" s="86">
        <f>S1023*H1023</f>
        <v>0</v>
      </c>
      <c r="U1023" s="23"/>
      <c r="V1023" s="23"/>
      <c r="W1023" s="23"/>
      <c r="X1023" s="23"/>
      <c r="Y1023" s="23"/>
      <c r="Z1023" s="23"/>
      <c r="AA1023" s="23"/>
      <c r="AB1023" s="23"/>
      <c r="AC1023" s="23"/>
      <c r="AD1023" s="23"/>
      <c r="AE1023" s="23"/>
      <c r="AR1023" s="87" t="s">
        <v>305</v>
      </c>
      <c r="AT1023" s="87" t="s">
        <v>218</v>
      </c>
      <c r="AU1023" s="87" t="s">
        <v>77</v>
      </c>
      <c r="AY1023" s="19" t="s">
        <v>216</v>
      </c>
      <c r="BE1023" s="88">
        <f>IF(N1023="základní",J1023,0)</f>
        <v>0</v>
      </c>
      <c r="BF1023" s="88">
        <f>IF(N1023="snížená",J1023,0)</f>
        <v>0</v>
      </c>
      <c r="BG1023" s="88">
        <f>IF(N1023="zákl. přenesená",J1023,0)</f>
        <v>0</v>
      </c>
      <c r="BH1023" s="88">
        <f>IF(N1023="sníž. přenesená",J1023,0)</f>
        <v>0</v>
      </c>
      <c r="BI1023" s="88">
        <f>IF(N1023="nulová",J1023,0)</f>
        <v>0</v>
      </c>
      <c r="BJ1023" s="19" t="s">
        <v>75</v>
      </c>
      <c r="BK1023" s="88">
        <f>ROUND(I1023*H1023,2)</f>
        <v>0</v>
      </c>
      <c r="BL1023" s="19" t="s">
        <v>305</v>
      </c>
      <c r="BM1023" s="87" t="s">
        <v>1443</v>
      </c>
    </row>
    <row r="1024" spans="1:65" s="2" customFormat="1" ht="58.5">
      <c r="A1024" s="269"/>
      <c r="B1024" s="270"/>
      <c r="C1024" s="269"/>
      <c r="D1024" s="315" t="s">
        <v>231</v>
      </c>
      <c r="E1024" s="269"/>
      <c r="F1024" s="323" t="s">
        <v>1444</v>
      </c>
      <c r="G1024" s="269"/>
      <c r="H1024" s="269"/>
      <c r="I1024" s="248"/>
      <c r="J1024" s="248"/>
      <c r="K1024" s="269"/>
      <c r="L1024" s="24"/>
      <c r="M1024" s="99"/>
      <c r="N1024" s="100"/>
      <c r="O1024" s="32"/>
      <c r="P1024" s="32"/>
      <c r="Q1024" s="32"/>
      <c r="R1024" s="32"/>
      <c r="S1024" s="32"/>
      <c r="T1024" s="33"/>
      <c r="U1024" s="23"/>
      <c r="V1024" s="23"/>
      <c r="W1024" s="23"/>
      <c r="X1024" s="23"/>
      <c r="Y1024" s="23"/>
      <c r="Z1024" s="23"/>
      <c r="AA1024" s="23"/>
      <c r="AB1024" s="23"/>
      <c r="AC1024" s="23"/>
      <c r="AD1024" s="23"/>
      <c r="AE1024" s="23"/>
      <c r="AT1024" s="19" t="s">
        <v>231</v>
      </c>
      <c r="AU1024" s="19" t="s">
        <v>77</v>
      </c>
    </row>
    <row r="1025" spans="1:65" s="13" customFormat="1">
      <c r="A1025" s="313"/>
      <c r="B1025" s="314"/>
      <c r="C1025" s="313"/>
      <c r="D1025" s="315" t="s">
        <v>225</v>
      </c>
      <c r="E1025" s="316" t="s">
        <v>3</v>
      </c>
      <c r="F1025" s="317" t="s">
        <v>578</v>
      </c>
      <c r="G1025" s="313"/>
      <c r="H1025" s="316" t="s">
        <v>3</v>
      </c>
      <c r="I1025" s="259"/>
      <c r="J1025" s="259"/>
      <c r="K1025" s="313"/>
      <c r="L1025" s="89"/>
      <c r="M1025" s="91"/>
      <c r="N1025" s="92"/>
      <c r="O1025" s="92"/>
      <c r="P1025" s="92"/>
      <c r="Q1025" s="92"/>
      <c r="R1025" s="92"/>
      <c r="S1025" s="92"/>
      <c r="T1025" s="93"/>
      <c r="AT1025" s="90" t="s">
        <v>225</v>
      </c>
      <c r="AU1025" s="90" t="s">
        <v>77</v>
      </c>
      <c r="AV1025" s="13" t="s">
        <v>75</v>
      </c>
      <c r="AW1025" s="13" t="s">
        <v>30</v>
      </c>
      <c r="AX1025" s="13" t="s">
        <v>68</v>
      </c>
      <c r="AY1025" s="90" t="s">
        <v>216</v>
      </c>
    </row>
    <row r="1026" spans="1:65" s="13" customFormat="1">
      <c r="A1026" s="313"/>
      <c r="B1026" s="314"/>
      <c r="C1026" s="313"/>
      <c r="D1026" s="315" t="s">
        <v>225</v>
      </c>
      <c r="E1026" s="316" t="s">
        <v>3</v>
      </c>
      <c r="F1026" s="317" t="s">
        <v>1445</v>
      </c>
      <c r="G1026" s="313"/>
      <c r="H1026" s="316" t="s">
        <v>3</v>
      </c>
      <c r="I1026" s="259"/>
      <c r="J1026" s="259"/>
      <c r="K1026" s="313"/>
      <c r="L1026" s="89"/>
      <c r="M1026" s="91"/>
      <c r="N1026" s="92"/>
      <c r="O1026" s="92"/>
      <c r="P1026" s="92"/>
      <c r="Q1026" s="92"/>
      <c r="R1026" s="92"/>
      <c r="S1026" s="92"/>
      <c r="T1026" s="93"/>
      <c r="AT1026" s="90" t="s">
        <v>225</v>
      </c>
      <c r="AU1026" s="90" t="s">
        <v>77</v>
      </c>
      <c r="AV1026" s="13" t="s">
        <v>75</v>
      </c>
      <c r="AW1026" s="13" t="s">
        <v>30</v>
      </c>
      <c r="AX1026" s="13" t="s">
        <v>68</v>
      </c>
      <c r="AY1026" s="90" t="s">
        <v>216</v>
      </c>
    </row>
    <row r="1027" spans="1:65" s="14" customFormat="1">
      <c r="A1027" s="318"/>
      <c r="B1027" s="319"/>
      <c r="C1027" s="318"/>
      <c r="D1027" s="315" t="s">
        <v>225</v>
      </c>
      <c r="E1027" s="320" t="s">
        <v>3</v>
      </c>
      <c r="F1027" s="321" t="s">
        <v>1446</v>
      </c>
      <c r="G1027" s="318"/>
      <c r="H1027" s="322">
        <v>28.5</v>
      </c>
      <c r="I1027" s="260"/>
      <c r="J1027" s="260"/>
      <c r="K1027" s="318"/>
      <c r="L1027" s="94"/>
      <c r="M1027" s="96"/>
      <c r="N1027" s="97"/>
      <c r="O1027" s="97"/>
      <c r="P1027" s="97"/>
      <c r="Q1027" s="97"/>
      <c r="R1027" s="97"/>
      <c r="S1027" s="97"/>
      <c r="T1027" s="98"/>
      <c r="AT1027" s="95" t="s">
        <v>225</v>
      </c>
      <c r="AU1027" s="95" t="s">
        <v>77</v>
      </c>
      <c r="AV1027" s="14" t="s">
        <v>77</v>
      </c>
      <c r="AW1027" s="14" t="s">
        <v>30</v>
      </c>
      <c r="AX1027" s="14" t="s">
        <v>68</v>
      </c>
      <c r="AY1027" s="95" t="s">
        <v>216</v>
      </c>
    </row>
    <row r="1028" spans="1:65" s="15" customFormat="1">
      <c r="A1028" s="324"/>
      <c r="B1028" s="325"/>
      <c r="C1028" s="324"/>
      <c r="D1028" s="315" t="s">
        <v>225</v>
      </c>
      <c r="E1028" s="326" t="s">
        <v>152</v>
      </c>
      <c r="F1028" s="327" t="s">
        <v>252</v>
      </c>
      <c r="G1028" s="324"/>
      <c r="H1028" s="328">
        <v>28.5</v>
      </c>
      <c r="I1028" s="261"/>
      <c r="J1028" s="261"/>
      <c r="K1028" s="324"/>
      <c r="L1028" s="101"/>
      <c r="M1028" s="103"/>
      <c r="N1028" s="104"/>
      <c r="O1028" s="104"/>
      <c r="P1028" s="104"/>
      <c r="Q1028" s="104"/>
      <c r="R1028" s="104"/>
      <c r="S1028" s="104"/>
      <c r="T1028" s="105"/>
      <c r="AT1028" s="102" t="s">
        <v>225</v>
      </c>
      <c r="AU1028" s="102" t="s">
        <v>77</v>
      </c>
      <c r="AV1028" s="15" t="s">
        <v>100</v>
      </c>
      <c r="AW1028" s="15" t="s">
        <v>30</v>
      </c>
      <c r="AX1028" s="15" t="s">
        <v>75</v>
      </c>
      <c r="AY1028" s="102" t="s">
        <v>216</v>
      </c>
    </row>
    <row r="1029" spans="1:65" s="2" customFormat="1" ht="14.45" customHeight="1">
      <c r="A1029" s="269"/>
      <c r="B1029" s="270"/>
      <c r="C1029" s="308" t="s">
        <v>1447</v>
      </c>
      <c r="D1029" s="308" t="s">
        <v>218</v>
      </c>
      <c r="E1029" s="309" t="s">
        <v>1448</v>
      </c>
      <c r="F1029" s="310" t="s">
        <v>1449</v>
      </c>
      <c r="G1029" s="311" t="s">
        <v>286</v>
      </c>
      <c r="H1029" s="312">
        <v>28.5</v>
      </c>
      <c r="I1029" s="82">
        <v>0</v>
      </c>
      <c r="J1029" s="82">
        <f>ROUND(I1029*H1029,2)</f>
        <v>0</v>
      </c>
      <c r="K1029" s="310" t="s">
        <v>222</v>
      </c>
      <c r="L1029" s="24"/>
      <c r="M1029" s="83" t="s">
        <v>3</v>
      </c>
      <c r="N1029" s="84" t="s">
        <v>39</v>
      </c>
      <c r="O1029" s="85">
        <v>2.4E-2</v>
      </c>
      <c r="P1029" s="85">
        <f>O1029*H1029</f>
        <v>0.68400000000000005</v>
      </c>
      <c r="Q1029" s="85">
        <v>0</v>
      </c>
      <c r="R1029" s="85">
        <f>Q1029*H1029</f>
        <v>0</v>
      </c>
      <c r="S1029" s="85">
        <v>0</v>
      </c>
      <c r="T1029" s="86">
        <f>S1029*H1029</f>
        <v>0</v>
      </c>
      <c r="U1029" s="23"/>
      <c r="V1029" s="23"/>
      <c r="W1029" s="23"/>
      <c r="X1029" s="23"/>
      <c r="Y1029" s="23"/>
      <c r="Z1029" s="23"/>
      <c r="AA1029" s="23"/>
      <c r="AB1029" s="23"/>
      <c r="AC1029" s="23"/>
      <c r="AD1029" s="23"/>
      <c r="AE1029" s="23"/>
      <c r="AR1029" s="87" t="s">
        <v>305</v>
      </c>
      <c r="AT1029" s="87" t="s">
        <v>218</v>
      </c>
      <c r="AU1029" s="87" t="s">
        <v>77</v>
      </c>
      <c r="AY1029" s="19" t="s">
        <v>216</v>
      </c>
      <c r="BE1029" s="88">
        <f>IF(N1029="základní",J1029,0)</f>
        <v>0</v>
      </c>
      <c r="BF1029" s="88">
        <f>IF(N1029="snížená",J1029,0)</f>
        <v>0</v>
      </c>
      <c r="BG1029" s="88">
        <f>IF(N1029="zákl. přenesená",J1029,0)</f>
        <v>0</v>
      </c>
      <c r="BH1029" s="88">
        <f>IF(N1029="sníž. přenesená",J1029,0)</f>
        <v>0</v>
      </c>
      <c r="BI1029" s="88">
        <f>IF(N1029="nulová",J1029,0)</f>
        <v>0</v>
      </c>
      <c r="BJ1029" s="19" t="s">
        <v>75</v>
      </c>
      <c r="BK1029" s="88">
        <f>ROUND(I1029*H1029,2)</f>
        <v>0</v>
      </c>
      <c r="BL1029" s="19" t="s">
        <v>305</v>
      </c>
      <c r="BM1029" s="87" t="s">
        <v>1450</v>
      </c>
    </row>
    <row r="1030" spans="1:65" s="2" customFormat="1" ht="58.5">
      <c r="A1030" s="269"/>
      <c r="B1030" s="270"/>
      <c r="C1030" s="269"/>
      <c r="D1030" s="315" t="s">
        <v>231</v>
      </c>
      <c r="E1030" s="269"/>
      <c r="F1030" s="323" t="s">
        <v>1444</v>
      </c>
      <c r="G1030" s="269"/>
      <c r="H1030" s="269"/>
      <c r="I1030" s="248"/>
      <c r="J1030" s="248"/>
      <c r="K1030" s="269"/>
      <c r="L1030" s="24"/>
      <c r="M1030" s="99"/>
      <c r="N1030" s="100"/>
      <c r="O1030" s="32"/>
      <c r="P1030" s="32"/>
      <c r="Q1030" s="32"/>
      <c r="R1030" s="32"/>
      <c r="S1030" s="32"/>
      <c r="T1030" s="33"/>
      <c r="U1030" s="23"/>
      <c r="V1030" s="23"/>
      <c r="W1030" s="23"/>
      <c r="X1030" s="23"/>
      <c r="Y1030" s="23"/>
      <c r="Z1030" s="23"/>
      <c r="AA1030" s="23"/>
      <c r="AB1030" s="23"/>
      <c r="AC1030" s="23"/>
      <c r="AD1030" s="23"/>
      <c r="AE1030" s="23"/>
      <c r="AT1030" s="19" t="s">
        <v>231</v>
      </c>
      <c r="AU1030" s="19" t="s">
        <v>77</v>
      </c>
    </row>
    <row r="1031" spans="1:65" s="13" customFormat="1">
      <c r="A1031" s="313"/>
      <c r="B1031" s="314"/>
      <c r="C1031" s="313"/>
      <c r="D1031" s="315" t="s">
        <v>225</v>
      </c>
      <c r="E1031" s="316" t="s">
        <v>3</v>
      </c>
      <c r="F1031" s="317" t="s">
        <v>578</v>
      </c>
      <c r="G1031" s="313"/>
      <c r="H1031" s="316" t="s">
        <v>3</v>
      </c>
      <c r="I1031" s="259"/>
      <c r="J1031" s="259"/>
      <c r="K1031" s="313"/>
      <c r="L1031" s="89"/>
      <c r="M1031" s="91"/>
      <c r="N1031" s="92"/>
      <c r="O1031" s="92"/>
      <c r="P1031" s="92"/>
      <c r="Q1031" s="92"/>
      <c r="R1031" s="92"/>
      <c r="S1031" s="92"/>
      <c r="T1031" s="93"/>
      <c r="AT1031" s="90" t="s">
        <v>225</v>
      </c>
      <c r="AU1031" s="90" t="s">
        <v>77</v>
      </c>
      <c r="AV1031" s="13" t="s">
        <v>75</v>
      </c>
      <c r="AW1031" s="13" t="s">
        <v>30</v>
      </c>
      <c r="AX1031" s="13" t="s">
        <v>68</v>
      </c>
      <c r="AY1031" s="90" t="s">
        <v>216</v>
      </c>
    </row>
    <row r="1032" spans="1:65" s="14" customFormat="1">
      <c r="A1032" s="318"/>
      <c r="B1032" s="319"/>
      <c r="C1032" s="318"/>
      <c r="D1032" s="315" t="s">
        <v>225</v>
      </c>
      <c r="E1032" s="320" t="s">
        <v>3</v>
      </c>
      <c r="F1032" s="321" t="s">
        <v>152</v>
      </c>
      <c r="G1032" s="318"/>
      <c r="H1032" s="322">
        <v>28.5</v>
      </c>
      <c r="I1032" s="260"/>
      <c r="J1032" s="260"/>
      <c r="K1032" s="318"/>
      <c r="L1032" s="94"/>
      <c r="M1032" s="96"/>
      <c r="N1032" s="97"/>
      <c r="O1032" s="97"/>
      <c r="P1032" s="97"/>
      <c r="Q1032" s="97"/>
      <c r="R1032" s="97"/>
      <c r="S1032" s="97"/>
      <c r="T1032" s="98"/>
      <c r="AT1032" s="95" t="s">
        <v>225</v>
      </c>
      <c r="AU1032" s="95" t="s">
        <v>77</v>
      </c>
      <c r="AV1032" s="14" t="s">
        <v>77</v>
      </c>
      <c r="AW1032" s="14" t="s">
        <v>30</v>
      </c>
      <c r="AX1032" s="14" t="s">
        <v>75</v>
      </c>
      <c r="AY1032" s="95" t="s">
        <v>216</v>
      </c>
    </row>
    <row r="1033" spans="1:65" s="2" customFormat="1" ht="21.6" customHeight="1">
      <c r="A1033" s="269"/>
      <c r="B1033" s="270"/>
      <c r="C1033" s="308" t="s">
        <v>1451</v>
      </c>
      <c r="D1033" s="308" t="s">
        <v>218</v>
      </c>
      <c r="E1033" s="309" t="s">
        <v>1452</v>
      </c>
      <c r="F1033" s="310" t="s">
        <v>1453</v>
      </c>
      <c r="G1033" s="311" t="s">
        <v>286</v>
      </c>
      <c r="H1033" s="312">
        <v>28.5</v>
      </c>
      <c r="I1033" s="82">
        <v>0</v>
      </c>
      <c r="J1033" s="82">
        <f>ROUND(I1033*H1033,2)</f>
        <v>0</v>
      </c>
      <c r="K1033" s="310" t="s">
        <v>222</v>
      </c>
      <c r="L1033" s="24"/>
      <c r="M1033" s="83" t="s">
        <v>3</v>
      </c>
      <c r="N1033" s="84" t="s">
        <v>39</v>
      </c>
      <c r="O1033" s="85">
        <v>5.8000000000000003E-2</v>
      </c>
      <c r="P1033" s="85">
        <f>O1033*H1033</f>
        <v>1.653</v>
      </c>
      <c r="Q1033" s="85">
        <v>6.9999999999999994E-5</v>
      </c>
      <c r="R1033" s="85">
        <f>Q1033*H1033</f>
        <v>1.9949999999999998E-3</v>
      </c>
      <c r="S1033" s="85">
        <v>0</v>
      </c>
      <c r="T1033" s="86">
        <f>S1033*H1033</f>
        <v>0</v>
      </c>
      <c r="U1033" s="23"/>
      <c r="V1033" s="23"/>
      <c r="W1033" s="23"/>
      <c r="X1033" s="23"/>
      <c r="Y1033" s="23"/>
      <c r="Z1033" s="23"/>
      <c r="AA1033" s="23"/>
      <c r="AB1033" s="23"/>
      <c r="AC1033" s="23"/>
      <c r="AD1033" s="23"/>
      <c r="AE1033" s="23"/>
      <c r="AR1033" s="87" t="s">
        <v>305</v>
      </c>
      <c r="AT1033" s="87" t="s">
        <v>218</v>
      </c>
      <c r="AU1033" s="87" t="s">
        <v>77</v>
      </c>
      <c r="AY1033" s="19" t="s">
        <v>216</v>
      </c>
      <c r="BE1033" s="88">
        <f>IF(N1033="základní",J1033,0)</f>
        <v>0</v>
      </c>
      <c r="BF1033" s="88">
        <f>IF(N1033="snížená",J1033,0)</f>
        <v>0</v>
      </c>
      <c r="BG1033" s="88">
        <f>IF(N1033="zákl. přenesená",J1033,0)</f>
        <v>0</v>
      </c>
      <c r="BH1033" s="88">
        <f>IF(N1033="sníž. přenesená",J1033,0)</f>
        <v>0</v>
      </c>
      <c r="BI1033" s="88">
        <f>IF(N1033="nulová",J1033,0)</f>
        <v>0</v>
      </c>
      <c r="BJ1033" s="19" t="s">
        <v>75</v>
      </c>
      <c r="BK1033" s="88">
        <f>ROUND(I1033*H1033,2)</f>
        <v>0</v>
      </c>
      <c r="BL1033" s="19" t="s">
        <v>305</v>
      </c>
      <c r="BM1033" s="87" t="s">
        <v>1454</v>
      </c>
    </row>
    <row r="1034" spans="1:65" s="2" customFormat="1" ht="58.5">
      <c r="A1034" s="269"/>
      <c r="B1034" s="270"/>
      <c r="C1034" s="269"/>
      <c r="D1034" s="315" t="s">
        <v>231</v>
      </c>
      <c r="E1034" s="269"/>
      <c r="F1034" s="323" t="s">
        <v>1444</v>
      </c>
      <c r="G1034" s="269"/>
      <c r="H1034" s="269"/>
      <c r="I1034" s="248"/>
      <c r="J1034" s="248"/>
      <c r="K1034" s="269"/>
      <c r="L1034" s="24"/>
      <c r="M1034" s="99"/>
      <c r="N1034" s="100"/>
      <c r="O1034" s="32"/>
      <c r="P1034" s="32"/>
      <c r="Q1034" s="32"/>
      <c r="R1034" s="32"/>
      <c r="S1034" s="32"/>
      <c r="T1034" s="33"/>
      <c r="U1034" s="23"/>
      <c r="V1034" s="23"/>
      <c r="W1034" s="23"/>
      <c r="X1034" s="23"/>
      <c r="Y1034" s="23"/>
      <c r="Z1034" s="23"/>
      <c r="AA1034" s="23"/>
      <c r="AB1034" s="23"/>
      <c r="AC1034" s="23"/>
      <c r="AD1034" s="23"/>
      <c r="AE1034" s="23"/>
      <c r="AT1034" s="19" t="s">
        <v>231</v>
      </c>
      <c r="AU1034" s="19" t="s">
        <v>77</v>
      </c>
    </row>
    <row r="1035" spans="1:65" s="13" customFormat="1">
      <c r="A1035" s="313"/>
      <c r="B1035" s="314"/>
      <c r="C1035" s="313"/>
      <c r="D1035" s="315" t="s">
        <v>225</v>
      </c>
      <c r="E1035" s="316" t="s">
        <v>3</v>
      </c>
      <c r="F1035" s="317" t="s">
        <v>578</v>
      </c>
      <c r="G1035" s="313"/>
      <c r="H1035" s="316" t="s">
        <v>3</v>
      </c>
      <c r="I1035" s="259"/>
      <c r="J1035" s="259"/>
      <c r="K1035" s="313"/>
      <c r="L1035" s="89"/>
      <c r="M1035" s="91"/>
      <c r="N1035" s="92"/>
      <c r="O1035" s="92"/>
      <c r="P1035" s="92"/>
      <c r="Q1035" s="92"/>
      <c r="R1035" s="92"/>
      <c r="S1035" s="92"/>
      <c r="T1035" s="93"/>
      <c r="AT1035" s="90" t="s">
        <v>225</v>
      </c>
      <c r="AU1035" s="90" t="s">
        <v>77</v>
      </c>
      <c r="AV1035" s="13" t="s">
        <v>75</v>
      </c>
      <c r="AW1035" s="13" t="s">
        <v>30</v>
      </c>
      <c r="AX1035" s="13" t="s">
        <v>68</v>
      </c>
      <c r="AY1035" s="90" t="s">
        <v>216</v>
      </c>
    </row>
    <row r="1036" spans="1:65" s="14" customFormat="1">
      <c r="A1036" s="318"/>
      <c r="B1036" s="319"/>
      <c r="C1036" s="318"/>
      <c r="D1036" s="315" t="s">
        <v>225</v>
      </c>
      <c r="E1036" s="320" t="s">
        <v>3</v>
      </c>
      <c r="F1036" s="321" t="s">
        <v>152</v>
      </c>
      <c r="G1036" s="318"/>
      <c r="H1036" s="322">
        <v>28.5</v>
      </c>
      <c r="I1036" s="260"/>
      <c r="J1036" s="260"/>
      <c r="K1036" s="318"/>
      <c r="L1036" s="94"/>
      <c r="M1036" s="96"/>
      <c r="N1036" s="97"/>
      <c r="O1036" s="97"/>
      <c r="P1036" s="97"/>
      <c r="Q1036" s="97"/>
      <c r="R1036" s="97"/>
      <c r="S1036" s="97"/>
      <c r="T1036" s="98"/>
      <c r="AT1036" s="95" t="s">
        <v>225</v>
      </c>
      <c r="AU1036" s="95" t="s">
        <v>77</v>
      </c>
      <c r="AV1036" s="14" t="s">
        <v>77</v>
      </c>
      <c r="AW1036" s="14" t="s">
        <v>30</v>
      </c>
      <c r="AX1036" s="14" t="s">
        <v>75</v>
      </c>
      <c r="AY1036" s="95" t="s">
        <v>216</v>
      </c>
    </row>
    <row r="1037" spans="1:65" s="2" customFormat="1" ht="21.6" customHeight="1">
      <c r="A1037" s="269"/>
      <c r="B1037" s="270"/>
      <c r="C1037" s="308" t="s">
        <v>1455</v>
      </c>
      <c r="D1037" s="308" t="s">
        <v>218</v>
      </c>
      <c r="E1037" s="309" t="s">
        <v>1456</v>
      </c>
      <c r="F1037" s="310" t="s">
        <v>1457</v>
      </c>
      <c r="G1037" s="311" t="s">
        <v>286</v>
      </c>
      <c r="H1037" s="312">
        <v>28.5</v>
      </c>
      <c r="I1037" s="82">
        <v>0</v>
      </c>
      <c r="J1037" s="82">
        <f>ROUND(I1037*H1037,2)</f>
        <v>0</v>
      </c>
      <c r="K1037" s="310" t="s">
        <v>222</v>
      </c>
      <c r="L1037" s="24"/>
      <c r="M1037" s="83" t="s">
        <v>3</v>
      </c>
      <c r="N1037" s="84" t="s">
        <v>39</v>
      </c>
      <c r="O1037" s="85">
        <v>0.25900000000000001</v>
      </c>
      <c r="P1037" s="85">
        <f>O1037*H1037</f>
        <v>7.3815</v>
      </c>
      <c r="Q1037" s="85">
        <v>4.0000000000000002E-4</v>
      </c>
      <c r="R1037" s="85">
        <f>Q1037*H1037</f>
        <v>1.14E-2</v>
      </c>
      <c r="S1037" s="85">
        <v>0</v>
      </c>
      <c r="T1037" s="86">
        <f>S1037*H1037</f>
        <v>0</v>
      </c>
      <c r="U1037" s="23"/>
      <c r="V1037" s="23"/>
      <c r="W1037" s="23"/>
      <c r="X1037" s="23"/>
      <c r="Y1037" s="23"/>
      <c r="Z1037" s="23"/>
      <c r="AA1037" s="23"/>
      <c r="AB1037" s="23"/>
      <c r="AC1037" s="23"/>
      <c r="AD1037" s="23"/>
      <c r="AE1037" s="23"/>
      <c r="AR1037" s="87" t="s">
        <v>305</v>
      </c>
      <c r="AT1037" s="87" t="s">
        <v>218</v>
      </c>
      <c r="AU1037" s="87" t="s">
        <v>77</v>
      </c>
      <c r="AY1037" s="19" t="s">
        <v>216</v>
      </c>
      <c r="BE1037" s="88">
        <f>IF(N1037="základní",J1037,0)</f>
        <v>0</v>
      </c>
      <c r="BF1037" s="88">
        <f>IF(N1037="snížená",J1037,0)</f>
        <v>0</v>
      </c>
      <c r="BG1037" s="88">
        <f>IF(N1037="zákl. přenesená",J1037,0)</f>
        <v>0</v>
      </c>
      <c r="BH1037" s="88">
        <f>IF(N1037="sníž. přenesená",J1037,0)</f>
        <v>0</v>
      </c>
      <c r="BI1037" s="88">
        <f>IF(N1037="nulová",J1037,0)</f>
        <v>0</v>
      </c>
      <c r="BJ1037" s="19" t="s">
        <v>75</v>
      </c>
      <c r="BK1037" s="88">
        <f>ROUND(I1037*H1037,2)</f>
        <v>0</v>
      </c>
      <c r="BL1037" s="19" t="s">
        <v>305</v>
      </c>
      <c r="BM1037" s="87" t="s">
        <v>1458</v>
      </c>
    </row>
    <row r="1038" spans="1:65" s="13" customFormat="1">
      <c r="A1038" s="313"/>
      <c r="B1038" s="314"/>
      <c r="C1038" s="313"/>
      <c r="D1038" s="315" t="s">
        <v>225</v>
      </c>
      <c r="E1038" s="316" t="s">
        <v>3</v>
      </c>
      <c r="F1038" s="317" t="s">
        <v>578</v>
      </c>
      <c r="G1038" s="313"/>
      <c r="H1038" s="316" t="s">
        <v>3</v>
      </c>
      <c r="I1038" s="259"/>
      <c r="J1038" s="259"/>
      <c r="K1038" s="313"/>
      <c r="L1038" s="89"/>
      <c r="M1038" s="91"/>
      <c r="N1038" s="92"/>
      <c r="O1038" s="92"/>
      <c r="P1038" s="92"/>
      <c r="Q1038" s="92"/>
      <c r="R1038" s="92"/>
      <c r="S1038" s="92"/>
      <c r="T1038" s="93"/>
      <c r="AT1038" s="90" t="s">
        <v>225</v>
      </c>
      <c r="AU1038" s="90" t="s">
        <v>77</v>
      </c>
      <c r="AV1038" s="13" t="s">
        <v>75</v>
      </c>
      <c r="AW1038" s="13" t="s">
        <v>30</v>
      </c>
      <c r="AX1038" s="13" t="s">
        <v>68</v>
      </c>
      <c r="AY1038" s="90" t="s">
        <v>216</v>
      </c>
    </row>
    <row r="1039" spans="1:65" s="14" customFormat="1">
      <c r="A1039" s="318"/>
      <c r="B1039" s="319"/>
      <c r="C1039" s="318"/>
      <c r="D1039" s="315" t="s">
        <v>225</v>
      </c>
      <c r="E1039" s="320" t="s">
        <v>3</v>
      </c>
      <c r="F1039" s="321" t="s">
        <v>152</v>
      </c>
      <c r="G1039" s="318"/>
      <c r="H1039" s="322">
        <v>28.5</v>
      </c>
      <c r="I1039" s="260"/>
      <c r="J1039" s="260"/>
      <c r="K1039" s="318"/>
      <c r="L1039" s="94"/>
      <c r="M1039" s="96"/>
      <c r="N1039" s="97"/>
      <c r="O1039" s="97"/>
      <c r="P1039" s="97"/>
      <c r="Q1039" s="97"/>
      <c r="R1039" s="97"/>
      <c r="S1039" s="97"/>
      <c r="T1039" s="98"/>
      <c r="AT1039" s="95" t="s">
        <v>225</v>
      </c>
      <c r="AU1039" s="95" t="s">
        <v>77</v>
      </c>
      <c r="AV1039" s="14" t="s">
        <v>77</v>
      </c>
      <c r="AW1039" s="14" t="s">
        <v>30</v>
      </c>
      <c r="AX1039" s="14" t="s">
        <v>75</v>
      </c>
      <c r="AY1039" s="95" t="s">
        <v>216</v>
      </c>
    </row>
    <row r="1040" spans="1:65" s="2" customFormat="1" ht="291.60000000000002" customHeight="1">
      <c r="A1040" s="269"/>
      <c r="B1040" s="270"/>
      <c r="C1040" s="334" t="s">
        <v>1459</v>
      </c>
      <c r="D1040" s="334" t="s">
        <v>535</v>
      </c>
      <c r="E1040" s="335" t="s">
        <v>1460</v>
      </c>
      <c r="F1040" s="336" t="s">
        <v>1461</v>
      </c>
      <c r="G1040" s="337" t="s">
        <v>286</v>
      </c>
      <c r="H1040" s="338">
        <v>31.35</v>
      </c>
      <c r="I1040" s="111">
        <v>0</v>
      </c>
      <c r="J1040" s="111">
        <f>ROUND(I1040*H1040,2)</f>
        <v>0</v>
      </c>
      <c r="K1040" s="336" t="s">
        <v>3</v>
      </c>
      <c r="L1040" s="112"/>
      <c r="M1040" s="113" t="s">
        <v>3</v>
      </c>
      <c r="N1040" s="114" t="s">
        <v>39</v>
      </c>
      <c r="O1040" s="85">
        <v>0</v>
      </c>
      <c r="P1040" s="85">
        <f>O1040*H1040</f>
        <v>0</v>
      </c>
      <c r="Q1040" s="85">
        <v>3.2000000000000002E-3</v>
      </c>
      <c r="R1040" s="85">
        <f>Q1040*H1040</f>
        <v>0.10032000000000001</v>
      </c>
      <c r="S1040" s="85">
        <v>0</v>
      </c>
      <c r="T1040" s="86">
        <f>S1040*H1040</f>
        <v>0</v>
      </c>
      <c r="U1040" s="23"/>
      <c r="V1040" s="23"/>
      <c r="W1040" s="23"/>
      <c r="X1040" s="23"/>
      <c r="Y1040" s="23"/>
      <c r="Z1040" s="23"/>
      <c r="AA1040" s="23"/>
      <c r="AB1040" s="23"/>
      <c r="AC1040" s="23"/>
      <c r="AD1040" s="23"/>
      <c r="AE1040" s="23"/>
      <c r="AR1040" s="87" t="s">
        <v>410</v>
      </c>
      <c r="AT1040" s="87" t="s">
        <v>535</v>
      </c>
      <c r="AU1040" s="87" t="s">
        <v>77</v>
      </c>
      <c r="AY1040" s="19" t="s">
        <v>216</v>
      </c>
      <c r="BE1040" s="88">
        <f>IF(N1040="základní",J1040,0)</f>
        <v>0</v>
      </c>
      <c r="BF1040" s="88">
        <f>IF(N1040="snížená",J1040,0)</f>
        <v>0</v>
      </c>
      <c r="BG1040" s="88">
        <f>IF(N1040="zákl. přenesená",J1040,0)</f>
        <v>0</v>
      </c>
      <c r="BH1040" s="88">
        <f>IF(N1040="sníž. přenesená",J1040,0)</f>
        <v>0</v>
      </c>
      <c r="BI1040" s="88">
        <f>IF(N1040="nulová",J1040,0)</f>
        <v>0</v>
      </c>
      <c r="BJ1040" s="19" t="s">
        <v>75</v>
      </c>
      <c r="BK1040" s="88">
        <f>ROUND(I1040*H1040,2)</f>
        <v>0</v>
      </c>
      <c r="BL1040" s="19" t="s">
        <v>305</v>
      </c>
      <c r="BM1040" s="87" t="s">
        <v>1462</v>
      </c>
    </row>
    <row r="1041" spans="1:65" s="14" customFormat="1">
      <c r="A1041" s="318"/>
      <c r="B1041" s="319"/>
      <c r="C1041" s="318"/>
      <c r="D1041" s="315" t="s">
        <v>225</v>
      </c>
      <c r="E1041" s="318"/>
      <c r="F1041" s="321" t="s">
        <v>1463</v>
      </c>
      <c r="G1041" s="318"/>
      <c r="H1041" s="322">
        <v>31.35</v>
      </c>
      <c r="I1041" s="260"/>
      <c r="J1041" s="260"/>
      <c r="K1041" s="318"/>
      <c r="L1041" s="94"/>
      <c r="M1041" s="96"/>
      <c r="N1041" s="97"/>
      <c r="O1041" s="97"/>
      <c r="P1041" s="97"/>
      <c r="Q1041" s="97"/>
      <c r="R1041" s="97"/>
      <c r="S1041" s="97"/>
      <c r="T1041" s="98"/>
      <c r="AT1041" s="95" t="s">
        <v>225</v>
      </c>
      <c r="AU1041" s="95" t="s">
        <v>77</v>
      </c>
      <c r="AV1041" s="14" t="s">
        <v>77</v>
      </c>
      <c r="AW1041" s="14" t="s">
        <v>4</v>
      </c>
      <c r="AX1041" s="14" t="s">
        <v>75</v>
      </c>
      <c r="AY1041" s="95" t="s">
        <v>216</v>
      </c>
    </row>
    <row r="1042" spans="1:65" s="2" customFormat="1" ht="14.45" customHeight="1">
      <c r="A1042" s="269"/>
      <c r="B1042" s="270"/>
      <c r="C1042" s="308" t="s">
        <v>1464</v>
      </c>
      <c r="D1042" s="308" t="s">
        <v>218</v>
      </c>
      <c r="E1042" s="309" t="s">
        <v>1465</v>
      </c>
      <c r="F1042" s="310" t="s">
        <v>1466</v>
      </c>
      <c r="G1042" s="311" t="s">
        <v>364</v>
      </c>
      <c r="H1042" s="312">
        <v>20</v>
      </c>
      <c r="I1042" s="82">
        <v>0</v>
      </c>
      <c r="J1042" s="82">
        <f>ROUND(I1042*H1042,2)</f>
        <v>0</v>
      </c>
      <c r="K1042" s="310" t="s">
        <v>222</v>
      </c>
      <c r="L1042" s="24"/>
      <c r="M1042" s="83" t="s">
        <v>3</v>
      </c>
      <c r="N1042" s="84" t="s">
        <v>39</v>
      </c>
      <c r="O1042" s="85">
        <v>9.8000000000000004E-2</v>
      </c>
      <c r="P1042" s="85">
        <f>O1042*H1042</f>
        <v>1.96</v>
      </c>
      <c r="Q1042" s="85">
        <v>2.0000000000000002E-5</v>
      </c>
      <c r="R1042" s="85">
        <f>Q1042*H1042</f>
        <v>4.0000000000000002E-4</v>
      </c>
      <c r="S1042" s="85">
        <v>0</v>
      </c>
      <c r="T1042" s="86">
        <f>S1042*H1042</f>
        <v>0</v>
      </c>
      <c r="U1042" s="23"/>
      <c r="V1042" s="23"/>
      <c r="W1042" s="23"/>
      <c r="X1042" s="23"/>
      <c r="Y1042" s="23"/>
      <c r="Z1042" s="23"/>
      <c r="AA1042" s="23"/>
      <c r="AB1042" s="23"/>
      <c r="AC1042" s="23"/>
      <c r="AD1042" s="23"/>
      <c r="AE1042" s="23"/>
      <c r="AR1042" s="87" t="s">
        <v>305</v>
      </c>
      <c r="AT1042" s="87" t="s">
        <v>218</v>
      </c>
      <c r="AU1042" s="87" t="s">
        <v>77</v>
      </c>
      <c r="AY1042" s="19" t="s">
        <v>216</v>
      </c>
      <c r="BE1042" s="88">
        <f>IF(N1042="základní",J1042,0)</f>
        <v>0</v>
      </c>
      <c r="BF1042" s="88">
        <f>IF(N1042="snížená",J1042,0)</f>
        <v>0</v>
      </c>
      <c r="BG1042" s="88">
        <f>IF(N1042="zákl. přenesená",J1042,0)</f>
        <v>0</v>
      </c>
      <c r="BH1042" s="88">
        <f>IF(N1042="sníž. přenesená",J1042,0)</f>
        <v>0</v>
      </c>
      <c r="BI1042" s="88">
        <f>IF(N1042="nulová",J1042,0)</f>
        <v>0</v>
      </c>
      <c r="BJ1042" s="19" t="s">
        <v>75</v>
      </c>
      <c r="BK1042" s="88">
        <f>ROUND(I1042*H1042,2)</f>
        <v>0</v>
      </c>
      <c r="BL1042" s="19" t="s">
        <v>305</v>
      </c>
      <c r="BM1042" s="87" t="s">
        <v>1467</v>
      </c>
    </row>
    <row r="1043" spans="1:65" s="2" customFormat="1" ht="14.45" customHeight="1">
      <c r="A1043" s="269"/>
      <c r="B1043" s="270"/>
      <c r="C1043" s="308" t="s">
        <v>1468</v>
      </c>
      <c r="D1043" s="308" t="s">
        <v>218</v>
      </c>
      <c r="E1043" s="309" t="s">
        <v>1469</v>
      </c>
      <c r="F1043" s="310" t="s">
        <v>1470</v>
      </c>
      <c r="G1043" s="311" t="s">
        <v>364</v>
      </c>
      <c r="H1043" s="312">
        <v>93.76</v>
      </c>
      <c r="I1043" s="82">
        <v>0</v>
      </c>
      <c r="J1043" s="82">
        <f>ROUND(I1043*H1043,2)</f>
        <v>0</v>
      </c>
      <c r="K1043" s="310" t="s">
        <v>222</v>
      </c>
      <c r="L1043" s="24"/>
      <c r="M1043" s="83" t="s">
        <v>3</v>
      </c>
      <c r="N1043" s="84" t="s">
        <v>39</v>
      </c>
      <c r="O1043" s="85">
        <v>0.18099999999999999</v>
      </c>
      <c r="P1043" s="85">
        <f>O1043*H1043</f>
        <v>16.970559999999999</v>
      </c>
      <c r="Q1043" s="85">
        <v>1.0000000000000001E-5</v>
      </c>
      <c r="R1043" s="85">
        <f>Q1043*H1043</f>
        <v>9.3760000000000013E-4</v>
      </c>
      <c r="S1043" s="85">
        <v>0</v>
      </c>
      <c r="T1043" s="86">
        <f>S1043*H1043</f>
        <v>0</v>
      </c>
      <c r="U1043" s="23"/>
      <c r="V1043" s="23"/>
      <c r="W1043" s="23"/>
      <c r="X1043" s="23"/>
      <c r="Y1043" s="23"/>
      <c r="Z1043" s="23"/>
      <c r="AA1043" s="23"/>
      <c r="AB1043" s="23"/>
      <c r="AC1043" s="23"/>
      <c r="AD1043" s="23"/>
      <c r="AE1043" s="23"/>
      <c r="AR1043" s="87" t="s">
        <v>305</v>
      </c>
      <c r="AT1043" s="87" t="s">
        <v>218</v>
      </c>
      <c r="AU1043" s="87" t="s">
        <v>77</v>
      </c>
      <c r="AY1043" s="19" t="s">
        <v>216</v>
      </c>
      <c r="BE1043" s="88">
        <f>IF(N1043="základní",J1043,0)</f>
        <v>0</v>
      </c>
      <c r="BF1043" s="88">
        <f>IF(N1043="snížená",J1043,0)</f>
        <v>0</v>
      </c>
      <c r="BG1043" s="88">
        <f>IF(N1043="zákl. přenesená",J1043,0)</f>
        <v>0</v>
      </c>
      <c r="BH1043" s="88">
        <f>IF(N1043="sníž. přenesená",J1043,0)</f>
        <v>0</v>
      </c>
      <c r="BI1043" s="88">
        <f>IF(N1043="nulová",J1043,0)</f>
        <v>0</v>
      </c>
      <c r="BJ1043" s="19" t="s">
        <v>75</v>
      </c>
      <c r="BK1043" s="88">
        <f>ROUND(I1043*H1043,2)</f>
        <v>0</v>
      </c>
      <c r="BL1043" s="19" t="s">
        <v>305</v>
      </c>
      <c r="BM1043" s="87" t="s">
        <v>1471</v>
      </c>
    </row>
    <row r="1044" spans="1:65" s="13" customFormat="1">
      <c r="A1044" s="313"/>
      <c r="B1044" s="314"/>
      <c r="C1044" s="313"/>
      <c r="D1044" s="315" t="s">
        <v>225</v>
      </c>
      <c r="E1044" s="316" t="s">
        <v>3</v>
      </c>
      <c r="F1044" s="317" t="s">
        <v>1472</v>
      </c>
      <c r="G1044" s="313"/>
      <c r="H1044" s="316" t="s">
        <v>3</v>
      </c>
      <c r="I1044" s="259"/>
      <c r="J1044" s="259"/>
      <c r="K1044" s="313"/>
      <c r="L1044" s="89"/>
      <c r="M1044" s="91"/>
      <c r="N1044" s="92"/>
      <c r="O1044" s="92"/>
      <c r="P1044" s="92"/>
      <c r="Q1044" s="92"/>
      <c r="R1044" s="92"/>
      <c r="S1044" s="92"/>
      <c r="T1044" s="93"/>
      <c r="AT1044" s="90" t="s">
        <v>225</v>
      </c>
      <c r="AU1044" s="90" t="s">
        <v>77</v>
      </c>
      <c r="AV1044" s="13" t="s">
        <v>75</v>
      </c>
      <c r="AW1044" s="13" t="s">
        <v>30</v>
      </c>
      <c r="AX1044" s="13" t="s">
        <v>68</v>
      </c>
      <c r="AY1044" s="90" t="s">
        <v>216</v>
      </c>
    </row>
    <row r="1045" spans="1:65" s="14" customFormat="1">
      <c r="A1045" s="318"/>
      <c r="B1045" s="319"/>
      <c r="C1045" s="318"/>
      <c r="D1045" s="315" t="s">
        <v>225</v>
      </c>
      <c r="E1045" s="320" t="s">
        <v>3</v>
      </c>
      <c r="F1045" s="321" t="s">
        <v>492</v>
      </c>
      <c r="G1045" s="318"/>
      <c r="H1045" s="322">
        <v>40.249000000000002</v>
      </c>
      <c r="I1045" s="260"/>
      <c r="J1045" s="260"/>
      <c r="K1045" s="318"/>
      <c r="L1045" s="94"/>
      <c r="M1045" s="96"/>
      <c r="N1045" s="97"/>
      <c r="O1045" s="97"/>
      <c r="P1045" s="97"/>
      <c r="Q1045" s="97"/>
      <c r="R1045" s="97"/>
      <c r="S1045" s="97"/>
      <c r="T1045" s="98"/>
      <c r="AT1045" s="95" t="s">
        <v>225</v>
      </c>
      <c r="AU1045" s="95" t="s">
        <v>77</v>
      </c>
      <c r="AV1045" s="14" t="s">
        <v>77</v>
      </c>
      <c r="AW1045" s="14" t="s">
        <v>30</v>
      </c>
      <c r="AX1045" s="14" t="s">
        <v>68</v>
      </c>
      <c r="AY1045" s="95" t="s">
        <v>216</v>
      </c>
    </row>
    <row r="1046" spans="1:65" s="14" customFormat="1">
      <c r="A1046" s="318"/>
      <c r="B1046" s="319"/>
      <c r="C1046" s="318"/>
      <c r="D1046" s="315" t="s">
        <v>225</v>
      </c>
      <c r="E1046" s="320" t="s">
        <v>3</v>
      </c>
      <c r="F1046" s="321" t="s">
        <v>1473</v>
      </c>
      <c r="G1046" s="318"/>
      <c r="H1046" s="322">
        <v>13.52</v>
      </c>
      <c r="I1046" s="260"/>
      <c r="J1046" s="260"/>
      <c r="K1046" s="318"/>
      <c r="L1046" s="94"/>
      <c r="M1046" s="96"/>
      <c r="N1046" s="97"/>
      <c r="O1046" s="97"/>
      <c r="P1046" s="97"/>
      <c r="Q1046" s="97"/>
      <c r="R1046" s="97"/>
      <c r="S1046" s="97"/>
      <c r="T1046" s="98"/>
      <c r="AT1046" s="95" t="s">
        <v>225</v>
      </c>
      <c r="AU1046" s="95" t="s">
        <v>77</v>
      </c>
      <c r="AV1046" s="14" t="s">
        <v>77</v>
      </c>
      <c r="AW1046" s="14" t="s">
        <v>30</v>
      </c>
      <c r="AX1046" s="14" t="s">
        <v>68</v>
      </c>
      <c r="AY1046" s="95" t="s">
        <v>216</v>
      </c>
    </row>
    <row r="1047" spans="1:65" s="14" customFormat="1">
      <c r="A1047" s="318"/>
      <c r="B1047" s="319"/>
      <c r="C1047" s="318"/>
      <c r="D1047" s="315" t="s">
        <v>225</v>
      </c>
      <c r="E1047" s="320" t="s">
        <v>3</v>
      </c>
      <c r="F1047" s="321" t="s">
        <v>495</v>
      </c>
      <c r="G1047" s="318"/>
      <c r="H1047" s="322">
        <v>39.991</v>
      </c>
      <c r="I1047" s="260"/>
      <c r="J1047" s="260"/>
      <c r="K1047" s="318"/>
      <c r="L1047" s="94"/>
      <c r="M1047" s="96"/>
      <c r="N1047" s="97"/>
      <c r="O1047" s="97"/>
      <c r="P1047" s="97"/>
      <c r="Q1047" s="97"/>
      <c r="R1047" s="97"/>
      <c r="S1047" s="97"/>
      <c r="T1047" s="98"/>
      <c r="AT1047" s="95" t="s">
        <v>225</v>
      </c>
      <c r="AU1047" s="95" t="s">
        <v>77</v>
      </c>
      <c r="AV1047" s="14" t="s">
        <v>77</v>
      </c>
      <c r="AW1047" s="14" t="s">
        <v>30</v>
      </c>
      <c r="AX1047" s="14" t="s">
        <v>68</v>
      </c>
      <c r="AY1047" s="95" t="s">
        <v>216</v>
      </c>
    </row>
    <row r="1048" spans="1:65" s="16" customFormat="1">
      <c r="A1048" s="329"/>
      <c r="B1048" s="330"/>
      <c r="C1048" s="329"/>
      <c r="D1048" s="315" t="s">
        <v>225</v>
      </c>
      <c r="E1048" s="331" t="s">
        <v>3</v>
      </c>
      <c r="F1048" s="332" t="s">
        <v>254</v>
      </c>
      <c r="G1048" s="329"/>
      <c r="H1048" s="333">
        <v>93.76</v>
      </c>
      <c r="I1048" s="262"/>
      <c r="J1048" s="262"/>
      <c r="K1048" s="329"/>
      <c r="L1048" s="106"/>
      <c r="M1048" s="108"/>
      <c r="N1048" s="109"/>
      <c r="O1048" s="109"/>
      <c r="P1048" s="109"/>
      <c r="Q1048" s="109"/>
      <c r="R1048" s="109"/>
      <c r="S1048" s="109"/>
      <c r="T1048" s="110"/>
      <c r="AT1048" s="107" t="s">
        <v>225</v>
      </c>
      <c r="AU1048" s="107" t="s">
        <v>77</v>
      </c>
      <c r="AV1048" s="16" t="s">
        <v>223</v>
      </c>
      <c r="AW1048" s="16" t="s">
        <v>30</v>
      </c>
      <c r="AX1048" s="16" t="s">
        <v>75</v>
      </c>
      <c r="AY1048" s="107" t="s">
        <v>216</v>
      </c>
    </row>
    <row r="1049" spans="1:65" s="2" customFormat="1" ht="14.45" customHeight="1">
      <c r="A1049" s="269"/>
      <c r="B1049" s="270"/>
      <c r="C1049" s="334" t="s">
        <v>1474</v>
      </c>
      <c r="D1049" s="334" t="s">
        <v>535</v>
      </c>
      <c r="E1049" s="335" t="s">
        <v>1475</v>
      </c>
      <c r="F1049" s="336" t="s">
        <v>1476</v>
      </c>
      <c r="G1049" s="337" t="s">
        <v>364</v>
      </c>
      <c r="H1049" s="338">
        <v>103.136</v>
      </c>
      <c r="I1049" s="111">
        <v>0</v>
      </c>
      <c r="J1049" s="111">
        <f>ROUND(I1049*H1049,2)</f>
        <v>0</v>
      </c>
      <c r="K1049" s="336" t="s">
        <v>3</v>
      </c>
      <c r="L1049" s="112"/>
      <c r="M1049" s="113" t="s">
        <v>3</v>
      </c>
      <c r="N1049" s="114" t="s">
        <v>39</v>
      </c>
      <c r="O1049" s="85">
        <v>0</v>
      </c>
      <c r="P1049" s="85">
        <f>O1049*H1049</f>
        <v>0</v>
      </c>
      <c r="Q1049" s="85">
        <v>0</v>
      </c>
      <c r="R1049" s="85">
        <f>Q1049*H1049</f>
        <v>0</v>
      </c>
      <c r="S1049" s="85">
        <v>0</v>
      </c>
      <c r="T1049" s="86">
        <f>S1049*H1049</f>
        <v>0</v>
      </c>
      <c r="U1049" s="23"/>
      <c r="V1049" s="23"/>
      <c r="W1049" s="23"/>
      <c r="X1049" s="23"/>
      <c r="Y1049" s="23"/>
      <c r="Z1049" s="23"/>
      <c r="AA1049" s="23"/>
      <c r="AB1049" s="23"/>
      <c r="AC1049" s="23"/>
      <c r="AD1049" s="23"/>
      <c r="AE1049" s="23"/>
      <c r="AR1049" s="87" t="s">
        <v>410</v>
      </c>
      <c r="AT1049" s="87" t="s">
        <v>535</v>
      </c>
      <c r="AU1049" s="87" t="s">
        <v>77</v>
      </c>
      <c r="AY1049" s="19" t="s">
        <v>216</v>
      </c>
      <c r="BE1049" s="88">
        <f>IF(N1049="základní",J1049,0)</f>
        <v>0</v>
      </c>
      <c r="BF1049" s="88">
        <f>IF(N1049="snížená",J1049,0)</f>
        <v>0</v>
      </c>
      <c r="BG1049" s="88">
        <f>IF(N1049="zákl. přenesená",J1049,0)</f>
        <v>0</v>
      </c>
      <c r="BH1049" s="88">
        <f>IF(N1049="sníž. přenesená",J1049,0)</f>
        <v>0</v>
      </c>
      <c r="BI1049" s="88">
        <f>IF(N1049="nulová",J1049,0)</f>
        <v>0</v>
      </c>
      <c r="BJ1049" s="19" t="s">
        <v>75</v>
      </c>
      <c r="BK1049" s="88">
        <f>ROUND(I1049*H1049,2)</f>
        <v>0</v>
      </c>
      <c r="BL1049" s="19" t="s">
        <v>305</v>
      </c>
      <c r="BM1049" s="87" t="s">
        <v>1477</v>
      </c>
    </row>
    <row r="1050" spans="1:65" s="14" customFormat="1">
      <c r="A1050" s="318"/>
      <c r="B1050" s="319"/>
      <c r="C1050" s="318"/>
      <c r="D1050" s="315" t="s">
        <v>225</v>
      </c>
      <c r="E1050" s="318"/>
      <c r="F1050" s="321" t="s">
        <v>1478</v>
      </c>
      <c r="G1050" s="318"/>
      <c r="H1050" s="322">
        <v>103.136</v>
      </c>
      <c r="I1050" s="260"/>
      <c r="J1050" s="260"/>
      <c r="K1050" s="318"/>
      <c r="L1050" s="94"/>
      <c r="M1050" s="96"/>
      <c r="N1050" s="97"/>
      <c r="O1050" s="97"/>
      <c r="P1050" s="97"/>
      <c r="Q1050" s="97"/>
      <c r="R1050" s="97"/>
      <c r="S1050" s="97"/>
      <c r="T1050" s="98"/>
      <c r="AT1050" s="95" t="s">
        <v>225</v>
      </c>
      <c r="AU1050" s="95" t="s">
        <v>77</v>
      </c>
      <c r="AV1050" s="14" t="s">
        <v>77</v>
      </c>
      <c r="AW1050" s="14" t="s">
        <v>4</v>
      </c>
      <c r="AX1050" s="14" t="s">
        <v>75</v>
      </c>
      <c r="AY1050" s="95" t="s">
        <v>216</v>
      </c>
    </row>
    <row r="1051" spans="1:65" s="2" customFormat="1" ht="14.45" customHeight="1">
      <c r="A1051" s="269"/>
      <c r="B1051" s="270"/>
      <c r="C1051" s="308" t="s">
        <v>1479</v>
      </c>
      <c r="D1051" s="308" t="s">
        <v>218</v>
      </c>
      <c r="E1051" s="309" t="s">
        <v>1480</v>
      </c>
      <c r="F1051" s="310" t="s">
        <v>1481</v>
      </c>
      <c r="G1051" s="311" t="s">
        <v>364</v>
      </c>
      <c r="H1051" s="312">
        <v>93.76</v>
      </c>
      <c r="I1051" s="82">
        <v>0</v>
      </c>
      <c r="J1051" s="82">
        <f>ROUND(I1051*H1051,2)</f>
        <v>0</v>
      </c>
      <c r="K1051" s="310" t="s">
        <v>222</v>
      </c>
      <c r="L1051" s="24"/>
      <c r="M1051" s="83" t="s">
        <v>3</v>
      </c>
      <c r="N1051" s="84" t="s">
        <v>39</v>
      </c>
      <c r="O1051" s="85">
        <v>0.05</v>
      </c>
      <c r="P1051" s="85">
        <f>O1051*H1051</f>
        <v>4.6880000000000006</v>
      </c>
      <c r="Q1051" s="85">
        <v>3.0000000000000001E-5</v>
      </c>
      <c r="R1051" s="85">
        <f>Q1051*H1051</f>
        <v>2.8128000000000003E-3</v>
      </c>
      <c r="S1051" s="85">
        <v>0</v>
      </c>
      <c r="T1051" s="86">
        <f>S1051*H1051</f>
        <v>0</v>
      </c>
      <c r="U1051" s="23"/>
      <c r="V1051" s="23"/>
      <c r="W1051" s="23"/>
      <c r="X1051" s="23"/>
      <c r="Y1051" s="23"/>
      <c r="Z1051" s="23"/>
      <c r="AA1051" s="23"/>
      <c r="AB1051" s="23"/>
      <c r="AC1051" s="23"/>
      <c r="AD1051" s="23"/>
      <c r="AE1051" s="23"/>
      <c r="AR1051" s="87" t="s">
        <v>305</v>
      </c>
      <c r="AT1051" s="87" t="s">
        <v>218</v>
      </c>
      <c r="AU1051" s="87" t="s">
        <v>77</v>
      </c>
      <c r="AY1051" s="19" t="s">
        <v>216</v>
      </c>
      <c r="BE1051" s="88">
        <f>IF(N1051="základní",J1051,0)</f>
        <v>0</v>
      </c>
      <c r="BF1051" s="88">
        <f>IF(N1051="snížená",J1051,0)</f>
        <v>0</v>
      </c>
      <c r="BG1051" s="88">
        <f>IF(N1051="zákl. přenesená",J1051,0)</f>
        <v>0</v>
      </c>
      <c r="BH1051" s="88">
        <f>IF(N1051="sníž. přenesená",J1051,0)</f>
        <v>0</v>
      </c>
      <c r="BI1051" s="88">
        <f>IF(N1051="nulová",J1051,0)</f>
        <v>0</v>
      </c>
      <c r="BJ1051" s="19" t="s">
        <v>75</v>
      </c>
      <c r="BK1051" s="88">
        <f>ROUND(I1051*H1051,2)</f>
        <v>0</v>
      </c>
      <c r="BL1051" s="19" t="s">
        <v>305</v>
      </c>
      <c r="BM1051" s="87" t="s">
        <v>1482</v>
      </c>
    </row>
    <row r="1052" spans="1:65" s="2" customFormat="1" ht="39">
      <c r="A1052" s="269"/>
      <c r="B1052" s="270"/>
      <c r="C1052" s="269"/>
      <c r="D1052" s="315" t="s">
        <v>231</v>
      </c>
      <c r="E1052" s="269"/>
      <c r="F1052" s="323" t="s">
        <v>1483</v>
      </c>
      <c r="G1052" s="269"/>
      <c r="H1052" s="269"/>
      <c r="I1052" s="248"/>
      <c r="J1052" s="248"/>
      <c r="K1052" s="269"/>
      <c r="L1052" s="24"/>
      <c r="M1052" s="99"/>
      <c r="N1052" s="100"/>
      <c r="O1052" s="32"/>
      <c r="P1052" s="32"/>
      <c r="Q1052" s="32"/>
      <c r="R1052" s="32"/>
      <c r="S1052" s="32"/>
      <c r="T1052" s="33"/>
      <c r="U1052" s="23"/>
      <c r="V1052" s="23"/>
      <c r="W1052" s="23"/>
      <c r="X1052" s="23"/>
      <c r="Y1052" s="23"/>
      <c r="Z1052" s="23"/>
      <c r="AA1052" s="23"/>
      <c r="AB1052" s="23"/>
      <c r="AC1052" s="23"/>
      <c r="AD1052" s="23"/>
      <c r="AE1052" s="23"/>
      <c r="AT1052" s="19" t="s">
        <v>231</v>
      </c>
      <c r="AU1052" s="19" t="s">
        <v>77</v>
      </c>
    </row>
    <row r="1053" spans="1:65" s="2" customFormat="1" ht="14.45" customHeight="1">
      <c r="A1053" s="269"/>
      <c r="B1053" s="270"/>
      <c r="C1053" s="308" t="s">
        <v>1484</v>
      </c>
      <c r="D1053" s="308" t="s">
        <v>218</v>
      </c>
      <c r="E1053" s="309" t="s">
        <v>1485</v>
      </c>
      <c r="F1053" s="310" t="s">
        <v>1486</v>
      </c>
      <c r="G1053" s="311" t="s">
        <v>286</v>
      </c>
      <c r="H1053" s="312">
        <v>28.5</v>
      </c>
      <c r="I1053" s="82">
        <v>0</v>
      </c>
      <c r="J1053" s="82">
        <f>ROUND(I1053*H1053,2)</f>
        <v>0</v>
      </c>
      <c r="K1053" s="310" t="s">
        <v>222</v>
      </c>
      <c r="L1053" s="24"/>
      <c r="M1053" s="83" t="s">
        <v>3</v>
      </c>
      <c r="N1053" s="84" t="s">
        <v>39</v>
      </c>
      <c r="O1053" s="85">
        <v>9.8000000000000004E-2</v>
      </c>
      <c r="P1053" s="85">
        <f>O1053*H1053</f>
        <v>2.7930000000000001</v>
      </c>
      <c r="Q1053" s="85">
        <v>0</v>
      </c>
      <c r="R1053" s="85">
        <f>Q1053*H1053</f>
        <v>0</v>
      </c>
      <c r="S1053" s="85">
        <v>0</v>
      </c>
      <c r="T1053" s="86">
        <f>S1053*H1053</f>
        <v>0</v>
      </c>
      <c r="U1053" s="23"/>
      <c r="V1053" s="23"/>
      <c r="W1053" s="23"/>
      <c r="X1053" s="23"/>
      <c r="Y1053" s="23"/>
      <c r="Z1053" s="23"/>
      <c r="AA1053" s="23"/>
      <c r="AB1053" s="23"/>
      <c r="AC1053" s="23"/>
      <c r="AD1053" s="23"/>
      <c r="AE1053" s="23"/>
      <c r="AR1053" s="87" t="s">
        <v>305</v>
      </c>
      <c r="AT1053" s="87" t="s">
        <v>218</v>
      </c>
      <c r="AU1053" s="87" t="s">
        <v>77</v>
      </c>
      <c r="AY1053" s="19" t="s">
        <v>216</v>
      </c>
      <c r="BE1053" s="88">
        <f>IF(N1053="základní",J1053,0)</f>
        <v>0</v>
      </c>
      <c r="BF1053" s="88">
        <f>IF(N1053="snížená",J1053,0)</f>
        <v>0</v>
      </c>
      <c r="BG1053" s="88">
        <f>IF(N1053="zákl. přenesená",J1053,0)</f>
        <v>0</v>
      </c>
      <c r="BH1053" s="88">
        <f>IF(N1053="sníž. přenesená",J1053,0)</f>
        <v>0</v>
      </c>
      <c r="BI1053" s="88">
        <f>IF(N1053="nulová",J1053,0)</f>
        <v>0</v>
      </c>
      <c r="BJ1053" s="19" t="s">
        <v>75</v>
      </c>
      <c r="BK1053" s="88">
        <f>ROUND(I1053*H1053,2)</f>
        <v>0</v>
      </c>
      <c r="BL1053" s="19" t="s">
        <v>305</v>
      </c>
      <c r="BM1053" s="87" t="s">
        <v>1487</v>
      </c>
    </row>
    <row r="1054" spans="1:65" s="2" customFormat="1" ht="39">
      <c r="A1054" s="269"/>
      <c r="B1054" s="270"/>
      <c r="C1054" s="269"/>
      <c r="D1054" s="315" t="s">
        <v>231</v>
      </c>
      <c r="E1054" s="269"/>
      <c r="F1054" s="323" t="s">
        <v>1483</v>
      </c>
      <c r="G1054" s="269"/>
      <c r="H1054" s="269"/>
      <c r="I1054" s="248"/>
      <c r="J1054" s="248"/>
      <c r="K1054" s="269"/>
      <c r="L1054" s="24"/>
      <c r="M1054" s="99"/>
      <c r="N1054" s="100"/>
      <c r="O1054" s="32"/>
      <c r="P1054" s="32"/>
      <c r="Q1054" s="32"/>
      <c r="R1054" s="32"/>
      <c r="S1054" s="32"/>
      <c r="T1054" s="33"/>
      <c r="U1054" s="23"/>
      <c r="V1054" s="23"/>
      <c r="W1054" s="23"/>
      <c r="X1054" s="23"/>
      <c r="Y1054" s="23"/>
      <c r="Z1054" s="23"/>
      <c r="AA1054" s="23"/>
      <c r="AB1054" s="23"/>
      <c r="AC1054" s="23"/>
      <c r="AD1054" s="23"/>
      <c r="AE1054" s="23"/>
      <c r="AT1054" s="19" t="s">
        <v>231</v>
      </c>
      <c r="AU1054" s="19" t="s">
        <v>77</v>
      </c>
    </row>
    <row r="1055" spans="1:65" s="14" customFormat="1">
      <c r="A1055" s="318"/>
      <c r="B1055" s="319"/>
      <c r="C1055" s="318"/>
      <c r="D1055" s="315" t="s">
        <v>225</v>
      </c>
      <c r="E1055" s="320" t="s">
        <v>3</v>
      </c>
      <c r="F1055" s="321" t="s">
        <v>152</v>
      </c>
      <c r="G1055" s="318"/>
      <c r="H1055" s="322">
        <v>28.5</v>
      </c>
      <c r="I1055" s="260"/>
      <c r="J1055" s="260"/>
      <c r="K1055" s="318"/>
      <c r="L1055" s="94"/>
      <c r="M1055" s="96"/>
      <c r="N1055" s="97"/>
      <c r="O1055" s="97"/>
      <c r="P1055" s="97"/>
      <c r="Q1055" s="97"/>
      <c r="R1055" s="97"/>
      <c r="S1055" s="97"/>
      <c r="T1055" s="98"/>
      <c r="AT1055" s="95" t="s">
        <v>225</v>
      </c>
      <c r="AU1055" s="95" t="s">
        <v>77</v>
      </c>
      <c r="AV1055" s="14" t="s">
        <v>77</v>
      </c>
      <c r="AW1055" s="14" t="s">
        <v>30</v>
      </c>
      <c r="AX1055" s="14" t="s">
        <v>75</v>
      </c>
      <c r="AY1055" s="95" t="s">
        <v>216</v>
      </c>
    </row>
    <row r="1056" spans="1:65" s="2" customFormat="1" ht="14.45" customHeight="1">
      <c r="A1056" s="269"/>
      <c r="B1056" s="270"/>
      <c r="C1056" s="308" t="s">
        <v>1488</v>
      </c>
      <c r="D1056" s="308" t="s">
        <v>218</v>
      </c>
      <c r="E1056" s="309" t="s">
        <v>1489</v>
      </c>
      <c r="F1056" s="310" t="s">
        <v>1490</v>
      </c>
      <c r="G1056" s="311" t="s">
        <v>286</v>
      </c>
      <c r="H1056" s="312">
        <v>28.5</v>
      </c>
      <c r="I1056" s="82">
        <v>0</v>
      </c>
      <c r="J1056" s="82">
        <f>ROUND(I1056*H1056,2)</f>
        <v>0</v>
      </c>
      <c r="K1056" s="310" t="s">
        <v>222</v>
      </c>
      <c r="L1056" s="24"/>
      <c r="M1056" s="83" t="s">
        <v>3</v>
      </c>
      <c r="N1056" s="84" t="s">
        <v>39</v>
      </c>
      <c r="O1056" s="85">
        <v>9.9000000000000005E-2</v>
      </c>
      <c r="P1056" s="85">
        <f>O1056*H1056</f>
        <v>2.8215000000000003</v>
      </c>
      <c r="Q1056" s="85">
        <v>3.0000000000000001E-5</v>
      </c>
      <c r="R1056" s="85">
        <f>Q1056*H1056</f>
        <v>8.5500000000000007E-4</v>
      </c>
      <c r="S1056" s="85">
        <v>0</v>
      </c>
      <c r="T1056" s="86">
        <f>S1056*H1056</f>
        <v>0</v>
      </c>
      <c r="U1056" s="23"/>
      <c r="V1056" s="23"/>
      <c r="W1056" s="23"/>
      <c r="X1056" s="23"/>
      <c r="Y1056" s="23"/>
      <c r="Z1056" s="23"/>
      <c r="AA1056" s="23"/>
      <c r="AB1056" s="23"/>
      <c r="AC1056" s="23"/>
      <c r="AD1056" s="23"/>
      <c r="AE1056" s="23"/>
      <c r="AR1056" s="87" t="s">
        <v>305</v>
      </c>
      <c r="AT1056" s="87" t="s">
        <v>218</v>
      </c>
      <c r="AU1056" s="87" t="s">
        <v>77</v>
      </c>
      <c r="AY1056" s="19" t="s">
        <v>216</v>
      </c>
      <c r="BE1056" s="88">
        <f>IF(N1056="základní",J1056,0)</f>
        <v>0</v>
      </c>
      <c r="BF1056" s="88">
        <f>IF(N1056="snížená",J1056,0)</f>
        <v>0</v>
      </c>
      <c r="BG1056" s="88">
        <f>IF(N1056="zákl. přenesená",J1056,0)</f>
        <v>0</v>
      </c>
      <c r="BH1056" s="88">
        <f>IF(N1056="sníž. přenesená",J1056,0)</f>
        <v>0</v>
      </c>
      <c r="BI1056" s="88">
        <f>IF(N1056="nulová",J1056,0)</f>
        <v>0</v>
      </c>
      <c r="BJ1056" s="19" t="s">
        <v>75</v>
      </c>
      <c r="BK1056" s="88">
        <f>ROUND(I1056*H1056,2)</f>
        <v>0</v>
      </c>
      <c r="BL1056" s="19" t="s">
        <v>305</v>
      </c>
      <c r="BM1056" s="87" t="s">
        <v>1491</v>
      </c>
    </row>
    <row r="1057" spans="1:65" s="2" customFormat="1" ht="39">
      <c r="A1057" s="269"/>
      <c r="B1057" s="270"/>
      <c r="C1057" s="269"/>
      <c r="D1057" s="315" t="s">
        <v>231</v>
      </c>
      <c r="E1057" s="269"/>
      <c r="F1057" s="323" t="s">
        <v>1483</v>
      </c>
      <c r="G1057" s="269"/>
      <c r="H1057" s="269"/>
      <c r="I1057" s="248"/>
      <c r="J1057" s="248"/>
      <c r="K1057" s="269"/>
      <c r="L1057" s="24"/>
      <c r="M1057" s="99"/>
      <c r="N1057" s="100"/>
      <c r="O1057" s="32"/>
      <c r="P1057" s="32"/>
      <c r="Q1057" s="32"/>
      <c r="R1057" s="32"/>
      <c r="S1057" s="32"/>
      <c r="T1057" s="33"/>
      <c r="U1057" s="23"/>
      <c r="V1057" s="23"/>
      <c r="W1057" s="23"/>
      <c r="X1057" s="23"/>
      <c r="Y1057" s="23"/>
      <c r="Z1057" s="23"/>
      <c r="AA1057" s="23"/>
      <c r="AB1057" s="23"/>
      <c r="AC1057" s="23"/>
      <c r="AD1057" s="23"/>
      <c r="AE1057" s="23"/>
      <c r="AT1057" s="19" t="s">
        <v>231</v>
      </c>
      <c r="AU1057" s="19" t="s">
        <v>77</v>
      </c>
    </row>
    <row r="1058" spans="1:65" s="2" customFormat="1" ht="21.6" customHeight="1">
      <c r="A1058" s="269"/>
      <c r="B1058" s="270"/>
      <c r="C1058" s="308" t="s">
        <v>1492</v>
      </c>
      <c r="D1058" s="308" t="s">
        <v>218</v>
      </c>
      <c r="E1058" s="309" t="s">
        <v>1493</v>
      </c>
      <c r="F1058" s="310" t="s">
        <v>1494</v>
      </c>
      <c r="G1058" s="311" t="s">
        <v>273</v>
      </c>
      <c r="H1058" s="312">
        <v>0.11899999999999999</v>
      </c>
      <c r="I1058" s="82">
        <v>0</v>
      </c>
      <c r="J1058" s="82">
        <f>ROUND(I1058*H1058,2)</f>
        <v>0</v>
      </c>
      <c r="K1058" s="310" t="s">
        <v>222</v>
      </c>
      <c r="L1058" s="24"/>
      <c r="M1058" s="83" t="s">
        <v>3</v>
      </c>
      <c r="N1058" s="84" t="s">
        <v>39</v>
      </c>
      <c r="O1058" s="85">
        <v>1.091</v>
      </c>
      <c r="P1058" s="85">
        <f>O1058*H1058</f>
        <v>0.129829</v>
      </c>
      <c r="Q1058" s="85">
        <v>0</v>
      </c>
      <c r="R1058" s="85">
        <f>Q1058*H1058</f>
        <v>0</v>
      </c>
      <c r="S1058" s="85">
        <v>0</v>
      </c>
      <c r="T1058" s="86">
        <f>S1058*H1058</f>
        <v>0</v>
      </c>
      <c r="U1058" s="23"/>
      <c r="V1058" s="23"/>
      <c r="W1058" s="23"/>
      <c r="X1058" s="23"/>
      <c r="Y1058" s="23"/>
      <c r="Z1058" s="23"/>
      <c r="AA1058" s="23"/>
      <c r="AB1058" s="23"/>
      <c r="AC1058" s="23"/>
      <c r="AD1058" s="23"/>
      <c r="AE1058" s="23"/>
      <c r="AR1058" s="87" t="s">
        <v>305</v>
      </c>
      <c r="AT1058" s="87" t="s">
        <v>218</v>
      </c>
      <c r="AU1058" s="87" t="s">
        <v>77</v>
      </c>
      <c r="AY1058" s="19" t="s">
        <v>216</v>
      </c>
      <c r="BE1058" s="88">
        <f>IF(N1058="základní",J1058,0)</f>
        <v>0</v>
      </c>
      <c r="BF1058" s="88">
        <f>IF(N1058="snížená",J1058,0)</f>
        <v>0</v>
      </c>
      <c r="BG1058" s="88">
        <f>IF(N1058="zákl. přenesená",J1058,0)</f>
        <v>0</v>
      </c>
      <c r="BH1058" s="88">
        <f>IF(N1058="sníž. přenesená",J1058,0)</f>
        <v>0</v>
      </c>
      <c r="BI1058" s="88">
        <f>IF(N1058="nulová",J1058,0)</f>
        <v>0</v>
      </c>
      <c r="BJ1058" s="19" t="s">
        <v>75</v>
      </c>
      <c r="BK1058" s="88">
        <f>ROUND(I1058*H1058,2)</f>
        <v>0</v>
      </c>
      <c r="BL1058" s="19" t="s">
        <v>305</v>
      </c>
      <c r="BM1058" s="87" t="s">
        <v>1495</v>
      </c>
    </row>
    <row r="1059" spans="1:65" s="2" customFormat="1" ht="87.75">
      <c r="A1059" s="269"/>
      <c r="B1059" s="270"/>
      <c r="C1059" s="269"/>
      <c r="D1059" s="315" t="s">
        <v>231</v>
      </c>
      <c r="E1059" s="269"/>
      <c r="F1059" s="323" t="s">
        <v>1181</v>
      </c>
      <c r="G1059" s="269"/>
      <c r="H1059" s="269"/>
      <c r="I1059" s="248"/>
      <c r="J1059" s="248"/>
      <c r="K1059" s="269"/>
      <c r="L1059" s="24"/>
      <c r="M1059" s="99"/>
      <c r="N1059" s="100"/>
      <c r="O1059" s="32"/>
      <c r="P1059" s="32"/>
      <c r="Q1059" s="32"/>
      <c r="R1059" s="32"/>
      <c r="S1059" s="32"/>
      <c r="T1059" s="33"/>
      <c r="U1059" s="23"/>
      <c r="V1059" s="23"/>
      <c r="W1059" s="23"/>
      <c r="X1059" s="23"/>
      <c r="Y1059" s="23"/>
      <c r="Z1059" s="23"/>
      <c r="AA1059" s="23"/>
      <c r="AB1059" s="23"/>
      <c r="AC1059" s="23"/>
      <c r="AD1059" s="23"/>
      <c r="AE1059" s="23"/>
      <c r="AT1059" s="19" t="s">
        <v>231</v>
      </c>
      <c r="AU1059" s="19" t="s">
        <v>77</v>
      </c>
    </row>
    <row r="1060" spans="1:65" s="2" customFormat="1" ht="32.450000000000003" customHeight="1">
      <c r="A1060" s="269"/>
      <c r="B1060" s="270"/>
      <c r="C1060" s="308" t="s">
        <v>1496</v>
      </c>
      <c r="D1060" s="308" t="s">
        <v>218</v>
      </c>
      <c r="E1060" s="309" t="s">
        <v>1497</v>
      </c>
      <c r="F1060" s="310" t="s">
        <v>1498</v>
      </c>
      <c r="G1060" s="311" t="s">
        <v>273</v>
      </c>
      <c r="H1060" s="312">
        <v>0.11899999999999999</v>
      </c>
      <c r="I1060" s="82">
        <v>0</v>
      </c>
      <c r="J1060" s="82">
        <f>ROUND(I1060*H1060,2)</f>
        <v>0</v>
      </c>
      <c r="K1060" s="310" t="s">
        <v>222</v>
      </c>
      <c r="L1060" s="24"/>
      <c r="M1060" s="83" t="s">
        <v>3</v>
      </c>
      <c r="N1060" s="84" t="s">
        <v>39</v>
      </c>
      <c r="O1060" s="85">
        <v>1</v>
      </c>
      <c r="P1060" s="85">
        <f>O1060*H1060</f>
        <v>0.11899999999999999</v>
      </c>
      <c r="Q1060" s="85">
        <v>0</v>
      </c>
      <c r="R1060" s="85">
        <f>Q1060*H1060</f>
        <v>0</v>
      </c>
      <c r="S1060" s="85">
        <v>0</v>
      </c>
      <c r="T1060" s="86">
        <f>S1060*H1060</f>
        <v>0</v>
      </c>
      <c r="U1060" s="23"/>
      <c r="V1060" s="23"/>
      <c r="W1060" s="23"/>
      <c r="X1060" s="23"/>
      <c r="Y1060" s="23"/>
      <c r="Z1060" s="23"/>
      <c r="AA1060" s="23"/>
      <c r="AB1060" s="23"/>
      <c r="AC1060" s="23"/>
      <c r="AD1060" s="23"/>
      <c r="AE1060" s="23"/>
      <c r="AR1060" s="87" t="s">
        <v>305</v>
      </c>
      <c r="AT1060" s="87" t="s">
        <v>218</v>
      </c>
      <c r="AU1060" s="87" t="s">
        <v>77</v>
      </c>
      <c r="AY1060" s="19" t="s">
        <v>216</v>
      </c>
      <c r="BE1060" s="88">
        <f>IF(N1060="základní",J1060,0)</f>
        <v>0</v>
      </c>
      <c r="BF1060" s="88">
        <f>IF(N1060="snížená",J1060,0)</f>
        <v>0</v>
      </c>
      <c r="BG1060" s="88">
        <f>IF(N1060="zákl. přenesená",J1060,0)</f>
        <v>0</v>
      </c>
      <c r="BH1060" s="88">
        <f>IF(N1060="sníž. přenesená",J1060,0)</f>
        <v>0</v>
      </c>
      <c r="BI1060" s="88">
        <f>IF(N1060="nulová",J1060,0)</f>
        <v>0</v>
      </c>
      <c r="BJ1060" s="19" t="s">
        <v>75</v>
      </c>
      <c r="BK1060" s="88">
        <f>ROUND(I1060*H1060,2)</f>
        <v>0</v>
      </c>
      <c r="BL1060" s="19" t="s">
        <v>305</v>
      </c>
      <c r="BM1060" s="87" t="s">
        <v>1499</v>
      </c>
    </row>
    <row r="1061" spans="1:65" s="2" customFormat="1" ht="87.75">
      <c r="A1061" s="269"/>
      <c r="B1061" s="270"/>
      <c r="C1061" s="269"/>
      <c r="D1061" s="315" t="s">
        <v>231</v>
      </c>
      <c r="E1061" s="269"/>
      <c r="F1061" s="323" t="s">
        <v>1181</v>
      </c>
      <c r="G1061" s="269"/>
      <c r="H1061" s="269"/>
      <c r="I1061" s="248"/>
      <c r="J1061" s="248"/>
      <c r="K1061" s="269"/>
      <c r="L1061" s="24"/>
      <c r="M1061" s="99"/>
      <c r="N1061" s="100"/>
      <c r="O1061" s="32"/>
      <c r="P1061" s="32"/>
      <c r="Q1061" s="32"/>
      <c r="R1061" s="32"/>
      <c r="S1061" s="32"/>
      <c r="T1061" s="33"/>
      <c r="U1061" s="23"/>
      <c r="V1061" s="23"/>
      <c r="W1061" s="23"/>
      <c r="X1061" s="23"/>
      <c r="Y1061" s="23"/>
      <c r="Z1061" s="23"/>
      <c r="AA1061" s="23"/>
      <c r="AB1061" s="23"/>
      <c r="AC1061" s="23"/>
      <c r="AD1061" s="23"/>
      <c r="AE1061" s="23"/>
      <c r="AT1061" s="19" t="s">
        <v>231</v>
      </c>
      <c r="AU1061" s="19" t="s">
        <v>77</v>
      </c>
    </row>
    <row r="1062" spans="1:65" s="12" customFormat="1" ht="22.9" customHeight="1">
      <c r="A1062" s="303"/>
      <c r="B1062" s="304"/>
      <c r="C1062" s="303"/>
      <c r="D1062" s="305" t="s">
        <v>67</v>
      </c>
      <c r="E1062" s="307" t="s">
        <v>1500</v>
      </c>
      <c r="F1062" s="307" t="s">
        <v>1501</v>
      </c>
      <c r="G1062" s="303"/>
      <c r="H1062" s="303"/>
      <c r="I1062" s="256"/>
      <c r="J1062" s="258">
        <f>BK1062</f>
        <v>0</v>
      </c>
      <c r="K1062" s="303"/>
      <c r="L1062" s="74"/>
      <c r="M1062" s="76"/>
      <c r="N1062" s="77"/>
      <c r="O1062" s="77"/>
      <c r="P1062" s="78">
        <f>SUM(P1063:P1130)</f>
        <v>349.20598199999995</v>
      </c>
      <c r="Q1062" s="77"/>
      <c r="R1062" s="78">
        <f>SUM(R1063:R1130)</f>
        <v>4.7586668000000003</v>
      </c>
      <c r="S1062" s="77"/>
      <c r="T1062" s="79">
        <f>SUM(T1063:T1130)</f>
        <v>21.736049999999999</v>
      </c>
      <c r="AR1062" s="75" t="s">
        <v>77</v>
      </c>
      <c r="AT1062" s="80" t="s">
        <v>67</v>
      </c>
      <c r="AU1062" s="80" t="s">
        <v>75</v>
      </c>
      <c r="AY1062" s="75" t="s">
        <v>216</v>
      </c>
      <c r="BK1062" s="81">
        <f>SUM(BK1063:BK1130)</f>
        <v>0</v>
      </c>
    </row>
    <row r="1063" spans="1:65" s="2" customFormat="1" ht="14.45" customHeight="1">
      <c r="A1063" s="269"/>
      <c r="B1063" s="270"/>
      <c r="C1063" s="308" t="s">
        <v>1502</v>
      </c>
      <c r="D1063" s="308" t="s">
        <v>218</v>
      </c>
      <c r="E1063" s="309" t="s">
        <v>1503</v>
      </c>
      <c r="F1063" s="310" t="s">
        <v>1504</v>
      </c>
      <c r="G1063" s="311" t="s">
        <v>286</v>
      </c>
      <c r="H1063" s="312">
        <v>229.5</v>
      </c>
      <c r="I1063" s="82">
        <v>0</v>
      </c>
      <c r="J1063" s="82">
        <f>ROUND(I1063*H1063,2)</f>
        <v>0</v>
      </c>
      <c r="K1063" s="310" t="s">
        <v>222</v>
      </c>
      <c r="L1063" s="24"/>
      <c r="M1063" s="83" t="s">
        <v>3</v>
      </c>
      <c r="N1063" s="84" t="s">
        <v>39</v>
      </c>
      <c r="O1063" s="85">
        <v>1.2E-2</v>
      </c>
      <c r="P1063" s="85">
        <f>O1063*H1063</f>
        <v>2.754</v>
      </c>
      <c r="Q1063" s="85">
        <v>0</v>
      </c>
      <c r="R1063" s="85">
        <f>Q1063*H1063</f>
        <v>0</v>
      </c>
      <c r="S1063" s="85">
        <v>0</v>
      </c>
      <c r="T1063" s="86">
        <f>S1063*H1063</f>
        <v>0</v>
      </c>
      <c r="U1063" s="23"/>
      <c r="V1063" s="23"/>
      <c r="W1063" s="23"/>
      <c r="X1063" s="23"/>
      <c r="Y1063" s="23"/>
      <c r="Z1063" s="23"/>
      <c r="AA1063" s="23"/>
      <c r="AB1063" s="23"/>
      <c r="AC1063" s="23"/>
      <c r="AD1063" s="23"/>
      <c r="AE1063" s="23"/>
      <c r="AR1063" s="87" t="s">
        <v>305</v>
      </c>
      <c r="AT1063" s="87" t="s">
        <v>218</v>
      </c>
      <c r="AU1063" s="87" t="s">
        <v>77</v>
      </c>
      <c r="AY1063" s="19" t="s">
        <v>216</v>
      </c>
      <c r="BE1063" s="88">
        <f>IF(N1063="základní",J1063,0)</f>
        <v>0</v>
      </c>
      <c r="BF1063" s="88">
        <f>IF(N1063="snížená",J1063,0)</f>
        <v>0</v>
      </c>
      <c r="BG1063" s="88">
        <f>IF(N1063="zákl. přenesená",J1063,0)</f>
        <v>0</v>
      </c>
      <c r="BH1063" s="88">
        <f>IF(N1063="sníž. přenesená",J1063,0)</f>
        <v>0</v>
      </c>
      <c r="BI1063" s="88">
        <f>IF(N1063="nulová",J1063,0)</f>
        <v>0</v>
      </c>
      <c r="BJ1063" s="19" t="s">
        <v>75</v>
      </c>
      <c r="BK1063" s="88">
        <f>ROUND(I1063*H1063,2)</f>
        <v>0</v>
      </c>
      <c r="BL1063" s="19" t="s">
        <v>305</v>
      </c>
      <c r="BM1063" s="87" t="s">
        <v>1505</v>
      </c>
    </row>
    <row r="1064" spans="1:65" s="2" customFormat="1" ht="68.25">
      <c r="A1064" s="269"/>
      <c r="B1064" s="270"/>
      <c r="C1064" s="269"/>
      <c r="D1064" s="315" t="s">
        <v>231</v>
      </c>
      <c r="E1064" s="269"/>
      <c r="F1064" s="323" t="s">
        <v>1506</v>
      </c>
      <c r="G1064" s="269"/>
      <c r="H1064" s="269"/>
      <c r="I1064" s="248"/>
      <c r="J1064" s="248"/>
      <c r="K1064" s="269"/>
      <c r="L1064" s="24"/>
      <c r="M1064" s="99"/>
      <c r="N1064" s="100"/>
      <c r="O1064" s="32"/>
      <c r="P1064" s="32"/>
      <c r="Q1064" s="32"/>
      <c r="R1064" s="32"/>
      <c r="S1064" s="32"/>
      <c r="T1064" s="33"/>
      <c r="U1064" s="23"/>
      <c r="V1064" s="23"/>
      <c r="W1064" s="23"/>
      <c r="X1064" s="23"/>
      <c r="Y1064" s="23"/>
      <c r="Z1064" s="23"/>
      <c r="AA1064" s="23"/>
      <c r="AB1064" s="23"/>
      <c r="AC1064" s="23"/>
      <c r="AD1064" s="23"/>
      <c r="AE1064" s="23"/>
      <c r="AT1064" s="19" t="s">
        <v>231</v>
      </c>
      <c r="AU1064" s="19" t="s">
        <v>77</v>
      </c>
    </row>
    <row r="1065" spans="1:65" s="13" customFormat="1">
      <c r="A1065" s="313"/>
      <c r="B1065" s="314"/>
      <c r="C1065" s="313"/>
      <c r="D1065" s="315" t="s">
        <v>225</v>
      </c>
      <c r="E1065" s="316" t="s">
        <v>3</v>
      </c>
      <c r="F1065" s="317" t="s">
        <v>1472</v>
      </c>
      <c r="G1065" s="313"/>
      <c r="H1065" s="316" t="s">
        <v>3</v>
      </c>
      <c r="I1065" s="259"/>
      <c r="J1065" s="259"/>
      <c r="K1065" s="313"/>
      <c r="L1065" s="89"/>
      <c r="M1065" s="91"/>
      <c r="N1065" s="92"/>
      <c r="O1065" s="92"/>
      <c r="P1065" s="92"/>
      <c r="Q1065" s="92"/>
      <c r="R1065" s="92"/>
      <c r="S1065" s="92"/>
      <c r="T1065" s="93"/>
      <c r="AT1065" s="90" t="s">
        <v>225</v>
      </c>
      <c r="AU1065" s="90" t="s">
        <v>77</v>
      </c>
      <c r="AV1065" s="13" t="s">
        <v>75</v>
      </c>
      <c r="AW1065" s="13" t="s">
        <v>30</v>
      </c>
      <c r="AX1065" s="13" t="s">
        <v>68</v>
      </c>
      <c r="AY1065" s="90" t="s">
        <v>216</v>
      </c>
    </row>
    <row r="1066" spans="1:65" s="13" customFormat="1">
      <c r="A1066" s="313"/>
      <c r="B1066" s="314"/>
      <c r="C1066" s="313"/>
      <c r="D1066" s="315" t="s">
        <v>225</v>
      </c>
      <c r="E1066" s="316" t="s">
        <v>3</v>
      </c>
      <c r="F1066" s="317" t="s">
        <v>1507</v>
      </c>
      <c r="G1066" s="313"/>
      <c r="H1066" s="316" t="s">
        <v>3</v>
      </c>
      <c r="I1066" s="259"/>
      <c r="J1066" s="259"/>
      <c r="K1066" s="313"/>
      <c r="L1066" s="89"/>
      <c r="M1066" s="91"/>
      <c r="N1066" s="92"/>
      <c r="O1066" s="92"/>
      <c r="P1066" s="92"/>
      <c r="Q1066" s="92"/>
      <c r="R1066" s="92"/>
      <c r="S1066" s="92"/>
      <c r="T1066" s="93"/>
      <c r="AT1066" s="90" t="s">
        <v>225</v>
      </c>
      <c r="AU1066" s="90" t="s">
        <v>77</v>
      </c>
      <c r="AV1066" s="13" t="s">
        <v>75</v>
      </c>
      <c r="AW1066" s="13" t="s">
        <v>30</v>
      </c>
      <c r="AX1066" s="13" t="s">
        <v>68</v>
      </c>
      <c r="AY1066" s="90" t="s">
        <v>216</v>
      </c>
    </row>
    <row r="1067" spans="1:65" s="14" customFormat="1">
      <c r="A1067" s="318"/>
      <c r="B1067" s="319"/>
      <c r="C1067" s="318"/>
      <c r="D1067" s="315" t="s">
        <v>225</v>
      </c>
      <c r="E1067" s="320" t="s">
        <v>3</v>
      </c>
      <c r="F1067" s="321" t="s">
        <v>162</v>
      </c>
      <c r="G1067" s="318"/>
      <c r="H1067" s="322">
        <v>41.5</v>
      </c>
      <c r="I1067" s="260"/>
      <c r="J1067" s="260"/>
      <c r="K1067" s="318"/>
      <c r="L1067" s="94"/>
      <c r="M1067" s="96"/>
      <c r="N1067" s="97"/>
      <c r="O1067" s="97"/>
      <c r="P1067" s="97"/>
      <c r="Q1067" s="97"/>
      <c r="R1067" s="97"/>
      <c r="S1067" s="97"/>
      <c r="T1067" s="98"/>
      <c r="AT1067" s="95" t="s">
        <v>225</v>
      </c>
      <c r="AU1067" s="95" t="s">
        <v>77</v>
      </c>
      <c r="AV1067" s="14" t="s">
        <v>77</v>
      </c>
      <c r="AW1067" s="14" t="s">
        <v>30</v>
      </c>
      <c r="AX1067" s="14" t="s">
        <v>68</v>
      </c>
      <c r="AY1067" s="95" t="s">
        <v>216</v>
      </c>
    </row>
    <row r="1068" spans="1:65" s="15" customFormat="1">
      <c r="A1068" s="324"/>
      <c r="B1068" s="325"/>
      <c r="C1068" s="324"/>
      <c r="D1068" s="315" t="s">
        <v>225</v>
      </c>
      <c r="E1068" s="326" t="s">
        <v>161</v>
      </c>
      <c r="F1068" s="327" t="s">
        <v>252</v>
      </c>
      <c r="G1068" s="324"/>
      <c r="H1068" s="328">
        <v>41.5</v>
      </c>
      <c r="I1068" s="261"/>
      <c r="J1068" s="261"/>
      <c r="K1068" s="324"/>
      <c r="L1068" s="101"/>
      <c r="M1068" s="103"/>
      <c r="N1068" s="104"/>
      <c r="O1068" s="104"/>
      <c r="P1068" s="104"/>
      <c r="Q1068" s="104"/>
      <c r="R1068" s="104"/>
      <c r="S1068" s="104"/>
      <c r="T1068" s="105"/>
      <c r="AT1068" s="102" t="s">
        <v>225</v>
      </c>
      <c r="AU1068" s="102" t="s">
        <v>77</v>
      </c>
      <c r="AV1068" s="15" t="s">
        <v>100</v>
      </c>
      <c r="AW1068" s="15" t="s">
        <v>30</v>
      </c>
      <c r="AX1068" s="15" t="s">
        <v>68</v>
      </c>
      <c r="AY1068" s="102" t="s">
        <v>216</v>
      </c>
    </row>
    <row r="1069" spans="1:65" s="13" customFormat="1">
      <c r="A1069" s="313"/>
      <c r="B1069" s="314"/>
      <c r="C1069" s="313"/>
      <c r="D1069" s="315" t="s">
        <v>225</v>
      </c>
      <c r="E1069" s="316" t="s">
        <v>3</v>
      </c>
      <c r="F1069" s="317" t="s">
        <v>1508</v>
      </c>
      <c r="G1069" s="313"/>
      <c r="H1069" s="316" t="s">
        <v>3</v>
      </c>
      <c r="I1069" s="259"/>
      <c r="J1069" s="259"/>
      <c r="K1069" s="313"/>
      <c r="L1069" s="89"/>
      <c r="M1069" s="91"/>
      <c r="N1069" s="92"/>
      <c r="O1069" s="92"/>
      <c r="P1069" s="92"/>
      <c r="Q1069" s="92"/>
      <c r="R1069" s="92"/>
      <c r="S1069" s="92"/>
      <c r="T1069" s="93"/>
      <c r="AT1069" s="90" t="s">
        <v>225</v>
      </c>
      <c r="AU1069" s="90" t="s">
        <v>77</v>
      </c>
      <c r="AV1069" s="13" t="s">
        <v>75</v>
      </c>
      <c r="AW1069" s="13" t="s">
        <v>30</v>
      </c>
      <c r="AX1069" s="13" t="s">
        <v>68</v>
      </c>
      <c r="AY1069" s="90" t="s">
        <v>216</v>
      </c>
    </row>
    <row r="1070" spans="1:65" s="14" customFormat="1">
      <c r="A1070" s="318"/>
      <c r="B1070" s="319"/>
      <c r="C1070" s="318"/>
      <c r="D1070" s="315" t="s">
        <v>225</v>
      </c>
      <c r="E1070" s="320" t="s">
        <v>3</v>
      </c>
      <c r="F1070" s="321" t="s">
        <v>1509</v>
      </c>
      <c r="G1070" s="318"/>
      <c r="H1070" s="322">
        <v>116</v>
      </c>
      <c r="I1070" s="260"/>
      <c r="J1070" s="260"/>
      <c r="K1070" s="318"/>
      <c r="L1070" s="94"/>
      <c r="M1070" s="96"/>
      <c r="N1070" s="97"/>
      <c r="O1070" s="97"/>
      <c r="P1070" s="97"/>
      <c r="Q1070" s="97"/>
      <c r="R1070" s="97"/>
      <c r="S1070" s="97"/>
      <c r="T1070" s="98"/>
      <c r="AT1070" s="95" t="s">
        <v>225</v>
      </c>
      <c r="AU1070" s="95" t="s">
        <v>77</v>
      </c>
      <c r="AV1070" s="14" t="s">
        <v>77</v>
      </c>
      <c r="AW1070" s="14" t="s">
        <v>30</v>
      </c>
      <c r="AX1070" s="14" t="s">
        <v>68</v>
      </c>
      <c r="AY1070" s="95" t="s">
        <v>216</v>
      </c>
    </row>
    <row r="1071" spans="1:65" s="15" customFormat="1">
      <c r="A1071" s="324"/>
      <c r="B1071" s="325"/>
      <c r="C1071" s="324"/>
      <c r="D1071" s="315" t="s">
        <v>225</v>
      </c>
      <c r="E1071" s="326" t="s">
        <v>163</v>
      </c>
      <c r="F1071" s="327" t="s">
        <v>252</v>
      </c>
      <c r="G1071" s="324"/>
      <c r="H1071" s="328">
        <v>116</v>
      </c>
      <c r="I1071" s="261"/>
      <c r="J1071" s="261"/>
      <c r="K1071" s="324"/>
      <c r="L1071" s="101"/>
      <c r="M1071" s="103"/>
      <c r="N1071" s="104"/>
      <c r="O1071" s="104"/>
      <c r="P1071" s="104"/>
      <c r="Q1071" s="104"/>
      <c r="R1071" s="104"/>
      <c r="S1071" s="104"/>
      <c r="T1071" s="105"/>
      <c r="AT1071" s="102" t="s">
        <v>225</v>
      </c>
      <c r="AU1071" s="102" t="s">
        <v>77</v>
      </c>
      <c r="AV1071" s="15" t="s">
        <v>100</v>
      </c>
      <c r="AW1071" s="15" t="s">
        <v>30</v>
      </c>
      <c r="AX1071" s="15" t="s">
        <v>68</v>
      </c>
      <c r="AY1071" s="102" t="s">
        <v>216</v>
      </c>
    </row>
    <row r="1072" spans="1:65" s="13" customFormat="1">
      <c r="A1072" s="313"/>
      <c r="B1072" s="314"/>
      <c r="C1072" s="313"/>
      <c r="D1072" s="315" t="s">
        <v>225</v>
      </c>
      <c r="E1072" s="316" t="s">
        <v>3</v>
      </c>
      <c r="F1072" s="317" t="s">
        <v>1510</v>
      </c>
      <c r="G1072" s="313"/>
      <c r="H1072" s="316" t="s">
        <v>3</v>
      </c>
      <c r="I1072" s="259"/>
      <c r="J1072" s="259"/>
      <c r="K1072" s="313"/>
      <c r="L1072" s="89"/>
      <c r="M1072" s="91"/>
      <c r="N1072" s="92"/>
      <c r="O1072" s="92"/>
      <c r="P1072" s="92"/>
      <c r="Q1072" s="92"/>
      <c r="R1072" s="92"/>
      <c r="S1072" s="92"/>
      <c r="T1072" s="93"/>
      <c r="AT1072" s="90" t="s">
        <v>225</v>
      </c>
      <c r="AU1072" s="90" t="s">
        <v>77</v>
      </c>
      <c r="AV1072" s="13" t="s">
        <v>75</v>
      </c>
      <c r="AW1072" s="13" t="s">
        <v>30</v>
      </c>
      <c r="AX1072" s="13" t="s">
        <v>68</v>
      </c>
      <c r="AY1072" s="90" t="s">
        <v>216</v>
      </c>
    </row>
    <row r="1073" spans="1:65" s="14" customFormat="1">
      <c r="A1073" s="318"/>
      <c r="B1073" s="319"/>
      <c r="C1073" s="318"/>
      <c r="D1073" s="315" t="s">
        <v>225</v>
      </c>
      <c r="E1073" s="320" t="s">
        <v>3</v>
      </c>
      <c r="F1073" s="321" t="s">
        <v>166</v>
      </c>
      <c r="G1073" s="318"/>
      <c r="H1073" s="322">
        <v>51.2</v>
      </c>
      <c r="I1073" s="260"/>
      <c r="J1073" s="260"/>
      <c r="K1073" s="318"/>
      <c r="L1073" s="94"/>
      <c r="M1073" s="96"/>
      <c r="N1073" s="97"/>
      <c r="O1073" s="97"/>
      <c r="P1073" s="97"/>
      <c r="Q1073" s="97"/>
      <c r="R1073" s="97"/>
      <c r="S1073" s="97"/>
      <c r="T1073" s="98"/>
      <c r="AT1073" s="95" t="s">
        <v>225</v>
      </c>
      <c r="AU1073" s="95" t="s">
        <v>77</v>
      </c>
      <c r="AV1073" s="14" t="s">
        <v>77</v>
      </c>
      <c r="AW1073" s="14" t="s">
        <v>30</v>
      </c>
      <c r="AX1073" s="14" t="s">
        <v>68</v>
      </c>
      <c r="AY1073" s="95" t="s">
        <v>216</v>
      </c>
    </row>
    <row r="1074" spans="1:65" s="15" customFormat="1">
      <c r="A1074" s="324"/>
      <c r="B1074" s="325"/>
      <c r="C1074" s="324"/>
      <c r="D1074" s="315" t="s">
        <v>225</v>
      </c>
      <c r="E1074" s="326" t="s">
        <v>165</v>
      </c>
      <c r="F1074" s="327" t="s">
        <v>252</v>
      </c>
      <c r="G1074" s="324"/>
      <c r="H1074" s="328">
        <v>51.2</v>
      </c>
      <c r="I1074" s="261"/>
      <c r="J1074" s="261"/>
      <c r="K1074" s="324"/>
      <c r="L1074" s="101"/>
      <c r="M1074" s="103"/>
      <c r="N1074" s="104"/>
      <c r="O1074" s="104"/>
      <c r="P1074" s="104"/>
      <c r="Q1074" s="104"/>
      <c r="R1074" s="104"/>
      <c r="S1074" s="104"/>
      <c r="T1074" s="105"/>
      <c r="AT1074" s="102" t="s">
        <v>225</v>
      </c>
      <c r="AU1074" s="102" t="s">
        <v>77</v>
      </c>
      <c r="AV1074" s="15" t="s">
        <v>100</v>
      </c>
      <c r="AW1074" s="15" t="s">
        <v>30</v>
      </c>
      <c r="AX1074" s="15" t="s">
        <v>68</v>
      </c>
      <c r="AY1074" s="102" t="s">
        <v>216</v>
      </c>
    </row>
    <row r="1075" spans="1:65" s="13" customFormat="1">
      <c r="A1075" s="313"/>
      <c r="B1075" s="314"/>
      <c r="C1075" s="313"/>
      <c r="D1075" s="315" t="s">
        <v>225</v>
      </c>
      <c r="E1075" s="316" t="s">
        <v>3</v>
      </c>
      <c r="F1075" s="317" t="s">
        <v>1511</v>
      </c>
      <c r="G1075" s="313"/>
      <c r="H1075" s="316" t="s">
        <v>3</v>
      </c>
      <c r="I1075" s="259"/>
      <c r="J1075" s="259"/>
      <c r="K1075" s="313"/>
      <c r="L1075" s="89"/>
      <c r="M1075" s="91"/>
      <c r="N1075" s="92"/>
      <c r="O1075" s="92"/>
      <c r="P1075" s="92"/>
      <c r="Q1075" s="92"/>
      <c r="R1075" s="92"/>
      <c r="S1075" s="92"/>
      <c r="T1075" s="93"/>
      <c r="AT1075" s="90" t="s">
        <v>225</v>
      </c>
      <c r="AU1075" s="90" t="s">
        <v>77</v>
      </c>
      <c r="AV1075" s="13" t="s">
        <v>75</v>
      </c>
      <c r="AW1075" s="13" t="s">
        <v>30</v>
      </c>
      <c r="AX1075" s="13" t="s">
        <v>68</v>
      </c>
      <c r="AY1075" s="90" t="s">
        <v>216</v>
      </c>
    </row>
    <row r="1076" spans="1:65" s="14" customFormat="1">
      <c r="A1076" s="318"/>
      <c r="B1076" s="319"/>
      <c r="C1076" s="318"/>
      <c r="D1076" s="315" t="s">
        <v>225</v>
      </c>
      <c r="E1076" s="320" t="s">
        <v>3</v>
      </c>
      <c r="F1076" s="321" t="s">
        <v>159</v>
      </c>
      <c r="G1076" s="318"/>
      <c r="H1076" s="322">
        <v>20.8</v>
      </c>
      <c r="I1076" s="260"/>
      <c r="J1076" s="260"/>
      <c r="K1076" s="318"/>
      <c r="L1076" s="94"/>
      <c r="M1076" s="96"/>
      <c r="N1076" s="97"/>
      <c r="O1076" s="97"/>
      <c r="P1076" s="97"/>
      <c r="Q1076" s="97"/>
      <c r="R1076" s="97"/>
      <c r="S1076" s="97"/>
      <c r="T1076" s="98"/>
      <c r="AT1076" s="95" t="s">
        <v>225</v>
      </c>
      <c r="AU1076" s="95" t="s">
        <v>77</v>
      </c>
      <c r="AV1076" s="14" t="s">
        <v>77</v>
      </c>
      <c r="AW1076" s="14" t="s">
        <v>30</v>
      </c>
      <c r="AX1076" s="14" t="s">
        <v>68</v>
      </c>
      <c r="AY1076" s="95" t="s">
        <v>216</v>
      </c>
    </row>
    <row r="1077" spans="1:65" s="15" customFormat="1">
      <c r="A1077" s="324"/>
      <c r="B1077" s="325"/>
      <c r="C1077" s="324"/>
      <c r="D1077" s="315" t="s">
        <v>225</v>
      </c>
      <c r="E1077" s="326" t="s">
        <v>158</v>
      </c>
      <c r="F1077" s="327" t="s">
        <v>252</v>
      </c>
      <c r="G1077" s="324"/>
      <c r="H1077" s="328">
        <v>20.8</v>
      </c>
      <c r="I1077" s="261"/>
      <c r="J1077" s="261"/>
      <c r="K1077" s="324"/>
      <c r="L1077" s="101"/>
      <c r="M1077" s="103"/>
      <c r="N1077" s="104"/>
      <c r="O1077" s="104"/>
      <c r="P1077" s="104"/>
      <c r="Q1077" s="104"/>
      <c r="R1077" s="104"/>
      <c r="S1077" s="104"/>
      <c r="T1077" s="105"/>
      <c r="AT1077" s="102" t="s">
        <v>225</v>
      </c>
      <c r="AU1077" s="102" t="s">
        <v>77</v>
      </c>
      <c r="AV1077" s="15" t="s">
        <v>100</v>
      </c>
      <c r="AW1077" s="15" t="s">
        <v>30</v>
      </c>
      <c r="AX1077" s="15" t="s">
        <v>68</v>
      </c>
      <c r="AY1077" s="102" t="s">
        <v>216</v>
      </c>
    </row>
    <row r="1078" spans="1:65" s="16" customFormat="1">
      <c r="A1078" s="329"/>
      <c r="B1078" s="330"/>
      <c r="C1078" s="329"/>
      <c r="D1078" s="315" t="s">
        <v>225</v>
      </c>
      <c r="E1078" s="331" t="s">
        <v>3</v>
      </c>
      <c r="F1078" s="332" t="s">
        <v>254</v>
      </c>
      <c r="G1078" s="329"/>
      <c r="H1078" s="333">
        <v>229.5</v>
      </c>
      <c r="I1078" s="262"/>
      <c r="J1078" s="262"/>
      <c r="K1078" s="329"/>
      <c r="L1078" s="106"/>
      <c r="M1078" s="108"/>
      <c r="N1078" s="109"/>
      <c r="O1078" s="109"/>
      <c r="P1078" s="109"/>
      <c r="Q1078" s="109"/>
      <c r="R1078" s="109"/>
      <c r="S1078" s="109"/>
      <c r="T1078" s="110"/>
      <c r="AT1078" s="107" t="s">
        <v>225</v>
      </c>
      <c r="AU1078" s="107" t="s">
        <v>77</v>
      </c>
      <c r="AV1078" s="16" t="s">
        <v>223</v>
      </c>
      <c r="AW1078" s="16" t="s">
        <v>30</v>
      </c>
      <c r="AX1078" s="16" t="s">
        <v>75</v>
      </c>
      <c r="AY1078" s="107" t="s">
        <v>216</v>
      </c>
    </row>
    <row r="1079" spans="1:65" s="2" customFormat="1" ht="14.45" customHeight="1">
      <c r="A1079" s="269"/>
      <c r="B1079" s="270"/>
      <c r="C1079" s="308" t="s">
        <v>1512</v>
      </c>
      <c r="D1079" s="308" t="s">
        <v>218</v>
      </c>
      <c r="E1079" s="309" t="s">
        <v>1513</v>
      </c>
      <c r="F1079" s="310" t="s">
        <v>1514</v>
      </c>
      <c r="G1079" s="311" t="s">
        <v>286</v>
      </c>
      <c r="H1079" s="312">
        <v>229.5</v>
      </c>
      <c r="I1079" s="82">
        <v>0</v>
      </c>
      <c r="J1079" s="82">
        <f>ROUND(I1079*H1079,2)</f>
        <v>0</v>
      </c>
      <c r="K1079" s="310" t="s">
        <v>222</v>
      </c>
      <c r="L1079" s="24"/>
      <c r="M1079" s="83" t="s">
        <v>3</v>
      </c>
      <c r="N1079" s="84" t="s">
        <v>39</v>
      </c>
      <c r="O1079" s="85">
        <v>4.3999999999999997E-2</v>
      </c>
      <c r="P1079" s="85">
        <f>O1079*H1079</f>
        <v>10.097999999999999</v>
      </c>
      <c r="Q1079" s="85">
        <v>2.9999999999999997E-4</v>
      </c>
      <c r="R1079" s="85">
        <f>Q1079*H1079</f>
        <v>6.8849999999999995E-2</v>
      </c>
      <c r="S1079" s="85">
        <v>0</v>
      </c>
      <c r="T1079" s="86">
        <f>S1079*H1079</f>
        <v>0</v>
      </c>
      <c r="U1079" s="23"/>
      <c r="V1079" s="23"/>
      <c r="W1079" s="23"/>
      <c r="X1079" s="23"/>
      <c r="Y1079" s="23"/>
      <c r="Z1079" s="23"/>
      <c r="AA1079" s="23"/>
      <c r="AB1079" s="23"/>
      <c r="AC1079" s="23"/>
      <c r="AD1079" s="23"/>
      <c r="AE1079" s="23"/>
      <c r="AR1079" s="87" t="s">
        <v>305</v>
      </c>
      <c r="AT1079" s="87" t="s">
        <v>218</v>
      </c>
      <c r="AU1079" s="87" t="s">
        <v>77</v>
      </c>
      <c r="AY1079" s="19" t="s">
        <v>216</v>
      </c>
      <c r="BE1079" s="88">
        <f>IF(N1079="základní",J1079,0)</f>
        <v>0</v>
      </c>
      <c r="BF1079" s="88">
        <f>IF(N1079="snížená",J1079,0)</f>
        <v>0</v>
      </c>
      <c r="BG1079" s="88">
        <f>IF(N1079="zákl. přenesená",J1079,0)</f>
        <v>0</v>
      </c>
      <c r="BH1079" s="88">
        <f>IF(N1079="sníž. přenesená",J1079,0)</f>
        <v>0</v>
      </c>
      <c r="BI1079" s="88">
        <f>IF(N1079="nulová",J1079,0)</f>
        <v>0</v>
      </c>
      <c r="BJ1079" s="19" t="s">
        <v>75</v>
      </c>
      <c r="BK1079" s="88">
        <f>ROUND(I1079*H1079,2)</f>
        <v>0</v>
      </c>
      <c r="BL1079" s="19" t="s">
        <v>305</v>
      </c>
      <c r="BM1079" s="87" t="s">
        <v>1515</v>
      </c>
    </row>
    <row r="1080" spans="1:65" s="2" customFormat="1" ht="68.25">
      <c r="A1080" s="269"/>
      <c r="B1080" s="270"/>
      <c r="C1080" s="269"/>
      <c r="D1080" s="315" t="s">
        <v>231</v>
      </c>
      <c r="E1080" s="269"/>
      <c r="F1080" s="323" t="s">
        <v>1506</v>
      </c>
      <c r="G1080" s="269"/>
      <c r="H1080" s="269"/>
      <c r="I1080" s="248"/>
      <c r="J1080" s="248"/>
      <c r="K1080" s="269"/>
      <c r="L1080" s="24"/>
      <c r="M1080" s="99"/>
      <c r="N1080" s="100"/>
      <c r="O1080" s="32"/>
      <c r="P1080" s="32"/>
      <c r="Q1080" s="32"/>
      <c r="R1080" s="32"/>
      <c r="S1080" s="32"/>
      <c r="T1080" s="33"/>
      <c r="U1080" s="23"/>
      <c r="V1080" s="23"/>
      <c r="W1080" s="23"/>
      <c r="X1080" s="23"/>
      <c r="Y1080" s="23"/>
      <c r="Z1080" s="23"/>
      <c r="AA1080" s="23"/>
      <c r="AB1080" s="23"/>
      <c r="AC1080" s="23"/>
      <c r="AD1080" s="23"/>
      <c r="AE1080" s="23"/>
      <c r="AT1080" s="19" t="s">
        <v>231</v>
      </c>
      <c r="AU1080" s="19" t="s">
        <v>77</v>
      </c>
    </row>
    <row r="1081" spans="1:65" s="13" customFormat="1">
      <c r="A1081" s="313"/>
      <c r="B1081" s="314"/>
      <c r="C1081" s="313"/>
      <c r="D1081" s="315" t="s">
        <v>225</v>
      </c>
      <c r="E1081" s="316" t="s">
        <v>3</v>
      </c>
      <c r="F1081" s="317" t="s">
        <v>1472</v>
      </c>
      <c r="G1081" s="313"/>
      <c r="H1081" s="316" t="s">
        <v>3</v>
      </c>
      <c r="I1081" s="259"/>
      <c r="J1081" s="259"/>
      <c r="K1081" s="313"/>
      <c r="L1081" s="89"/>
      <c r="M1081" s="91"/>
      <c r="N1081" s="92"/>
      <c r="O1081" s="92"/>
      <c r="P1081" s="92"/>
      <c r="Q1081" s="92"/>
      <c r="R1081" s="92"/>
      <c r="S1081" s="92"/>
      <c r="T1081" s="93"/>
      <c r="AT1081" s="90" t="s">
        <v>225</v>
      </c>
      <c r="AU1081" s="90" t="s">
        <v>77</v>
      </c>
      <c r="AV1081" s="13" t="s">
        <v>75</v>
      </c>
      <c r="AW1081" s="13" t="s">
        <v>30</v>
      </c>
      <c r="AX1081" s="13" t="s">
        <v>68</v>
      </c>
      <c r="AY1081" s="90" t="s">
        <v>216</v>
      </c>
    </row>
    <row r="1082" spans="1:65" s="14" customFormat="1">
      <c r="A1082" s="318"/>
      <c r="B1082" s="319"/>
      <c r="C1082" s="318"/>
      <c r="D1082" s="315" t="s">
        <v>225</v>
      </c>
      <c r="E1082" s="320" t="s">
        <v>3</v>
      </c>
      <c r="F1082" s="321" t="s">
        <v>914</v>
      </c>
      <c r="G1082" s="318"/>
      <c r="H1082" s="322">
        <v>229.5</v>
      </c>
      <c r="I1082" s="260"/>
      <c r="J1082" s="260"/>
      <c r="K1082" s="318"/>
      <c r="L1082" s="94"/>
      <c r="M1082" s="96"/>
      <c r="N1082" s="97"/>
      <c r="O1082" s="97"/>
      <c r="P1082" s="97"/>
      <c r="Q1082" s="97"/>
      <c r="R1082" s="97"/>
      <c r="S1082" s="97"/>
      <c r="T1082" s="98"/>
      <c r="AT1082" s="95" t="s">
        <v>225</v>
      </c>
      <c r="AU1082" s="95" t="s">
        <v>77</v>
      </c>
      <c r="AV1082" s="14" t="s">
        <v>77</v>
      </c>
      <c r="AW1082" s="14" t="s">
        <v>30</v>
      </c>
      <c r="AX1082" s="14" t="s">
        <v>75</v>
      </c>
      <c r="AY1082" s="95" t="s">
        <v>216</v>
      </c>
    </row>
    <row r="1083" spans="1:65" s="2" customFormat="1" ht="14.45" customHeight="1">
      <c r="A1083" s="269"/>
      <c r="B1083" s="270"/>
      <c r="C1083" s="308" t="s">
        <v>1516</v>
      </c>
      <c r="D1083" s="308" t="s">
        <v>218</v>
      </c>
      <c r="E1083" s="309" t="s">
        <v>1517</v>
      </c>
      <c r="F1083" s="310" t="s">
        <v>1518</v>
      </c>
      <c r="G1083" s="311" t="s">
        <v>364</v>
      </c>
      <c r="H1083" s="312">
        <v>282</v>
      </c>
      <c r="I1083" s="82">
        <v>0</v>
      </c>
      <c r="J1083" s="82">
        <f>ROUND(I1083*H1083,2)</f>
        <v>0</v>
      </c>
      <c r="K1083" s="310" t="s">
        <v>222</v>
      </c>
      <c r="L1083" s="24"/>
      <c r="M1083" s="83" t="s">
        <v>3</v>
      </c>
      <c r="N1083" s="84" t="s">
        <v>39</v>
      </c>
      <c r="O1083" s="85">
        <v>7.0000000000000007E-2</v>
      </c>
      <c r="P1083" s="85">
        <f>O1083*H1083</f>
        <v>19.740000000000002</v>
      </c>
      <c r="Q1083" s="85">
        <v>2.0000000000000001E-4</v>
      </c>
      <c r="R1083" s="85">
        <f>Q1083*H1083</f>
        <v>5.6400000000000006E-2</v>
      </c>
      <c r="S1083" s="85">
        <v>0</v>
      </c>
      <c r="T1083" s="86">
        <f>S1083*H1083</f>
        <v>0</v>
      </c>
      <c r="U1083" s="23"/>
      <c r="V1083" s="23"/>
      <c r="W1083" s="23"/>
      <c r="X1083" s="23"/>
      <c r="Y1083" s="23"/>
      <c r="Z1083" s="23"/>
      <c r="AA1083" s="23"/>
      <c r="AB1083" s="23"/>
      <c r="AC1083" s="23"/>
      <c r="AD1083" s="23"/>
      <c r="AE1083" s="23"/>
      <c r="AR1083" s="87" t="s">
        <v>305</v>
      </c>
      <c r="AT1083" s="87" t="s">
        <v>218</v>
      </c>
      <c r="AU1083" s="87" t="s">
        <v>77</v>
      </c>
      <c r="AY1083" s="19" t="s">
        <v>216</v>
      </c>
      <c r="BE1083" s="88">
        <f>IF(N1083="základní",J1083,0)</f>
        <v>0</v>
      </c>
      <c r="BF1083" s="88">
        <f>IF(N1083="snížená",J1083,0)</f>
        <v>0</v>
      </c>
      <c r="BG1083" s="88">
        <f>IF(N1083="zákl. přenesená",J1083,0)</f>
        <v>0</v>
      </c>
      <c r="BH1083" s="88">
        <f>IF(N1083="sníž. přenesená",J1083,0)</f>
        <v>0</v>
      </c>
      <c r="BI1083" s="88">
        <f>IF(N1083="nulová",J1083,0)</f>
        <v>0</v>
      </c>
      <c r="BJ1083" s="19" t="s">
        <v>75</v>
      </c>
      <c r="BK1083" s="88">
        <f>ROUND(I1083*H1083,2)</f>
        <v>0</v>
      </c>
      <c r="BL1083" s="19" t="s">
        <v>305</v>
      </c>
      <c r="BM1083" s="87" t="s">
        <v>1519</v>
      </c>
    </row>
    <row r="1084" spans="1:65" s="2" customFormat="1" ht="68.25">
      <c r="A1084" s="269"/>
      <c r="B1084" s="270"/>
      <c r="C1084" s="269"/>
      <c r="D1084" s="315" t="s">
        <v>231</v>
      </c>
      <c r="E1084" s="269"/>
      <c r="F1084" s="323" t="s">
        <v>1506</v>
      </c>
      <c r="G1084" s="269"/>
      <c r="H1084" s="269"/>
      <c r="I1084" s="248"/>
      <c r="J1084" s="248"/>
      <c r="K1084" s="269"/>
      <c r="L1084" s="24"/>
      <c r="M1084" s="99"/>
      <c r="N1084" s="100"/>
      <c r="O1084" s="32"/>
      <c r="P1084" s="32"/>
      <c r="Q1084" s="32"/>
      <c r="R1084" s="32"/>
      <c r="S1084" s="32"/>
      <c r="T1084" s="33"/>
      <c r="U1084" s="23"/>
      <c r="V1084" s="23"/>
      <c r="W1084" s="23"/>
      <c r="X1084" s="23"/>
      <c r="Y1084" s="23"/>
      <c r="Z1084" s="23"/>
      <c r="AA1084" s="23"/>
      <c r="AB1084" s="23"/>
      <c r="AC1084" s="23"/>
      <c r="AD1084" s="23"/>
      <c r="AE1084" s="23"/>
      <c r="AT1084" s="19" t="s">
        <v>231</v>
      </c>
      <c r="AU1084" s="19" t="s">
        <v>77</v>
      </c>
    </row>
    <row r="1085" spans="1:65" s="13" customFormat="1">
      <c r="A1085" s="313"/>
      <c r="B1085" s="314"/>
      <c r="C1085" s="313"/>
      <c r="D1085" s="315" t="s">
        <v>225</v>
      </c>
      <c r="E1085" s="316" t="s">
        <v>3</v>
      </c>
      <c r="F1085" s="317" t="s">
        <v>1266</v>
      </c>
      <c r="G1085" s="313"/>
      <c r="H1085" s="316" t="s">
        <v>3</v>
      </c>
      <c r="I1085" s="259"/>
      <c r="J1085" s="259"/>
      <c r="K1085" s="313"/>
      <c r="L1085" s="89"/>
      <c r="M1085" s="91"/>
      <c r="N1085" s="92"/>
      <c r="O1085" s="92"/>
      <c r="P1085" s="92"/>
      <c r="Q1085" s="92"/>
      <c r="R1085" s="92"/>
      <c r="S1085" s="92"/>
      <c r="T1085" s="93"/>
      <c r="AT1085" s="90" t="s">
        <v>225</v>
      </c>
      <c r="AU1085" s="90" t="s">
        <v>77</v>
      </c>
      <c r="AV1085" s="13" t="s">
        <v>75</v>
      </c>
      <c r="AW1085" s="13" t="s">
        <v>30</v>
      </c>
      <c r="AX1085" s="13" t="s">
        <v>68</v>
      </c>
      <c r="AY1085" s="90" t="s">
        <v>216</v>
      </c>
    </row>
    <row r="1086" spans="1:65" s="13" customFormat="1">
      <c r="A1086" s="313"/>
      <c r="B1086" s="314"/>
      <c r="C1086" s="313"/>
      <c r="D1086" s="315" t="s">
        <v>225</v>
      </c>
      <c r="E1086" s="316" t="s">
        <v>3</v>
      </c>
      <c r="F1086" s="317" t="s">
        <v>1520</v>
      </c>
      <c r="G1086" s="313"/>
      <c r="H1086" s="316" t="s">
        <v>3</v>
      </c>
      <c r="I1086" s="259"/>
      <c r="J1086" s="259"/>
      <c r="K1086" s="313"/>
      <c r="L1086" s="89"/>
      <c r="M1086" s="91"/>
      <c r="N1086" s="92"/>
      <c r="O1086" s="92"/>
      <c r="P1086" s="92"/>
      <c r="Q1086" s="92"/>
      <c r="R1086" s="92"/>
      <c r="S1086" s="92"/>
      <c r="T1086" s="93"/>
      <c r="AT1086" s="90" t="s">
        <v>225</v>
      </c>
      <c r="AU1086" s="90" t="s">
        <v>77</v>
      </c>
      <c r="AV1086" s="13" t="s">
        <v>75</v>
      </c>
      <c r="AW1086" s="13" t="s">
        <v>30</v>
      </c>
      <c r="AX1086" s="13" t="s">
        <v>68</v>
      </c>
      <c r="AY1086" s="90" t="s">
        <v>216</v>
      </c>
    </row>
    <row r="1087" spans="1:65" s="14" customFormat="1">
      <c r="A1087" s="318"/>
      <c r="B1087" s="319"/>
      <c r="C1087" s="318"/>
      <c r="D1087" s="315" t="s">
        <v>225</v>
      </c>
      <c r="E1087" s="320" t="s">
        <v>3</v>
      </c>
      <c r="F1087" s="321" t="s">
        <v>1521</v>
      </c>
      <c r="G1087" s="318"/>
      <c r="H1087" s="322">
        <v>282</v>
      </c>
      <c r="I1087" s="260"/>
      <c r="J1087" s="260"/>
      <c r="K1087" s="318"/>
      <c r="L1087" s="94"/>
      <c r="M1087" s="96"/>
      <c r="N1087" s="97"/>
      <c r="O1087" s="97"/>
      <c r="P1087" s="97"/>
      <c r="Q1087" s="97"/>
      <c r="R1087" s="97"/>
      <c r="S1087" s="97"/>
      <c r="T1087" s="98"/>
      <c r="AT1087" s="95" t="s">
        <v>225</v>
      </c>
      <c r="AU1087" s="95" t="s">
        <v>77</v>
      </c>
      <c r="AV1087" s="14" t="s">
        <v>77</v>
      </c>
      <c r="AW1087" s="14" t="s">
        <v>30</v>
      </c>
      <c r="AX1087" s="14" t="s">
        <v>75</v>
      </c>
      <c r="AY1087" s="95" t="s">
        <v>216</v>
      </c>
    </row>
    <row r="1088" spans="1:65" s="2" customFormat="1" ht="14.45" customHeight="1">
      <c r="A1088" s="269"/>
      <c r="B1088" s="270"/>
      <c r="C1088" s="334" t="s">
        <v>1522</v>
      </c>
      <c r="D1088" s="334" t="s">
        <v>535</v>
      </c>
      <c r="E1088" s="335" t="s">
        <v>1523</v>
      </c>
      <c r="F1088" s="336" t="s">
        <v>1524</v>
      </c>
      <c r="G1088" s="337" t="s">
        <v>364</v>
      </c>
      <c r="H1088" s="338">
        <v>287.64</v>
      </c>
      <c r="I1088" s="111">
        <v>0</v>
      </c>
      <c r="J1088" s="111">
        <f>ROUND(I1088*H1088,2)</f>
        <v>0</v>
      </c>
      <c r="K1088" s="336" t="s">
        <v>3</v>
      </c>
      <c r="L1088" s="112"/>
      <c r="M1088" s="113" t="s">
        <v>3</v>
      </c>
      <c r="N1088" s="114" t="s">
        <v>39</v>
      </c>
      <c r="O1088" s="85">
        <v>0</v>
      </c>
      <c r="P1088" s="85">
        <f>O1088*H1088</f>
        <v>0</v>
      </c>
      <c r="Q1088" s="85">
        <v>0</v>
      </c>
      <c r="R1088" s="85">
        <f>Q1088*H1088</f>
        <v>0</v>
      </c>
      <c r="S1088" s="85">
        <v>0</v>
      </c>
      <c r="T1088" s="86">
        <f>S1088*H1088</f>
        <v>0</v>
      </c>
      <c r="U1088" s="23"/>
      <c r="V1088" s="23"/>
      <c r="W1088" s="23"/>
      <c r="X1088" s="23"/>
      <c r="Y1088" s="23"/>
      <c r="Z1088" s="23"/>
      <c r="AA1088" s="23"/>
      <c r="AB1088" s="23"/>
      <c r="AC1088" s="23"/>
      <c r="AD1088" s="23"/>
      <c r="AE1088" s="23"/>
      <c r="AR1088" s="87" t="s">
        <v>410</v>
      </c>
      <c r="AT1088" s="87" t="s">
        <v>535</v>
      </c>
      <c r="AU1088" s="87" t="s">
        <v>77</v>
      </c>
      <c r="AY1088" s="19" t="s">
        <v>216</v>
      </c>
      <c r="BE1088" s="88">
        <f>IF(N1088="základní",J1088,0)</f>
        <v>0</v>
      </c>
      <c r="BF1088" s="88">
        <f>IF(N1088="snížená",J1088,0)</f>
        <v>0</v>
      </c>
      <c r="BG1088" s="88">
        <f>IF(N1088="zákl. přenesená",J1088,0)</f>
        <v>0</v>
      </c>
      <c r="BH1088" s="88">
        <f>IF(N1088="sníž. přenesená",J1088,0)</f>
        <v>0</v>
      </c>
      <c r="BI1088" s="88">
        <f>IF(N1088="nulová",J1088,0)</f>
        <v>0</v>
      </c>
      <c r="BJ1088" s="19" t="s">
        <v>75</v>
      </c>
      <c r="BK1088" s="88">
        <f>ROUND(I1088*H1088,2)</f>
        <v>0</v>
      </c>
      <c r="BL1088" s="19" t="s">
        <v>305</v>
      </c>
      <c r="BM1088" s="87" t="s">
        <v>1525</v>
      </c>
    </row>
    <row r="1089" spans="1:65" s="14" customFormat="1">
      <c r="A1089" s="318"/>
      <c r="B1089" s="319"/>
      <c r="C1089" s="318"/>
      <c r="D1089" s="315" t="s">
        <v>225</v>
      </c>
      <c r="E1089" s="318"/>
      <c r="F1089" s="321" t="s">
        <v>1526</v>
      </c>
      <c r="G1089" s="318"/>
      <c r="H1089" s="322">
        <v>287.64</v>
      </c>
      <c r="I1089" s="260"/>
      <c r="J1089" s="260"/>
      <c r="K1089" s="318"/>
      <c r="L1089" s="94"/>
      <c r="M1089" s="96"/>
      <c r="N1089" s="97"/>
      <c r="O1089" s="97"/>
      <c r="P1089" s="97"/>
      <c r="Q1089" s="97"/>
      <c r="R1089" s="97"/>
      <c r="S1089" s="97"/>
      <c r="T1089" s="98"/>
      <c r="AT1089" s="95" t="s">
        <v>225</v>
      </c>
      <c r="AU1089" s="95" t="s">
        <v>77</v>
      </c>
      <c r="AV1089" s="14" t="s">
        <v>77</v>
      </c>
      <c r="AW1089" s="14" t="s">
        <v>4</v>
      </c>
      <c r="AX1089" s="14" t="s">
        <v>75</v>
      </c>
      <c r="AY1089" s="95" t="s">
        <v>216</v>
      </c>
    </row>
    <row r="1090" spans="1:65" s="2" customFormat="1" ht="14.45" customHeight="1">
      <c r="A1090" s="269"/>
      <c r="B1090" s="270"/>
      <c r="C1090" s="308" t="s">
        <v>1527</v>
      </c>
      <c r="D1090" s="308" t="s">
        <v>218</v>
      </c>
      <c r="E1090" s="309" t="s">
        <v>1528</v>
      </c>
      <c r="F1090" s="310" t="s">
        <v>1529</v>
      </c>
      <c r="G1090" s="311" t="s">
        <v>286</v>
      </c>
      <c r="H1090" s="312">
        <v>266.7</v>
      </c>
      <c r="I1090" s="82">
        <v>0</v>
      </c>
      <c r="J1090" s="82">
        <f>ROUND(I1090*H1090,2)</f>
        <v>0</v>
      </c>
      <c r="K1090" s="310" t="s">
        <v>222</v>
      </c>
      <c r="L1090" s="24"/>
      <c r="M1090" s="83" t="s">
        <v>3</v>
      </c>
      <c r="N1090" s="84" t="s">
        <v>39</v>
      </c>
      <c r="O1090" s="85">
        <v>0.29499999999999998</v>
      </c>
      <c r="P1090" s="85">
        <f>O1090*H1090</f>
        <v>78.67649999999999</v>
      </c>
      <c r="Q1090" s="85">
        <v>0</v>
      </c>
      <c r="R1090" s="85">
        <f>Q1090*H1090</f>
        <v>0</v>
      </c>
      <c r="S1090" s="85">
        <v>8.1500000000000003E-2</v>
      </c>
      <c r="T1090" s="86">
        <f>S1090*H1090</f>
        <v>21.736049999999999</v>
      </c>
      <c r="U1090" s="23"/>
      <c r="V1090" s="23"/>
      <c r="W1090" s="23"/>
      <c r="X1090" s="23"/>
      <c r="Y1090" s="23"/>
      <c r="Z1090" s="23"/>
      <c r="AA1090" s="23"/>
      <c r="AB1090" s="23"/>
      <c r="AC1090" s="23"/>
      <c r="AD1090" s="23"/>
      <c r="AE1090" s="23"/>
      <c r="AR1090" s="87" t="s">
        <v>305</v>
      </c>
      <c r="AT1090" s="87" t="s">
        <v>218</v>
      </c>
      <c r="AU1090" s="87" t="s">
        <v>77</v>
      </c>
      <c r="AY1090" s="19" t="s">
        <v>216</v>
      </c>
      <c r="BE1090" s="88">
        <f>IF(N1090="základní",J1090,0)</f>
        <v>0</v>
      </c>
      <c r="BF1090" s="88">
        <f>IF(N1090="snížená",J1090,0)</f>
        <v>0</v>
      </c>
      <c r="BG1090" s="88">
        <f>IF(N1090="zákl. přenesená",J1090,0)</f>
        <v>0</v>
      </c>
      <c r="BH1090" s="88">
        <f>IF(N1090="sníž. přenesená",J1090,0)</f>
        <v>0</v>
      </c>
      <c r="BI1090" s="88">
        <f>IF(N1090="nulová",J1090,0)</f>
        <v>0</v>
      </c>
      <c r="BJ1090" s="19" t="s">
        <v>75</v>
      </c>
      <c r="BK1090" s="88">
        <f>ROUND(I1090*H1090,2)</f>
        <v>0</v>
      </c>
      <c r="BL1090" s="19" t="s">
        <v>305</v>
      </c>
      <c r="BM1090" s="87" t="s">
        <v>1530</v>
      </c>
    </row>
    <row r="1091" spans="1:65" s="13" customFormat="1">
      <c r="A1091" s="313"/>
      <c r="B1091" s="314"/>
      <c r="C1091" s="313"/>
      <c r="D1091" s="315" t="s">
        <v>225</v>
      </c>
      <c r="E1091" s="316" t="s">
        <v>3</v>
      </c>
      <c r="F1091" s="317" t="s">
        <v>241</v>
      </c>
      <c r="G1091" s="313"/>
      <c r="H1091" s="316" t="s">
        <v>3</v>
      </c>
      <c r="I1091" s="259"/>
      <c r="J1091" s="259"/>
      <c r="K1091" s="313"/>
      <c r="L1091" s="89"/>
      <c r="M1091" s="91"/>
      <c r="N1091" s="92"/>
      <c r="O1091" s="92"/>
      <c r="P1091" s="92"/>
      <c r="Q1091" s="92"/>
      <c r="R1091" s="92"/>
      <c r="S1091" s="92"/>
      <c r="T1091" s="93"/>
      <c r="AT1091" s="90" t="s">
        <v>225</v>
      </c>
      <c r="AU1091" s="90" t="s">
        <v>77</v>
      </c>
      <c r="AV1091" s="13" t="s">
        <v>75</v>
      </c>
      <c r="AW1091" s="13" t="s">
        <v>30</v>
      </c>
      <c r="AX1091" s="13" t="s">
        <v>68</v>
      </c>
      <c r="AY1091" s="90" t="s">
        <v>216</v>
      </c>
    </row>
    <row r="1092" spans="1:65" s="13" customFormat="1">
      <c r="A1092" s="313"/>
      <c r="B1092" s="314"/>
      <c r="C1092" s="313"/>
      <c r="D1092" s="315" t="s">
        <v>225</v>
      </c>
      <c r="E1092" s="316" t="s">
        <v>3</v>
      </c>
      <c r="F1092" s="317" t="s">
        <v>1531</v>
      </c>
      <c r="G1092" s="313"/>
      <c r="H1092" s="316" t="s">
        <v>3</v>
      </c>
      <c r="I1092" s="259"/>
      <c r="J1092" s="259"/>
      <c r="K1092" s="313"/>
      <c r="L1092" s="89"/>
      <c r="M1092" s="91"/>
      <c r="N1092" s="92"/>
      <c r="O1092" s="92"/>
      <c r="P1092" s="92"/>
      <c r="Q1092" s="92"/>
      <c r="R1092" s="92"/>
      <c r="S1092" s="92"/>
      <c r="T1092" s="93"/>
      <c r="AT1092" s="90" t="s">
        <v>225</v>
      </c>
      <c r="AU1092" s="90" t="s">
        <v>77</v>
      </c>
      <c r="AV1092" s="13" t="s">
        <v>75</v>
      </c>
      <c r="AW1092" s="13" t="s">
        <v>30</v>
      </c>
      <c r="AX1092" s="13" t="s">
        <v>68</v>
      </c>
      <c r="AY1092" s="90" t="s">
        <v>216</v>
      </c>
    </row>
    <row r="1093" spans="1:65" s="14" customFormat="1">
      <c r="A1093" s="318"/>
      <c r="B1093" s="319"/>
      <c r="C1093" s="318"/>
      <c r="D1093" s="315" t="s">
        <v>225</v>
      </c>
      <c r="E1093" s="320" t="s">
        <v>3</v>
      </c>
      <c r="F1093" s="321" t="s">
        <v>1532</v>
      </c>
      <c r="G1093" s="318"/>
      <c r="H1093" s="322">
        <v>266.7</v>
      </c>
      <c r="I1093" s="260"/>
      <c r="J1093" s="260"/>
      <c r="K1093" s="318"/>
      <c r="L1093" s="94"/>
      <c r="M1093" s="96"/>
      <c r="N1093" s="97"/>
      <c r="O1093" s="97"/>
      <c r="P1093" s="97"/>
      <c r="Q1093" s="97"/>
      <c r="R1093" s="97"/>
      <c r="S1093" s="97"/>
      <c r="T1093" s="98"/>
      <c r="AT1093" s="95" t="s">
        <v>225</v>
      </c>
      <c r="AU1093" s="95" t="s">
        <v>77</v>
      </c>
      <c r="AV1093" s="14" t="s">
        <v>77</v>
      </c>
      <c r="AW1093" s="14" t="s">
        <v>30</v>
      </c>
      <c r="AX1093" s="14" t="s">
        <v>68</v>
      </c>
      <c r="AY1093" s="95" t="s">
        <v>216</v>
      </c>
    </row>
    <row r="1094" spans="1:65" s="16" customFormat="1">
      <c r="A1094" s="329"/>
      <c r="B1094" s="330"/>
      <c r="C1094" s="329"/>
      <c r="D1094" s="315" t="s">
        <v>225</v>
      </c>
      <c r="E1094" s="331" t="s">
        <v>3</v>
      </c>
      <c r="F1094" s="332" t="s">
        <v>254</v>
      </c>
      <c r="G1094" s="329"/>
      <c r="H1094" s="333">
        <v>266.7</v>
      </c>
      <c r="I1094" s="262"/>
      <c r="J1094" s="262"/>
      <c r="K1094" s="329"/>
      <c r="L1094" s="106"/>
      <c r="M1094" s="108"/>
      <c r="N1094" s="109"/>
      <c r="O1094" s="109"/>
      <c r="P1094" s="109"/>
      <c r="Q1094" s="109"/>
      <c r="R1094" s="109"/>
      <c r="S1094" s="109"/>
      <c r="T1094" s="110"/>
      <c r="AT1094" s="107" t="s">
        <v>225</v>
      </c>
      <c r="AU1094" s="107" t="s">
        <v>77</v>
      </c>
      <c r="AV1094" s="16" t="s">
        <v>223</v>
      </c>
      <c r="AW1094" s="16" t="s">
        <v>30</v>
      </c>
      <c r="AX1094" s="16" t="s">
        <v>75</v>
      </c>
      <c r="AY1094" s="107" t="s">
        <v>216</v>
      </c>
    </row>
    <row r="1095" spans="1:65" s="2" customFormat="1" ht="21.6" customHeight="1">
      <c r="A1095" s="269"/>
      <c r="B1095" s="270"/>
      <c r="C1095" s="308" t="s">
        <v>1533</v>
      </c>
      <c r="D1095" s="308" t="s">
        <v>218</v>
      </c>
      <c r="E1095" s="309" t="s">
        <v>1534</v>
      </c>
      <c r="F1095" s="310" t="s">
        <v>1535</v>
      </c>
      <c r="G1095" s="311" t="s">
        <v>286</v>
      </c>
      <c r="H1095" s="312">
        <v>188</v>
      </c>
      <c r="I1095" s="82">
        <v>0</v>
      </c>
      <c r="J1095" s="82">
        <f>ROUND(I1095*H1095,2)</f>
        <v>0</v>
      </c>
      <c r="K1095" s="310" t="s">
        <v>222</v>
      </c>
      <c r="L1095" s="24"/>
      <c r="M1095" s="83" t="s">
        <v>3</v>
      </c>
      <c r="N1095" s="84" t="s">
        <v>39</v>
      </c>
      <c r="O1095" s="85">
        <v>0.746</v>
      </c>
      <c r="P1095" s="85">
        <f>O1095*H1095</f>
        <v>140.24799999999999</v>
      </c>
      <c r="Q1095" s="85">
        <v>5.1999999999999998E-3</v>
      </c>
      <c r="R1095" s="85">
        <f>Q1095*H1095</f>
        <v>0.97759999999999991</v>
      </c>
      <c r="S1095" s="85">
        <v>0</v>
      </c>
      <c r="T1095" s="86">
        <f>S1095*H1095</f>
        <v>0</v>
      </c>
      <c r="U1095" s="23"/>
      <c r="V1095" s="23"/>
      <c r="W1095" s="23"/>
      <c r="X1095" s="23"/>
      <c r="Y1095" s="23"/>
      <c r="Z1095" s="23"/>
      <c r="AA1095" s="23"/>
      <c r="AB1095" s="23"/>
      <c r="AC1095" s="23"/>
      <c r="AD1095" s="23"/>
      <c r="AE1095" s="23"/>
      <c r="AR1095" s="87" t="s">
        <v>305</v>
      </c>
      <c r="AT1095" s="87" t="s">
        <v>218</v>
      </c>
      <c r="AU1095" s="87" t="s">
        <v>77</v>
      </c>
      <c r="AY1095" s="19" t="s">
        <v>216</v>
      </c>
      <c r="BE1095" s="88">
        <f>IF(N1095="základní",J1095,0)</f>
        <v>0</v>
      </c>
      <c r="BF1095" s="88">
        <f>IF(N1095="snížená",J1095,0)</f>
        <v>0</v>
      </c>
      <c r="BG1095" s="88">
        <f>IF(N1095="zákl. přenesená",J1095,0)</f>
        <v>0</v>
      </c>
      <c r="BH1095" s="88">
        <f>IF(N1095="sníž. přenesená",J1095,0)</f>
        <v>0</v>
      </c>
      <c r="BI1095" s="88">
        <f>IF(N1095="nulová",J1095,0)</f>
        <v>0</v>
      </c>
      <c r="BJ1095" s="19" t="s">
        <v>75</v>
      </c>
      <c r="BK1095" s="88">
        <f>ROUND(I1095*H1095,2)</f>
        <v>0</v>
      </c>
      <c r="BL1095" s="19" t="s">
        <v>305</v>
      </c>
      <c r="BM1095" s="87" t="s">
        <v>1536</v>
      </c>
    </row>
    <row r="1096" spans="1:65" s="2" customFormat="1" ht="29.25">
      <c r="A1096" s="269"/>
      <c r="B1096" s="270"/>
      <c r="C1096" s="269"/>
      <c r="D1096" s="315" t="s">
        <v>231</v>
      </c>
      <c r="E1096" s="269"/>
      <c r="F1096" s="323" t="s">
        <v>1537</v>
      </c>
      <c r="G1096" s="269"/>
      <c r="H1096" s="269"/>
      <c r="I1096" s="248"/>
      <c r="J1096" s="248"/>
      <c r="K1096" s="269"/>
      <c r="L1096" s="24"/>
      <c r="M1096" s="99"/>
      <c r="N1096" s="100"/>
      <c r="O1096" s="32"/>
      <c r="P1096" s="32"/>
      <c r="Q1096" s="32"/>
      <c r="R1096" s="32"/>
      <c r="S1096" s="32"/>
      <c r="T1096" s="33"/>
      <c r="U1096" s="23"/>
      <c r="V1096" s="23"/>
      <c r="W1096" s="23"/>
      <c r="X1096" s="23"/>
      <c r="Y1096" s="23"/>
      <c r="Z1096" s="23"/>
      <c r="AA1096" s="23"/>
      <c r="AB1096" s="23"/>
      <c r="AC1096" s="23"/>
      <c r="AD1096" s="23"/>
      <c r="AE1096" s="23"/>
      <c r="AT1096" s="19" t="s">
        <v>231</v>
      </c>
      <c r="AU1096" s="19" t="s">
        <v>77</v>
      </c>
    </row>
    <row r="1097" spans="1:65" s="13" customFormat="1">
      <c r="A1097" s="313"/>
      <c r="B1097" s="314"/>
      <c r="C1097" s="313"/>
      <c r="D1097" s="315" t="s">
        <v>225</v>
      </c>
      <c r="E1097" s="316" t="s">
        <v>3</v>
      </c>
      <c r="F1097" s="317" t="s">
        <v>1472</v>
      </c>
      <c r="G1097" s="313"/>
      <c r="H1097" s="316" t="s">
        <v>3</v>
      </c>
      <c r="I1097" s="259"/>
      <c r="J1097" s="259"/>
      <c r="K1097" s="313"/>
      <c r="L1097" s="89"/>
      <c r="M1097" s="91"/>
      <c r="N1097" s="92"/>
      <c r="O1097" s="92"/>
      <c r="P1097" s="92"/>
      <c r="Q1097" s="92"/>
      <c r="R1097" s="92"/>
      <c r="S1097" s="92"/>
      <c r="T1097" s="93"/>
      <c r="AT1097" s="90" t="s">
        <v>225</v>
      </c>
      <c r="AU1097" s="90" t="s">
        <v>77</v>
      </c>
      <c r="AV1097" s="13" t="s">
        <v>75</v>
      </c>
      <c r="AW1097" s="13" t="s">
        <v>30</v>
      </c>
      <c r="AX1097" s="13" t="s">
        <v>68</v>
      </c>
      <c r="AY1097" s="90" t="s">
        <v>216</v>
      </c>
    </row>
    <row r="1098" spans="1:65" s="14" customFormat="1">
      <c r="A1098" s="318"/>
      <c r="B1098" s="319"/>
      <c r="C1098" s="318"/>
      <c r="D1098" s="315" t="s">
        <v>225</v>
      </c>
      <c r="E1098" s="320" t="s">
        <v>3</v>
      </c>
      <c r="F1098" s="321" t="s">
        <v>1538</v>
      </c>
      <c r="G1098" s="318"/>
      <c r="H1098" s="322">
        <v>188</v>
      </c>
      <c r="I1098" s="260"/>
      <c r="J1098" s="260"/>
      <c r="K1098" s="318"/>
      <c r="L1098" s="94"/>
      <c r="M1098" s="96"/>
      <c r="N1098" s="97"/>
      <c r="O1098" s="97"/>
      <c r="P1098" s="97"/>
      <c r="Q1098" s="97"/>
      <c r="R1098" s="97"/>
      <c r="S1098" s="97"/>
      <c r="T1098" s="98"/>
      <c r="AT1098" s="95" t="s">
        <v>225</v>
      </c>
      <c r="AU1098" s="95" t="s">
        <v>77</v>
      </c>
      <c r="AV1098" s="14" t="s">
        <v>77</v>
      </c>
      <c r="AW1098" s="14" t="s">
        <v>30</v>
      </c>
      <c r="AX1098" s="14" t="s">
        <v>75</v>
      </c>
      <c r="AY1098" s="95" t="s">
        <v>216</v>
      </c>
    </row>
    <row r="1099" spans="1:65" s="2" customFormat="1" ht="280.89999999999998" customHeight="1">
      <c r="A1099" s="269"/>
      <c r="B1099" s="270"/>
      <c r="C1099" s="334" t="s">
        <v>1539</v>
      </c>
      <c r="D1099" s="334" t="s">
        <v>535</v>
      </c>
      <c r="E1099" s="335" t="s">
        <v>1540</v>
      </c>
      <c r="F1099" s="336" t="s">
        <v>1541</v>
      </c>
      <c r="G1099" s="337" t="s">
        <v>286</v>
      </c>
      <c r="H1099" s="338">
        <v>127.6</v>
      </c>
      <c r="I1099" s="111">
        <v>0</v>
      </c>
      <c r="J1099" s="111">
        <f>ROUND(I1099*H1099,2)</f>
        <v>0</v>
      </c>
      <c r="K1099" s="336" t="s">
        <v>3</v>
      </c>
      <c r="L1099" s="112"/>
      <c r="M1099" s="113" t="s">
        <v>3</v>
      </c>
      <c r="N1099" s="114" t="s">
        <v>39</v>
      </c>
      <c r="O1099" s="85">
        <v>0</v>
      </c>
      <c r="P1099" s="85">
        <f>O1099*H1099</f>
        <v>0</v>
      </c>
      <c r="Q1099" s="85">
        <v>1.26E-2</v>
      </c>
      <c r="R1099" s="85">
        <f>Q1099*H1099</f>
        <v>1.6077599999999999</v>
      </c>
      <c r="S1099" s="85">
        <v>0</v>
      </c>
      <c r="T1099" s="86">
        <f>S1099*H1099</f>
        <v>0</v>
      </c>
      <c r="U1099" s="23"/>
      <c r="V1099" s="23"/>
      <c r="W1099" s="23"/>
      <c r="X1099" s="23"/>
      <c r="Y1099" s="23"/>
      <c r="Z1099" s="23"/>
      <c r="AA1099" s="23"/>
      <c r="AB1099" s="23"/>
      <c r="AC1099" s="23"/>
      <c r="AD1099" s="23"/>
      <c r="AE1099" s="23"/>
      <c r="AR1099" s="87" t="s">
        <v>410</v>
      </c>
      <c r="AT1099" s="87" t="s">
        <v>535</v>
      </c>
      <c r="AU1099" s="87" t="s">
        <v>77</v>
      </c>
      <c r="AY1099" s="19" t="s">
        <v>216</v>
      </c>
      <c r="BE1099" s="88">
        <f>IF(N1099="základní",J1099,0)</f>
        <v>0</v>
      </c>
      <c r="BF1099" s="88">
        <f>IF(N1099="snížená",J1099,0)</f>
        <v>0</v>
      </c>
      <c r="BG1099" s="88">
        <f>IF(N1099="zákl. přenesená",J1099,0)</f>
        <v>0</v>
      </c>
      <c r="BH1099" s="88">
        <f>IF(N1099="sníž. přenesená",J1099,0)</f>
        <v>0</v>
      </c>
      <c r="BI1099" s="88">
        <f>IF(N1099="nulová",J1099,0)</f>
        <v>0</v>
      </c>
      <c r="BJ1099" s="19" t="s">
        <v>75</v>
      </c>
      <c r="BK1099" s="88">
        <f>ROUND(I1099*H1099,2)</f>
        <v>0</v>
      </c>
      <c r="BL1099" s="19" t="s">
        <v>305</v>
      </c>
      <c r="BM1099" s="87" t="s">
        <v>1542</v>
      </c>
    </row>
    <row r="1100" spans="1:65" s="14" customFormat="1">
      <c r="A1100" s="318"/>
      <c r="B1100" s="319"/>
      <c r="C1100" s="318"/>
      <c r="D1100" s="315" t="s">
        <v>225</v>
      </c>
      <c r="E1100" s="320" t="s">
        <v>3</v>
      </c>
      <c r="F1100" s="321" t="s">
        <v>163</v>
      </c>
      <c r="G1100" s="318"/>
      <c r="H1100" s="322">
        <v>116</v>
      </c>
      <c r="I1100" s="260"/>
      <c r="J1100" s="260"/>
      <c r="K1100" s="318"/>
      <c r="L1100" s="94"/>
      <c r="M1100" s="96"/>
      <c r="N1100" s="97"/>
      <c r="O1100" s="97"/>
      <c r="P1100" s="97"/>
      <c r="Q1100" s="97"/>
      <c r="R1100" s="97"/>
      <c r="S1100" s="97"/>
      <c r="T1100" s="98"/>
      <c r="AT1100" s="95" t="s">
        <v>225</v>
      </c>
      <c r="AU1100" s="95" t="s">
        <v>77</v>
      </c>
      <c r="AV1100" s="14" t="s">
        <v>77</v>
      </c>
      <c r="AW1100" s="14" t="s">
        <v>30</v>
      </c>
      <c r="AX1100" s="14" t="s">
        <v>75</v>
      </c>
      <c r="AY1100" s="95" t="s">
        <v>216</v>
      </c>
    </row>
    <row r="1101" spans="1:65" s="14" customFormat="1">
      <c r="A1101" s="318"/>
      <c r="B1101" s="319"/>
      <c r="C1101" s="318"/>
      <c r="D1101" s="315" t="s">
        <v>225</v>
      </c>
      <c r="E1101" s="318"/>
      <c r="F1101" s="321" t="s">
        <v>1543</v>
      </c>
      <c r="G1101" s="318"/>
      <c r="H1101" s="322">
        <v>127.6</v>
      </c>
      <c r="I1101" s="260"/>
      <c r="J1101" s="260"/>
      <c r="K1101" s="318"/>
      <c r="L1101" s="94"/>
      <c r="M1101" s="96"/>
      <c r="N1101" s="97"/>
      <c r="O1101" s="97"/>
      <c r="P1101" s="97"/>
      <c r="Q1101" s="97"/>
      <c r="R1101" s="97"/>
      <c r="S1101" s="97"/>
      <c r="T1101" s="98"/>
      <c r="AT1101" s="95" t="s">
        <v>225</v>
      </c>
      <c r="AU1101" s="95" t="s">
        <v>77</v>
      </c>
      <c r="AV1101" s="14" t="s">
        <v>77</v>
      </c>
      <c r="AW1101" s="14" t="s">
        <v>4</v>
      </c>
      <c r="AX1101" s="14" t="s">
        <v>75</v>
      </c>
      <c r="AY1101" s="95" t="s">
        <v>216</v>
      </c>
    </row>
    <row r="1102" spans="1:65" s="2" customFormat="1" ht="291.60000000000002" customHeight="1">
      <c r="A1102" s="269"/>
      <c r="B1102" s="270"/>
      <c r="C1102" s="334" t="s">
        <v>1544</v>
      </c>
      <c r="D1102" s="334" t="s">
        <v>535</v>
      </c>
      <c r="E1102" s="335" t="s">
        <v>1545</v>
      </c>
      <c r="F1102" s="336" t="s">
        <v>1546</v>
      </c>
      <c r="G1102" s="337" t="s">
        <v>286</v>
      </c>
      <c r="H1102" s="338">
        <v>56.32</v>
      </c>
      <c r="I1102" s="111">
        <v>0</v>
      </c>
      <c r="J1102" s="111">
        <f>ROUND(I1102*H1102,2)</f>
        <v>0</v>
      </c>
      <c r="K1102" s="336" t="s">
        <v>3</v>
      </c>
      <c r="L1102" s="112"/>
      <c r="M1102" s="113" t="s">
        <v>3</v>
      </c>
      <c r="N1102" s="114" t="s">
        <v>39</v>
      </c>
      <c r="O1102" s="85">
        <v>0</v>
      </c>
      <c r="P1102" s="85">
        <f>O1102*H1102</f>
        <v>0</v>
      </c>
      <c r="Q1102" s="85">
        <v>1.26E-2</v>
      </c>
      <c r="R1102" s="85">
        <f>Q1102*H1102</f>
        <v>0.70963200000000004</v>
      </c>
      <c r="S1102" s="85">
        <v>0</v>
      </c>
      <c r="T1102" s="86">
        <f>S1102*H1102</f>
        <v>0</v>
      </c>
      <c r="U1102" s="23"/>
      <c r="V1102" s="23"/>
      <c r="W1102" s="23"/>
      <c r="X1102" s="23"/>
      <c r="Y1102" s="23"/>
      <c r="Z1102" s="23"/>
      <c r="AA1102" s="23"/>
      <c r="AB1102" s="23"/>
      <c r="AC1102" s="23"/>
      <c r="AD1102" s="23"/>
      <c r="AE1102" s="23"/>
      <c r="AR1102" s="87" t="s">
        <v>410</v>
      </c>
      <c r="AT1102" s="87" t="s">
        <v>535</v>
      </c>
      <c r="AU1102" s="87" t="s">
        <v>77</v>
      </c>
      <c r="AY1102" s="19" t="s">
        <v>216</v>
      </c>
      <c r="BE1102" s="88">
        <f>IF(N1102="základní",J1102,0)</f>
        <v>0</v>
      </c>
      <c r="BF1102" s="88">
        <f>IF(N1102="snížená",J1102,0)</f>
        <v>0</v>
      </c>
      <c r="BG1102" s="88">
        <f>IF(N1102="zákl. přenesená",J1102,0)</f>
        <v>0</v>
      </c>
      <c r="BH1102" s="88">
        <f>IF(N1102="sníž. přenesená",J1102,0)</f>
        <v>0</v>
      </c>
      <c r="BI1102" s="88">
        <f>IF(N1102="nulová",J1102,0)</f>
        <v>0</v>
      </c>
      <c r="BJ1102" s="19" t="s">
        <v>75</v>
      </c>
      <c r="BK1102" s="88">
        <f>ROUND(I1102*H1102,2)</f>
        <v>0</v>
      </c>
      <c r="BL1102" s="19" t="s">
        <v>305</v>
      </c>
      <c r="BM1102" s="87" t="s">
        <v>1547</v>
      </c>
    </row>
    <row r="1103" spans="1:65" s="14" customFormat="1">
      <c r="A1103" s="318"/>
      <c r="B1103" s="319"/>
      <c r="C1103" s="318"/>
      <c r="D1103" s="315" t="s">
        <v>225</v>
      </c>
      <c r="E1103" s="320" t="s">
        <v>3</v>
      </c>
      <c r="F1103" s="321" t="s">
        <v>165</v>
      </c>
      <c r="G1103" s="318"/>
      <c r="H1103" s="322">
        <v>51.2</v>
      </c>
      <c r="I1103" s="260"/>
      <c r="J1103" s="260"/>
      <c r="K1103" s="318"/>
      <c r="L1103" s="94"/>
      <c r="M1103" s="96"/>
      <c r="N1103" s="97"/>
      <c r="O1103" s="97"/>
      <c r="P1103" s="97"/>
      <c r="Q1103" s="97"/>
      <c r="R1103" s="97"/>
      <c r="S1103" s="97"/>
      <c r="T1103" s="98"/>
      <c r="AT1103" s="95" t="s">
        <v>225</v>
      </c>
      <c r="AU1103" s="95" t="s">
        <v>77</v>
      </c>
      <c r="AV1103" s="14" t="s">
        <v>77</v>
      </c>
      <c r="AW1103" s="14" t="s">
        <v>30</v>
      </c>
      <c r="AX1103" s="14" t="s">
        <v>75</v>
      </c>
      <c r="AY1103" s="95" t="s">
        <v>216</v>
      </c>
    </row>
    <row r="1104" spans="1:65" s="14" customFormat="1">
      <c r="A1104" s="318"/>
      <c r="B1104" s="319"/>
      <c r="C1104" s="318"/>
      <c r="D1104" s="315" t="s">
        <v>225</v>
      </c>
      <c r="E1104" s="318"/>
      <c r="F1104" s="321" t="s">
        <v>1548</v>
      </c>
      <c r="G1104" s="318"/>
      <c r="H1104" s="322">
        <v>56.32</v>
      </c>
      <c r="I1104" s="260"/>
      <c r="J1104" s="260"/>
      <c r="K1104" s="318"/>
      <c r="L1104" s="94"/>
      <c r="M1104" s="96"/>
      <c r="N1104" s="97"/>
      <c r="O1104" s="97"/>
      <c r="P1104" s="97"/>
      <c r="Q1104" s="97"/>
      <c r="R1104" s="97"/>
      <c r="S1104" s="97"/>
      <c r="T1104" s="98"/>
      <c r="AT1104" s="95" t="s">
        <v>225</v>
      </c>
      <c r="AU1104" s="95" t="s">
        <v>77</v>
      </c>
      <c r="AV1104" s="14" t="s">
        <v>77</v>
      </c>
      <c r="AW1104" s="14" t="s">
        <v>4</v>
      </c>
      <c r="AX1104" s="14" t="s">
        <v>75</v>
      </c>
      <c r="AY1104" s="95" t="s">
        <v>216</v>
      </c>
    </row>
    <row r="1105" spans="1:65" s="2" customFormat="1" ht="291.60000000000002" customHeight="1">
      <c r="A1105" s="269"/>
      <c r="B1105" s="270"/>
      <c r="C1105" s="334" t="s">
        <v>1549</v>
      </c>
      <c r="D1105" s="334" t="s">
        <v>535</v>
      </c>
      <c r="E1105" s="335" t="s">
        <v>1550</v>
      </c>
      <c r="F1105" s="336" t="s">
        <v>1551</v>
      </c>
      <c r="G1105" s="337" t="s">
        <v>286</v>
      </c>
      <c r="H1105" s="338">
        <v>22.88</v>
      </c>
      <c r="I1105" s="111">
        <v>0</v>
      </c>
      <c r="J1105" s="111">
        <f>ROUND(I1105*H1105,2)</f>
        <v>0</v>
      </c>
      <c r="K1105" s="336" t="s">
        <v>3</v>
      </c>
      <c r="L1105" s="112"/>
      <c r="M1105" s="113" t="s">
        <v>3</v>
      </c>
      <c r="N1105" s="114" t="s">
        <v>39</v>
      </c>
      <c r="O1105" s="85">
        <v>0</v>
      </c>
      <c r="P1105" s="85">
        <f>O1105*H1105</f>
        <v>0</v>
      </c>
      <c r="Q1105" s="85">
        <v>1.26E-2</v>
      </c>
      <c r="R1105" s="85">
        <f>Q1105*H1105</f>
        <v>0.28828799999999999</v>
      </c>
      <c r="S1105" s="85">
        <v>0</v>
      </c>
      <c r="T1105" s="86">
        <f>S1105*H1105</f>
        <v>0</v>
      </c>
      <c r="U1105" s="23"/>
      <c r="V1105" s="23"/>
      <c r="W1105" s="23"/>
      <c r="X1105" s="23"/>
      <c r="Y1105" s="23"/>
      <c r="Z1105" s="23"/>
      <c r="AA1105" s="23"/>
      <c r="AB1105" s="23"/>
      <c r="AC1105" s="23"/>
      <c r="AD1105" s="23"/>
      <c r="AE1105" s="23"/>
      <c r="AR1105" s="87" t="s">
        <v>410</v>
      </c>
      <c r="AT1105" s="87" t="s">
        <v>535</v>
      </c>
      <c r="AU1105" s="87" t="s">
        <v>77</v>
      </c>
      <c r="AY1105" s="19" t="s">
        <v>216</v>
      </c>
      <c r="BE1105" s="88">
        <f>IF(N1105="základní",J1105,0)</f>
        <v>0</v>
      </c>
      <c r="BF1105" s="88">
        <f>IF(N1105="snížená",J1105,0)</f>
        <v>0</v>
      </c>
      <c r="BG1105" s="88">
        <f>IF(N1105="zákl. přenesená",J1105,0)</f>
        <v>0</v>
      </c>
      <c r="BH1105" s="88">
        <f>IF(N1105="sníž. přenesená",J1105,0)</f>
        <v>0</v>
      </c>
      <c r="BI1105" s="88">
        <f>IF(N1105="nulová",J1105,0)</f>
        <v>0</v>
      </c>
      <c r="BJ1105" s="19" t="s">
        <v>75</v>
      </c>
      <c r="BK1105" s="88">
        <f>ROUND(I1105*H1105,2)</f>
        <v>0</v>
      </c>
      <c r="BL1105" s="19" t="s">
        <v>305</v>
      </c>
      <c r="BM1105" s="87" t="s">
        <v>1552</v>
      </c>
    </row>
    <row r="1106" spans="1:65" s="14" customFormat="1">
      <c r="A1106" s="318"/>
      <c r="B1106" s="319"/>
      <c r="C1106" s="318"/>
      <c r="D1106" s="315" t="s">
        <v>225</v>
      </c>
      <c r="E1106" s="320" t="s">
        <v>3</v>
      </c>
      <c r="F1106" s="321" t="s">
        <v>158</v>
      </c>
      <c r="G1106" s="318"/>
      <c r="H1106" s="322">
        <v>20.8</v>
      </c>
      <c r="I1106" s="260"/>
      <c r="J1106" s="260"/>
      <c r="K1106" s="318"/>
      <c r="L1106" s="94"/>
      <c r="M1106" s="96"/>
      <c r="N1106" s="97"/>
      <c r="O1106" s="97"/>
      <c r="P1106" s="97"/>
      <c r="Q1106" s="97"/>
      <c r="R1106" s="97"/>
      <c r="S1106" s="97"/>
      <c r="T1106" s="98"/>
      <c r="AT1106" s="95" t="s">
        <v>225</v>
      </c>
      <c r="AU1106" s="95" t="s">
        <v>77</v>
      </c>
      <c r="AV1106" s="14" t="s">
        <v>77</v>
      </c>
      <c r="AW1106" s="14" t="s">
        <v>30</v>
      </c>
      <c r="AX1106" s="14" t="s">
        <v>75</v>
      </c>
      <c r="AY1106" s="95" t="s">
        <v>216</v>
      </c>
    </row>
    <row r="1107" spans="1:65" s="14" customFormat="1">
      <c r="A1107" s="318"/>
      <c r="B1107" s="319"/>
      <c r="C1107" s="318"/>
      <c r="D1107" s="315" t="s">
        <v>225</v>
      </c>
      <c r="E1107" s="318"/>
      <c r="F1107" s="321" t="s">
        <v>1553</v>
      </c>
      <c r="G1107" s="318"/>
      <c r="H1107" s="322">
        <v>22.88</v>
      </c>
      <c r="I1107" s="260"/>
      <c r="J1107" s="260"/>
      <c r="K1107" s="318"/>
      <c r="L1107" s="94"/>
      <c r="M1107" s="96"/>
      <c r="N1107" s="97"/>
      <c r="O1107" s="97"/>
      <c r="P1107" s="97"/>
      <c r="Q1107" s="97"/>
      <c r="R1107" s="97"/>
      <c r="S1107" s="97"/>
      <c r="T1107" s="98"/>
      <c r="AT1107" s="95" t="s">
        <v>225</v>
      </c>
      <c r="AU1107" s="95" t="s">
        <v>77</v>
      </c>
      <c r="AV1107" s="14" t="s">
        <v>77</v>
      </c>
      <c r="AW1107" s="14" t="s">
        <v>4</v>
      </c>
      <c r="AX1107" s="14" t="s">
        <v>75</v>
      </c>
      <c r="AY1107" s="95" t="s">
        <v>216</v>
      </c>
    </row>
    <row r="1108" spans="1:65" s="2" customFormat="1" ht="21.6" customHeight="1">
      <c r="A1108" s="269"/>
      <c r="B1108" s="270"/>
      <c r="C1108" s="308" t="s">
        <v>1554</v>
      </c>
      <c r="D1108" s="308" t="s">
        <v>218</v>
      </c>
      <c r="E1108" s="309" t="s">
        <v>1555</v>
      </c>
      <c r="F1108" s="310" t="s">
        <v>1556</v>
      </c>
      <c r="G1108" s="311" t="s">
        <v>286</v>
      </c>
      <c r="H1108" s="312">
        <v>41.5</v>
      </c>
      <c r="I1108" s="82">
        <v>0</v>
      </c>
      <c r="J1108" s="82">
        <f>ROUND(I1108*H1108,2)</f>
        <v>0</v>
      </c>
      <c r="K1108" s="310" t="s">
        <v>222</v>
      </c>
      <c r="L1108" s="24"/>
      <c r="M1108" s="83" t="s">
        <v>3</v>
      </c>
      <c r="N1108" s="84" t="s">
        <v>39</v>
      </c>
      <c r="O1108" s="85">
        <v>1.3</v>
      </c>
      <c r="P1108" s="85">
        <f>O1108*H1108</f>
        <v>53.95</v>
      </c>
      <c r="Q1108" s="85">
        <v>8.9999999999999993E-3</v>
      </c>
      <c r="R1108" s="85">
        <f>Q1108*H1108</f>
        <v>0.3735</v>
      </c>
      <c r="S1108" s="85">
        <v>0</v>
      </c>
      <c r="T1108" s="86">
        <f>S1108*H1108</f>
        <v>0</v>
      </c>
      <c r="U1108" s="23"/>
      <c r="V1108" s="23"/>
      <c r="W1108" s="23"/>
      <c r="X1108" s="23"/>
      <c r="Y1108" s="23"/>
      <c r="Z1108" s="23"/>
      <c r="AA1108" s="23"/>
      <c r="AB1108" s="23"/>
      <c r="AC1108" s="23"/>
      <c r="AD1108" s="23"/>
      <c r="AE1108" s="23"/>
      <c r="AR1108" s="87" t="s">
        <v>305</v>
      </c>
      <c r="AT1108" s="87" t="s">
        <v>218</v>
      </c>
      <c r="AU1108" s="87" t="s">
        <v>77</v>
      </c>
      <c r="AY1108" s="19" t="s">
        <v>216</v>
      </c>
      <c r="BE1108" s="88">
        <f>IF(N1108="základní",J1108,0)</f>
        <v>0</v>
      </c>
      <c r="BF1108" s="88">
        <f>IF(N1108="snížená",J1108,0)</f>
        <v>0</v>
      </c>
      <c r="BG1108" s="88">
        <f>IF(N1108="zákl. přenesená",J1108,0)</f>
        <v>0</v>
      </c>
      <c r="BH1108" s="88">
        <f>IF(N1108="sníž. přenesená",J1108,0)</f>
        <v>0</v>
      </c>
      <c r="BI1108" s="88">
        <f>IF(N1108="nulová",J1108,0)</f>
        <v>0</v>
      </c>
      <c r="BJ1108" s="19" t="s">
        <v>75</v>
      </c>
      <c r="BK1108" s="88">
        <f>ROUND(I1108*H1108,2)</f>
        <v>0</v>
      </c>
      <c r="BL1108" s="19" t="s">
        <v>305</v>
      </c>
      <c r="BM1108" s="87" t="s">
        <v>1557</v>
      </c>
    </row>
    <row r="1109" spans="1:65" s="2" customFormat="1" ht="29.25">
      <c r="A1109" s="269"/>
      <c r="B1109" s="270"/>
      <c r="C1109" s="269"/>
      <c r="D1109" s="315" t="s">
        <v>231</v>
      </c>
      <c r="E1109" s="269"/>
      <c r="F1109" s="323" t="s">
        <v>1537</v>
      </c>
      <c r="G1109" s="269"/>
      <c r="H1109" s="269"/>
      <c r="I1109" s="248"/>
      <c r="J1109" s="248"/>
      <c r="K1109" s="269"/>
      <c r="L1109" s="24"/>
      <c r="M1109" s="99"/>
      <c r="N1109" s="100"/>
      <c r="O1109" s="32"/>
      <c r="P1109" s="32"/>
      <c r="Q1109" s="32"/>
      <c r="R1109" s="32"/>
      <c r="S1109" s="32"/>
      <c r="T1109" s="33"/>
      <c r="U1109" s="23"/>
      <c r="V1109" s="23"/>
      <c r="W1109" s="23"/>
      <c r="X1109" s="23"/>
      <c r="Y1109" s="23"/>
      <c r="Z1109" s="23"/>
      <c r="AA1109" s="23"/>
      <c r="AB1109" s="23"/>
      <c r="AC1109" s="23"/>
      <c r="AD1109" s="23"/>
      <c r="AE1109" s="23"/>
      <c r="AT1109" s="19" t="s">
        <v>231</v>
      </c>
      <c r="AU1109" s="19" t="s">
        <v>77</v>
      </c>
    </row>
    <row r="1110" spans="1:65" s="13" customFormat="1">
      <c r="A1110" s="313"/>
      <c r="B1110" s="314"/>
      <c r="C1110" s="313"/>
      <c r="D1110" s="315" t="s">
        <v>225</v>
      </c>
      <c r="E1110" s="316" t="s">
        <v>3</v>
      </c>
      <c r="F1110" s="317" t="s">
        <v>1472</v>
      </c>
      <c r="G1110" s="313"/>
      <c r="H1110" s="316" t="s">
        <v>3</v>
      </c>
      <c r="I1110" s="259"/>
      <c r="J1110" s="259"/>
      <c r="K1110" s="313"/>
      <c r="L1110" s="89"/>
      <c r="M1110" s="91"/>
      <c r="N1110" s="92"/>
      <c r="O1110" s="92"/>
      <c r="P1110" s="92"/>
      <c r="Q1110" s="92"/>
      <c r="R1110" s="92"/>
      <c r="S1110" s="92"/>
      <c r="T1110" s="93"/>
      <c r="AT1110" s="90" t="s">
        <v>225</v>
      </c>
      <c r="AU1110" s="90" t="s">
        <v>77</v>
      </c>
      <c r="AV1110" s="13" t="s">
        <v>75</v>
      </c>
      <c r="AW1110" s="13" t="s">
        <v>30</v>
      </c>
      <c r="AX1110" s="13" t="s">
        <v>68</v>
      </c>
      <c r="AY1110" s="90" t="s">
        <v>216</v>
      </c>
    </row>
    <row r="1111" spans="1:65" s="14" customFormat="1">
      <c r="A1111" s="318"/>
      <c r="B1111" s="319"/>
      <c r="C1111" s="318"/>
      <c r="D1111" s="315" t="s">
        <v>225</v>
      </c>
      <c r="E1111" s="320" t="s">
        <v>3</v>
      </c>
      <c r="F1111" s="321" t="s">
        <v>161</v>
      </c>
      <c r="G1111" s="318"/>
      <c r="H1111" s="322">
        <v>41.5</v>
      </c>
      <c r="I1111" s="260"/>
      <c r="J1111" s="260"/>
      <c r="K1111" s="318"/>
      <c r="L1111" s="94"/>
      <c r="M1111" s="96"/>
      <c r="N1111" s="97"/>
      <c r="O1111" s="97"/>
      <c r="P1111" s="97"/>
      <c r="Q1111" s="97"/>
      <c r="R1111" s="97"/>
      <c r="S1111" s="97"/>
      <c r="T1111" s="98"/>
      <c r="AT1111" s="95" t="s">
        <v>225</v>
      </c>
      <c r="AU1111" s="95" t="s">
        <v>77</v>
      </c>
      <c r="AV1111" s="14" t="s">
        <v>77</v>
      </c>
      <c r="AW1111" s="14" t="s">
        <v>30</v>
      </c>
      <c r="AX1111" s="14" t="s">
        <v>75</v>
      </c>
      <c r="AY1111" s="95" t="s">
        <v>216</v>
      </c>
    </row>
    <row r="1112" spans="1:65" s="2" customFormat="1" ht="302.45" customHeight="1">
      <c r="A1112" s="269"/>
      <c r="B1112" s="270"/>
      <c r="C1112" s="334" t="s">
        <v>1558</v>
      </c>
      <c r="D1112" s="334" t="s">
        <v>535</v>
      </c>
      <c r="E1112" s="335" t="s">
        <v>1559</v>
      </c>
      <c r="F1112" s="336" t="s">
        <v>1560</v>
      </c>
      <c r="G1112" s="337" t="s">
        <v>286</v>
      </c>
      <c r="H1112" s="338">
        <v>47.725000000000001</v>
      </c>
      <c r="I1112" s="111">
        <v>0</v>
      </c>
      <c r="J1112" s="111">
        <f>ROUND(I1112*H1112,2)</f>
        <v>0</v>
      </c>
      <c r="K1112" s="336" t="s">
        <v>3</v>
      </c>
      <c r="L1112" s="112"/>
      <c r="M1112" s="113" t="s">
        <v>3</v>
      </c>
      <c r="N1112" s="114" t="s">
        <v>39</v>
      </c>
      <c r="O1112" s="85">
        <v>0</v>
      </c>
      <c r="P1112" s="85">
        <f>O1112*H1112</f>
        <v>0</v>
      </c>
      <c r="Q1112" s="85">
        <v>1.38E-2</v>
      </c>
      <c r="R1112" s="85">
        <f>Q1112*H1112</f>
        <v>0.658605</v>
      </c>
      <c r="S1112" s="85">
        <v>0</v>
      </c>
      <c r="T1112" s="86">
        <f>S1112*H1112</f>
        <v>0</v>
      </c>
      <c r="U1112" s="23"/>
      <c r="V1112" s="23"/>
      <c r="W1112" s="23"/>
      <c r="X1112" s="23"/>
      <c r="Y1112" s="23"/>
      <c r="Z1112" s="23"/>
      <c r="AA1112" s="23"/>
      <c r="AB1112" s="23"/>
      <c r="AC1112" s="23"/>
      <c r="AD1112" s="23"/>
      <c r="AE1112" s="23"/>
      <c r="AR1112" s="87" t="s">
        <v>410</v>
      </c>
      <c r="AT1112" s="87" t="s">
        <v>535</v>
      </c>
      <c r="AU1112" s="87" t="s">
        <v>77</v>
      </c>
      <c r="AY1112" s="19" t="s">
        <v>216</v>
      </c>
      <c r="BE1112" s="88">
        <f>IF(N1112="základní",J1112,0)</f>
        <v>0</v>
      </c>
      <c r="BF1112" s="88">
        <f>IF(N1112="snížená",J1112,0)</f>
        <v>0</v>
      </c>
      <c r="BG1112" s="88">
        <f>IF(N1112="zákl. přenesená",J1112,0)</f>
        <v>0</v>
      </c>
      <c r="BH1112" s="88">
        <f>IF(N1112="sníž. přenesená",J1112,0)</f>
        <v>0</v>
      </c>
      <c r="BI1112" s="88">
        <f>IF(N1112="nulová",J1112,0)</f>
        <v>0</v>
      </c>
      <c r="BJ1112" s="19" t="s">
        <v>75</v>
      </c>
      <c r="BK1112" s="88">
        <f>ROUND(I1112*H1112,2)</f>
        <v>0</v>
      </c>
      <c r="BL1112" s="19" t="s">
        <v>305</v>
      </c>
      <c r="BM1112" s="87" t="s">
        <v>1561</v>
      </c>
    </row>
    <row r="1113" spans="1:65" s="14" customFormat="1">
      <c r="A1113" s="318"/>
      <c r="B1113" s="319"/>
      <c r="C1113" s="318"/>
      <c r="D1113" s="315" t="s">
        <v>225</v>
      </c>
      <c r="E1113" s="320" t="s">
        <v>3</v>
      </c>
      <c r="F1113" s="321" t="s">
        <v>161</v>
      </c>
      <c r="G1113" s="318"/>
      <c r="H1113" s="322">
        <v>41.5</v>
      </c>
      <c r="I1113" s="260"/>
      <c r="J1113" s="260"/>
      <c r="K1113" s="318"/>
      <c r="L1113" s="94"/>
      <c r="M1113" s="96"/>
      <c r="N1113" s="97"/>
      <c r="O1113" s="97"/>
      <c r="P1113" s="97"/>
      <c r="Q1113" s="97"/>
      <c r="R1113" s="97"/>
      <c r="S1113" s="97"/>
      <c r="T1113" s="98"/>
      <c r="AT1113" s="95" t="s">
        <v>225</v>
      </c>
      <c r="AU1113" s="95" t="s">
        <v>77</v>
      </c>
      <c r="AV1113" s="14" t="s">
        <v>77</v>
      </c>
      <c r="AW1113" s="14" t="s">
        <v>30</v>
      </c>
      <c r="AX1113" s="14" t="s">
        <v>75</v>
      </c>
      <c r="AY1113" s="95" t="s">
        <v>216</v>
      </c>
    </row>
    <row r="1114" spans="1:65" s="14" customFormat="1">
      <c r="A1114" s="318"/>
      <c r="B1114" s="319"/>
      <c r="C1114" s="318"/>
      <c r="D1114" s="315" t="s">
        <v>225</v>
      </c>
      <c r="E1114" s="318"/>
      <c r="F1114" s="321" t="s">
        <v>1562</v>
      </c>
      <c r="G1114" s="318"/>
      <c r="H1114" s="322">
        <v>47.725000000000001</v>
      </c>
      <c r="I1114" s="260"/>
      <c r="J1114" s="260"/>
      <c r="K1114" s="318"/>
      <c r="L1114" s="94"/>
      <c r="M1114" s="96"/>
      <c r="N1114" s="97"/>
      <c r="O1114" s="97"/>
      <c r="P1114" s="97"/>
      <c r="Q1114" s="97"/>
      <c r="R1114" s="97"/>
      <c r="S1114" s="97"/>
      <c r="T1114" s="98"/>
      <c r="AT1114" s="95" t="s">
        <v>225</v>
      </c>
      <c r="AU1114" s="95" t="s">
        <v>77</v>
      </c>
      <c r="AV1114" s="14" t="s">
        <v>77</v>
      </c>
      <c r="AW1114" s="14" t="s">
        <v>4</v>
      </c>
      <c r="AX1114" s="14" t="s">
        <v>75</v>
      </c>
      <c r="AY1114" s="95" t="s">
        <v>216</v>
      </c>
    </row>
    <row r="1115" spans="1:65" s="2" customFormat="1" ht="14.45" customHeight="1">
      <c r="A1115" s="269"/>
      <c r="B1115" s="270"/>
      <c r="C1115" s="308" t="s">
        <v>1563</v>
      </c>
      <c r="D1115" s="308" t="s">
        <v>218</v>
      </c>
      <c r="E1115" s="309" t="s">
        <v>1564</v>
      </c>
      <c r="F1115" s="310" t="s">
        <v>1565</v>
      </c>
      <c r="G1115" s="311" t="s">
        <v>286</v>
      </c>
      <c r="H1115" s="312">
        <v>0.96</v>
      </c>
      <c r="I1115" s="82">
        <v>0</v>
      </c>
      <c r="J1115" s="82">
        <f>ROUND(I1115*H1115,2)</f>
        <v>0</v>
      </c>
      <c r="K1115" s="310" t="s">
        <v>222</v>
      </c>
      <c r="L1115" s="24"/>
      <c r="M1115" s="83" t="s">
        <v>3</v>
      </c>
      <c r="N1115" s="84" t="s">
        <v>39</v>
      </c>
      <c r="O1115" s="85">
        <v>0.72899999999999998</v>
      </c>
      <c r="P1115" s="85">
        <f>O1115*H1115</f>
        <v>0.69983999999999991</v>
      </c>
      <c r="Q1115" s="85">
        <v>5.8E-4</v>
      </c>
      <c r="R1115" s="85">
        <f>Q1115*H1115</f>
        <v>5.5679999999999998E-4</v>
      </c>
      <c r="S1115" s="85">
        <v>0</v>
      </c>
      <c r="T1115" s="86">
        <f>S1115*H1115</f>
        <v>0</v>
      </c>
      <c r="U1115" s="23"/>
      <c r="V1115" s="23"/>
      <c r="W1115" s="23"/>
      <c r="X1115" s="23"/>
      <c r="Y1115" s="23"/>
      <c r="Z1115" s="23"/>
      <c r="AA1115" s="23"/>
      <c r="AB1115" s="23"/>
      <c r="AC1115" s="23"/>
      <c r="AD1115" s="23"/>
      <c r="AE1115" s="23"/>
      <c r="AR1115" s="87" t="s">
        <v>305</v>
      </c>
      <c r="AT1115" s="87" t="s">
        <v>218</v>
      </c>
      <c r="AU1115" s="87" t="s">
        <v>77</v>
      </c>
      <c r="AY1115" s="19" t="s">
        <v>216</v>
      </c>
      <c r="BE1115" s="88">
        <f>IF(N1115="základní",J1115,0)</f>
        <v>0</v>
      </c>
      <c r="BF1115" s="88">
        <f>IF(N1115="snížená",J1115,0)</f>
        <v>0</v>
      </c>
      <c r="BG1115" s="88">
        <f>IF(N1115="zákl. přenesená",J1115,0)</f>
        <v>0</v>
      </c>
      <c r="BH1115" s="88">
        <f>IF(N1115="sníž. přenesená",J1115,0)</f>
        <v>0</v>
      </c>
      <c r="BI1115" s="88">
        <f>IF(N1115="nulová",J1115,0)</f>
        <v>0</v>
      </c>
      <c r="BJ1115" s="19" t="s">
        <v>75</v>
      </c>
      <c r="BK1115" s="88">
        <f>ROUND(I1115*H1115,2)</f>
        <v>0</v>
      </c>
      <c r="BL1115" s="19" t="s">
        <v>305</v>
      </c>
      <c r="BM1115" s="87" t="s">
        <v>1566</v>
      </c>
    </row>
    <row r="1116" spans="1:65" s="13" customFormat="1">
      <c r="A1116" s="313"/>
      <c r="B1116" s="314"/>
      <c r="C1116" s="313"/>
      <c r="D1116" s="315" t="s">
        <v>225</v>
      </c>
      <c r="E1116" s="316" t="s">
        <v>3</v>
      </c>
      <c r="F1116" s="317" t="s">
        <v>1266</v>
      </c>
      <c r="G1116" s="313"/>
      <c r="H1116" s="316" t="s">
        <v>3</v>
      </c>
      <c r="I1116" s="259"/>
      <c r="J1116" s="259"/>
      <c r="K1116" s="313"/>
      <c r="L1116" s="89"/>
      <c r="M1116" s="91"/>
      <c r="N1116" s="92"/>
      <c r="O1116" s="92"/>
      <c r="P1116" s="92"/>
      <c r="Q1116" s="92"/>
      <c r="R1116" s="92"/>
      <c r="S1116" s="92"/>
      <c r="T1116" s="93"/>
      <c r="AT1116" s="90" t="s">
        <v>225</v>
      </c>
      <c r="AU1116" s="90" t="s">
        <v>77</v>
      </c>
      <c r="AV1116" s="13" t="s">
        <v>75</v>
      </c>
      <c r="AW1116" s="13" t="s">
        <v>30</v>
      </c>
      <c r="AX1116" s="13" t="s">
        <v>68</v>
      </c>
      <c r="AY1116" s="90" t="s">
        <v>216</v>
      </c>
    </row>
    <row r="1117" spans="1:65" s="13" customFormat="1">
      <c r="A1117" s="313"/>
      <c r="B1117" s="314"/>
      <c r="C1117" s="313"/>
      <c r="D1117" s="315" t="s">
        <v>225</v>
      </c>
      <c r="E1117" s="316" t="s">
        <v>3</v>
      </c>
      <c r="F1117" s="317" t="s">
        <v>1567</v>
      </c>
      <c r="G1117" s="313"/>
      <c r="H1117" s="316" t="s">
        <v>3</v>
      </c>
      <c r="I1117" s="259"/>
      <c r="J1117" s="259"/>
      <c r="K1117" s="313"/>
      <c r="L1117" s="89"/>
      <c r="M1117" s="91"/>
      <c r="N1117" s="92"/>
      <c r="O1117" s="92"/>
      <c r="P1117" s="92"/>
      <c r="Q1117" s="92"/>
      <c r="R1117" s="92"/>
      <c r="S1117" s="92"/>
      <c r="T1117" s="93"/>
      <c r="AT1117" s="90" t="s">
        <v>225</v>
      </c>
      <c r="AU1117" s="90" t="s">
        <v>77</v>
      </c>
      <c r="AV1117" s="13" t="s">
        <v>75</v>
      </c>
      <c r="AW1117" s="13" t="s">
        <v>30</v>
      </c>
      <c r="AX1117" s="13" t="s">
        <v>68</v>
      </c>
      <c r="AY1117" s="90" t="s">
        <v>216</v>
      </c>
    </row>
    <row r="1118" spans="1:65" s="14" customFormat="1">
      <c r="A1118" s="318"/>
      <c r="B1118" s="319"/>
      <c r="C1118" s="318"/>
      <c r="D1118" s="315" t="s">
        <v>225</v>
      </c>
      <c r="E1118" s="320" t="s">
        <v>3</v>
      </c>
      <c r="F1118" s="321" t="s">
        <v>1568</v>
      </c>
      <c r="G1118" s="318"/>
      <c r="H1118" s="322">
        <v>0.96</v>
      </c>
      <c r="I1118" s="260"/>
      <c r="J1118" s="260"/>
      <c r="K1118" s="318"/>
      <c r="L1118" s="94"/>
      <c r="M1118" s="96"/>
      <c r="N1118" s="97"/>
      <c r="O1118" s="97"/>
      <c r="P1118" s="97"/>
      <c r="Q1118" s="97"/>
      <c r="R1118" s="97"/>
      <c r="S1118" s="97"/>
      <c r="T1118" s="98"/>
      <c r="AT1118" s="95" t="s">
        <v>225</v>
      </c>
      <c r="AU1118" s="95" t="s">
        <v>77</v>
      </c>
      <c r="AV1118" s="14" t="s">
        <v>77</v>
      </c>
      <c r="AW1118" s="14" t="s">
        <v>30</v>
      </c>
      <c r="AX1118" s="14" t="s">
        <v>75</v>
      </c>
      <c r="AY1118" s="95" t="s">
        <v>216</v>
      </c>
    </row>
    <row r="1119" spans="1:65" s="2" customFormat="1" ht="21.6" customHeight="1">
      <c r="A1119" s="269"/>
      <c r="B1119" s="270"/>
      <c r="C1119" s="334" t="s">
        <v>1569</v>
      </c>
      <c r="D1119" s="334" t="s">
        <v>535</v>
      </c>
      <c r="E1119" s="335" t="s">
        <v>1570</v>
      </c>
      <c r="F1119" s="336" t="s">
        <v>1571</v>
      </c>
      <c r="G1119" s="337" t="s">
        <v>291</v>
      </c>
      <c r="H1119" s="338">
        <v>2</v>
      </c>
      <c r="I1119" s="111">
        <v>0</v>
      </c>
      <c r="J1119" s="111">
        <f>ROUND(I1119*H1119,2)</f>
        <v>0</v>
      </c>
      <c r="K1119" s="336" t="s">
        <v>3</v>
      </c>
      <c r="L1119" s="112"/>
      <c r="M1119" s="113" t="s">
        <v>3</v>
      </c>
      <c r="N1119" s="114" t="s">
        <v>39</v>
      </c>
      <c r="O1119" s="85">
        <v>0</v>
      </c>
      <c r="P1119" s="85">
        <f>O1119*H1119</f>
        <v>0</v>
      </c>
      <c r="Q1119" s="85">
        <v>0</v>
      </c>
      <c r="R1119" s="85">
        <f>Q1119*H1119</f>
        <v>0</v>
      </c>
      <c r="S1119" s="85">
        <v>0</v>
      </c>
      <c r="T1119" s="86">
        <f>S1119*H1119</f>
        <v>0</v>
      </c>
      <c r="U1119" s="23"/>
      <c r="V1119" s="23"/>
      <c r="W1119" s="23"/>
      <c r="X1119" s="23"/>
      <c r="Y1119" s="23"/>
      <c r="Z1119" s="23"/>
      <c r="AA1119" s="23"/>
      <c r="AB1119" s="23"/>
      <c r="AC1119" s="23"/>
      <c r="AD1119" s="23"/>
      <c r="AE1119" s="23"/>
      <c r="AR1119" s="87" t="s">
        <v>410</v>
      </c>
      <c r="AT1119" s="87" t="s">
        <v>535</v>
      </c>
      <c r="AU1119" s="87" t="s">
        <v>77</v>
      </c>
      <c r="AY1119" s="19" t="s">
        <v>216</v>
      </c>
      <c r="BE1119" s="88">
        <f>IF(N1119="základní",J1119,0)</f>
        <v>0</v>
      </c>
      <c r="BF1119" s="88">
        <f>IF(N1119="snížená",J1119,0)</f>
        <v>0</v>
      </c>
      <c r="BG1119" s="88">
        <f>IF(N1119="zákl. přenesená",J1119,0)</f>
        <v>0</v>
      </c>
      <c r="BH1119" s="88">
        <f>IF(N1119="sníž. přenesená",J1119,0)</f>
        <v>0</v>
      </c>
      <c r="BI1119" s="88">
        <f>IF(N1119="nulová",J1119,0)</f>
        <v>0</v>
      </c>
      <c r="BJ1119" s="19" t="s">
        <v>75</v>
      </c>
      <c r="BK1119" s="88">
        <f>ROUND(I1119*H1119,2)</f>
        <v>0</v>
      </c>
      <c r="BL1119" s="19" t="s">
        <v>305</v>
      </c>
      <c r="BM1119" s="87" t="s">
        <v>1572</v>
      </c>
    </row>
    <row r="1120" spans="1:65" s="2" customFormat="1" ht="14.45" customHeight="1">
      <c r="A1120" s="269"/>
      <c r="B1120" s="270"/>
      <c r="C1120" s="308" t="s">
        <v>1573</v>
      </c>
      <c r="D1120" s="308" t="s">
        <v>218</v>
      </c>
      <c r="E1120" s="309" t="s">
        <v>1574</v>
      </c>
      <c r="F1120" s="310" t="s">
        <v>1575</v>
      </c>
      <c r="G1120" s="311" t="s">
        <v>364</v>
      </c>
      <c r="H1120" s="312">
        <v>200</v>
      </c>
      <c r="I1120" s="82">
        <v>0</v>
      </c>
      <c r="J1120" s="82">
        <f>ROUND(I1120*H1120,2)</f>
        <v>0</v>
      </c>
      <c r="K1120" s="310" t="s">
        <v>222</v>
      </c>
      <c r="L1120" s="24"/>
      <c r="M1120" s="83" t="s">
        <v>3</v>
      </c>
      <c r="N1120" s="84" t="s">
        <v>39</v>
      </c>
      <c r="O1120" s="85">
        <v>5.5E-2</v>
      </c>
      <c r="P1120" s="85">
        <f>O1120*H1120</f>
        <v>11</v>
      </c>
      <c r="Q1120" s="85">
        <v>3.0000000000000001E-5</v>
      </c>
      <c r="R1120" s="85">
        <f>Q1120*H1120</f>
        <v>6.0000000000000001E-3</v>
      </c>
      <c r="S1120" s="85">
        <v>0</v>
      </c>
      <c r="T1120" s="86">
        <f>S1120*H1120</f>
        <v>0</v>
      </c>
      <c r="U1120" s="23"/>
      <c r="V1120" s="23"/>
      <c r="W1120" s="23"/>
      <c r="X1120" s="23"/>
      <c r="Y1120" s="23"/>
      <c r="Z1120" s="23"/>
      <c r="AA1120" s="23"/>
      <c r="AB1120" s="23"/>
      <c r="AC1120" s="23"/>
      <c r="AD1120" s="23"/>
      <c r="AE1120" s="23"/>
      <c r="AR1120" s="87" t="s">
        <v>305</v>
      </c>
      <c r="AT1120" s="87" t="s">
        <v>218</v>
      </c>
      <c r="AU1120" s="87" t="s">
        <v>77</v>
      </c>
      <c r="AY1120" s="19" t="s">
        <v>216</v>
      </c>
      <c r="BE1120" s="88">
        <f>IF(N1120="základní",J1120,0)</f>
        <v>0</v>
      </c>
      <c r="BF1120" s="88">
        <f>IF(N1120="snížená",J1120,0)</f>
        <v>0</v>
      </c>
      <c r="BG1120" s="88">
        <f>IF(N1120="zákl. přenesená",J1120,0)</f>
        <v>0</v>
      </c>
      <c r="BH1120" s="88">
        <f>IF(N1120="sníž. přenesená",J1120,0)</f>
        <v>0</v>
      </c>
      <c r="BI1120" s="88">
        <f>IF(N1120="nulová",J1120,0)</f>
        <v>0</v>
      </c>
      <c r="BJ1120" s="19" t="s">
        <v>75</v>
      </c>
      <c r="BK1120" s="88">
        <f>ROUND(I1120*H1120,2)</f>
        <v>0</v>
      </c>
      <c r="BL1120" s="19" t="s">
        <v>305</v>
      </c>
      <c r="BM1120" s="87" t="s">
        <v>1576</v>
      </c>
    </row>
    <row r="1121" spans="1:65" s="2" customFormat="1" ht="39">
      <c r="A1121" s="269"/>
      <c r="B1121" s="270"/>
      <c r="C1121" s="269"/>
      <c r="D1121" s="315" t="s">
        <v>231</v>
      </c>
      <c r="E1121" s="269"/>
      <c r="F1121" s="323" t="s">
        <v>1577</v>
      </c>
      <c r="G1121" s="269"/>
      <c r="H1121" s="269"/>
      <c r="I1121" s="248"/>
      <c r="J1121" s="248"/>
      <c r="K1121" s="269"/>
      <c r="L1121" s="24"/>
      <c r="M1121" s="99"/>
      <c r="N1121" s="100"/>
      <c r="O1121" s="32"/>
      <c r="P1121" s="32"/>
      <c r="Q1121" s="32"/>
      <c r="R1121" s="32"/>
      <c r="S1121" s="32"/>
      <c r="T1121" s="33"/>
      <c r="U1121" s="23"/>
      <c r="V1121" s="23"/>
      <c r="W1121" s="23"/>
      <c r="X1121" s="23"/>
      <c r="Y1121" s="23"/>
      <c r="Z1121" s="23"/>
      <c r="AA1121" s="23"/>
      <c r="AB1121" s="23"/>
      <c r="AC1121" s="23"/>
      <c r="AD1121" s="23"/>
      <c r="AE1121" s="23"/>
      <c r="AT1121" s="19" t="s">
        <v>231</v>
      </c>
      <c r="AU1121" s="19" t="s">
        <v>77</v>
      </c>
    </row>
    <row r="1122" spans="1:65" s="2" customFormat="1" ht="14.45" customHeight="1">
      <c r="A1122" s="269"/>
      <c r="B1122" s="270"/>
      <c r="C1122" s="308" t="s">
        <v>1578</v>
      </c>
      <c r="D1122" s="308" t="s">
        <v>218</v>
      </c>
      <c r="E1122" s="309" t="s">
        <v>1579</v>
      </c>
      <c r="F1122" s="310" t="s">
        <v>1580</v>
      </c>
      <c r="G1122" s="311" t="s">
        <v>291</v>
      </c>
      <c r="H1122" s="312">
        <v>300</v>
      </c>
      <c r="I1122" s="82">
        <v>0</v>
      </c>
      <c r="J1122" s="82">
        <f>ROUND(I1122*H1122,2)</f>
        <v>0</v>
      </c>
      <c r="K1122" s="310" t="s">
        <v>222</v>
      </c>
      <c r="L1122" s="24"/>
      <c r="M1122" s="83" t="s">
        <v>3</v>
      </c>
      <c r="N1122" s="84" t="s">
        <v>39</v>
      </c>
      <c r="O1122" s="85">
        <v>3.2000000000000001E-2</v>
      </c>
      <c r="P1122" s="85">
        <f>O1122*H1122</f>
        <v>9.6</v>
      </c>
      <c r="Q1122" s="85">
        <v>0</v>
      </c>
      <c r="R1122" s="85">
        <f>Q1122*H1122</f>
        <v>0</v>
      </c>
      <c r="S1122" s="85">
        <v>0</v>
      </c>
      <c r="T1122" s="86">
        <f>S1122*H1122</f>
        <v>0</v>
      </c>
      <c r="U1122" s="23"/>
      <c r="V1122" s="23"/>
      <c r="W1122" s="23"/>
      <c r="X1122" s="23"/>
      <c r="Y1122" s="23"/>
      <c r="Z1122" s="23"/>
      <c r="AA1122" s="23"/>
      <c r="AB1122" s="23"/>
      <c r="AC1122" s="23"/>
      <c r="AD1122" s="23"/>
      <c r="AE1122" s="23"/>
      <c r="AR1122" s="87" t="s">
        <v>305</v>
      </c>
      <c r="AT1122" s="87" t="s">
        <v>218</v>
      </c>
      <c r="AU1122" s="87" t="s">
        <v>77</v>
      </c>
      <c r="AY1122" s="19" t="s">
        <v>216</v>
      </c>
      <c r="BE1122" s="88">
        <f>IF(N1122="základní",J1122,0)</f>
        <v>0</v>
      </c>
      <c r="BF1122" s="88">
        <f>IF(N1122="snížená",J1122,0)</f>
        <v>0</v>
      </c>
      <c r="BG1122" s="88">
        <f>IF(N1122="zákl. přenesená",J1122,0)</f>
        <v>0</v>
      </c>
      <c r="BH1122" s="88">
        <f>IF(N1122="sníž. přenesená",J1122,0)</f>
        <v>0</v>
      </c>
      <c r="BI1122" s="88">
        <f>IF(N1122="nulová",J1122,0)</f>
        <v>0</v>
      </c>
      <c r="BJ1122" s="19" t="s">
        <v>75</v>
      </c>
      <c r="BK1122" s="88">
        <f>ROUND(I1122*H1122,2)</f>
        <v>0</v>
      </c>
      <c r="BL1122" s="19" t="s">
        <v>305</v>
      </c>
      <c r="BM1122" s="87" t="s">
        <v>1581</v>
      </c>
    </row>
    <row r="1123" spans="1:65" s="2" customFormat="1" ht="39">
      <c r="A1123" s="269"/>
      <c r="B1123" s="270"/>
      <c r="C1123" s="269"/>
      <c r="D1123" s="315" t="s">
        <v>231</v>
      </c>
      <c r="E1123" s="269"/>
      <c r="F1123" s="323" t="s">
        <v>1577</v>
      </c>
      <c r="G1123" s="269"/>
      <c r="H1123" s="269"/>
      <c r="I1123" s="248"/>
      <c r="J1123" s="248"/>
      <c r="K1123" s="269"/>
      <c r="L1123" s="24"/>
      <c r="M1123" s="99"/>
      <c r="N1123" s="100"/>
      <c r="O1123" s="32"/>
      <c r="P1123" s="32"/>
      <c r="Q1123" s="32"/>
      <c r="R1123" s="32"/>
      <c r="S1123" s="32"/>
      <c r="T1123" s="33"/>
      <c r="U1123" s="23"/>
      <c r="V1123" s="23"/>
      <c r="W1123" s="23"/>
      <c r="X1123" s="23"/>
      <c r="Y1123" s="23"/>
      <c r="Z1123" s="23"/>
      <c r="AA1123" s="23"/>
      <c r="AB1123" s="23"/>
      <c r="AC1123" s="23"/>
      <c r="AD1123" s="23"/>
      <c r="AE1123" s="23"/>
      <c r="AT1123" s="19" t="s">
        <v>231</v>
      </c>
      <c r="AU1123" s="19" t="s">
        <v>77</v>
      </c>
    </row>
    <row r="1124" spans="1:65" s="2" customFormat="1" ht="14.45" customHeight="1">
      <c r="A1124" s="269"/>
      <c r="B1124" s="270"/>
      <c r="C1124" s="308" t="s">
        <v>1582</v>
      </c>
      <c r="D1124" s="308" t="s">
        <v>218</v>
      </c>
      <c r="E1124" s="309" t="s">
        <v>1583</v>
      </c>
      <c r="F1124" s="310" t="s">
        <v>1584</v>
      </c>
      <c r="G1124" s="311" t="s">
        <v>286</v>
      </c>
      <c r="H1124" s="312">
        <v>229.5</v>
      </c>
      <c r="I1124" s="82">
        <v>0</v>
      </c>
      <c r="J1124" s="82">
        <f>ROUND(I1124*H1124,2)</f>
        <v>0</v>
      </c>
      <c r="K1124" s="310" t="s">
        <v>222</v>
      </c>
      <c r="L1124" s="24"/>
      <c r="M1124" s="83" t="s">
        <v>3</v>
      </c>
      <c r="N1124" s="84" t="s">
        <v>39</v>
      </c>
      <c r="O1124" s="85">
        <v>4.1000000000000002E-2</v>
      </c>
      <c r="P1124" s="85">
        <f>O1124*H1124</f>
        <v>9.4094999999999995</v>
      </c>
      <c r="Q1124" s="85">
        <v>5.0000000000000002E-5</v>
      </c>
      <c r="R1124" s="85">
        <f>Q1124*H1124</f>
        <v>1.1475000000000001E-2</v>
      </c>
      <c r="S1124" s="85">
        <v>0</v>
      </c>
      <c r="T1124" s="86">
        <f>S1124*H1124</f>
        <v>0</v>
      </c>
      <c r="U1124" s="23"/>
      <c r="V1124" s="23"/>
      <c r="W1124" s="23"/>
      <c r="X1124" s="23"/>
      <c r="Y1124" s="23"/>
      <c r="Z1124" s="23"/>
      <c r="AA1124" s="23"/>
      <c r="AB1124" s="23"/>
      <c r="AC1124" s="23"/>
      <c r="AD1124" s="23"/>
      <c r="AE1124" s="23"/>
      <c r="AR1124" s="87" t="s">
        <v>305</v>
      </c>
      <c r="AT1124" s="87" t="s">
        <v>218</v>
      </c>
      <c r="AU1124" s="87" t="s">
        <v>77</v>
      </c>
      <c r="AY1124" s="19" t="s">
        <v>216</v>
      </c>
      <c r="BE1124" s="88">
        <f>IF(N1124="základní",J1124,0)</f>
        <v>0</v>
      </c>
      <c r="BF1124" s="88">
        <f>IF(N1124="snížená",J1124,0)</f>
        <v>0</v>
      </c>
      <c r="BG1124" s="88">
        <f>IF(N1124="zákl. přenesená",J1124,0)</f>
        <v>0</v>
      </c>
      <c r="BH1124" s="88">
        <f>IF(N1124="sníž. přenesená",J1124,0)</f>
        <v>0</v>
      </c>
      <c r="BI1124" s="88">
        <f>IF(N1124="nulová",J1124,0)</f>
        <v>0</v>
      </c>
      <c r="BJ1124" s="19" t="s">
        <v>75</v>
      </c>
      <c r="BK1124" s="88">
        <f>ROUND(I1124*H1124,2)</f>
        <v>0</v>
      </c>
      <c r="BL1124" s="19" t="s">
        <v>305</v>
      </c>
      <c r="BM1124" s="87" t="s">
        <v>1585</v>
      </c>
    </row>
    <row r="1125" spans="1:65" s="13" customFormat="1">
      <c r="A1125" s="313"/>
      <c r="B1125" s="314"/>
      <c r="C1125" s="313"/>
      <c r="D1125" s="315" t="s">
        <v>225</v>
      </c>
      <c r="E1125" s="316" t="s">
        <v>3</v>
      </c>
      <c r="F1125" s="317" t="s">
        <v>1472</v>
      </c>
      <c r="G1125" s="313"/>
      <c r="H1125" s="316" t="s">
        <v>3</v>
      </c>
      <c r="I1125" s="259"/>
      <c r="J1125" s="259"/>
      <c r="K1125" s="313"/>
      <c r="L1125" s="89"/>
      <c r="M1125" s="91"/>
      <c r="N1125" s="92"/>
      <c r="O1125" s="92"/>
      <c r="P1125" s="92"/>
      <c r="Q1125" s="92"/>
      <c r="R1125" s="92"/>
      <c r="S1125" s="92"/>
      <c r="T1125" s="93"/>
      <c r="AT1125" s="90" t="s">
        <v>225</v>
      </c>
      <c r="AU1125" s="90" t="s">
        <v>77</v>
      </c>
      <c r="AV1125" s="13" t="s">
        <v>75</v>
      </c>
      <c r="AW1125" s="13" t="s">
        <v>30</v>
      </c>
      <c r="AX1125" s="13" t="s">
        <v>68</v>
      </c>
      <c r="AY1125" s="90" t="s">
        <v>216</v>
      </c>
    </row>
    <row r="1126" spans="1:65" s="14" customFormat="1">
      <c r="A1126" s="318"/>
      <c r="B1126" s="319"/>
      <c r="C1126" s="318"/>
      <c r="D1126" s="315" t="s">
        <v>225</v>
      </c>
      <c r="E1126" s="320" t="s">
        <v>3</v>
      </c>
      <c r="F1126" s="321" t="s">
        <v>914</v>
      </c>
      <c r="G1126" s="318"/>
      <c r="H1126" s="322">
        <v>229.5</v>
      </c>
      <c r="I1126" s="260"/>
      <c r="J1126" s="260"/>
      <c r="K1126" s="318"/>
      <c r="L1126" s="94"/>
      <c r="M1126" s="96"/>
      <c r="N1126" s="97"/>
      <c r="O1126" s="97"/>
      <c r="P1126" s="97"/>
      <c r="Q1126" s="97"/>
      <c r="R1126" s="97"/>
      <c r="S1126" s="97"/>
      <c r="T1126" s="98"/>
      <c r="AT1126" s="95" t="s">
        <v>225</v>
      </c>
      <c r="AU1126" s="95" t="s">
        <v>77</v>
      </c>
      <c r="AV1126" s="14" t="s">
        <v>77</v>
      </c>
      <c r="AW1126" s="14" t="s">
        <v>30</v>
      </c>
      <c r="AX1126" s="14" t="s">
        <v>75</v>
      </c>
      <c r="AY1126" s="95" t="s">
        <v>216</v>
      </c>
    </row>
    <row r="1127" spans="1:65" s="2" customFormat="1" ht="21.6" customHeight="1">
      <c r="A1127" s="269"/>
      <c r="B1127" s="270"/>
      <c r="C1127" s="308" t="s">
        <v>1586</v>
      </c>
      <c r="D1127" s="308" t="s">
        <v>218</v>
      </c>
      <c r="E1127" s="309" t="s">
        <v>1587</v>
      </c>
      <c r="F1127" s="310" t="s">
        <v>1588</v>
      </c>
      <c r="G1127" s="311" t="s">
        <v>273</v>
      </c>
      <c r="H1127" s="312">
        <v>4.7590000000000003</v>
      </c>
      <c r="I1127" s="82">
        <v>0</v>
      </c>
      <c r="J1127" s="82">
        <f>ROUND(I1127*H1127,2)</f>
        <v>0</v>
      </c>
      <c r="K1127" s="310" t="s">
        <v>222</v>
      </c>
      <c r="L1127" s="24"/>
      <c r="M1127" s="83" t="s">
        <v>3</v>
      </c>
      <c r="N1127" s="84" t="s">
        <v>39</v>
      </c>
      <c r="O1127" s="85">
        <v>1.5980000000000001</v>
      </c>
      <c r="P1127" s="85">
        <f>O1127*H1127</f>
        <v>7.6048820000000008</v>
      </c>
      <c r="Q1127" s="85">
        <v>0</v>
      </c>
      <c r="R1127" s="85">
        <f>Q1127*H1127</f>
        <v>0</v>
      </c>
      <c r="S1127" s="85">
        <v>0</v>
      </c>
      <c r="T1127" s="86">
        <f>S1127*H1127</f>
        <v>0</v>
      </c>
      <c r="U1127" s="23"/>
      <c r="V1127" s="23"/>
      <c r="W1127" s="23"/>
      <c r="X1127" s="23"/>
      <c r="Y1127" s="23"/>
      <c r="Z1127" s="23"/>
      <c r="AA1127" s="23"/>
      <c r="AB1127" s="23"/>
      <c r="AC1127" s="23"/>
      <c r="AD1127" s="23"/>
      <c r="AE1127" s="23"/>
      <c r="AR1127" s="87" t="s">
        <v>305</v>
      </c>
      <c r="AT1127" s="87" t="s">
        <v>218</v>
      </c>
      <c r="AU1127" s="87" t="s">
        <v>77</v>
      </c>
      <c r="AY1127" s="19" t="s">
        <v>216</v>
      </c>
      <c r="BE1127" s="88">
        <f>IF(N1127="základní",J1127,0)</f>
        <v>0</v>
      </c>
      <c r="BF1127" s="88">
        <f>IF(N1127="snížená",J1127,0)</f>
        <v>0</v>
      </c>
      <c r="BG1127" s="88">
        <f>IF(N1127="zákl. přenesená",J1127,0)</f>
        <v>0</v>
      </c>
      <c r="BH1127" s="88">
        <f>IF(N1127="sníž. přenesená",J1127,0)</f>
        <v>0</v>
      </c>
      <c r="BI1127" s="88">
        <f>IF(N1127="nulová",J1127,0)</f>
        <v>0</v>
      </c>
      <c r="BJ1127" s="19" t="s">
        <v>75</v>
      </c>
      <c r="BK1127" s="88">
        <f>ROUND(I1127*H1127,2)</f>
        <v>0</v>
      </c>
      <c r="BL1127" s="19" t="s">
        <v>305</v>
      </c>
      <c r="BM1127" s="87" t="s">
        <v>1589</v>
      </c>
    </row>
    <row r="1128" spans="1:65" s="2" customFormat="1" ht="87.75">
      <c r="A1128" s="269"/>
      <c r="B1128" s="270"/>
      <c r="C1128" s="269"/>
      <c r="D1128" s="315" t="s">
        <v>231</v>
      </c>
      <c r="E1128" s="269"/>
      <c r="F1128" s="323" t="s">
        <v>923</v>
      </c>
      <c r="G1128" s="269"/>
      <c r="H1128" s="269"/>
      <c r="I1128" s="248"/>
      <c r="J1128" s="248"/>
      <c r="K1128" s="269"/>
      <c r="L1128" s="24"/>
      <c r="M1128" s="99"/>
      <c r="N1128" s="100"/>
      <c r="O1128" s="32"/>
      <c r="P1128" s="32"/>
      <c r="Q1128" s="32"/>
      <c r="R1128" s="32"/>
      <c r="S1128" s="32"/>
      <c r="T1128" s="33"/>
      <c r="U1128" s="23"/>
      <c r="V1128" s="23"/>
      <c r="W1128" s="23"/>
      <c r="X1128" s="23"/>
      <c r="Y1128" s="23"/>
      <c r="Z1128" s="23"/>
      <c r="AA1128" s="23"/>
      <c r="AB1128" s="23"/>
      <c r="AC1128" s="23"/>
      <c r="AD1128" s="23"/>
      <c r="AE1128" s="23"/>
      <c r="AT1128" s="19" t="s">
        <v>231</v>
      </c>
      <c r="AU1128" s="19" t="s">
        <v>77</v>
      </c>
    </row>
    <row r="1129" spans="1:65" s="2" customFormat="1" ht="32.450000000000003" customHeight="1">
      <c r="A1129" s="269"/>
      <c r="B1129" s="270"/>
      <c r="C1129" s="308" t="s">
        <v>1590</v>
      </c>
      <c r="D1129" s="308" t="s">
        <v>218</v>
      </c>
      <c r="E1129" s="309" t="s">
        <v>1591</v>
      </c>
      <c r="F1129" s="310" t="s">
        <v>1592</v>
      </c>
      <c r="G1129" s="311" t="s">
        <v>273</v>
      </c>
      <c r="H1129" s="312">
        <v>4.7590000000000003</v>
      </c>
      <c r="I1129" s="82">
        <v>0</v>
      </c>
      <c r="J1129" s="82">
        <f>ROUND(I1129*H1129,2)</f>
        <v>0</v>
      </c>
      <c r="K1129" s="310" t="s">
        <v>222</v>
      </c>
      <c r="L1129" s="24"/>
      <c r="M1129" s="83" t="s">
        <v>3</v>
      </c>
      <c r="N1129" s="84" t="s">
        <v>39</v>
      </c>
      <c r="O1129" s="85">
        <v>1.1399999999999999</v>
      </c>
      <c r="P1129" s="85">
        <f>O1129*H1129</f>
        <v>5.4252599999999997</v>
      </c>
      <c r="Q1129" s="85">
        <v>0</v>
      </c>
      <c r="R1129" s="85">
        <f>Q1129*H1129</f>
        <v>0</v>
      </c>
      <c r="S1129" s="85">
        <v>0</v>
      </c>
      <c r="T1129" s="86">
        <f>S1129*H1129</f>
        <v>0</v>
      </c>
      <c r="U1129" s="23"/>
      <c r="V1129" s="23"/>
      <c r="W1129" s="23"/>
      <c r="X1129" s="23"/>
      <c r="Y1129" s="23"/>
      <c r="Z1129" s="23"/>
      <c r="AA1129" s="23"/>
      <c r="AB1129" s="23"/>
      <c r="AC1129" s="23"/>
      <c r="AD1129" s="23"/>
      <c r="AE1129" s="23"/>
      <c r="AR1129" s="87" t="s">
        <v>305</v>
      </c>
      <c r="AT1129" s="87" t="s">
        <v>218</v>
      </c>
      <c r="AU1129" s="87" t="s">
        <v>77</v>
      </c>
      <c r="AY1129" s="19" t="s">
        <v>216</v>
      </c>
      <c r="BE1129" s="88">
        <f>IF(N1129="základní",J1129,0)</f>
        <v>0</v>
      </c>
      <c r="BF1129" s="88">
        <f>IF(N1129="snížená",J1129,0)</f>
        <v>0</v>
      </c>
      <c r="BG1129" s="88">
        <f>IF(N1129="zákl. přenesená",J1129,0)</f>
        <v>0</v>
      </c>
      <c r="BH1129" s="88">
        <f>IF(N1129="sníž. přenesená",J1129,0)</f>
        <v>0</v>
      </c>
      <c r="BI1129" s="88">
        <f>IF(N1129="nulová",J1129,0)</f>
        <v>0</v>
      </c>
      <c r="BJ1129" s="19" t="s">
        <v>75</v>
      </c>
      <c r="BK1129" s="88">
        <f>ROUND(I1129*H1129,2)</f>
        <v>0</v>
      </c>
      <c r="BL1129" s="19" t="s">
        <v>305</v>
      </c>
      <c r="BM1129" s="87" t="s">
        <v>1593</v>
      </c>
    </row>
    <row r="1130" spans="1:65" s="2" customFormat="1" ht="87.75">
      <c r="A1130" s="269"/>
      <c r="B1130" s="270"/>
      <c r="C1130" s="269"/>
      <c r="D1130" s="315" t="s">
        <v>231</v>
      </c>
      <c r="E1130" s="269"/>
      <c r="F1130" s="323" t="s">
        <v>923</v>
      </c>
      <c r="G1130" s="269"/>
      <c r="H1130" s="269"/>
      <c r="I1130" s="248"/>
      <c r="J1130" s="248"/>
      <c r="K1130" s="269"/>
      <c r="L1130" s="24"/>
      <c r="M1130" s="99"/>
      <c r="N1130" s="100"/>
      <c r="O1130" s="32"/>
      <c r="P1130" s="32"/>
      <c r="Q1130" s="32"/>
      <c r="R1130" s="32"/>
      <c r="S1130" s="32"/>
      <c r="T1130" s="33"/>
      <c r="U1130" s="23"/>
      <c r="V1130" s="23"/>
      <c r="W1130" s="23"/>
      <c r="X1130" s="23"/>
      <c r="Y1130" s="23"/>
      <c r="Z1130" s="23"/>
      <c r="AA1130" s="23"/>
      <c r="AB1130" s="23"/>
      <c r="AC1130" s="23"/>
      <c r="AD1130" s="23"/>
      <c r="AE1130" s="23"/>
      <c r="AT1130" s="19" t="s">
        <v>231</v>
      </c>
      <c r="AU1130" s="19" t="s">
        <v>77</v>
      </c>
    </row>
    <row r="1131" spans="1:65" s="12" customFormat="1" ht="22.9" customHeight="1">
      <c r="A1131" s="303"/>
      <c r="B1131" s="304"/>
      <c r="C1131" s="303"/>
      <c r="D1131" s="305" t="s">
        <v>67</v>
      </c>
      <c r="E1131" s="307" t="s">
        <v>1594</v>
      </c>
      <c r="F1131" s="307" t="s">
        <v>1595</v>
      </c>
      <c r="G1131" s="303"/>
      <c r="H1131" s="303"/>
      <c r="I1131" s="256"/>
      <c r="J1131" s="258">
        <f>BK1131</f>
        <v>0</v>
      </c>
      <c r="K1131" s="303"/>
      <c r="L1131" s="74"/>
      <c r="M1131" s="76"/>
      <c r="N1131" s="77"/>
      <c r="O1131" s="77"/>
      <c r="P1131" s="78">
        <f>SUM(P1132:P1140)</f>
        <v>21.524999999999999</v>
      </c>
      <c r="Q1131" s="77"/>
      <c r="R1131" s="78">
        <f>SUM(R1132:R1140)</f>
        <v>1.26E-2</v>
      </c>
      <c r="S1131" s="77"/>
      <c r="T1131" s="79">
        <f>SUM(T1132:T1140)</f>
        <v>0</v>
      </c>
      <c r="AR1131" s="75" t="s">
        <v>77</v>
      </c>
      <c r="AT1131" s="80" t="s">
        <v>67</v>
      </c>
      <c r="AU1131" s="80" t="s">
        <v>75</v>
      </c>
      <c r="AY1131" s="75" t="s">
        <v>216</v>
      </c>
      <c r="BK1131" s="81">
        <f>SUM(BK1132:BK1140)</f>
        <v>0</v>
      </c>
    </row>
    <row r="1132" spans="1:65" s="2" customFormat="1" ht="21.6" customHeight="1">
      <c r="A1132" s="269"/>
      <c r="B1132" s="270"/>
      <c r="C1132" s="308" t="s">
        <v>1596</v>
      </c>
      <c r="D1132" s="308" t="s">
        <v>218</v>
      </c>
      <c r="E1132" s="309" t="s">
        <v>1597</v>
      </c>
      <c r="F1132" s="310" t="s">
        <v>1598</v>
      </c>
      <c r="G1132" s="311" t="s">
        <v>286</v>
      </c>
      <c r="H1132" s="312">
        <v>35</v>
      </c>
      <c r="I1132" s="82">
        <v>0</v>
      </c>
      <c r="J1132" s="82">
        <f>ROUND(I1132*H1132,2)</f>
        <v>0</v>
      </c>
      <c r="K1132" s="310" t="s">
        <v>222</v>
      </c>
      <c r="L1132" s="24"/>
      <c r="M1132" s="83" t="s">
        <v>3</v>
      </c>
      <c r="N1132" s="84" t="s">
        <v>39</v>
      </c>
      <c r="O1132" s="85">
        <v>0.13300000000000001</v>
      </c>
      <c r="P1132" s="85">
        <f>O1132*H1132</f>
        <v>4.6550000000000002</v>
      </c>
      <c r="Q1132" s="85">
        <v>8.0000000000000007E-5</v>
      </c>
      <c r="R1132" s="85">
        <f>Q1132*H1132</f>
        <v>2.8000000000000004E-3</v>
      </c>
      <c r="S1132" s="85">
        <v>0</v>
      </c>
      <c r="T1132" s="86">
        <f>S1132*H1132</f>
        <v>0</v>
      </c>
      <c r="U1132" s="23"/>
      <c r="V1132" s="23"/>
      <c r="W1132" s="23"/>
      <c r="X1132" s="23"/>
      <c r="Y1132" s="23"/>
      <c r="Z1132" s="23"/>
      <c r="AA1132" s="23"/>
      <c r="AB1132" s="23"/>
      <c r="AC1132" s="23"/>
      <c r="AD1132" s="23"/>
      <c r="AE1132" s="23"/>
      <c r="AR1132" s="87" t="s">
        <v>305</v>
      </c>
      <c r="AT1132" s="87" t="s">
        <v>218</v>
      </c>
      <c r="AU1132" s="87" t="s">
        <v>77</v>
      </c>
      <c r="AY1132" s="19" t="s">
        <v>216</v>
      </c>
      <c r="BE1132" s="88">
        <f>IF(N1132="základní",J1132,0)</f>
        <v>0</v>
      </c>
      <c r="BF1132" s="88">
        <f>IF(N1132="snížená",J1132,0)</f>
        <v>0</v>
      </c>
      <c r="BG1132" s="88">
        <f>IF(N1132="zákl. přenesená",J1132,0)</f>
        <v>0</v>
      </c>
      <c r="BH1132" s="88">
        <f>IF(N1132="sníž. přenesená",J1132,0)</f>
        <v>0</v>
      </c>
      <c r="BI1132" s="88">
        <f>IF(N1132="nulová",J1132,0)</f>
        <v>0</v>
      </c>
      <c r="BJ1132" s="19" t="s">
        <v>75</v>
      </c>
      <c r="BK1132" s="88">
        <f>ROUND(I1132*H1132,2)</f>
        <v>0</v>
      </c>
      <c r="BL1132" s="19" t="s">
        <v>305</v>
      </c>
      <c r="BM1132" s="87" t="s">
        <v>1599</v>
      </c>
    </row>
    <row r="1133" spans="1:65" s="13" customFormat="1">
      <c r="A1133" s="313"/>
      <c r="B1133" s="314"/>
      <c r="C1133" s="313"/>
      <c r="D1133" s="315" t="s">
        <v>225</v>
      </c>
      <c r="E1133" s="316" t="s">
        <v>3</v>
      </c>
      <c r="F1133" s="317" t="s">
        <v>304</v>
      </c>
      <c r="G1133" s="313"/>
      <c r="H1133" s="316" t="s">
        <v>3</v>
      </c>
      <c r="I1133" s="259"/>
      <c r="J1133" s="259"/>
      <c r="K1133" s="313"/>
      <c r="L1133" s="89"/>
      <c r="M1133" s="91"/>
      <c r="N1133" s="92"/>
      <c r="O1133" s="92"/>
      <c r="P1133" s="92"/>
      <c r="Q1133" s="92"/>
      <c r="R1133" s="92"/>
      <c r="S1133" s="92"/>
      <c r="T1133" s="93"/>
      <c r="AT1133" s="90" t="s">
        <v>225</v>
      </c>
      <c r="AU1133" s="90" t="s">
        <v>77</v>
      </c>
      <c r="AV1133" s="13" t="s">
        <v>75</v>
      </c>
      <c r="AW1133" s="13" t="s">
        <v>30</v>
      </c>
      <c r="AX1133" s="13" t="s">
        <v>68</v>
      </c>
      <c r="AY1133" s="90" t="s">
        <v>216</v>
      </c>
    </row>
    <row r="1134" spans="1:65" s="14" customFormat="1">
      <c r="A1134" s="318"/>
      <c r="B1134" s="319"/>
      <c r="C1134" s="318"/>
      <c r="D1134" s="315" t="s">
        <v>225</v>
      </c>
      <c r="E1134" s="320" t="s">
        <v>3</v>
      </c>
      <c r="F1134" s="321" t="s">
        <v>1600</v>
      </c>
      <c r="G1134" s="318"/>
      <c r="H1134" s="322">
        <v>35</v>
      </c>
      <c r="I1134" s="260"/>
      <c r="J1134" s="260"/>
      <c r="K1134" s="318"/>
      <c r="L1134" s="94"/>
      <c r="M1134" s="96"/>
      <c r="N1134" s="97"/>
      <c r="O1134" s="97"/>
      <c r="P1134" s="97"/>
      <c r="Q1134" s="97"/>
      <c r="R1134" s="97"/>
      <c r="S1134" s="97"/>
      <c r="T1134" s="98"/>
      <c r="AT1134" s="95" t="s">
        <v>225</v>
      </c>
      <c r="AU1134" s="95" t="s">
        <v>77</v>
      </c>
      <c r="AV1134" s="14" t="s">
        <v>77</v>
      </c>
      <c r="AW1134" s="14" t="s">
        <v>30</v>
      </c>
      <c r="AX1134" s="14" t="s">
        <v>75</v>
      </c>
      <c r="AY1134" s="95" t="s">
        <v>216</v>
      </c>
    </row>
    <row r="1135" spans="1:65" s="2" customFormat="1" ht="21.6" customHeight="1">
      <c r="A1135" s="269"/>
      <c r="B1135" s="270"/>
      <c r="C1135" s="308" t="s">
        <v>1601</v>
      </c>
      <c r="D1135" s="308" t="s">
        <v>218</v>
      </c>
      <c r="E1135" s="309" t="s">
        <v>1602</v>
      </c>
      <c r="F1135" s="310" t="s">
        <v>1603</v>
      </c>
      <c r="G1135" s="311" t="s">
        <v>286</v>
      </c>
      <c r="H1135" s="312">
        <v>35</v>
      </c>
      <c r="I1135" s="82">
        <v>0</v>
      </c>
      <c r="J1135" s="82">
        <f>ROUND(I1135*H1135,2)</f>
        <v>0</v>
      </c>
      <c r="K1135" s="310" t="s">
        <v>222</v>
      </c>
      <c r="L1135" s="24"/>
      <c r="M1135" s="83" t="s">
        <v>3</v>
      </c>
      <c r="N1135" s="84" t="s">
        <v>39</v>
      </c>
      <c r="O1135" s="85">
        <v>0.13800000000000001</v>
      </c>
      <c r="P1135" s="85">
        <f>O1135*H1135</f>
        <v>4.83</v>
      </c>
      <c r="Q1135" s="85">
        <v>1E-4</v>
      </c>
      <c r="R1135" s="85">
        <f>Q1135*H1135</f>
        <v>3.5000000000000001E-3</v>
      </c>
      <c r="S1135" s="85">
        <v>0</v>
      </c>
      <c r="T1135" s="86">
        <f>S1135*H1135</f>
        <v>0</v>
      </c>
      <c r="U1135" s="23"/>
      <c r="V1135" s="23"/>
      <c r="W1135" s="23"/>
      <c r="X1135" s="23"/>
      <c r="Y1135" s="23"/>
      <c r="Z1135" s="23"/>
      <c r="AA1135" s="23"/>
      <c r="AB1135" s="23"/>
      <c r="AC1135" s="23"/>
      <c r="AD1135" s="23"/>
      <c r="AE1135" s="23"/>
      <c r="AR1135" s="87" t="s">
        <v>305</v>
      </c>
      <c r="AT1135" s="87" t="s">
        <v>218</v>
      </c>
      <c r="AU1135" s="87" t="s">
        <v>77</v>
      </c>
      <c r="AY1135" s="19" t="s">
        <v>216</v>
      </c>
      <c r="BE1135" s="88">
        <f>IF(N1135="základní",J1135,0)</f>
        <v>0</v>
      </c>
      <c r="BF1135" s="88">
        <f>IF(N1135="snížená",J1135,0)</f>
        <v>0</v>
      </c>
      <c r="BG1135" s="88">
        <f>IF(N1135="zákl. přenesená",J1135,0)</f>
        <v>0</v>
      </c>
      <c r="BH1135" s="88">
        <f>IF(N1135="sníž. přenesená",J1135,0)</f>
        <v>0</v>
      </c>
      <c r="BI1135" s="88">
        <f>IF(N1135="nulová",J1135,0)</f>
        <v>0</v>
      </c>
      <c r="BJ1135" s="19" t="s">
        <v>75</v>
      </c>
      <c r="BK1135" s="88">
        <f>ROUND(I1135*H1135,2)</f>
        <v>0</v>
      </c>
      <c r="BL1135" s="19" t="s">
        <v>305</v>
      </c>
      <c r="BM1135" s="87" t="s">
        <v>1604</v>
      </c>
    </row>
    <row r="1136" spans="1:65" s="13" customFormat="1">
      <c r="A1136" s="313"/>
      <c r="B1136" s="314"/>
      <c r="C1136" s="313"/>
      <c r="D1136" s="315" t="s">
        <v>225</v>
      </c>
      <c r="E1136" s="316" t="s">
        <v>3</v>
      </c>
      <c r="F1136" s="317" t="s">
        <v>304</v>
      </c>
      <c r="G1136" s="313"/>
      <c r="H1136" s="316" t="s">
        <v>3</v>
      </c>
      <c r="I1136" s="259"/>
      <c r="J1136" s="259"/>
      <c r="K1136" s="313"/>
      <c r="L1136" s="89"/>
      <c r="M1136" s="91"/>
      <c r="N1136" s="92"/>
      <c r="O1136" s="92"/>
      <c r="P1136" s="92"/>
      <c r="Q1136" s="92"/>
      <c r="R1136" s="92"/>
      <c r="S1136" s="92"/>
      <c r="T1136" s="93"/>
      <c r="AT1136" s="90" t="s">
        <v>225</v>
      </c>
      <c r="AU1136" s="90" t="s">
        <v>77</v>
      </c>
      <c r="AV1136" s="13" t="s">
        <v>75</v>
      </c>
      <c r="AW1136" s="13" t="s">
        <v>30</v>
      </c>
      <c r="AX1136" s="13" t="s">
        <v>68</v>
      </c>
      <c r="AY1136" s="90" t="s">
        <v>216</v>
      </c>
    </row>
    <row r="1137" spans="1:65" s="14" customFormat="1">
      <c r="A1137" s="318"/>
      <c r="B1137" s="319"/>
      <c r="C1137" s="318"/>
      <c r="D1137" s="315" t="s">
        <v>225</v>
      </c>
      <c r="E1137" s="320" t="s">
        <v>3</v>
      </c>
      <c r="F1137" s="321" t="s">
        <v>1600</v>
      </c>
      <c r="G1137" s="318"/>
      <c r="H1137" s="322">
        <v>35</v>
      </c>
      <c r="I1137" s="260"/>
      <c r="J1137" s="260"/>
      <c r="K1137" s="318"/>
      <c r="L1137" s="94"/>
      <c r="M1137" s="96"/>
      <c r="N1137" s="97"/>
      <c r="O1137" s="97"/>
      <c r="P1137" s="97"/>
      <c r="Q1137" s="97"/>
      <c r="R1137" s="97"/>
      <c r="S1137" s="97"/>
      <c r="T1137" s="98"/>
      <c r="AT1137" s="95" t="s">
        <v>225</v>
      </c>
      <c r="AU1137" s="95" t="s">
        <v>77</v>
      </c>
      <c r="AV1137" s="14" t="s">
        <v>77</v>
      </c>
      <c r="AW1137" s="14" t="s">
        <v>30</v>
      </c>
      <c r="AX1137" s="14" t="s">
        <v>75</v>
      </c>
      <c r="AY1137" s="95" t="s">
        <v>216</v>
      </c>
    </row>
    <row r="1138" spans="1:65" s="2" customFormat="1" ht="14.45" customHeight="1">
      <c r="A1138" s="269"/>
      <c r="B1138" s="270"/>
      <c r="C1138" s="308" t="s">
        <v>1605</v>
      </c>
      <c r="D1138" s="308" t="s">
        <v>218</v>
      </c>
      <c r="E1138" s="309" t="s">
        <v>1606</v>
      </c>
      <c r="F1138" s="310" t="s">
        <v>1607</v>
      </c>
      <c r="G1138" s="311" t="s">
        <v>286</v>
      </c>
      <c r="H1138" s="312">
        <v>70</v>
      </c>
      <c r="I1138" s="82">
        <v>0</v>
      </c>
      <c r="J1138" s="82">
        <f>ROUND(I1138*H1138,2)</f>
        <v>0</v>
      </c>
      <c r="K1138" s="310" t="s">
        <v>222</v>
      </c>
      <c r="L1138" s="24"/>
      <c r="M1138" s="83" t="s">
        <v>3</v>
      </c>
      <c r="N1138" s="84" t="s">
        <v>39</v>
      </c>
      <c r="O1138" s="85">
        <v>0.17199999999999999</v>
      </c>
      <c r="P1138" s="85">
        <f>O1138*H1138</f>
        <v>12.04</v>
      </c>
      <c r="Q1138" s="85">
        <v>9.0000000000000006E-5</v>
      </c>
      <c r="R1138" s="85">
        <f>Q1138*H1138</f>
        <v>6.3E-3</v>
      </c>
      <c r="S1138" s="85">
        <v>0</v>
      </c>
      <c r="T1138" s="86">
        <f>S1138*H1138</f>
        <v>0</v>
      </c>
      <c r="U1138" s="23"/>
      <c r="V1138" s="23"/>
      <c r="W1138" s="23"/>
      <c r="X1138" s="23"/>
      <c r="Y1138" s="23"/>
      <c r="Z1138" s="23"/>
      <c r="AA1138" s="23"/>
      <c r="AB1138" s="23"/>
      <c r="AC1138" s="23"/>
      <c r="AD1138" s="23"/>
      <c r="AE1138" s="23"/>
      <c r="AR1138" s="87" t="s">
        <v>305</v>
      </c>
      <c r="AT1138" s="87" t="s">
        <v>218</v>
      </c>
      <c r="AU1138" s="87" t="s">
        <v>77</v>
      </c>
      <c r="AY1138" s="19" t="s">
        <v>216</v>
      </c>
      <c r="BE1138" s="88">
        <f>IF(N1138="základní",J1138,0)</f>
        <v>0</v>
      </c>
      <c r="BF1138" s="88">
        <f>IF(N1138="snížená",J1138,0)</f>
        <v>0</v>
      </c>
      <c r="BG1138" s="88">
        <f>IF(N1138="zákl. přenesená",J1138,0)</f>
        <v>0</v>
      </c>
      <c r="BH1138" s="88">
        <f>IF(N1138="sníž. přenesená",J1138,0)</f>
        <v>0</v>
      </c>
      <c r="BI1138" s="88">
        <f>IF(N1138="nulová",J1138,0)</f>
        <v>0</v>
      </c>
      <c r="BJ1138" s="19" t="s">
        <v>75</v>
      </c>
      <c r="BK1138" s="88">
        <f>ROUND(I1138*H1138,2)</f>
        <v>0</v>
      </c>
      <c r="BL1138" s="19" t="s">
        <v>305</v>
      </c>
      <c r="BM1138" s="87" t="s">
        <v>1608</v>
      </c>
    </row>
    <row r="1139" spans="1:65" s="14" customFormat="1">
      <c r="A1139" s="318"/>
      <c r="B1139" s="319"/>
      <c r="C1139" s="318"/>
      <c r="D1139" s="315" t="s">
        <v>225</v>
      </c>
      <c r="E1139" s="320" t="s">
        <v>3</v>
      </c>
      <c r="F1139" s="321" t="s">
        <v>1609</v>
      </c>
      <c r="G1139" s="318"/>
      <c r="H1139" s="322">
        <v>70</v>
      </c>
      <c r="I1139" s="260"/>
      <c r="J1139" s="260"/>
      <c r="K1139" s="318"/>
      <c r="L1139" s="94"/>
      <c r="M1139" s="96"/>
      <c r="N1139" s="97"/>
      <c r="O1139" s="97"/>
      <c r="P1139" s="97"/>
      <c r="Q1139" s="97"/>
      <c r="R1139" s="97"/>
      <c r="S1139" s="97"/>
      <c r="T1139" s="98"/>
      <c r="AT1139" s="95" t="s">
        <v>225</v>
      </c>
      <c r="AU1139" s="95" t="s">
        <v>77</v>
      </c>
      <c r="AV1139" s="14" t="s">
        <v>77</v>
      </c>
      <c r="AW1139" s="14" t="s">
        <v>30</v>
      </c>
      <c r="AX1139" s="14" t="s">
        <v>75</v>
      </c>
      <c r="AY1139" s="95" t="s">
        <v>216</v>
      </c>
    </row>
    <row r="1140" spans="1:65" s="2" customFormat="1" ht="14.45" customHeight="1">
      <c r="A1140" s="269"/>
      <c r="B1140" s="270"/>
      <c r="C1140" s="308" t="s">
        <v>1610</v>
      </c>
      <c r="D1140" s="308" t="s">
        <v>218</v>
      </c>
      <c r="E1140" s="309" t="s">
        <v>1611</v>
      </c>
      <c r="F1140" s="310" t="s">
        <v>1612</v>
      </c>
      <c r="G1140" s="311" t="s">
        <v>286</v>
      </c>
      <c r="H1140" s="312">
        <v>20</v>
      </c>
      <c r="I1140" s="82">
        <v>0</v>
      </c>
      <c r="J1140" s="82">
        <f>ROUND(I1140*H1140,2)</f>
        <v>0</v>
      </c>
      <c r="K1140" s="310" t="s">
        <v>3</v>
      </c>
      <c r="L1140" s="24"/>
      <c r="M1140" s="83" t="s">
        <v>3</v>
      </c>
      <c r="N1140" s="84" t="s">
        <v>39</v>
      </c>
      <c r="O1140" s="85">
        <v>0</v>
      </c>
      <c r="P1140" s="85">
        <f>O1140*H1140</f>
        <v>0</v>
      </c>
      <c r="Q1140" s="85">
        <v>0</v>
      </c>
      <c r="R1140" s="85">
        <f>Q1140*H1140</f>
        <v>0</v>
      </c>
      <c r="S1140" s="85">
        <v>0</v>
      </c>
      <c r="T1140" s="86">
        <f>S1140*H1140</f>
        <v>0</v>
      </c>
      <c r="U1140" s="23"/>
      <c r="V1140" s="23"/>
      <c r="W1140" s="23"/>
      <c r="X1140" s="23"/>
      <c r="Y1140" s="23"/>
      <c r="Z1140" s="23"/>
      <c r="AA1140" s="23"/>
      <c r="AB1140" s="23"/>
      <c r="AC1140" s="23"/>
      <c r="AD1140" s="23"/>
      <c r="AE1140" s="23"/>
      <c r="AR1140" s="87" t="s">
        <v>305</v>
      </c>
      <c r="AT1140" s="87" t="s">
        <v>218</v>
      </c>
      <c r="AU1140" s="87" t="s">
        <v>77</v>
      </c>
      <c r="AY1140" s="19" t="s">
        <v>216</v>
      </c>
      <c r="BE1140" s="88">
        <f>IF(N1140="základní",J1140,0)</f>
        <v>0</v>
      </c>
      <c r="BF1140" s="88">
        <f>IF(N1140="snížená",J1140,0)</f>
        <v>0</v>
      </c>
      <c r="BG1140" s="88">
        <f>IF(N1140="zákl. přenesená",J1140,0)</f>
        <v>0</v>
      </c>
      <c r="BH1140" s="88">
        <f>IF(N1140="sníž. přenesená",J1140,0)</f>
        <v>0</v>
      </c>
      <c r="BI1140" s="88">
        <f>IF(N1140="nulová",J1140,0)</f>
        <v>0</v>
      </c>
      <c r="BJ1140" s="19" t="s">
        <v>75</v>
      </c>
      <c r="BK1140" s="88">
        <f>ROUND(I1140*H1140,2)</f>
        <v>0</v>
      </c>
      <c r="BL1140" s="19" t="s">
        <v>305</v>
      </c>
      <c r="BM1140" s="87" t="s">
        <v>1613</v>
      </c>
    </row>
    <row r="1141" spans="1:65" s="12" customFormat="1" ht="22.9" customHeight="1">
      <c r="A1141" s="303"/>
      <c r="B1141" s="304"/>
      <c r="C1141" s="303"/>
      <c r="D1141" s="305" t="s">
        <v>67</v>
      </c>
      <c r="E1141" s="307" t="s">
        <v>1614</v>
      </c>
      <c r="F1141" s="307" t="s">
        <v>1615</v>
      </c>
      <c r="G1141" s="303"/>
      <c r="H1141" s="303"/>
      <c r="I1141" s="256"/>
      <c r="J1141" s="258">
        <f>BK1141</f>
        <v>0</v>
      </c>
      <c r="K1141" s="303"/>
      <c r="L1141" s="74"/>
      <c r="M1141" s="76"/>
      <c r="N1141" s="77"/>
      <c r="O1141" s="77"/>
      <c r="P1141" s="78">
        <f>SUM(P1142:P1173)</f>
        <v>192.714755</v>
      </c>
      <c r="Q1141" s="77"/>
      <c r="R1141" s="78">
        <f>SUM(R1142:R1173)</f>
        <v>0.70495328000000002</v>
      </c>
      <c r="S1141" s="77"/>
      <c r="T1141" s="79">
        <f>SUM(T1142:T1173)</f>
        <v>4.4889860000000004E-2</v>
      </c>
      <c r="AR1141" s="75" t="s">
        <v>77</v>
      </c>
      <c r="AT1141" s="80" t="s">
        <v>67</v>
      </c>
      <c r="AU1141" s="80" t="s">
        <v>75</v>
      </c>
      <c r="AY1141" s="75" t="s">
        <v>216</v>
      </c>
      <c r="BK1141" s="81">
        <f>SUM(BK1142:BK1173)</f>
        <v>0</v>
      </c>
    </row>
    <row r="1142" spans="1:65" s="2" customFormat="1" ht="14.45" customHeight="1">
      <c r="A1142" s="269"/>
      <c r="B1142" s="270"/>
      <c r="C1142" s="308" t="s">
        <v>1616</v>
      </c>
      <c r="D1142" s="308" t="s">
        <v>218</v>
      </c>
      <c r="E1142" s="309" t="s">
        <v>1617</v>
      </c>
      <c r="F1142" s="310" t="s">
        <v>1618</v>
      </c>
      <c r="G1142" s="311" t="s">
        <v>286</v>
      </c>
      <c r="H1142" s="312">
        <v>1208.9110000000001</v>
      </c>
      <c r="I1142" s="82">
        <v>0</v>
      </c>
      <c r="J1142" s="82">
        <f>ROUND(I1142*H1142,2)</f>
        <v>0</v>
      </c>
      <c r="K1142" s="310" t="s">
        <v>222</v>
      </c>
      <c r="L1142" s="24"/>
      <c r="M1142" s="83" t="s">
        <v>3</v>
      </c>
      <c r="N1142" s="84" t="s">
        <v>39</v>
      </c>
      <c r="O1142" s="85">
        <v>1.2E-2</v>
      </c>
      <c r="P1142" s="85">
        <f>O1142*H1142</f>
        <v>14.506932000000001</v>
      </c>
      <c r="Q1142" s="85">
        <v>0</v>
      </c>
      <c r="R1142" s="85">
        <f>Q1142*H1142</f>
        <v>0</v>
      </c>
      <c r="S1142" s="85">
        <v>0</v>
      </c>
      <c r="T1142" s="86">
        <f>S1142*H1142</f>
        <v>0</v>
      </c>
      <c r="U1142" s="23"/>
      <c r="V1142" s="23"/>
      <c r="W1142" s="23"/>
      <c r="X1142" s="23"/>
      <c r="Y1142" s="23"/>
      <c r="Z1142" s="23"/>
      <c r="AA1142" s="23"/>
      <c r="AB1142" s="23"/>
      <c r="AC1142" s="23"/>
      <c r="AD1142" s="23"/>
      <c r="AE1142" s="23"/>
      <c r="AR1142" s="87" t="s">
        <v>305</v>
      </c>
      <c r="AT1142" s="87" t="s">
        <v>218</v>
      </c>
      <c r="AU1142" s="87" t="s">
        <v>77</v>
      </c>
      <c r="AY1142" s="19" t="s">
        <v>216</v>
      </c>
      <c r="BE1142" s="88">
        <f>IF(N1142="základní",J1142,0)</f>
        <v>0</v>
      </c>
      <c r="BF1142" s="88">
        <f>IF(N1142="snížená",J1142,0)</f>
        <v>0</v>
      </c>
      <c r="BG1142" s="88">
        <f>IF(N1142="zákl. přenesená",J1142,0)</f>
        <v>0</v>
      </c>
      <c r="BH1142" s="88">
        <f>IF(N1142="sníž. přenesená",J1142,0)</f>
        <v>0</v>
      </c>
      <c r="BI1142" s="88">
        <f>IF(N1142="nulová",J1142,0)</f>
        <v>0</v>
      </c>
      <c r="BJ1142" s="19" t="s">
        <v>75</v>
      </c>
      <c r="BK1142" s="88">
        <f>ROUND(I1142*H1142,2)</f>
        <v>0</v>
      </c>
      <c r="BL1142" s="19" t="s">
        <v>305</v>
      </c>
      <c r="BM1142" s="87" t="s">
        <v>1619</v>
      </c>
    </row>
    <row r="1143" spans="1:65" s="13" customFormat="1">
      <c r="A1143" s="313"/>
      <c r="B1143" s="314"/>
      <c r="C1143" s="313"/>
      <c r="D1143" s="315" t="s">
        <v>225</v>
      </c>
      <c r="E1143" s="316" t="s">
        <v>3</v>
      </c>
      <c r="F1143" s="317" t="s">
        <v>304</v>
      </c>
      <c r="G1143" s="313"/>
      <c r="H1143" s="316" t="s">
        <v>3</v>
      </c>
      <c r="I1143" s="259"/>
      <c r="J1143" s="259"/>
      <c r="K1143" s="313"/>
      <c r="L1143" s="89"/>
      <c r="M1143" s="91"/>
      <c r="N1143" s="92"/>
      <c r="O1143" s="92"/>
      <c r="P1143" s="92"/>
      <c r="Q1143" s="92"/>
      <c r="R1143" s="92"/>
      <c r="S1143" s="92"/>
      <c r="T1143" s="93"/>
      <c r="AT1143" s="90" t="s">
        <v>225</v>
      </c>
      <c r="AU1143" s="90" t="s">
        <v>77</v>
      </c>
      <c r="AV1143" s="13" t="s">
        <v>75</v>
      </c>
      <c r="AW1143" s="13" t="s">
        <v>30</v>
      </c>
      <c r="AX1143" s="13" t="s">
        <v>68</v>
      </c>
      <c r="AY1143" s="90" t="s">
        <v>216</v>
      </c>
    </row>
    <row r="1144" spans="1:65" s="14" customFormat="1">
      <c r="A1144" s="318"/>
      <c r="B1144" s="319"/>
      <c r="C1144" s="318"/>
      <c r="D1144" s="315" t="s">
        <v>225</v>
      </c>
      <c r="E1144" s="320" t="s">
        <v>3</v>
      </c>
      <c r="F1144" s="321" t="s">
        <v>415</v>
      </c>
      <c r="G1144" s="318"/>
      <c r="H1144" s="322">
        <v>53.75</v>
      </c>
      <c r="I1144" s="260"/>
      <c r="J1144" s="260"/>
      <c r="K1144" s="318"/>
      <c r="L1144" s="94"/>
      <c r="M1144" s="96"/>
      <c r="N1144" s="97"/>
      <c r="O1144" s="97"/>
      <c r="P1144" s="97"/>
      <c r="Q1144" s="97"/>
      <c r="R1144" s="97"/>
      <c r="S1144" s="97"/>
      <c r="T1144" s="98"/>
      <c r="AT1144" s="95" t="s">
        <v>225</v>
      </c>
      <c r="AU1144" s="95" t="s">
        <v>77</v>
      </c>
      <c r="AV1144" s="14" t="s">
        <v>77</v>
      </c>
      <c r="AW1144" s="14" t="s">
        <v>30</v>
      </c>
      <c r="AX1144" s="14" t="s">
        <v>68</v>
      </c>
      <c r="AY1144" s="95" t="s">
        <v>216</v>
      </c>
    </row>
    <row r="1145" spans="1:65" s="14" customFormat="1">
      <c r="A1145" s="318"/>
      <c r="B1145" s="319"/>
      <c r="C1145" s="318"/>
      <c r="D1145" s="315" t="s">
        <v>225</v>
      </c>
      <c r="E1145" s="320" t="s">
        <v>3</v>
      </c>
      <c r="F1145" s="321" t="s">
        <v>409</v>
      </c>
      <c r="G1145" s="318"/>
      <c r="H1145" s="322">
        <v>266.56</v>
      </c>
      <c r="I1145" s="260"/>
      <c r="J1145" s="260"/>
      <c r="K1145" s="318"/>
      <c r="L1145" s="94"/>
      <c r="M1145" s="96"/>
      <c r="N1145" s="97"/>
      <c r="O1145" s="97"/>
      <c r="P1145" s="97"/>
      <c r="Q1145" s="97"/>
      <c r="R1145" s="97"/>
      <c r="S1145" s="97"/>
      <c r="T1145" s="98"/>
      <c r="AT1145" s="95" t="s">
        <v>225</v>
      </c>
      <c r="AU1145" s="95" t="s">
        <v>77</v>
      </c>
      <c r="AV1145" s="14" t="s">
        <v>77</v>
      </c>
      <c r="AW1145" s="14" t="s">
        <v>30</v>
      </c>
      <c r="AX1145" s="14" t="s">
        <v>68</v>
      </c>
      <c r="AY1145" s="95" t="s">
        <v>216</v>
      </c>
    </row>
    <row r="1146" spans="1:65" s="14" customFormat="1">
      <c r="A1146" s="318"/>
      <c r="B1146" s="319"/>
      <c r="C1146" s="318"/>
      <c r="D1146" s="315" t="s">
        <v>225</v>
      </c>
      <c r="E1146" s="320" t="s">
        <v>3</v>
      </c>
      <c r="F1146" s="321" t="s">
        <v>1620</v>
      </c>
      <c r="G1146" s="318"/>
      <c r="H1146" s="322">
        <v>782.95100000000002</v>
      </c>
      <c r="I1146" s="260"/>
      <c r="J1146" s="260"/>
      <c r="K1146" s="318"/>
      <c r="L1146" s="94"/>
      <c r="M1146" s="96"/>
      <c r="N1146" s="97"/>
      <c r="O1146" s="97"/>
      <c r="P1146" s="97"/>
      <c r="Q1146" s="97"/>
      <c r="R1146" s="97"/>
      <c r="S1146" s="97"/>
      <c r="T1146" s="98"/>
      <c r="AT1146" s="95" t="s">
        <v>225</v>
      </c>
      <c r="AU1146" s="95" t="s">
        <v>77</v>
      </c>
      <c r="AV1146" s="14" t="s">
        <v>77</v>
      </c>
      <c r="AW1146" s="14" t="s">
        <v>30</v>
      </c>
      <c r="AX1146" s="14" t="s">
        <v>68</v>
      </c>
      <c r="AY1146" s="95" t="s">
        <v>216</v>
      </c>
    </row>
    <row r="1147" spans="1:65" s="15" customFormat="1">
      <c r="A1147" s="324"/>
      <c r="B1147" s="325"/>
      <c r="C1147" s="324"/>
      <c r="D1147" s="315" t="s">
        <v>225</v>
      </c>
      <c r="E1147" s="326" t="s">
        <v>3</v>
      </c>
      <c r="F1147" s="327" t="s">
        <v>252</v>
      </c>
      <c r="G1147" s="324"/>
      <c r="H1147" s="328">
        <v>1103.261</v>
      </c>
      <c r="I1147" s="261"/>
      <c r="J1147" s="261"/>
      <c r="K1147" s="324"/>
      <c r="L1147" s="101"/>
      <c r="M1147" s="103"/>
      <c r="N1147" s="104"/>
      <c r="O1147" s="104"/>
      <c r="P1147" s="104"/>
      <c r="Q1147" s="104"/>
      <c r="R1147" s="104"/>
      <c r="S1147" s="104"/>
      <c r="T1147" s="105"/>
      <c r="AT1147" s="102" t="s">
        <v>225</v>
      </c>
      <c r="AU1147" s="102" t="s">
        <v>77</v>
      </c>
      <c r="AV1147" s="15" t="s">
        <v>100</v>
      </c>
      <c r="AW1147" s="15" t="s">
        <v>30</v>
      </c>
      <c r="AX1147" s="15" t="s">
        <v>68</v>
      </c>
      <c r="AY1147" s="102" t="s">
        <v>216</v>
      </c>
    </row>
    <row r="1148" spans="1:65" s="13" customFormat="1">
      <c r="A1148" s="313"/>
      <c r="B1148" s="314"/>
      <c r="C1148" s="313"/>
      <c r="D1148" s="315" t="s">
        <v>225</v>
      </c>
      <c r="E1148" s="316" t="s">
        <v>3</v>
      </c>
      <c r="F1148" s="317" t="s">
        <v>1621</v>
      </c>
      <c r="G1148" s="313"/>
      <c r="H1148" s="316" t="s">
        <v>3</v>
      </c>
      <c r="I1148" s="259"/>
      <c r="J1148" s="259"/>
      <c r="K1148" s="313"/>
      <c r="L1148" s="89"/>
      <c r="M1148" s="91"/>
      <c r="N1148" s="92"/>
      <c r="O1148" s="92"/>
      <c r="P1148" s="92"/>
      <c r="Q1148" s="92"/>
      <c r="R1148" s="92"/>
      <c r="S1148" s="92"/>
      <c r="T1148" s="93"/>
      <c r="AT1148" s="90" t="s">
        <v>225</v>
      </c>
      <c r="AU1148" s="90" t="s">
        <v>77</v>
      </c>
      <c r="AV1148" s="13" t="s">
        <v>75</v>
      </c>
      <c r="AW1148" s="13" t="s">
        <v>30</v>
      </c>
      <c r="AX1148" s="13" t="s">
        <v>68</v>
      </c>
      <c r="AY1148" s="90" t="s">
        <v>216</v>
      </c>
    </row>
    <row r="1149" spans="1:65" s="14" customFormat="1">
      <c r="A1149" s="318"/>
      <c r="B1149" s="319"/>
      <c r="C1149" s="318"/>
      <c r="D1149" s="315" t="s">
        <v>225</v>
      </c>
      <c r="E1149" s="320" t="s">
        <v>3</v>
      </c>
      <c r="F1149" s="321" t="s">
        <v>1622</v>
      </c>
      <c r="G1149" s="318"/>
      <c r="H1149" s="322">
        <v>105.65</v>
      </c>
      <c r="I1149" s="260"/>
      <c r="J1149" s="260"/>
      <c r="K1149" s="318"/>
      <c r="L1149" s="94"/>
      <c r="M1149" s="96"/>
      <c r="N1149" s="97"/>
      <c r="O1149" s="97"/>
      <c r="P1149" s="97"/>
      <c r="Q1149" s="97"/>
      <c r="R1149" s="97"/>
      <c r="S1149" s="97"/>
      <c r="T1149" s="98"/>
      <c r="AT1149" s="95" t="s">
        <v>225</v>
      </c>
      <c r="AU1149" s="95" t="s">
        <v>77</v>
      </c>
      <c r="AV1149" s="14" t="s">
        <v>77</v>
      </c>
      <c r="AW1149" s="14" t="s">
        <v>30</v>
      </c>
      <c r="AX1149" s="14" t="s">
        <v>68</v>
      </c>
      <c r="AY1149" s="95" t="s">
        <v>216</v>
      </c>
    </row>
    <row r="1150" spans="1:65" s="16" customFormat="1">
      <c r="A1150" s="329"/>
      <c r="B1150" s="330"/>
      <c r="C1150" s="329"/>
      <c r="D1150" s="315" t="s">
        <v>225</v>
      </c>
      <c r="E1150" s="331" t="s">
        <v>3</v>
      </c>
      <c r="F1150" s="332" t="s">
        <v>254</v>
      </c>
      <c r="G1150" s="329"/>
      <c r="H1150" s="333">
        <v>1208.9110000000001</v>
      </c>
      <c r="I1150" s="262"/>
      <c r="J1150" s="262"/>
      <c r="K1150" s="329"/>
      <c r="L1150" s="106"/>
      <c r="M1150" s="108"/>
      <c r="N1150" s="109"/>
      <c r="O1150" s="109"/>
      <c r="P1150" s="109"/>
      <c r="Q1150" s="109"/>
      <c r="R1150" s="109"/>
      <c r="S1150" s="109"/>
      <c r="T1150" s="110"/>
      <c r="AT1150" s="107" t="s">
        <v>225</v>
      </c>
      <c r="AU1150" s="107" t="s">
        <v>77</v>
      </c>
      <c r="AV1150" s="16" t="s">
        <v>223</v>
      </c>
      <c r="AW1150" s="16" t="s">
        <v>30</v>
      </c>
      <c r="AX1150" s="16" t="s">
        <v>75</v>
      </c>
      <c r="AY1150" s="107" t="s">
        <v>216</v>
      </c>
    </row>
    <row r="1151" spans="1:65" s="2" customFormat="1" ht="14.45" customHeight="1">
      <c r="A1151" s="269"/>
      <c r="B1151" s="270"/>
      <c r="C1151" s="308" t="s">
        <v>1623</v>
      </c>
      <c r="D1151" s="308" t="s">
        <v>218</v>
      </c>
      <c r="E1151" s="309" t="s">
        <v>1624</v>
      </c>
      <c r="F1151" s="310" t="s">
        <v>1625</v>
      </c>
      <c r="G1151" s="311" t="s">
        <v>286</v>
      </c>
      <c r="H1151" s="312">
        <v>144.80600000000001</v>
      </c>
      <c r="I1151" s="82">
        <v>0</v>
      </c>
      <c r="J1151" s="82">
        <f>ROUND(I1151*H1151,2)</f>
        <v>0</v>
      </c>
      <c r="K1151" s="310" t="s">
        <v>222</v>
      </c>
      <c r="L1151" s="24"/>
      <c r="M1151" s="83" t="s">
        <v>3</v>
      </c>
      <c r="N1151" s="84" t="s">
        <v>39</v>
      </c>
      <c r="O1151" s="85">
        <v>7.3999999999999996E-2</v>
      </c>
      <c r="P1151" s="85">
        <f>O1151*H1151</f>
        <v>10.715644000000001</v>
      </c>
      <c r="Q1151" s="85">
        <v>1E-3</v>
      </c>
      <c r="R1151" s="85">
        <f>Q1151*H1151</f>
        <v>0.14480600000000002</v>
      </c>
      <c r="S1151" s="85">
        <v>3.1E-4</v>
      </c>
      <c r="T1151" s="86">
        <f>S1151*H1151</f>
        <v>4.4889860000000004E-2</v>
      </c>
      <c r="U1151" s="23"/>
      <c r="V1151" s="23"/>
      <c r="W1151" s="23"/>
      <c r="X1151" s="23"/>
      <c r="Y1151" s="23"/>
      <c r="Z1151" s="23"/>
      <c r="AA1151" s="23"/>
      <c r="AB1151" s="23"/>
      <c r="AC1151" s="23"/>
      <c r="AD1151" s="23"/>
      <c r="AE1151" s="23"/>
      <c r="AR1151" s="87" t="s">
        <v>305</v>
      </c>
      <c r="AT1151" s="87" t="s">
        <v>218</v>
      </c>
      <c r="AU1151" s="87" t="s">
        <v>77</v>
      </c>
      <c r="AY1151" s="19" t="s">
        <v>216</v>
      </c>
      <c r="BE1151" s="88">
        <f>IF(N1151="základní",J1151,0)</f>
        <v>0</v>
      </c>
      <c r="BF1151" s="88">
        <f>IF(N1151="snížená",J1151,0)</f>
        <v>0</v>
      </c>
      <c r="BG1151" s="88">
        <f>IF(N1151="zákl. přenesená",J1151,0)</f>
        <v>0</v>
      </c>
      <c r="BH1151" s="88">
        <f>IF(N1151="sníž. přenesená",J1151,0)</f>
        <v>0</v>
      </c>
      <c r="BI1151" s="88">
        <f>IF(N1151="nulová",J1151,0)</f>
        <v>0</v>
      </c>
      <c r="BJ1151" s="19" t="s">
        <v>75</v>
      </c>
      <c r="BK1151" s="88">
        <f>ROUND(I1151*H1151,2)</f>
        <v>0</v>
      </c>
      <c r="BL1151" s="19" t="s">
        <v>305</v>
      </c>
      <c r="BM1151" s="87" t="s">
        <v>1626</v>
      </c>
    </row>
    <row r="1152" spans="1:65" s="2" customFormat="1" ht="29.25">
      <c r="A1152" s="269"/>
      <c r="B1152" s="270"/>
      <c r="C1152" s="269"/>
      <c r="D1152" s="315" t="s">
        <v>231</v>
      </c>
      <c r="E1152" s="269"/>
      <c r="F1152" s="323" t="s">
        <v>1627</v>
      </c>
      <c r="G1152" s="269"/>
      <c r="H1152" s="269"/>
      <c r="I1152" s="248"/>
      <c r="J1152" s="248"/>
      <c r="K1152" s="269"/>
      <c r="L1152" s="24"/>
      <c r="M1152" s="99"/>
      <c r="N1152" s="100"/>
      <c r="O1152" s="32"/>
      <c r="P1152" s="32"/>
      <c r="Q1152" s="32"/>
      <c r="R1152" s="32"/>
      <c r="S1152" s="32"/>
      <c r="T1152" s="33"/>
      <c r="U1152" s="23"/>
      <c r="V1152" s="23"/>
      <c r="W1152" s="23"/>
      <c r="X1152" s="23"/>
      <c r="Y1152" s="23"/>
      <c r="Z1152" s="23"/>
      <c r="AA1152" s="23"/>
      <c r="AB1152" s="23"/>
      <c r="AC1152" s="23"/>
      <c r="AD1152" s="23"/>
      <c r="AE1152" s="23"/>
      <c r="AT1152" s="19" t="s">
        <v>231</v>
      </c>
      <c r="AU1152" s="19" t="s">
        <v>77</v>
      </c>
    </row>
    <row r="1153" spans="1:65" s="13" customFormat="1">
      <c r="A1153" s="313"/>
      <c r="B1153" s="314"/>
      <c r="C1153" s="313"/>
      <c r="D1153" s="315" t="s">
        <v>225</v>
      </c>
      <c r="E1153" s="316" t="s">
        <v>3</v>
      </c>
      <c r="F1153" s="317" t="s">
        <v>304</v>
      </c>
      <c r="G1153" s="313"/>
      <c r="H1153" s="316" t="s">
        <v>3</v>
      </c>
      <c r="I1153" s="259"/>
      <c r="J1153" s="259"/>
      <c r="K1153" s="313"/>
      <c r="L1153" s="89"/>
      <c r="M1153" s="91"/>
      <c r="N1153" s="92"/>
      <c r="O1153" s="92"/>
      <c r="P1153" s="92"/>
      <c r="Q1153" s="92"/>
      <c r="R1153" s="92"/>
      <c r="S1153" s="92"/>
      <c r="T1153" s="93"/>
      <c r="AT1153" s="90" t="s">
        <v>225</v>
      </c>
      <c r="AU1153" s="90" t="s">
        <v>77</v>
      </c>
      <c r="AV1153" s="13" t="s">
        <v>75</v>
      </c>
      <c r="AW1153" s="13" t="s">
        <v>30</v>
      </c>
      <c r="AX1153" s="13" t="s">
        <v>68</v>
      </c>
      <c r="AY1153" s="90" t="s">
        <v>216</v>
      </c>
    </row>
    <row r="1154" spans="1:65" s="14" customFormat="1">
      <c r="A1154" s="318"/>
      <c r="B1154" s="319"/>
      <c r="C1154" s="318"/>
      <c r="D1154" s="315" t="s">
        <v>225</v>
      </c>
      <c r="E1154" s="320" t="s">
        <v>3</v>
      </c>
      <c r="F1154" s="321" t="s">
        <v>1628</v>
      </c>
      <c r="G1154" s="318"/>
      <c r="H1154" s="322">
        <v>144.80600000000001</v>
      </c>
      <c r="I1154" s="260"/>
      <c r="J1154" s="260"/>
      <c r="K1154" s="318"/>
      <c r="L1154" s="94"/>
      <c r="M1154" s="96"/>
      <c r="N1154" s="97"/>
      <c r="O1154" s="97"/>
      <c r="P1154" s="97"/>
      <c r="Q1154" s="97"/>
      <c r="R1154" s="97"/>
      <c r="S1154" s="97"/>
      <c r="T1154" s="98"/>
      <c r="AT1154" s="95" t="s">
        <v>225</v>
      </c>
      <c r="AU1154" s="95" t="s">
        <v>77</v>
      </c>
      <c r="AV1154" s="14" t="s">
        <v>77</v>
      </c>
      <c r="AW1154" s="14" t="s">
        <v>30</v>
      </c>
      <c r="AX1154" s="14" t="s">
        <v>75</v>
      </c>
      <c r="AY1154" s="95" t="s">
        <v>216</v>
      </c>
    </row>
    <row r="1155" spans="1:65" s="2" customFormat="1" ht="14.45" customHeight="1">
      <c r="A1155" s="269"/>
      <c r="B1155" s="270"/>
      <c r="C1155" s="308" t="s">
        <v>1629</v>
      </c>
      <c r="D1155" s="308" t="s">
        <v>218</v>
      </c>
      <c r="E1155" s="309" t="s">
        <v>1630</v>
      </c>
      <c r="F1155" s="310" t="s">
        <v>1631</v>
      </c>
      <c r="G1155" s="311" t="s">
        <v>286</v>
      </c>
      <c r="H1155" s="312">
        <v>144.80600000000001</v>
      </c>
      <c r="I1155" s="82">
        <v>0</v>
      </c>
      <c r="J1155" s="82">
        <f>ROUND(I1155*H1155,2)</f>
        <v>0</v>
      </c>
      <c r="K1155" s="310" t="s">
        <v>222</v>
      </c>
      <c r="L1155" s="24"/>
      <c r="M1155" s="83" t="s">
        <v>3</v>
      </c>
      <c r="N1155" s="84" t="s">
        <v>39</v>
      </c>
      <c r="O1155" s="85">
        <v>3.6999999999999998E-2</v>
      </c>
      <c r="P1155" s="85">
        <f>O1155*H1155</f>
        <v>5.3578220000000005</v>
      </c>
      <c r="Q1155" s="85">
        <v>0</v>
      </c>
      <c r="R1155" s="85">
        <f>Q1155*H1155</f>
        <v>0</v>
      </c>
      <c r="S1155" s="85">
        <v>0</v>
      </c>
      <c r="T1155" s="86">
        <f>S1155*H1155</f>
        <v>0</v>
      </c>
      <c r="U1155" s="23"/>
      <c r="V1155" s="23"/>
      <c r="W1155" s="23"/>
      <c r="X1155" s="23"/>
      <c r="Y1155" s="23"/>
      <c r="Z1155" s="23"/>
      <c r="AA1155" s="23"/>
      <c r="AB1155" s="23"/>
      <c r="AC1155" s="23"/>
      <c r="AD1155" s="23"/>
      <c r="AE1155" s="23"/>
      <c r="AR1155" s="87" t="s">
        <v>305</v>
      </c>
      <c r="AT1155" s="87" t="s">
        <v>218</v>
      </c>
      <c r="AU1155" s="87" t="s">
        <v>77</v>
      </c>
      <c r="AY1155" s="19" t="s">
        <v>216</v>
      </c>
      <c r="BE1155" s="88">
        <f>IF(N1155="základní",J1155,0)</f>
        <v>0</v>
      </c>
      <c r="BF1155" s="88">
        <f>IF(N1155="snížená",J1155,0)</f>
        <v>0</v>
      </c>
      <c r="BG1155" s="88">
        <f>IF(N1155="zákl. přenesená",J1155,0)</f>
        <v>0</v>
      </c>
      <c r="BH1155" s="88">
        <f>IF(N1155="sníž. přenesená",J1155,0)</f>
        <v>0</v>
      </c>
      <c r="BI1155" s="88">
        <f>IF(N1155="nulová",J1155,0)</f>
        <v>0</v>
      </c>
      <c r="BJ1155" s="19" t="s">
        <v>75</v>
      </c>
      <c r="BK1155" s="88">
        <f>ROUND(I1155*H1155,2)</f>
        <v>0</v>
      </c>
      <c r="BL1155" s="19" t="s">
        <v>305</v>
      </c>
      <c r="BM1155" s="87" t="s">
        <v>1632</v>
      </c>
    </row>
    <row r="1156" spans="1:65" s="2" customFormat="1" ht="14.45" customHeight="1">
      <c r="A1156" s="269"/>
      <c r="B1156" s="270"/>
      <c r="C1156" s="308" t="s">
        <v>1633</v>
      </c>
      <c r="D1156" s="308" t="s">
        <v>218</v>
      </c>
      <c r="E1156" s="309" t="s">
        <v>1634</v>
      </c>
      <c r="F1156" s="310" t="s">
        <v>1635</v>
      </c>
      <c r="G1156" s="311" t="s">
        <v>286</v>
      </c>
      <c r="H1156" s="312">
        <v>1103.261</v>
      </c>
      <c r="I1156" s="82">
        <v>0</v>
      </c>
      <c r="J1156" s="82">
        <f>ROUND(I1156*H1156,2)</f>
        <v>0</v>
      </c>
      <c r="K1156" s="310" t="s">
        <v>222</v>
      </c>
      <c r="L1156" s="24"/>
      <c r="M1156" s="83" t="s">
        <v>3</v>
      </c>
      <c r="N1156" s="84" t="s">
        <v>39</v>
      </c>
      <c r="O1156" s="85">
        <v>3.3000000000000002E-2</v>
      </c>
      <c r="P1156" s="85">
        <f>O1156*H1156</f>
        <v>36.407612999999998</v>
      </c>
      <c r="Q1156" s="85">
        <v>2.0000000000000001E-4</v>
      </c>
      <c r="R1156" s="85">
        <f>Q1156*H1156</f>
        <v>0.22065219999999999</v>
      </c>
      <c r="S1156" s="85">
        <v>0</v>
      </c>
      <c r="T1156" s="86">
        <f>S1156*H1156</f>
        <v>0</v>
      </c>
      <c r="U1156" s="23"/>
      <c r="V1156" s="23"/>
      <c r="W1156" s="23"/>
      <c r="X1156" s="23"/>
      <c r="Y1156" s="23"/>
      <c r="Z1156" s="23"/>
      <c r="AA1156" s="23"/>
      <c r="AB1156" s="23"/>
      <c r="AC1156" s="23"/>
      <c r="AD1156" s="23"/>
      <c r="AE1156" s="23"/>
      <c r="AR1156" s="87" t="s">
        <v>305</v>
      </c>
      <c r="AT1156" s="87" t="s">
        <v>218</v>
      </c>
      <c r="AU1156" s="87" t="s">
        <v>77</v>
      </c>
      <c r="AY1156" s="19" t="s">
        <v>216</v>
      </c>
      <c r="BE1156" s="88">
        <f>IF(N1156="základní",J1156,0)</f>
        <v>0</v>
      </c>
      <c r="BF1156" s="88">
        <f>IF(N1156="snížená",J1156,0)</f>
        <v>0</v>
      </c>
      <c r="BG1156" s="88">
        <f>IF(N1156="zákl. přenesená",J1156,0)</f>
        <v>0</v>
      </c>
      <c r="BH1156" s="88">
        <f>IF(N1156="sníž. přenesená",J1156,0)</f>
        <v>0</v>
      </c>
      <c r="BI1156" s="88">
        <f>IF(N1156="nulová",J1156,0)</f>
        <v>0</v>
      </c>
      <c r="BJ1156" s="19" t="s">
        <v>75</v>
      </c>
      <c r="BK1156" s="88">
        <f>ROUND(I1156*H1156,2)</f>
        <v>0</v>
      </c>
      <c r="BL1156" s="19" t="s">
        <v>305</v>
      </c>
      <c r="BM1156" s="87" t="s">
        <v>1636</v>
      </c>
    </row>
    <row r="1157" spans="1:65" s="13" customFormat="1">
      <c r="A1157" s="313"/>
      <c r="B1157" s="314"/>
      <c r="C1157" s="313"/>
      <c r="D1157" s="315" t="s">
        <v>225</v>
      </c>
      <c r="E1157" s="316" t="s">
        <v>3</v>
      </c>
      <c r="F1157" s="317" t="s">
        <v>304</v>
      </c>
      <c r="G1157" s="313"/>
      <c r="H1157" s="316" t="s">
        <v>3</v>
      </c>
      <c r="I1157" s="259"/>
      <c r="J1157" s="259"/>
      <c r="K1157" s="313"/>
      <c r="L1157" s="89"/>
      <c r="M1157" s="91"/>
      <c r="N1157" s="92"/>
      <c r="O1157" s="92"/>
      <c r="P1157" s="92"/>
      <c r="Q1157" s="92"/>
      <c r="R1157" s="92"/>
      <c r="S1157" s="92"/>
      <c r="T1157" s="93"/>
      <c r="AT1157" s="90" t="s">
        <v>225</v>
      </c>
      <c r="AU1157" s="90" t="s">
        <v>77</v>
      </c>
      <c r="AV1157" s="13" t="s">
        <v>75</v>
      </c>
      <c r="AW1157" s="13" t="s">
        <v>30</v>
      </c>
      <c r="AX1157" s="13" t="s">
        <v>68</v>
      </c>
      <c r="AY1157" s="90" t="s">
        <v>216</v>
      </c>
    </row>
    <row r="1158" spans="1:65" s="14" customFormat="1">
      <c r="A1158" s="318"/>
      <c r="B1158" s="319"/>
      <c r="C1158" s="318"/>
      <c r="D1158" s="315" t="s">
        <v>225</v>
      </c>
      <c r="E1158" s="320" t="s">
        <v>3</v>
      </c>
      <c r="F1158" s="321" t="s">
        <v>415</v>
      </c>
      <c r="G1158" s="318"/>
      <c r="H1158" s="322">
        <v>53.75</v>
      </c>
      <c r="I1158" s="260"/>
      <c r="J1158" s="260"/>
      <c r="K1158" s="318"/>
      <c r="L1158" s="94"/>
      <c r="M1158" s="96"/>
      <c r="N1158" s="97"/>
      <c r="O1158" s="97"/>
      <c r="P1158" s="97"/>
      <c r="Q1158" s="97"/>
      <c r="R1158" s="97"/>
      <c r="S1158" s="97"/>
      <c r="T1158" s="98"/>
      <c r="AT1158" s="95" t="s">
        <v>225</v>
      </c>
      <c r="AU1158" s="95" t="s">
        <v>77</v>
      </c>
      <c r="AV1158" s="14" t="s">
        <v>77</v>
      </c>
      <c r="AW1158" s="14" t="s">
        <v>30</v>
      </c>
      <c r="AX1158" s="14" t="s">
        <v>68</v>
      </c>
      <c r="AY1158" s="95" t="s">
        <v>216</v>
      </c>
    </row>
    <row r="1159" spans="1:65" s="14" customFormat="1">
      <c r="A1159" s="318"/>
      <c r="B1159" s="319"/>
      <c r="C1159" s="318"/>
      <c r="D1159" s="315" t="s">
        <v>225</v>
      </c>
      <c r="E1159" s="320" t="s">
        <v>3</v>
      </c>
      <c r="F1159" s="321" t="s">
        <v>409</v>
      </c>
      <c r="G1159" s="318"/>
      <c r="H1159" s="322">
        <v>266.56</v>
      </c>
      <c r="I1159" s="260"/>
      <c r="J1159" s="260"/>
      <c r="K1159" s="318"/>
      <c r="L1159" s="94"/>
      <c r="M1159" s="96"/>
      <c r="N1159" s="97"/>
      <c r="O1159" s="97"/>
      <c r="P1159" s="97"/>
      <c r="Q1159" s="97"/>
      <c r="R1159" s="97"/>
      <c r="S1159" s="97"/>
      <c r="T1159" s="98"/>
      <c r="AT1159" s="95" t="s">
        <v>225</v>
      </c>
      <c r="AU1159" s="95" t="s">
        <v>77</v>
      </c>
      <c r="AV1159" s="14" t="s">
        <v>77</v>
      </c>
      <c r="AW1159" s="14" t="s">
        <v>30</v>
      </c>
      <c r="AX1159" s="14" t="s">
        <v>68</v>
      </c>
      <c r="AY1159" s="95" t="s">
        <v>216</v>
      </c>
    </row>
    <row r="1160" spans="1:65" s="14" customFormat="1">
      <c r="A1160" s="318"/>
      <c r="B1160" s="319"/>
      <c r="C1160" s="318"/>
      <c r="D1160" s="315" t="s">
        <v>225</v>
      </c>
      <c r="E1160" s="320" t="s">
        <v>3</v>
      </c>
      <c r="F1160" s="321" t="s">
        <v>1620</v>
      </c>
      <c r="G1160" s="318"/>
      <c r="H1160" s="322">
        <v>782.95100000000002</v>
      </c>
      <c r="I1160" s="260"/>
      <c r="J1160" s="260"/>
      <c r="K1160" s="318"/>
      <c r="L1160" s="94"/>
      <c r="M1160" s="96"/>
      <c r="N1160" s="97"/>
      <c r="O1160" s="97"/>
      <c r="P1160" s="97"/>
      <c r="Q1160" s="97"/>
      <c r="R1160" s="97"/>
      <c r="S1160" s="97"/>
      <c r="T1160" s="98"/>
      <c r="AT1160" s="95" t="s">
        <v>225</v>
      </c>
      <c r="AU1160" s="95" t="s">
        <v>77</v>
      </c>
      <c r="AV1160" s="14" t="s">
        <v>77</v>
      </c>
      <c r="AW1160" s="14" t="s">
        <v>30</v>
      </c>
      <c r="AX1160" s="14" t="s">
        <v>68</v>
      </c>
      <c r="AY1160" s="95" t="s">
        <v>216</v>
      </c>
    </row>
    <row r="1161" spans="1:65" s="16" customFormat="1">
      <c r="A1161" s="329"/>
      <c r="B1161" s="330"/>
      <c r="C1161" s="329"/>
      <c r="D1161" s="315" t="s">
        <v>225</v>
      </c>
      <c r="E1161" s="331" t="s">
        <v>3</v>
      </c>
      <c r="F1161" s="332" t="s">
        <v>254</v>
      </c>
      <c r="G1161" s="329"/>
      <c r="H1161" s="333">
        <v>1103.261</v>
      </c>
      <c r="I1161" s="262"/>
      <c r="J1161" s="262"/>
      <c r="K1161" s="329"/>
      <c r="L1161" s="106"/>
      <c r="M1161" s="108"/>
      <c r="N1161" s="109"/>
      <c r="O1161" s="109"/>
      <c r="P1161" s="109"/>
      <c r="Q1161" s="109"/>
      <c r="R1161" s="109"/>
      <c r="S1161" s="109"/>
      <c r="T1161" s="110"/>
      <c r="AT1161" s="107" t="s">
        <v>225</v>
      </c>
      <c r="AU1161" s="107" t="s">
        <v>77</v>
      </c>
      <c r="AV1161" s="16" t="s">
        <v>223</v>
      </c>
      <c r="AW1161" s="16" t="s">
        <v>30</v>
      </c>
      <c r="AX1161" s="16" t="s">
        <v>75</v>
      </c>
      <c r="AY1161" s="107" t="s">
        <v>216</v>
      </c>
    </row>
    <row r="1162" spans="1:65" s="2" customFormat="1" ht="21.6" customHeight="1">
      <c r="A1162" s="269"/>
      <c r="B1162" s="270"/>
      <c r="C1162" s="308" t="s">
        <v>1637</v>
      </c>
      <c r="D1162" s="308" t="s">
        <v>218</v>
      </c>
      <c r="E1162" s="309" t="s">
        <v>1638</v>
      </c>
      <c r="F1162" s="310" t="s">
        <v>1639</v>
      </c>
      <c r="G1162" s="311" t="s">
        <v>286</v>
      </c>
      <c r="H1162" s="312">
        <v>1208.9110000000001</v>
      </c>
      <c r="I1162" s="82">
        <v>0</v>
      </c>
      <c r="J1162" s="82">
        <f>ROUND(I1162*H1162,2)</f>
        <v>0</v>
      </c>
      <c r="K1162" s="310" t="s">
        <v>222</v>
      </c>
      <c r="L1162" s="24"/>
      <c r="M1162" s="83" t="s">
        <v>3</v>
      </c>
      <c r="N1162" s="84" t="s">
        <v>39</v>
      </c>
      <c r="O1162" s="85">
        <v>0.104</v>
      </c>
      <c r="P1162" s="85">
        <f>O1162*H1162</f>
        <v>125.726744</v>
      </c>
      <c r="Q1162" s="85">
        <v>2.5999999999999998E-4</v>
      </c>
      <c r="R1162" s="85">
        <f>Q1162*H1162</f>
        <v>0.31431685999999998</v>
      </c>
      <c r="S1162" s="85">
        <v>0</v>
      </c>
      <c r="T1162" s="86">
        <f>S1162*H1162</f>
        <v>0</v>
      </c>
      <c r="U1162" s="23"/>
      <c r="V1162" s="23"/>
      <c r="W1162" s="23"/>
      <c r="X1162" s="23"/>
      <c r="Y1162" s="23"/>
      <c r="Z1162" s="23"/>
      <c r="AA1162" s="23"/>
      <c r="AB1162" s="23"/>
      <c r="AC1162" s="23"/>
      <c r="AD1162" s="23"/>
      <c r="AE1162" s="23"/>
      <c r="AR1162" s="87" t="s">
        <v>305</v>
      </c>
      <c r="AT1162" s="87" t="s">
        <v>218</v>
      </c>
      <c r="AU1162" s="87" t="s">
        <v>77</v>
      </c>
      <c r="AY1162" s="19" t="s">
        <v>216</v>
      </c>
      <c r="BE1162" s="88">
        <f>IF(N1162="základní",J1162,0)</f>
        <v>0</v>
      </c>
      <c r="BF1162" s="88">
        <f>IF(N1162="snížená",J1162,0)</f>
        <v>0</v>
      </c>
      <c r="BG1162" s="88">
        <f>IF(N1162="zákl. přenesená",J1162,0)</f>
        <v>0</v>
      </c>
      <c r="BH1162" s="88">
        <f>IF(N1162="sníž. přenesená",J1162,0)</f>
        <v>0</v>
      </c>
      <c r="BI1162" s="88">
        <f>IF(N1162="nulová",J1162,0)</f>
        <v>0</v>
      </c>
      <c r="BJ1162" s="19" t="s">
        <v>75</v>
      </c>
      <c r="BK1162" s="88">
        <f>ROUND(I1162*H1162,2)</f>
        <v>0</v>
      </c>
      <c r="BL1162" s="19" t="s">
        <v>305</v>
      </c>
      <c r="BM1162" s="87" t="s">
        <v>1640</v>
      </c>
    </row>
    <row r="1163" spans="1:65" s="13" customFormat="1">
      <c r="A1163" s="313"/>
      <c r="B1163" s="314"/>
      <c r="C1163" s="313"/>
      <c r="D1163" s="315" t="s">
        <v>225</v>
      </c>
      <c r="E1163" s="316" t="s">
        <v>3</v>
      </c>
      <c r="F1163" s="317" t="s">
        <v>304</v>
      </c>
      <c r="G1163" s="313"/>
      <c r="H1163" s="316" t="s">
        <v>3</v>
      </c>
      <c r="I1163" s="259"/>
      <c r="J1163" s="259"/>
      <c r="K1163" s="313"/>
      <c r="L1163" s="89"/>
      <c r="M1163" s="91"/>
      <c r="N1163" s="92"/>
      <c r="O1163" s="92"/>
      <c r="P1163" s="92"/>
      <c r="Q1163" s="92"/>
      <c r="R1163" s="92"/>
      <c r="S1163" s="92"/>
      <c r="T1163" s="93"/>
      <c r="AT1163" s="90" t="s">
        <v>225</v>
      </c>
      <c r="AU1163" s="90" t="s">
        <v>77</v>
      </c>
      <c r="AV1163" s="13" t="s">
        <v>75</v>
      </c>
      <c r="AW1163" s="13" t="s">
        <v>30</v>
      </c>
      <c r="AX1163" s="13" t="s">
        <v>68</v>
      </c>
      <c r="AY1163" s="90" t="s">
        <v>216</v>
      </c>
    </row>
    <row r="1164" spans="1:65" s="14" customFormat="1">
      <c r="A1164" s="318"/>
      <c r="B1164" s="319"/>
      <c r="C1164" s="318"/>
      <c r="D1164" s="315" t="s">
        <v>225</v>
      </c>
      <c r="E1164" s="320" t="s">
        <v>3</v>
      </c>
      <c r="F1164" s="321" t="s">
        <v>415</v>
      </c>
      <c r="G1164" s="318"/>
      <c r="H1164" s="322">
        <v>53.75</v>
      </c>
      <c r="I1164" s="260"/>
      <c r="J1164" s="260"/>
      <c r="K1164" s="318"/>
      <c r="L1164" s="94"/>
      <c r="M1164" s="96"/>
      <c r="N1164" s="97"/>
      <c r="O1164" s="97"/>
      <c r="P1164" s="97"/>
      <c r="Q1164" s="97"/>
      <c r="R1164" s="97"/>
      <c r="S1164" s="97"/>
      <c r="T1164" s="98"/>
      <c r="AT1164" s="95" t="s">
        <v>225</v>
      </c>
      <c r="AU1164" s="95" t="s">
        <v>77</v>
      </c>
      <c r="AV1164" s="14" t="s">
        <v>77</v>
      </c>
      <c r="AW1164" s="14" t="s">
        <v>30</v>
      </c>
      <c r="AX1164" s="14" t="s">
        <v>68</v>
      </c>
      <c r="AY1164" s="95" t="s">
        <v>216</v>
      </c>
    </row>
    <row r="1165" spans="1:65" s="14" customFormat="1">
      <c r="A1165" s="318"/>
      <c r="B1165" s="319"/>
      <c r="C1165" s="318"/>
      <c r="D1165" s="315" t="s">
        <v>225</v>
      </c>
      <c r="E1165" s="320" t="s">
        <v>3</v>
      </c>
      <c r="F1165" s="321" t="s">
        <v>409</v>
      </c>
      <c r="G1165" s="318"/>
      <c r="H1165" s="322">
        <v>266.56</v>
      </c>
      <c r="I1165" s="260"/>
      <c r="J1165" s="260"/>
      <c r="K1165" s="318"/>
      <c r="L1165" s="94"/>
      <c r="M1165" s="96"/>
      <c r="N1165" s="97"/>
      <c r="O1165" s="97"/>
      <c r="P1165" s="97"/>
      <c r="Q1165" s="97"/>
      <c r="R1165" s="97"/>
      <c r="S1165" s="97"/>
      <c r="T1165" s="98"/>
      <c r="AT1165" s="95" t="s">
        <v>225</v>
      </c>
      <c r="AU1165" s="95" t="s">
        <v>77</v>
      </c>
      <c r="AV1165" s="14" t="s">
        <v>77</v>
      </c>
      <c r="AW1165" s="14" t="s">
        <v>30</v>
      </c>
      <c r="AX1165" s="14" t="s">
        <v>68</v>
      </c>
      <c r="AY1165" s="95" t="s">
        <v>216</v>
      </c>
    </row>
    <row r="1166" spans="1:65" s="14" customFormat="1">
      <c r="A1166" s="318"/>
      <c r="B1166" s="319"/>
      <c r="C1166" s="318"/>
      <c r="D1166" s="315" t="s">
        <v>225</v>
      </c>
      <c r="E1166" s="320" t="s">
        <v>3</v>
      </c>
      <c r="F1166" s="321" t="s">
        <v>1620</v>
      </c>
      <c r="G1166" s="318"/>
      <c r="H1166" s="322">
        <v>782.95100000000002</v>
      </c>
      <c r="I1166" s="260"/>
      <c r="J1166" s="260"/>
      <c r="K1166" s="318"/>
      <c r="L1166" s="94"/>
      <c r="M1166" s="96"/>
      <c r="N1166" s="97"/>
      <c r="O1166" s="97"/>
      <c r="P1166" s="97"/>
      <c r="Q1166" s="97"/>
      <c r="R1166" s="97"/>
      <c r="S1166" s="97"/>
      <c r="T1166" s="98"/>
      <c r="AT1166" s="95" t="s">
        <v>225</v>
      </c>
      <c r="AU1166" s="95" t="s">
        <v>77</v>
      </c>
      <c r="AV1166" s="14" t="s">
        <v>77</v>
      </c>
      <c r="AW1166" s="14" t="s">
        <v>30</v>
      </c>
      <c r="AX1166" s="14" t="s">
        <v>68</v>
      </c>
      <c r="AY1166" s="95" t="s">
        <v>216</v>
      </c>
    </row>
    <row r="1167" spans="1:65" s="15" customFormat="1">
      <c r="A1167" s="324"/>
      <c r="B1167" s="325"/>
      <c r="C1167" s="324"/>
      <c r="D1167" s="315" t="s">
        <v>225</v>
      </c>
      <c r="E1167" s="326" t="s">
        <v>3</v>
      </c>
      <c r="F1167" s="327" t="s">
        <v>252</v>
      </c>
      <c r="G1167" s="324"/>
      <c r="H1167" s="328">
        <v>1103.261</v>
      </c>
      <c r="I1167" s="261"/>
      <c r="J1167" s="261"/>
      <c r="K1167" s="324"/>
      <c r="L1167" s="101"/>
      <c r="M1167" s="103"/>
      <c r="N1167" s="104"/>
      <c r="O1167" s="104"/>
      <c r="P1167" s="104"/>
      <c r="Q1167" s="104"/>
      <c r="R1167" s="104"/>
      <c r="S1167" s="104"/>
      <c r="T1167" s="105"/>
      <c r="AT1167" s="102" t="s">
        <v>225</v>
      </c>
      <c r="AU1167" s="102" t="s">
        <v>77</v>
      </c>
      <c r="AV1167" s="15" t="s">
        <v>100</v>
      </c>
      <c r="AW1167" s="15" t="s">
        <v>30</v>
      </c>
      <c r="AX1167" s="15" t="s">
        <v>68</v>
      </c>
      <c r="AY1167" s="102" t="s">
        <v>216</v>
      </c>
    </row>
    <row r="1168" spans="1:65" s="13" customFormat="1">
      <c r="A1168" s="313"/>
      <c r="B1168" s="314"/>
      <c r="C1168" s="313"/>
      <c r="D1168" s="315" t="s">
        <v>225</v>
      </c>
      <c r="E1168" s="316" t="s">
        <v>3</v>
      </c>
      <c r="F1168" s="317" t="s">
        <v>1621</v>
      </c>
      <c r="G1168" s="313"/>
      <c r="H1168" s="316" t="s">
        <v>3</v>
      </c>
      <c r="I1168" s="259"/>
      <c r="J1168" s="259"/>
      <c r="K1168" s="313"/>
      <c r="L1168" s="89"/>
      <c r="M1168" s="91"/>
      <c r="N1168" s="92"/>
      <c r="O1168" s="92"/>
      <c r="P1168" s="92"/>
      <c r="Q1168" s="92"/>
      <c r="R1168" s="92"/>
      <c r="S1168" s="92"/>
      <c r="T1168" s="93"/>
      <c r="AT1168" s="90" t="s">
        <v>225</v>
      </c>
      <c r="AU1168" s="90" t="s">
        <v>77</v>
      </c>
      <c r="AV1168" s="13" t="s">
        <v>75</v>
      </c>
      <c r="AW1168" s="13" t="s">
        <v>30</v>
      </c>
      <c r="AX1168" s="13" t="s">
        <v>68</v>
      </c>
      <c r="AY1168" s="90" t="s">
        <v>216</v>
      </c>
    </row>
    <row r="1169" spans="1:65" s="14" customFormat="1">
      <c r="A1169" s="318"/>
      <c r="B1169" s="319"/>
      <c r="C1169" s="318"/>
      <c r="D1169" s="315" t="s">
        <v>225</v>
      </c>
      <c r="E1169" s="320" t="s">
        <v>3</v>
      </c>
      <c r="F1169" s="321" t="s">
        <v>1622</v>
      </c>
      <c r="G1169" s="318"/>
      <c r="H1169" s="322">
        <v>105.65</v>
      </c>
      <c r="I1169" s="260"/>
      <c r="J1169" s="260"/>
      <c r="K1169" s="318"/>
      <c r="L1169" s="94"/>
      <c r="M1169" s="96"/>
      <c r="N1169" s="97"/>
      <c r="O1169" s="97"/>
      <c r="P1169" s="97"/>
      <c r="Q1169" s="97"/>
      <c r="R1169" s="97"/>
      <c r="S1169" s="97"/>
      <c r="T1169" s="98"/>
      <c r="AT1169" s="95" t="s">
        <v>225</v>
      </c>
      <c r="AU1169" s="95" t="s">
        <v>77</v>
      </c>
      <c r="AV1169" s="14" t="s">
        <v>77</v>
      </c>
      <c r="AW1169" s="14" t="s">
        <v>30</v>
      </c>
      <c r="AX1169" s="14" t="s">
        <v>68</v>
      </c>
      <c r="AY1169" s="95" t="s">
        <v>216</v>
      </c>
    </row>
    <row r="1170" spans="1:65" s="15" customFormat="1">
      <c r="A1170" s="324"/>
      <c r="B1170" s="325"/>
      <c r="C1170" s="324"/>
      <c r="D1170" s="315" t="s">
        <v>225</v>
      </c>
      <c r="E1170" s="326" t="s">
        <v>3</v>
      </c>
      <c r="F1170" s="327" t="s">
        <v>252</v>
      </c>
      <c r="G1170" s="324"/>
      <c r="H1170" s="328">
        <v>105.65</v>
      </c>
      <c r="I1170" s="261"/>
      <c r="J1170" s="261"/>
      <c r="K1170" s="324"/>
      <c r="L1170" s="101"/>
      <c r="M1170" s="103"/>
      <c r="N1170" s="104"/>
      <c r="O1170" s="104"/>
      <c r="P1170" s="104"/>
      <c r="Q1170" s="104"/>
      <c r="R1170" s="104"/>
      <c r="S1170" s="104"/>
      <c r="T1170" s="105"/>
      <c r="AT1170" s="102" t="s">
        <v>225</v>
      </c>
      <c r="AU1170" s="102" t="s">
        <v>77</v>
      </c>
      <c r="AV1170" s="15" t="s">
        <v>100</v>
      </c>
      <c r="AW1170" s="15" t="s">
        <v>30</v>
      </c>
      <c r="AX1170" s="15" t="s">
        <v>68</v>
      </c>
      <c r="AY1170" s="102" t="s">
        <v>216</v>
      </c>
    </row>
    <row r="1171" spans="1:65" s="16" customFormat="1">
      <c r="A1171" s="329"/>
      <c r="B1171" s="330"/>
      <c r="C1171" s="329"/>
      <c r="D1171" s="315" t="s">
        <v>225</v>
      </c>
      <c r="E1171" s="331" t="s">
        <v>3</v>
      </c>
      <c r="F1171" s="332" t="s">
        <v>254</v>
      </c>
      <c r="G1171" s="329"/>
      <c r="H1171" s="333">
        <v>1208.9110000000001</v>
      </c>
      <c r="I1171" s="262"/>
      <c r="J1171" s="262"/>
      <c r="K1171" s="329"/>
      <c r="L1171" s="106"/>
      <c r="M1171" s="108"/>
      <c r="N1171" s="109"/>
      <c r="O1171" s="109"/>
      <c r="P1171" s="109"/>
      <c r="Q1171" s="109"/>
      <c r="R1171" s="109"/>
      <c r="S1171" s="109"/>
      <c r="T1171" s="110"/>
      <c r="AT1171" s="107" t="s">
        <v>225</v>
      </c>
      <c r="AU1171" s="107" t="s">
        <v>77</v>
      </c>
      <c r="AV1171" s="16" t="s">
        <v>223</v>
      </c>
      <c r="AW1171" s="16" t="s">
        <v>30</v>
      </c>
      <c r="AX1171" s="16" t="s">
        <v>75</v>
      </c>
      <c r="AY1171" s="107" t="s">
        <v>216</v>
      </c>
    </row>
    <row r="1172" spans="1:65" s="2" customFormat="1" ht="21.6" customHeight="1">
      <c r="A1172" s="269"/>
      <c r="B1172" s="270"/>
      <c r="C1172" s="308" t="s">
        <v>1641</v>
      </c>
      <c r="D1172" s="308" t="s">
        <v>218</v>
      </c>
      <c r="E1172" s="309" t="s">
        <v>1642</v>
      </c>
      <c r="F1172" s="310" t="s">
        <v>1643</v>
      </c>
      <c r="G1172" s="311" t="s">
        <v>286</v>
      </c>
      <c r="H1172" s="312">
        <v>1208.9110000000001</v>
      </c>
      <c r="I1172" s="82">
        <v>0</v>
      </c>
      <c r="J1172" s="82">
        <f>ROUND(I1172*H1172,2)</f>
        <v>0</v>
      </c>
      <c r="K1172" s="310" t="s">
        <v>222</v>
      </c>
      <c r="L1172" s="24"/>
      <c r="M1172" s="83" t="s">
        <v>3</v>
      </c>
      <c r="N1172" s="84" t="s">
        <v>39</v>
      </c>
      <c r="O1172" s="85">
        <v>0</v>
      </c>
      <c r="P1172" s="85">
        <f>O1172*H1172</f>
        <v>0</v>
      </c>
      <c r="Q1172" s="85">
        <v>2.0000000000000002E-5</v>
      </c>
      <c r="R1172" s="85">
        <f>Q1172*H1172</f>
        <v>2.4178220000000004E-2</v>
      </c>
      <c r="S1172" s="85">
        <v>0</v>
      </c>
      <c r="T1172" s="86">
        <f>S1172*H1172</f>
        <v>0</v>
      </c>
      <c r="U1172" s="23"/>
      <c r="V1172" s="23"/>
      <c r="W1172" s="23"/>
      <c r="X1172" s="23"/>
      <c r="Y1172" s="23"/>
      <c r="Z1172" s="23"/>
      <c r="AA1172" s="23"/>
      <c r="AB1172" s="23"/>
      <c r="AC1172" s="23"/>
      <c r="AD1172" s="23"/>
      <c r="AE1172" s="23"/>
      <c r="AR1172" s="87" t="s">
        <v>305</v>
      </c>
      <c r="AT1172" s="87" t="s">
        <v>218</v>
      </c>
      <c r="AU1172" s="87" t="s">
        <v>77</v>
      </c>
      <c r="AY1172" s="19" t="s">
        <v>216</v>
      </c>
      <c r="BE1172" s="88">
        <f>IF(N1172="základní",J1172,0)</f>
        <v>0</v>
      </c>
      <c r="BF1172" s="88">
        <f>IF(N1172="snížená",J1172,0)</f>
        <v>0</v>
      </c>
      <c r="BG1172" s="88">
        <f>IF(N1172="zákl. přenesená",J1172,0)</f>
        <v>0</v>
      </c>
      <c r="BH1172" s="88">
        <f>IF(N1172="sníž. přenesená",J1172,0)</f>
        <v>0</v>
      </c>
      <c r="BI1172" s="88">
        <f>IF(N1172="nulová",J1172,0)</f>
        <v>0</v>
      </c>
      <c r="BJ1172" s="19" t="s">
        <v>75</v>
      </c>
      <c r="BK1172" s="88">
        <f>ROUND(I1172*H1172,2)</f>
        <v>0</v>
      </c>
      <c r="BL1172" s="19" t="s">
        <v>305</v>
      </c>
      <c r="BM1172" s="87" t="s">
        <v>1644</v>
      </c>
    </row>
    <row r="1173" spans="1:65" s="2" customFormat="1" ht="32.450000000000003" customHeight="1">
      <c r="A1173" s="269"/>
      <c r="B1173" s="270"/>
      <c r="C1173" s="308" t="s">
        <v>1645</v>
      </c>
      <c r="D1173" s="308" t="s">
        <v>218</v>
      </c>
      <c r="E1173" s="309" t="s">
        <v>1646</v>
      </c>
      <c r="F1173" s="310" t="s">
        <v>1647</v>
      </c>
      <c r="G1173" s="311" t="s">
        <v>286</v>
      </c>
      <c r="H1173" s="312">
        <v>100</v>
      </c>
      <c r="I1173" s="82">
        <v>0</v>
      </c>
      <c r="J1173" s="82">
        <f>ROUND(I1173*H1173,2)</f>
        <v>0</v>
      </c>
      <c r="K1173" s="310" t="s">
        <v>222</v>
      </c>
      <c r="L1173" s="24"/>
      <c r="M1173" s="83" t="s">
        <v>3</v>
      </c>
      <c r="N1173" s="84" t="s">
        <v>39</v>
      </c>
      <c r="O1173" s="85">
        <v>0</v>
      </c>
      <c r="P1173" s="85">
        <f>O1173*H1173</f>
        <v>0</v>
      </c>
      <c r="Q1173" s="85">
        <v>1.0000000000000001E-5</v>
      </c>
      <c r="R1173" s="85">
        <f>Q1173*H1173</f>
        <v>1E-3</v>
      </c>
      <c r="S1173" s="85">
        <v>0</v>
      </c>
      <c r="T1173" s="86">
        <f>S1173*H1173</f>
        <v>0</v>
      </c>
      <c r="U1173" s="23"/>
      <c r="V1173" s="23"/>
      <c r="W1173" s="23"/>
      <c r="X1173" s="23"/>
      <c r="Y1173" s="23"/>
      <c r="Z1173" s="23"/>
      <c r="AA1173" s="23"/>
      <c r="AB1173" s="23"/>
      <c r="AC1173" s="23"/>
      <c r="AD1173" s="23"/>
      <c r="AE1173" s="23"/>
      <c r="AR1173" s="87" t="s">
        <v>305</v>
      </c>
      <c r="AT1173" s="87" t="s">
        <v>218</v>
      </c>
      <c r="AU1173" s="87" t="s">
        <v>77</v>
      </c>
      <c r="AY1173" s="19" t="s">
        <v>216</v>
      </c>
      <c r="BE1173" s="88">
        <f>IF(N1173="základní",J1173,0)</f>
        <v>0</v>
      </c>
      <c r="BF1173" s="88">
        <f>IF(N1173="snížená",J1173,0)</f>
        <v>0</v>
      </c>
      <c r="BG1173" s="88">
        <f>IF(N1173="zákl. přenesená",J1173,0)</f>
        <v>0</v>
      </c>
      <c r="BH1173" s="88">
        <f>IF(N1173="sníž. přenesená",J1173,0)</f>
        <v>0</v>
      </c>
      <c r="BI1173" s="88">
        <f>IF(N1173="nulová",J1173,0)</f>
        <v>0</v>
      </c>
      <c r="BJ1173" s="19" t="s">
        <v>75</v>
      </c>
      <c r="BK1173" s="88">
        <f>ROUND(I1173*H1173,2)</f>
        <v>0</v>
      </c>
      <c r="BL1173" s="19" t="s">
        <v>305</v>
      </c>
      <c r="BM1173" s="87" t="s">
        <v>1648</v>
      </c>
    </row>
    <row r="1174" spans="1:65" s="12" customFormat="1" ht="22.9" customHeight="1">
      <c r="A1174" s="303"/>
      <c r="B1174" s="304"/>
      <c r="C1174" s="303"/>
      <c r="D1174" s="305" t="s">
        <v>67</v>
      </c>
      <c r="E1174" s="307" t="s">
        <v>1649</v>
      </c>
      <c r="F1174" s="307" t="s">
        <v>1650</v>
      </c>
      <c r="G1174" s="303"/>
      <c r="H1174" s="303"/>
      <c r="I1174" s="256"/>
      <c r="J1174" s="258">
        <f>BK1174</f>
        <v>0</v>
      </c>
      <c r="K1174" s="303"/>
      <c r="L1174" s="74"/>
      <c r="M1174" s="76"/>
      <c r="N1174" s="77"/>
      <c r="O1174" s="77"/>
      <c r="P1174" s="78">
        <f>P1175</f>
        <v>0</v>
      </c>
      <c r="Q1174" s="77"/>
      <c r="R1174" s="78">
        <f>R1175</f>
        <v>0</v>
      </c>
      <c r="S1174" s="77"/>
      <c r="T1174" s="79">
        <f>T1175</f>
        <v>0</v>
      </c>
      <c r="AR1174" s="75" t="s">
        <v>77</v>
      </c>
      <c r="AT1174" s="80" t="s">
        <v>67</v>
      </c>
      <c r="AU1174" s="80" t="s">
        <v>75</v>
      </c>
      <c r="AY1174" s="75" t="s">
        <v>216</v>
      </c>
      <c r="BK1174" s="81">
        <f>BK1175</f>
        <v>0</v>
      </c>
    </row>
    <row r="1175" spans="1:65" s="2" customFormat="1" ht="14.45" customHeight="1">
      <c r="A1175" s="269"/>
      <c r="B1175" s="270"/>
      <c r="C1175" s="308" t="s">
        <v>1651</v>
      </c>
      <c r="D1175" s="308" t="s">
        <v>218</v>
      </c>
      <c r="E1175" s="309" t="s">
        <v>1652</v>
      </c>
      <c r="F1175" s="310" t="s">
        <v>1653</v>
      </c>
      <c r="G1175" s="311" t="s">
        <v>291</v>
      </c>
      <c r="H1175" s="312">
        <v>10</v>
      </c>
      <c r="I1175" s="82">
        <v>0</v>
      </c>
      <c r="J1175" s="82">
        <f>ROUND(I1175*H1175,2)</f>
        <v>0</v>
      </c>
      <c r="K1175" s="310" t="s">
        <v>3</v>
      </c>
      <c r="L1175" s="24"/>
      <c r="M1175" s="83" t="s">
        <v>3</v>
      </c>
      <c r="N1175" s="84" t="s">
        <v>39</v>
      </c>
      <c r="O1175" s="85">
        <v>0</v>
      </c>
      <c r="P1175" s="85">
        <f>O1175*H1175</f>
        <v>0</v>
      </c>
      <c r="Q1175" s="85">
        <v>0</v>
      </c>
      <c r="R1175" s="85">
        <f>Q1175*H1175</f>
        <v>0</v>
      </c>
      <c r="S1175" s="85">
        <v>0</v>
      </c>
      <c r="T1175" s="86">
        <f>S1175*H1175</f>
        <v>0</v>
      </c>
      <c r="U1175" s="23"/>
      <c r="V1175" s="23"/>
      <c r="W1175" s="23"/>
      <c r="X1175" s="23"/>
      <c r="Y1175" s="23"/>
      <c r="Z1175" s="23"/>
      <c r="AA1175" s="23"/>
      <c r="AB1175" s="23"/>
      <c r="AC1175" s="23"/>
      <c r="AD1175" s="23"/>
      <c r="AE1175" s="23"/>
      <c r="AR1175" s="87" t="s">
        <v>305</v>
      </c>
      <c r="AT1175" s="87" t="s">
        <v>218</v>
      </c>
      <c r="AU1175" s="87" t="s">
        <v>77</v>
      </c>
      <c r="AY1175" s="19" t="s">
        <v>216</v>
      </c>
      <c r="BE1175" s="88">
        <f>IF(N1175="základní",J1175,0)</f>
        <v>0</v>
      </c>
      <c r="BF1175" s="88">
        <f>IF(N1175="snížená",J1175,0)</f>
        <v>0</v>
      </c>
      <c r="BG1175" s="88">
        <f>IF(N1175="zákl. přenesená",J1175,0)</f>
        <v>0</v>
      </c>
      <c r="BH1175" s="88">
        <f>IF(N1175="sníž. přenesená",J1175,0)</f>
        <v>0</v>
      </c>
      <c r="BI1175" s="88">
        <f>IF(N1175="nulová",J1175,0)</f>
        <v>0</v>
      </c>
      <c r="BJ1175" s="19" t="s">
        <v>75</v>
      </c>
      <c r="BK1175" s="88">
        <f>ROUND(I1175*H1175,2)</f>
        <v>0</v>
      </c>
      <c r="BL1175" s="19" t="s">
        <v>305</v>
      </c>
      <c r="BM1175" s="87" t="s">
        <v>1654</v>
      </c>
    </row>
    <row r="1176" spans="1:65" s="12" customFormat="1" ht="22.9" customHeight="1">
      <c r="A1176" s="303"/>
      <c r="B1176" s="304"/>
      <c r="C1176" s="303"/>
      <c r="D1176" s="305" t="s">
        <v>67</v>
      </c>
      <c r="E1176" s="307" t="s">
        <v>1655</v>
      </c>
      <c r="F1176" s="307" t="s">
        <v>1656</v>
      </c>
      <c r="G1176" s="303"/>
      <c r="H1176" s="303"/>
      <c r="I1176" s="256"/>
      <c r="J1176" s="258">
        <f>BK1176</f>
        <v>0</v>
      </c>
      <c r="K1176" s="303"/>
      <c r="L1176" s="74"/>
      <c r="M1176" s="76"/>
      <c r="N1176" s="77"/>
      <c r="O1176" s="77"/>
      <c r="P1176" s="78">
        <f>P1177</f>
        <v>0</v>
      </c>
      <c r="Q1176" s="77"/>
      <c r="R1176" s="78">
        <f>R1177</f>
        <v>0</v>
      </c>
      <c r="S1176" s="77"/>
      <c r="T1176" s="79">
        <f>T1177</f>
        <v>0</v>
      </c>
      <c r="AR1176" s="75" t="s">
        <v>77</v>
      </c>
      <c r="AT1176" s="80" t="s">
        <v>67</v>
      </c>
      <c r="AU1176" s="80" t="s">
        <v>75</v>
      </c>
      <c r="AY1176" s="75" t="s">
        <v>216</v>
      </c>
      <c r="BK1176" s="81">
        <f>BK1177</f>
        <v>0</v>
      </c>
    </row>
    <row r="1177" spans="1:65" s="2" customFormat="1" ht="21.6" customHeight="1">
      <c r="A1177" s="269"/>
      <c r="B1177" s="270"/>
      <c r="C1177" s="308" t="s">
        <v>1657</v>
      </c>
      <c r="D1177" s="308" t="s">
        <v>218</v>
      </c>
      <c r="E1177" s="309" t="s">
        <v>1658</v>
      </c>
      <c r="F1177" s="310" t="s">
        <v>1659</v>
      </c>
      <c r="G1177" s="311" t="s">
        <v>933</v>
      </c>
      <c r="H1177" s="312">
        <v>16</v>
      </c>
      <c r="I1177" s="82">
        <v>0</v>
      </c>
      <c r="J1177" s="82">
        <f>ROUND(I1177*H1177,2)</f>
        <v>0</v>
      </c>
      <c r="K1177" s="310" t="s">
        <v>3</v>
      </c>
      <c r="L1177" s="24"/>
      <c r="M1177" s="83" t="s">
        <v>3</v>
      </c>
      <c r="N1177" s="84" t="s">
        <v>39</v>
      </c>
      <c r="O1177" s="85">
        <v>0</v>
      </c>
      <c r="P1177" s="85">
        <f>O1177*H1177</f>
        <v>0</v>
      </c>
      <c r="Q1177" s="85">
        <v>0</v>
      </c>
      <c r="R1177" s="85">
        <f>Q1177*H1177</f>
        <v>0</v>
      </c>
      <c r="S1177" s="85">
        <v>0</v>
      </c>
      <c r="T1177" s="86">
        <f>S1177*H1177</f>
        <v>0</v>
      </c>
      <c r="U1177" s="23"/>
      <c r="V1177" s="23"/>
      <c r="W1177" s="23"/>
      <c r="X1177" s="23"/>
      <c r="Y1177" s="23"/>
      <c r="Z1177" s="23"/>
      <c r="AA1177" s="23"/>
      <c r="AB1177" s="23"/>
      <c r="AC1177" s="23"/>
      <c r="AD1177" s="23"/>
      <c r="AE1177" s="23"/>
      <c r="AR1177" s="87" t="s">
        <v>305</v>
      </c>
      <c r="AT1177" s="87" t="s">
        <v>218</v>
      </c>
      <c r="AU1177" s="87" t="s">
        <v>77</v>
      </c>
      <c r="AY1177" s="19" t="s">
        <v>216</v>
      </c>
      <c r="BE1177" s="88">
        <f>IF(N1177="základní",J1177,0)</f>
        <v>0</v>
      </c>
      <c r="BF1177" s="88">
        <f>IF(N1177="snížená",J1177,0)</f>
        <v>0</v>
      </c>
      <c r="BG1177" s="88">
        <f>IF(N1177="zákl. přenesená",J1177,0)</f>
        <v>0</v>
      </c>
      <c r="BH1177" s="88">
        <f>IF(N1177="sníž. přenesená",J1177,0)</f>
        <v>0</v>
      </c>
      <c r="BI1177" s="88">
        <f>IF(N1177="nulová",J1177,0)</f>
        <v>0</v>
      </c>
      <c r="BJ1177" s="19" t="s">
        <v>75</v>
      </c>
      <c r="BK1177" s="88">
        <f>ROUND(I1177*H1177,2)</f>
        <v>0</v>
      </c>
      <c r="BL1177" s="19" t="s">
        <v>305</v>
      </c>
      <c r="BM1177" s="87" t="s">
        <v>1660</v>
      </c>
    </row>
    <row r="1178" spans="1:65" s="12" customFormat="1" ht="22.9" customHeight="1">
      <c r="A1178" s="303"/>
      <c r="B1178" s="304"/>
      <c r="C1178" s="303"/>
      <c r="D1178" s="305" t="s">
        <v>67</v>
      </c>
      <c r="E1178" s="307" t="s">
        <v>1661</v>
      </c>
      <c r="F1178" s="307" t="s">
        <v>1662</v>
      </c>
      <c r="G1178" s="303"/>
      <c r="H1178" s="303"/>
      <c r="I1178" s="256"/>
      <c r="J1178" s="258">
        <f>BK1178</f>
        <v>0</v>
      </c>
      <c r="K1178" s="303"/>
      <c r="L1178" s="74"/>
      <c r="M1178" s="76"/>
      <c r="N1178" s="77"/>
      <c r="O1178" s="77"/>
      <c r="P1178" s="78">
        <f>SUM(P1179:P1191)</f>
        <v>0</v>
      </c>
      <c r="Q1178" s="77"/>
      <c r="R1178" s="78">
        <f>SUM(R1179:R1191)</f>
        <v>0</v>
      </c>
      <c r="S1178" s="77"/>
      <c r="T1178" s="79">
        <f>SUM(T1179:T1191)</f>
        <v>0</v>
      </c>
      <c r="AR1178" s="75" t="s">
        <v>77</v>
      </c>
      <c r="AT1178" s="80" t="s">
        <v>67</v>
      </c>
      <c r="AU1178" s="80" t="s">
        <v>75</v>
      </c>
      <c r="AY1178" s="75" t="s">
        <v>216</v>
      </c>
      <c r="BK1178" s="81">
        <f>SUM(BK1179:BK1191)</f>
        <v>0</v>
      </c>
    </row>
    <row r="1179" spans="1:65" s="2" customFormat="1" ht="21.6" customHeight="1">
      <c r="A1179" s="269"/>
      <c r="B1179" s="270"/>
      <c r="C1179" s="308" t="s">
        <v>1663</v>
      </c>
      <c r="D1179" s="308" t="s">
        <v>218</v>
      </c>
      <c r="E1179" s="309" t="s">
        <v>1664</v>
      </c>
      <c r="F1179" s="310" t="s">
        <v>1665</v>
      </c>
      <c r="G1179" s="311" t="s">
        <v>933</v>
      </c>
      <c r="H1179" s="312">
        <v>4</v>
      </c>
      <c r="I1179" s="82">
        <v>0</v>
      </c>
      <c r="J1179" s="82">
        <f t="shared" ref="J1179:J1191" si="20">ROUND(I1179*H1179,2)</f>
        <v>0</v>
      </c>
      <c r="K1179" s="310" t="s">
        <v>3</v>
      </c>
      <c r="L1179" s="24"/>
      <c r="M1179" s="83" t="s">
        <v>3</v>
      </c>
      <c r="N1179" s="84" t="s">
        <v>39</v>
      </c>
      <c r="O1179" s="85">
        <v>0</v>
      </c>
      <c r="P1179" s="85">
        <f t="shared" ref="P1179:P1191" si="21">O1179*H1179</f>
        <v>0</v>
      </c>
      <c r="Q1179" s="85">
        <v>0</v>
      </c>
      <c r="R1179" s="85">
        <f t="shared" ref="R1179:R1191" si="22">Q1179*H1179</f>
        <v>0</v>
      </c>
      <c r="S1179" s="85">
        <v>0</v>
      </c>
      <c r="T1179" s="86">
        <f t="shared" ref="T1179:T1191" si="23">S1179*H1179</f>
        <v>0</v>
      </c>
      <c r="U1179" s="23"/>
      <c r="V1179" s="23"/>
      <c r="W1179" s="23"/>
      <c r="X1179" s="23"/>
      <c r="Y1179" s="23"/>
      <c r="Z1179" s="23"/>
      <c r="AA1179" s="23"/>
      <c r="AB1179" s="23"/>
      <c r="AC1179" s="23"/>
      <c r="AD1179" s="23"/>
      <c r="AE1179" s="23"/>
      <c r="AR1179" s="87" t="s">
        <v>305</v>
      </c>
      <c r="AT1179" s="87" t="s">
        <v>218</v>
      </c>
      <c r="AU1179" s="87" t="s">
        <v>77</v>
      </c>
      <c r="AY1179" s="19" t="s">
        <v>216</v>
      </c>
      <c r="BE1179" s="88">
        <f t="shared" ref="BE1179:BE1191" si="24">IF(N1179="základní",J1179,0)</f>
        <v>0</v>
      </c>
      <c r="BF1179" s="88">
        <f t="shared" ref="BF1179:BF1191" si="25">IF(N1179="snížená",J1179,0)</f>
        <v>0</v>
      </c>
      <c r="BG1179" s="88">
        <f t="shared" ref="BG1179:BG1191" si="26">IF(N1179="zákl. přenesená",J1179,0)</f>
        <v>0</v>
      </c>
      <c r="BH1179" s="88">
        <f t="shared" ref="BH1179:BH1191" si="27">IF(N1179="sníž. přenesená",J1179,0)</f>
        <v>0</v>
      </c>
      <c r="BI1179" s="88">
        <f t="shared" ref="BI1179:BI1191" si="28">IF(N1179="nulová",J1179,0)</f>
        <v>0</v>
      </c>
      <c r="BJ1179" s="19" t="s">
        <v>75</v>
      </c>
      <c r="BK1179" s="88">
        <f t="shared" ref="BK1179:BK1191" si="29">ROUND(I1179*H1179,2)</f>
        <v>0</v>
      </c>
      <c r="BL1179" s="19" t="s">
        <v>305</v>
      </c>
      <c r="BM1179" s="87" t="s">
        <v>1666</v>
      </c>
    </row>
    <row r="1180" spans="1:65" s="2" customFormat="1" ht="21.6" customHeight="1">
      <c r="A1180" s="269"/>
      <c r="B1180" s="270"/>
      <c r="C1180" s="308" t="s">
        <v>1667</v>
      </c>
      <c r="D1180" s="308" t="s">
        <v>218</v>
      </c>
      <c r="E1180" s="309" t="s">
        <v>1668</v>
      </c>
      <c r="F1180" s="310" t="s">
        <v>1669</v>
      </c>
      <c r="G1180" s="311" t="s">
        <v>291</v>
      </c>
      <c r="H1180" s="312">
        <v>18</v>
      </c>
      <c r="I1180" s="82">
        <v>0</v>
      </c>
      <c r="J1180" s="82">
        <f t="shared" si="20"/>
        <v>0</v>
      </c>
      <c r="K1180" s="310" t="s">
        <v>3</v>
      </c>
      <c r="L1180" s="24"/>
      <c r="M1180" s="83" t="s">
        <v>3</v>
      </c>
      <c r="N1180" s="84" t="s">
        <v>39</v>
      </c>
      <c r="O1180" s="85">
        <v>0</v>
      </c>
      <c r="P1180" s="85">
        <f t="shared" si="21"/>
        <v>0</v>
      </c>
      <c r="Q1180" s="85">
        <v>0</v>
      </c>
      <c r="R1180" s="85">
        <f t="shared" si="22"/>
        <v>0</v>
      </c>
      <c r="S1180" s="85">
        <v>0</v>
      </c>
      <c r="T1180" s="86">
        <f t="shared" si="23"/>
        <v>0</v>
      </c>
      <c r="U1180" s="23"/>
      <c r="V1180" s="23"/>
      <c r="W1180" s="23"/>
      <c r="X1180" s="23"/>
      <c r="Y1180" s="23"/>
      <c r="Z1180" s="23"/>
      <c r="AA1180" s="23"/>
      <c r="AB1180" s="23"/>
      <c r="AC1180" s="23"/>
      <c r="AD1180" s="23"/>
      <c r="AE1180" s="23"/>
      <c r="AR1180" s="87" t="s">
        <v>305</v>
      </c>
      <c r="AT1180" s="87" t="s">
        <v>218</v>
      </c>
      <c r="AU1180" s="87" t="s">
        <v>77</v>
      </c>
      <c r="AY1180" s="19" t="s">
        <v>216</v>
      </c>
      <c r="BE1180" s="88">
        <f t="shared" si="24"/>
        <v>0</v>
      </c>
      <c r="BF1180" s="88">
        <f t="shared" si="25"/>
        <v>0</v>
      </c>
      <c r="BG1180" s="88">
        <f t="shared" si="26"/>
        <v>0</v>
      </c>
      <c r="BH1180" s="88">
        <f t="shared" si="27"/>
        <v>0</v>
      </c>
      <c r="BI1180" s="88">
        <f t="shared" si="28"/>
        <v>0</v>
      </c>
      <c r="BJ1180" s="19" t="s">
        <v>75</v>
      </c>
      <c r="BK1180" s="88">
        <f t="shared" si="29"/>
        <v>0</v>
      </c>
      <c r="BL1180" s="19" t="s">
        <v>305</v>
      </c>
      <c r="BM1180" s="87" t="s">
        <v>1670</v>
      </c>
    </row>
    <row r="1181" spans="1:65" s="2" customFormat="1" ht="21.6" customHeight="1">
      <c r="A1181" s="269"/>
      <c r="B1181" s="270"/>
      <c r="C1181" s="308" t="s">
        <v>1671</v>
      </c>
      <c r="D1181" s="308" t="s">
        <v>218</v>
      </c>
      <c r="E1181" s="309" t="s">
        <v>1672</v>
      </c>
      <c r="F1181" s="310" t="s">
        <v>1673</v>
      </c>
      <c r="G1181" s="311" t="s">
        <v>291</v>
      </c>
      <c r="H1181" s="312">
        <v>3</v>
      </c>
      <c r="I1181" s="82">
        <v>0</v>
      </c>
      <c r="J1181" s="82">
        <f t="shared" si="20"/>
        <v>0</v>
      </c>
      <c r="K1181" s="310" t="s">
        <v>3</v>
      </c>
      <c r="L1181" s="24"/>
      <c r="M1181" s="83" t="s">
        <v>3</v>
      </c>
      <c r="N1181" s="84" t="s">
        <v>39</v>
      </c>
      <c r="O1181" s="85">
        <v>0</v>
      </c>
      <c r="P1181" s="85">
        <f t="shared" si="21"/>
        <v>0</v>
      </c>
      <c r="Q1181" s="85">
        <v>0</v>
      </c>
      <c r="R1181" s="85">
        <f t="shared" si="22"/>
        <v>0</v>
      </c>
      <c r="S1181" s="85">
        <v>0</v>
      </c>
      <c r="T1181" s="86">
        <f t="shared" si="23"/>
        <v>0</v>
      </c>
      <c r="U1181" s="23"/>
      <c r="V1181" s="23"/>
      <c r="W1181" s="23"/>
      <c r="X1181" s="23"/>
      <c r="Y1181" s="23"/>
      <c r="Z1181" s="23"/>
      <c r="AA1181" s="23"/>
      <c r="AB1181" s="23"/>
      <c r="AC1181" s="23"/>
      <c r="AD1181" s="23"/>
      <c r="AE1181" s="23"/>
      <c r="AR1181" s="87" t="s">
        <v>305</v>
      </c>
      <c r="AT1181" s="87" t="s">
        <v>218</v>
      </c>
      <c r="AU1181" s="87" t="s">
        <v>77</v>
      </c>
      <c r="AY1181" s="19" t="s">
        <v>216</v>
      </c>
      <c r="BE1181" s="88">
        <f t="shared" si="24"/>
        <v>0</v>
      </c>
      <c r="BF1181" s="88">
        <f t="shared" si="25"/>
        <v>0</v>
      </c>
      <c r="BG1181" s="88">
        <f t="shared" si="26"/>
        <v>0</v>
      </c>
      <c r="BH1181" s="88">
        <f t="shared" si="27"/>
        <v>0</v>
      </c>
      <c r="BI1181" s="88">
        <f t="shared" si="28"/>
        <v>0</v>
      </c>
      <c r="BJ1181" s="19" t="s">
        <v>75</v>
      </c>
      <c r="BK1181" s="88">
        <f t="shared" si="29"/>
        <v>0</v>
      </c>
      <c r="BL1181" s="19" t="s">
        <v>305</v>
      </c>
      <c r="BM1181" s="87" t="s">
        <v>1674</v>
      </c>
    </row>
    <row r="1182" spans="1:65" s="2" customFormat="1" ht="21.6" customHeight="1">
      <c r="A1182" s="269"/>
      <c r="B1182" s="270"/>
      <c r="C1182" s="308" t="s">
        <v>1675</v>
      </c>
      <c r="D1182" s="308" t="s">
        <v>218</v>
      </c>
      <c r="E1182" s="309" t="s">
        <v>1676</v>
      </c>
      <c r="F1182" s="310" t="s">
        <v>1677</v>
      </c>
      <c r="G1182" s="311" t="s">
        <v>291</v>
      </c>
      <c r="H1182" s="312">
        <v>5</v>
      </c>
      <c r="I1182" s="82">
        <v>0</v>
      </c>
      <c r="J1182" s="82">
        <f t="shared" si="20"/>
        <v>0</v>
      </c>
      <c r="K1182" s="310" t="s">
        <v>3</v>
      </c>
      <c r="L1182" s="24"/>
      <c r="M1182" s="83" t="s">
        <v>3</v>
      </c>
      <c r="N1182" s="84" t="s">
        <v>39</v>
      </c>
      <c r="O1182" s="85">
        <v>0</v>
      </c>
      <c r="P1182" s="85">
        <f t="shared" si="21"/>
        <v>0</v>
      </c>
      <c r="Q1182" s="85">
        <v>0</v>
      </c>
      <c r="R1182" s="85">
        <f t="shared" si="22"/>
        <v>0</v>
      </c>
      <c r="S1182" s="85">
        <v>0</v>
      </c>
      <c r="T1182" s="86">
        <f t="shared" si="23"/>
        <v>0</v>
      </c>
      <c r="U1182" s="23"/>
      <c r="V1182" s="23"/>
      <c r="W1182" s="23"/>
      <c r="X1182" s="23"/>
      <c r="Y1182" s="23"/>
      <c r="Z1182" s="23"/>
      <c r="AA1182" s="23"/>
      <c r="AB1182" s="23"/>
      <c r="AC1182" s="23"/>
      <c r="AD1182" s="23"/>
      <c r="AE1182" s="23"/>
      <c r="AR1182" s="87" t="s">
        <v>305</v>
      </c>
      <c r="AT1182" s="87" t="s">
        <v>218</v>
      </c>
      <c r="AU1182" s="87" t="s">
        <v>77</v>
      </c>
      <c r="AY1182" s="19" t="s">
        <v>216</v>
      </c>
      <c r="BE1182" s="88">
        <f t="shared" si="24"/>
        <v>0</v>
      </c>
      <c r="BF1182" s="88">
        <f t="shared" si="25"/>
        <v>0</v>
      </c>
      <c r="BG1182" s="88">
        <f t="shared" si="26"/>
        <v>0</v>
      </c>
      <c r="BH1182" s="88">
        <f t="shared" si="27"/>
        <v>0</v>
      </c>
      <c r="BI1182" s="88">
        <f t="shared" si="28"/>
        <v>0</v>
      </c>
      <c r="BJ1182" s="19" t="s">
        <v>75</v>
      </c>
      <c r="BK1182" s="88">
        <f t="shared" si="29"/>
        <v>0</v>
      </c>
      <c r="BL1182" s="19" t="s">
        <v>305</v>
      </c>
      <c r="BM1182" s="87" t="s">
        <v>1678</v>
      </c>
    </row>
    <row r="1183" spans="1:65" s="2" customFormat="1" ht="14.45" customHeight="1">
      <c r="A1183" s="269"/>
      <c r="B1183" s="270"/>
      <c r="C1183" s="308" t="s">
        <v>1679</v>
      </c>
      <c r="D1183" s="308" t="s">
        <v>218</v>
      </c>
      <c r="E1183" s="309" t="s">
        <v>1680</v>
      </c>
      <c r="F1183" s="310" t="s">
        <v>1681</v>
      </c>
      <c r="G1183" s="311" t="s">
        <v>291</v>
      </c>
      <c r="H1183" s="312">
        <v>1</v>
      </c>
      <c r="I1183" s="82">
        <v>0</v>
      </c>
      <c r="J1183" s="82">
        <f t="shared" si="20"/>
        <v>0</v>
      </c>
      <c r="K1183" s="310" t="s">
        <v>3</v>
      </c>
      <c r="L1183" s="24"/>
      <c r="M1183" s="83" t="s">
        <v>3</v>
      </c>
      <c r="N1183" s="84" t="s">
        <v>39</v>
      </c>
      <c r="O1183" s="85">
        <v>0</v>
      </c>
      <c r="P1183" s="85">
        <f t="shared" si="21"/>
        <v>0</v>
      </c>
      <c r="Q1183" s="85">
        <v>0</v>
      </c>
      <c r="R1183" s="85">
        <f t="shared" si="22"/>
        <v>0</v>
      </c>
      <c r="S1183" s="85">
        <v>0</v>
      </c>
      <c r="T1183" s="86">
        <f t="shared" si="23"/>
        <v>0</v>
      </c>
      <c r="U1183" s="23"/>
      <c r="V1183" s="23"/>
      <c r="W1183" s="23"/>
      <c r="X1183" s="23"/>
      <c r="Y1183" s="23"/>
      <c r="Z1183" s="23"/>
      <c r="AA1183" s="23"/>
      <c r="AB1183" s="23"/>
      <c r="AC1183" s="23"/>
      <c r="AD1183" s="23"/>
      <c r="AE1183" s="23"/>
      <c r="AR1183" s="87" t="s">
        <v>305</v>
      </c>
      <c r="AT1183" s="87" t="s">
        <v>218</v>
      </c>
      <c r="AU1183" s="87" t="s">
        <v>77</v>
      </c>
      <c r="AY1183" s="19" t="s">
        <v>216</v>
      </c>
      <c r="BE1183" s="88">
        <f t="shared" si="24"/>
        <v>0</v>
      </c>
      <c r="BF1183" s="88">
        <f t="shared" si="25"/>
        <v>0</v>
      </c>
      <c r="BG1183" s="88">
        <f t="shared" si="26"/>
        <v>0</v>
      </c>
      <c r="BH1183" s="88">
        <f t="shared" si="27"/>
        <v>0</v>
      </c>
      <c r="BI1183" s="88">
        <f t="shared" si="28"/>
        <v>0</v>
      </c>
      <c r="BJ1183" s="19" t="s">
        <v>75</v>
      </c>
      <c r="BK1183" s="88">
        <f t="shared" si="29"/>
        <v>0</v>
      </c>
      <c r="BL1183" s="19" t="s">
        <v>305</v>
      </c>
      <c r="BM1183" s="87" t="s">
        <v>1682</v>
      </c>
    </row>
    <row r="1184" spans="1:65" s="2" customFormat="1" ht="14.45" customHeight="1">
      <c r="A1184" s="269"/>
      <c r="B1184" s="270"/>
      <c r="C1184" s="308" t="s">
        <v>1683</v>
      </c>
      <c r="D1184" s="308" t="s">
        <v>218</v>
      </c>
      <c r="E1184" s="309" t="s">
        <v>1684</v>
      </c>
      <c r="F1184" s="310" t="s">
        <v>1685</v>
      </c>
      <c r="G1184" s="311" t="s">
        <v>291</v>
      </c>
      <c r="H1184" s="312">
        <v>1</v>
      </c>
      <c r="I1184" s="82">
        <v>0</v>
      </c>
      <c r="J1184" s="82">
        <f t="shared" si="20"/>
        <v>0</v>
      </c>
      <c r="K1184" s="310" t="s">
        <v>3</v>
      </c>
      <c r="L1184" s="24"/>
      <c r="M1184" s="83" t="s">
        <v>3</v>
      </c>
      <c r="N1184" s="84" t="s">
        <v>39</v>
      </c>
      <c r="O1184" s="85">
        <v>0</v>
      </c>
      <c r="P1184" s="85">
        <f t="shared" si="21"/>
        <v>0</v>
      </c>
      <c r="Q1184" s="85">
        <v>0</v>
      </c>
      <c r="R1184" s="85">
        <f t="shared" si="22"/>
        <v>0</v>
      </c>
      <c r="S1184" s="85">
        <v>0</v>
      </c>
      <c r="T1184" s="86">
        <f t="shared" si="23"/>
        <v>0</v>
      </c>
      <c r="U1184" s="23"/>
      <c r="V1184" s="23"/>
      <c r="W1184" s="23"/>
      <c r="X1184" s="23"/>
      <c r="Y1184" s="23"/>
      <c r="Z1184" s="23"/>
      <c r="AA1184" s="23"/>
      <c r="AB1184" s="23"/>
      <c r="AC1184" s="23"/>
      <c r="AD1184" s="23"/>
      <c r="AE1184" s="23"/>
      <c r="AR1184" s="87" t="s">
        <v>305</v>
      </c>
      <c r="AT1184" s="87" t="s">
        <v>218</v>
      </c>
      <c r="AU1184" s="87" t="s">
        <v>77</v>
      </c>
      <c r="AY1184" s="19" t="s">
        <v>216</v>
      </c>
      <c r="BE1184" s="88">
        <f t="shared" si="24"/>
        <v>0</v>
      </c>
      <c r="BF1184" s="88">
        <f t="shared" si="25"/>
        <v>0</v>
      </c>
      <c r="BG1184" s="88">
        <f t="shared" si="26"/>
        <v>0</v>
      </c>
      <c r="BH1184" s="88">
        <f t="shared" si="27"/>
        <v>0</v>
      </c>
      <c r="BI1184" s="88">
        <f t="shared" si="28"/>
        <v>0</v>
      </c>
      <c r="BJ1184" s="19" t="s">
        <v>75</v>
      </c>
      <c r="BK1184" s="88">
        <f t="shared" si="29"/>
        <v>0</v>
      </c>
      <c r="BL1184" s="19" t="s">
        <v>305</v>
      </c>
      <c r="BM1184" s="87" t="s">
        <v>1686</v>
      </c>
    </row>
    <row r="1185" spans="1:65" s="2" customFormat="1" ht="14.45" customHeight="1">
      <c r="A1185" s="269"/>
      <c r="B1185" s="270"/>
      <c r="C1185" s="308" t="s">
        <v>1687</v>
      </c>
      <c r="D1185" s="308" t="s">
        <v>218</v>
      </c>
      <c r="E1185" s="309" t="s">
        <v>1688</v>
      </c>
      <c r="F1185" s="310" t="s">
        <v>1689</v>
      </c>
      <c r="G1185" s="311" t="s">
        <v>291</v>
      </c>
      <c r="H1185" s="312">
        <v>10</v>
      </c>
      <c r="I1185" s="82">
        <v>0</v>
      </c>
      <c r="J1185" s="82">
        <f t="shared" si="20"/>
        <v>0</v>
      </c>
      <c r="K1185" s="310" t="s">
        <v>3</v>
      </c>
      <c r="L1185" s="24"/>
      <c r="M1185" s="83" t="s">
        <v>3</v>
      </c>
      <c r="N1185" s="84" t="s">
        <v>39</v>
      </c>
      <c r="O1185" s="85">
        <v>0</v>
      </c>
      <c r="P1185" s="85">
        <f t="shared" si="21"/>
        <v>0</v>
      </c>
      <c r="Q1185" s="85">
        <v>0</v>
      </c>
      <c r="R1185" s="85">
        <f t="shared" si="22"/>
        <v>0</v>
      </c>
      <c r="S1185" s="85">
        <v>0</v>
      </c>
      <c r="T1185" s="86">
        <f t="shared" si="23"/>
        <v>0</v>
      </c>
      <c r="U1185" s="23"/>
      <c r="V1185" s="23"/>
      <c r="W1185" s="23"/>
      <c r="X1185" s="23"/>
      <c r="Y1185" s="23"/>
      <c r="Z1185" s="23"/>
      <c r="AA1185" s="23"/>
      <c r="AB1185" s="23"/>
      <c r="AC1185" s="23"/>
      <c r="AD1185" s="23"/>
      <c r="AE1185" s="23"/>
      <c r="AR1185" s="87" t="s">
        <v>305</v>
      </c>
      <c r="AT1185" s="87" t="s">
        <v>218</v>
      </c>
      <c r="AU1185" s="87" t="s">
        <v>77</v>
      </c>
      <c r="AY1185" s="19" t="s">
        <v>216</v>
      </c>
      <c r="BE1185" s="88">
        <f t="shared" si="24"/>
        <v>0</v>
      </c>
      <c r="BF1185" s="88">
        <f t="shared" si="25"/>
        <v>0</v>
      </c>
      <c r="BG1185" s="88">
        <f t="shared" si="26"/>
        <v>0</v>
      </c>
      <c r="BH1185" s="88">
        <f t="shared" si="27"/>
        <v>0</v>
      </c>
      <c r="BI1185" s="88">
        <f t="shared" si="28"/>
        <v>0</v>
      </c>
      <c r="BJ1185" s="19" t="s">
        <v>75</v>
      </c>
      <c r="BK1185" s="88">
        <f t="shared" si="29"/>
        <v>0</v>
      </c>
      <c r="BL1185" s="19" t="s">
        <v>305</v>
      </c>
      <c r="BM1185" s="87" t="s">
        <v>1690</v>
      </c>
    </row>
    <row r="1186" spans="1:65" s="2" customFormat="1" ht="14.45" customHeight="1">
      <c r="A1186" s="269"/>
      <c r="B1186" s="270"/>
      <c r="C1186" s="308" t="s">
        <v>1691</v>
      </c>
      <c r="D1186" s="308" t="s">
        <v>218</v>
      </c>
      <c r="E1186" s="309" t="s">
        <v>1692</v>
      </c>
      <c r="F1186" s="310" t="s">
        <v>1693</v>
      </c>
      <c r="G1186" s="311" t="s">
        <v>291</v>
      </c>
      <c r="H1186" s="312">
        <v>10</v>
      </c>
      <c r="I1186" s="82">
        <v>0</v>
      </c>
      <c r="J1186" s="82">
        <f t="shared" si="20"/>
        <v>0</v>
      </c>
      <c r="K1186" s="310" t="s">
        <v>3</v>
      </c>
      <c r="L1186" s="24"/>
      <c r="M1186" s="83" t="s">
        <v>3</v>
      </c>
      <c r="N1186" s="84" t="s">
        <v>39</v>
      </c>
      <c r="O1186" s="85">
        <v>0</v>
      </c>
      <c r="P1186" s="85">
        <f t="shared" si="21"/>
        <v>0</v>
      </c>
      <c r="Q1186" s="85">
        <v>0</v>
      </c>
      <c r="R1186" s="85">
        <f t="shared" si="22"/>
        <v>0</v>
      </c>
      <c r="S1186" s="85">
        <v>0</v>
      </c>
      <c r="T1186" s="86">
        <f t="shared" si="23"/>
        <v>0</v>
      </c>
      <c r="U1186" s="23"/>
      <c r="V1186" s="23"/>
      <c r="W1186" s="23"/>
      <c r="X1186" s="23"/>
      <c r="Y1186" s="23"/>
      <c r="Z1186" s="23"/>
      <c r="AA1186" s="23"/>
      <c r="AB1186" s="23"/>
      <c r="AC1186" s="23"/>
      <c r="AD1186" s="23"/>
      <c r="AE1186" s="23"/>
      <c r="AR1186" s="87" t="s">
        <v>305</v>
      </c>
      <c r="AT1186" s="87" t="s">
        <v>218</v>
      </c>
      <c r="AU1186" s="87" t="s">
        <v>77</v>
      </c>
      <c r="AY1186" s="19" t="s">
        <v>216</v>
      </c>
      <c r="BE1186" s="88">
        <f t="shared" si="24"/>
        <v>0</v>
      </c>
      <c r="BF1186" s="88">
        <f t="shared" si="25"/>
        <v>0</v>
      </c>
      <c r="BG1186" s="88">
        <f t="shared" si="26"/>
        <v>0</v>
      </c>
      <c r="BH1186" s="88">
        <f t="shared" si="27"/>
        <v>0</v>
      </c>
      <c r="BI1186" s="88">
        <f t="shared" si="28"/>
        <v>0</v>
      </c>
      <c r="BJ1186" s="19" t="s">
        <v>75</v>
      </c>
      <c r="BK1186" s="88">
        <f t="shared" si="29"/>
        <v>0</v>
      </c>
      <c r="BL1186" s="19" t="s">
        <v>305</v>
      </c>
      <c r="BM1186" s="87" t="s">
        <v>1694</v>
      </c>
    </row>
    <row r="1187" spans="1:65" s="2" customFormat="1" ht="21.6" customHeight="1">
      <c r="A1187" s="269"/>
      <c r="B1187" s="270"/>
      <c r="C1187" s="308" t="s">
        <v>1695</v>
      </c>
      <c r="D1187" s="308" t="s">
        <v>218</v>
      </c>
      <c r="E1187" s="309" t="s">
        <v>1696</v>
      </c>
      <c r="F1187" s="310" t="s">
        <v>1697</v>
      </c>
      <c r="G1187" s="311" t="s">
        <v>291</v>
      </c>
      <c r="H1187" s="312">
        <v>3</v>
      </c>
      <c r="I1187" s="82">
        <v>0</v>
      </c>
      <c r="J1187" s="82">
        <f t="shared" si="20"/>
        <v>0</v>
      </c>
      <c r="K1187" s="310" t="s">
        <v>3</v>
      </c>
      <c r="L1187" s="24"/>
      <c r="M1187" s="83" t="s">
        <v>3</v>
      </c>
      <c r="N1187" s="84" t="s">
        <v>39</v>
      </c>
      <c r="O1187" s="85">
        <v>0</v>
      </c>
      <c r="P1187" s="85">
        <f t="shared" si="21"/>
        <v>0</v>
      </c>
      <c r="Q1187" s="85">
        <v>0</v>
      </c>
      <c r="R1187" s="85">
        <f t="shared" si="22"/>
        <v>0</v>
      </c>
      <c r="S1187" s="85">
        <v>0</v>
      </c>
      <c r="T1187" s="86">
        <f t="shared" si="23"/>
        <v>0</v>
      </c>
      <c r="U1187" s="23"/>
      <c r="V1187" s="23"/>
      <c r="W1187" s="23"/>
      <c r="X1187" s="23"/>
      <c r="Y1187" s="23"/>
      <c r="Z1187" s="23"/>
      <c r="AA1187" s="23"/>
      <c r="AB1187" s="23"/>
      <c r="AC1187" s="23"/>
      <c r="AD1187" s="23"/>
      <c r="AE1187" s="23"/>
      <c r="AR1187" s="87" t="s">
        <v>305</v>
      </c>
      <c r="AT1187" s="87" t="s">
        <v>218</v>
      </c>
      <c r="AU1187" s="87" t="s">
        <v>77</v>
      </c>
      <c r="AY1187" s="19" t="s">
        <v>216</v>
      </c>
      <c r="BE1187" s="88">
        <f t="shared" si="24"/>
        <v>0</v>
      </c>
      <c r="BF1187" s="88">
        <f t="shared" si="25"/>
        <v>0</v>
      </c>
      <c r="BG1187" s="88">
        <f t="shared" si="26"/>
        <v>0</v>
      </c>
      <c r="BH1187" s="88">
        <f t="shared" si="27"/>
        <v>0</v>
      </c>
      <c r="BI1187" s="88">
        <f t="shared" si="28"/>
        <v>0</v>
      </c>
      <c r="BJ1187" s="19" t="s">
        <v>75</v>
      </c>
      <c r="BK1187" s="88">
        <f t="shared" si="29"/>
        <v>0</v>
      </c>
      <c r="BL1187" s="19" t="s">
        <v>305</v>
      </c>
      <c r="BM1187" s="87" t="s">
        <v>1698</v>
      </c>
    </row>
    <row r="1188" spans="1:65" s="2" customFormat="1" ht="32.450000000000003" customHeight="1">
      <c r="A1188" s="269"/>
      <c r="B1188" s="270"/>
      <c r="C1188" s="308" t="s">
        <v>1699</v>
      </c>
      <c r="D1188" s="308" t="s">
        <v>218</v>
      </c>
      <c r="E1188" s="309" t="s">
        <v>1700</v>
      </c>
      <c r="F1188" s="310" t="s">
        <v>1701</v>
      </c>
      <c r="G1188" s="311" t="s">
        <v>291</v>
      </c>
      <c r="H1188" s="312">
        <v>30</v>
      </c>
      <c r="I1188" s="82">
        <v>0</v>
      </c>
      <c r="J1188" s="82">
        <f t="shared" si="20"/>
        <v>0</v>
      </c>
      <c r="K1188" s="310" t="s">
        <v>3</v>
      </c>
      <c r="L1188" s="24"/>
      <c r="M1188" s="83" t="s">
        <v>3</v>
      </c>
      <c r="N1188" s="84" t="s">
        <v>39</v>
      </c>
      <c r="O1188" s="85">
        <v>0</v>
      </c>
      <c r="P1188" s="85">
        <f t="shared" si="21"/>
        <v>0</v>
      </c>
      <c r="Q1188" s="85">
        <v>0</v>
      </c>
      <c r="R1188" s="85">
        <f t="shared" si="22"/>
        <v>0</v>
      </c>
      <c r="S1188" s="85">
        <v>0</v>
      </c>
      <c r="T1188" s="86">
        <f t="shared" si="23"/>
        <v>0</v>
      </c>
      <c r="U1188" s="23"/>
      <c r="V1188" s="23"/>
      <c r="W1188" s="23"/>
      <c r="X1188" s="23"/>
      <c r="Y1188" s="23"/>
      <c r="Z1188" s="23"/>
      <c r="AA1188" s="23"/>
      <c r="AB1188" s="23"/>
      <c r="AC1188" s="23"/>
      <c r="AD1188" s="23"/>
      <c r="AE1188" s="23"/>
      <c r="AR1188" s="87" t="s">
        <v>305</v>
      </c>
      <c r="AT1188" s="87" t="s">
        <v>218</v>
      </c>
      <c r="AU1188" s="87" t="s">
        <v>77</v>
      </c>
      <c r="AY1188" s="19" t="s">
        <v>216</v>
      </c>
      <c r="BE1188" s="88">
        <f t="shared" si="24"/>
        <v>0</v>
      </c>
      <c r="BF1188" s="88">
        <f t="shared" si="25"/>
        <v>0</v>
      </c>
      <c r="BG1188" s="88">
        <f t="shared" si="26"/>
        <v>0</v>
      </c>
      <c r="BH1188" s="88">
        <f t="shared" si="27"/>
        <v>0</v>
      </c>
      <c r="BI1188" s="88">
        <f t="shared" si="28"/>
        <v>0</v>
      </c>
      <c r="BJ1188" s="19" t="s">
        <v>75</v>
      </c>
      <c r="BK1188" s="88">
        <f t="shared" si="29"/>
        <v>0</v>
      </c>
      <c r="BL1188" s="19" t="s">
        <v>305</v>
      </c>
      <c r="BM1188" s="87" t="s">
        <v>1702</v>
      </c>
    </row>
    <row r="1189" spans="1:65" s="2" customFormat="1" ht="21.6" customHeight="1">
      <c r="A1189" s="269"/>
      <c r="B1189" s="270"/>
      <c r="C1189" s="308" t="s">
        <v>1703</v>
      </c>
      <c r="D1189" s="308" t="s">
        <v>218</v>
      </c>
      <c r="E1189" s="309" t="s">
        <v>1704</v>
      </c>
      <c r="F1189" s="310" t="s">
        <v>1705</v>
      </c>
      <c r="G1189" s="311" t="s">
        <v>364</v>
      </c>
      <c r="H1189" s="312">
        <v>49</v>
      </c>
      <c r="I1189" s="82">
        <v>0</v>
      </c>
      <c r="J1189" s="82">
        <f t="shared" si="20"/>
        <v>0</v>
      </c>
      <c r="K1189" s="310" t="s">
        <v>3</v>
      </c>
      <c r="L1189" s="24"/>
      <c r="M1189" s="83" t="s">
        <v>3</v>
      </c>
      <c r="N1189" s="84" t="s">
        <v>39</v>
      </c>
      <c r="O1189" s="85">
        <v>0</v>
      </c>
      <c r="P1189" s="85">
        <f t="shared" si="21"/>
        <v>0</v>
      </c>
      <c r="Q1189" s="85">
        <v>0</v>
      </c>
      <c r="R1189" s="85">
        <f t="shared" si="22"/>
        <v>0</v>
      </c>
      <c r="S1189" s="85">
        <v>0</v>
      </c>
      <c r="T1189" s="86">
        <f t="shared" si="23"/>
        <v>0</v>
      </c>
      <c r="U1189" s="23"/>
      <c r="V1189" s="23"/>
      <c r="W1189" s="23"/>
      <c r="X1189" s="23"/>
      <c r="Y1189" s="23"/>
      <c r="Z1189" s="23"/>
      <c r="AA1189" s="23"/>
      <c r="AB1189" s="23"/>
      <c r="AC1189" s="23"/>
      <c r="AD1189" s="23"/>
      <c r="AE1189" s="23"/>
      <c r="AR1189" s="87" t="s">
        <v>305</v>
      </c>
      <c r="AT1189" s="87" t="s">
        <v>218</v>
      </c>
      <c r="AU1189" s="87" t="s">
        <v>77</v>
      </c>
      <c r="AY1189" s="19" t="s">
        <v>216</v>
      </c>
      <c r="BE1189" s="88">
        <f t="shared" si="24"/>
        <v>0</v>
      </c>
      <c r="BF1189" s="88">
        <f t="shared" si="25"/>
        <v>0</v>
      </c>
      <c r="BG1189" s="88">
        <f t="shared" si="26"/>
        <v>0</v>
      </c>
      <c r="BH1189" s="88">
        <f t="shared" si="27"/>
        <v>0</v>
      </c>
      <c r="BI1189" s="88">
        <f t="shared" si="28"/>
        <v>0</v>
      </c>
      <c r="BJ1189" s="19" t="s">
        <v>75</v>
      </c>
      <c r="BK1189" s="88">
        <f t="shared" si="29"/>
        <v>0</v>
      </c>
      <c r="BL1189" s="19" t="s">
        <v>305</v>
      </c>
      <c r="BM1189" s="87" t="s">
        <v>1706</v>
      </c>
    </row>
    <row r="1190" spans="1:65" s="2" customFormat="1" ht="21.6" customHeight="1">
      <c r="A1190" s="269"/>
      <c r="B1190" s="270"/>
      <c r="C1190" s="308" t="s">
        <v>1707</v>
      </c>
      <c r="D1190" s="308" t="s">
        <v>218</v>
      </c>
      <c r="E1190" s="309" t="s">
        <v>1708</v>
      </c>
      <c r="F1190" s="310" t="s">
        <v>1709</v>
      </c>
      <c r="G1190" s="311" t="s">
        <v>364</v>
      </c>
      <c r="H1190" s="312">
        <v>31.9</v>
      </c>
      <c r="I1190" s="82">
        <v>0</v>
      </c>
      <c r="J1190" s="82">
        <f t="shared" si="20"/>
        <v>0</v>
      </c>
      <c r="K1190" s="310" t="s">
        <v>3</v>
      </c>
      <c r="L1190" s="24"/>
      <c r="M1190" s="83" t="s">
        <v>3</v>
      </c>
      <c r="N1190" s="84" t="s">
        <v>39</v>
      </c>
      <c r="O1190" s="85">
        <v>0</v>
      </c>
      <c r="P1190" s="85">
        <f t="shared" si="21"/>
        <v>0</v>
      </c>
      <c r="Q1190" s="85">
        <v>0</v>
      </c>
      <c r="R1190" s="85">
        <f t="shared" si="22"/>
        <v>0</v>
      </c>
      <c r="S1190" s="85">
        <v>0</v>
      </c>
      <c r="T1190" s="86">
        <f t="shared" si="23"/>
        <v>0</v>
      </c>
      <c r="U1190" s="23"/>
      <c r="V1190" s="23"/>
      <c r="W1190" s="23"/>
      <c r="X1190" s="23"/>
      <c r="Y1190" s="23"/>
      <c r="Z1190" s="23"/>
      <c r="AA1190" s="23"/>
      <c r="AB1190" s="23"/>
      <c r="AC1190" s="23"/>
      <c r="AD1190" s="23"/>
      <c r="AE1190" s="23"/>
      <c r="AR1190" s="87" t="s">
        <v>305</v>
      </c>
      <c r="AT1190" s="87" t="s">
        <v>218</v>
      </c>
      <c r="AU1190" s="87" t="s">
        <v>77</v>
      </c>
      <c r="AY1190" s="19" t="s">
        <v>216</v>
      </c>
      <c r="BE1190" s="88">
        <f t="shared" si="24"/>
        <v>0</v>
      </c>
      <c r="BF1190" s="88">
        <f t="shared" si="25"/>
        <v>0</v>
      </c>
      <c r="BG1190" s="88">
        <f t="shared" si="26"/>
        <v>0</v>
      </c>
      <c r="BH1190" s="88">
        <f t="shared" si="27"/>
        <v>0</v>
      </c>
      <c r="BI1190" s="88">
        <f t="shared" si="28"/>
        <v>0</v>
      </c>
      <c r="BJ1190" s="19" t="s">
        <v>75</v>
      </c>
      <c r="BK1190" s="88">
        <f t="shared" si="29"/>
        <v>0</v>
      </c>
      <c r="BL1190" s="19" t="s">
        <v>305</v>
      </c>
      <c r="BM1190" s="87" t="s">
        <v>1710</v>
      </c>
    </row>
    <row r="1191" spans="1:65" s="2" customFormat="1" ht="21.6" customHeight="1">
      <c r="A1191" s="269"/>
      <c r="B1191" s="270"/>
      <c r="C1191" s="308" t="s">
        <v>1711</v>
      </c>
      <c r="D1191" s="308" t="s">
        <v>218</v>
      </c>
      <c r="E1191" s="309" t="s">
        <v>1712</v>
      </c>
      <c r="F1191" s="310" t="s">
        <v>1709</v>
      </c>
      <c r="G1191" s="311" t="s">
        <v>364</v>
      </c>
      <c r="H1191" s="312">
        <v>6.4</v>
      </c>
      <c r="I1191" s="82">
        <v>0</v>
      </c>
      <c r="J1191" s="82">
        <f t="shared" si="20"/>
        <v>0</v>
      </c>
      <c r="K1191" s="310" t="s">
        <v>3</v>
      </c>
      <c r="L1191" s="24"/>
      <c r="M1191" s="83" t="s">
        <v>3</v>
      </c>
      <c r="N1191" s="84" t="s">
        <v>39</v>
      </c>
      <c r="O1191" s="85">
        <v>0</v>
      </c>
      <c r="P1191" s="85">
        <f t="shared" si="21"/>
        <v>0</v>
      </c>
      <c r="Q1191" s="85">
        <v>0</v>
      </c>
      <c r="R1191" s="85">
        <f t="shared" si="22"/>
        <v>0</v>
      </c>
      <c r="S1191" s="85">
        <v>0</v>
      </c>
      <c r="T1191" s="86">
        <f t="shared" si="23"/>
        <v>0</v>
      </c>
      <c r="U1191" s="23"/>
      <c r="V1191" s="23"/>
      <c r="W1191" s="23"/>
      <c r="X1191" s="23"/>
      <c r="Y1191" s="23"/>
      <c r="Z1191" s="23"/>
      <c r="AA1191" s="23"/>
      <c r="AB1191" s="23"/>
      <c r="AC1191" s="23"/>
      <c r="AD1191" s="23"/>
      <c r="AE1191" s="23"/>
      <c r="AR1191" s="87" t="s">
        <v>305</v>
      </c>
      <c r="AT1191" s="87" t="s">
        <v>218</v>
      </c>
      <c r="AU1191" s="87" t="s">
        <v>77</v>
      </c>
      <c r="AY1191" s="19" t="s">
        <v>216</v>
      </c>
      <c r="BE1191" s="88">
        <f t="shared" si="24"/>
        <v>0</v>
      </c>
      <c r="BF1191" s="88">
        <f t="shared" si="25"/>
        <v>0</v>
      </c>
      <c r="BG1191" s="88">
        <f t="shared" si="26"/>
        <v>0</v>
      </c>
      <c r="BH1191" s="88">
        <f t="shared" si="27"/>
        <v>0</v>
      </c>
      <c r="BI1191" s="88">
        <f t="shared" si="28"/>
        <v>0</v>
      </c>
      <c r="BJ1191" s="19" t="s">
        <v>75</v>
      </c>
      <c r="BK1191" s="88">
        <f t="shared" si="29"/>
        <v>0</v>
      </c>
      <c r="BL1191" s="19" t="s">
        <v>305</v>
      </c>
      <c r="BM1191" s="87" t="s">
        <v>1713</v>
      </c>
    </row>
    <row r="1192" spans="1:65" s="12" customFormat="1" ht="22.9" customHeight="1">
      <c r="A1192" s="303"/>
      <c r="B1192" s="304"/>
      <c r="C1192" s="303"/>
      <c r="D1192" s="305" t="s">
        <v>67</v>
      </c>
      <c r="E1192" s="307" t="s">
        <v>1714</v>
      </c>
      <c r="F1192" s="307" t="s">
        <v>1715</v>
      </c>
      <c r="G1192" s="303"/>
      <c r="H1192" s="303"/>
      <c r="I1192" s="256"/>
      <c r="J1192" s="258">
        <f>BK1192</f>
        <v>0</v>
      </c>
      <c r="K1192" s="303"/>
      <c r="L1192" s="74"/>
      <c r="M1192" s="76"/>
      <c r="N1192" s="77"/>
      <c r="O1192" s="77"/>
      <c r="P1192" s="78">
        <f>SUM(P1193:P1201)</f>
        <v>0</v>
      </c>
      <c r="Q1192" s="77"/>
      <c r="R1192" s="78">
        <f>SUM(R1193:R1201)</f>
        <v>0</v>
      </c>
      <c r="S1192" s="77"/>
      <c r="T1192" s="79">
        <f>SUM(T1193:T1201)</f>
        <v>0</v>
      </c>
      <c r="AR1192" s="75" t="s">
        <v>77</v>
      </c>
      <c r="AT1192" s="80" t="s">
        <v>67</v>
      </c>
      <c r="AU1192" s="80" t="s">
        <v>75</v>
      </c>
      <c r="AY1192" s="75" t="s">
        <v>216</v>
      </c>
      <c r="BK1192" s="81">
        <f>SUM(BK1193:BK1201)</f>
        <v>0</v>
      </c>
    </row>
    <row r="1193" spans="1:65" s="2" customFormat="1" ht="14.45" customHeight="1">
      <c r="A1193" s="269"/>
      <c r="B1193" s="270"/>
      <c r="C1193" s="308" t="s">
        <v>1716</v>
      </c>
      <c r="D1193" s="308" t="s">
        <v>218</v>
      </c>
      <c r="E1193" s="309" t="s">
        <v>1717</v>
      </c>
      <c r="F1193" s="310" t="s">
        <v>1718</v>
      </c>
      <c r="G1193" s="311" t="s">
        <v>933</v>
      </c>
      <c r="H1193" s="312">
        <v>10</v>
      </c>
      <c r="I1193" s="82">
        <v>0</v>
      </c>
      <c r="J1193" s="82">
        <f t="shared" ref="J1193:J1201" si="30">ROUND(I1193*H1193,2)</f>
        <v>0</v>
      </c>
      <c r="K1193" s="310" t="s">
        <v>3</v>
      </c>
      <c r="L1193" s="24"/>
      <c r="M1193" s="83" t="s">
        <v>3</v>
      </c>
      <c r="N1193" s="84" t="s">
        <v>39</v>
      </c>
      <c r="O1193" s="85">
        <v>0</v>
      </c>
      <c r="P1193" s="85">
        <f t="shared" ref="P1193:P1201" si="31">O1193*H1193</f>
        <v>0</v>
      </c>
      <c r="Q1193" s="85">
        <v>0</v>
      </c>
      <c r="R1193" s="85">
        <f t="shared" ref="R1193:R1201" si="32">Q1193*H1193</f>
        <v>0</v>
      </c>
      <c r="S1193" s="85">
        <v>0</v>
      </c>
      <c r="T1193" s="86">
        <f t="shared" ref="T1193:T1201" si="33">S1193*H1193</f>
        <v>0</v>
      </c>
      <c r="U1193" s="23"/>
      <c r="V1193" s="23"/>
      <c r="W1193" s="23"/>
      <c r="X1193" s="23"/>
      <c r="Y1193" s="23"/>
      <c r="Z1193" s="23"/>
      <c r="AA1193" s="23"/>
      <c r="AB1193" s="23"/>
      <c r="AC1193" s="23"/>
      <c r="AD1193" s="23"/>
      <c r="AE1193" s="23"/>
      <c r="AR1193" s="87" t="s">
        <v>305</v>
      </c>
      <c r="AT1193" s="87" t="s">
        <v>218</v>
      </c>
      <c r="AU1193" s="87" t="s">
        <v>77</v>
      </c>
      <c r="AY1193" s="19" t="s">
        <v>216</v>
      </c>
      <c r="BE1193" s="88">
        <f t="shared" ref="BE1193:BE1201" si="34">IF(N1193="základní",J1193,0)</f>
        <v>0</v>
      </c>
      <c r="BF1193" s="88">
        <f t="shared" ref="BF1193:BF1201" si="35">IF(N1193="snížená",J1193,0)</f>
        <v>0</v>
      </c>
      <c r="BG1193" s="88">
        <f t="shared" ref="BG1193:BG1201" si="36">IF(N1193="zákl. přenesená",J1193,0)</f>
        <v>0</v>
      </c>
      <c r="BH1193" s="88">
        <f t="shared" ref="BH1193:BH1201" si="37">IF(N1193="sníž. přenesená",J1193,0)</f>
        <v>0</v>
      </c>
      <c r="BI1193" s="88">
        <f t="shared" ref="BI1193:BI1201" si="38">IF(N1193="nulová",J1193,0)</f>
        <v>0</v>
      </c>
      <c r="BJ1193" s="19" t="s">
        <v>75</v>
      </c>
      <c r="BK1193" s="88">
        <f t="shared" ref="BK1193:BK1201" si="39">ROUND(I1193*H1193,2)</f>
        <v>0</v>
      </c>
      <c r="BL1193" s="19" t="s">
        <v>305</v>
      </c>
      <c r="BM1193" s="87" t="s">
        <v>1719</v>
      </c>
    </row>
    <row r="1194" spans="1:65" s="2" customFormat="1" ht="14.45" customHeight="1">
      <c r="A1194" s="269"/>
      <c r="B1194" s="270"/>
      <c r="C1194" s="334" t="s">
        <v>1720</v>
      </c>
      <c r="D1194" s="334" t="s">
        <v>535</v>
      </c>
      <c r="E1194" s="335" t="s">
        <v>1721</v>
      </c>
      <c r="F1194" s="336" t="s">
        <v>1722</v>
      </c>
      <c r="G1194" s="337" t="s">
        <v>291</v>
      </c>
      <c r="H1194" s="338">
        <v>1</v>
      </c>
      <c r="I1194" s="111">
        <v>0</v>
      </c>
      <c r="J1194" s="111">
        <f t="shared" si="30"/>
        <v>0</v>
      </c>
      <c r="K1194" s="336" t="s">
        <v>3</v>
      </c>
      <c r="L1194" s="112"/>
      <c r="M1194" s="113" t="s">
        <v>3</v>
      </c>
      <c r="N1194" s="114" t="s">
        <v>39</v>
      </c>
      <c r="O1194" s="85">
        <v>0</v>
      </c>
      <c r="P1194" s="85">
        <f t="shared" si="31"/>
        <v>0</v>
      </c>
      <c r="Q1194" s="85">
        <v>0</v>
      </c>
      <c r="R1194" s="85">
        <f t="shared" si="32"/>
        <v>0</v>
      </c>
      <c r="S1194" s="85">
        <v>0</v>
      </c>
      <c r="T1194" s="86">
        <f t="shared" si="33"/>
        <v>0</v>
      </c>
      <c r="U1194" s="23"/>
      <c r="V1194" s="23"/>
      <c r="W1194" s="23"/>
      <c r="X1194" s="23"/>
      <c r="Y1194" s="23"/>
      <c r="Z1194" s="23"/>
      <c r="AA1194" s="23"/>
      <c r="AB1194" s="23"/>
      <c r="AC1194" s="23"/>
      <c r="AD1194" s="23"/>
      <c r="AE1194" s="23"/>
      <c r="AR1194" s="87" t="s">
        <v>410</v>
      </c>
      <c r="AT1194" s="87" t="s">
        <v>535</v>
      </c>
      <c r="AU1194" s="87" t="s">
        <v>77</v>
      </c>
      <c r="AY1194" s="19" t="s">
        <v>216</v>
      </c>
      <c r="BE1194" s="88">
        <f t="shared" si="34"/>
        <v>0</v>
      </c>
      <c r="BF1194" s="88">
        <f t="shared" si="35"/>
        <v>0</v>
      </c>
      <c r="BG1194" s="88">
        <f t="shared" si="36"/>
        <v>0</v>
      </c>
      <c r="BH1194" s="88">
        <f t="shared" si="37"/>
        <v>0</v>
      </c>
      <c r="BI1194" s="88">
        <f t="shared" si="38"/>
        <v>0</v>
      </c>
      <c r="BJ1194" s="19" t="s">
        <v>75</v>
      </c>
      <c r="BK1194" s="88">
        <f t="shared" si="39"/>
        <v>0</v>
      </c>
      <c r="BL1194" s="19" t="s">
        <v>305</v>
      </c>
      <c r="BM1194" s="87" t="s">
        <v>1723</v>
      </c>
    </row>
    <row r="1195" spans="1:65" s="2" customFormat="1" ht="14.45" customHeight="1">
      <c r="A1195" s="269"/>
      <c r="B1195" s="270"/>
      <c r="C1195" s="334" t="s">
        <v>1724</v>
      </c>
      <c r="D1195" s="334" t="s">
        <v>535</v>
      </c>
      <c r="E1195" s="335" t="s">
        <v>1725</v>
      </c>
      <c r="F1195" s="336" t="s">
        <v>1726</v>
      </c>
      <c r="G1195" s="337" t="s">
        <v>291</v>
      </c>
      <c r="H1195" s="338">
        <v>2</v>
      </c>
      <c r="I1195" s="111">
        <v>0</v>
      </c>
      <c r="J1195" s="111">
        <f t="shared" si="30"/>
        <v>0</v>
      </c>
      <c r="K1195" s="336" t="s">
        <v>3</v>
      </c>
      <c r="L1195" s="112"/>
      <c r="M1195" s="113" t="s">
        <v>3</v>
      </c>
      <c r="N1195" s="114" t="s">
        <v>39</v>
      </c>
      <c r="O1195" s="85">
        <v>0</v>
      </c>
      <c r="P1195" s="85">
        <f t="shared" si="31"/>
        <v>0</v>
      </c>
      <c r="Q1195" s="85">
        <v>0</v>
      </c>
      <c r="R1195" s="85">
        <f t="shared" si="32"/>
        <v>0</v>
      </c>
      <c r="S1195" s="85">
        <v>0</v>
      </c>
      <c r="T1195" s="86">
        <f t="shared" si="33"/>
        <v>0</v>
      </c>
      <c r="U1195" s="23"/>
      <c r="V1195" s="23"/>
      <c r="W1195" s="23"/>
      <c r="X1195" s="23"/>
      <c r="Y1195" s="23"/>
      <c r="Z1195" s="23"/>
      <c r="AA1195" s="23"/>
      <c r="AB1195" s="23"/>
      <c r="AC1195" s="23"/>
      <c r="AD1195" s="23"/>
      <c r="AE1195" s="23"/>
      <c r="AR1195" s="87" t="s">
        <v>410</v>
      </c>
      <c r="AT1195" s="87" t="s">
        <v>535</v>
      </c>
      <c r="AU1195" s="87" t="s">
        <v>77</v>
      </c>
      <c r="AY1195" s="19" t="s">
        <v>216</v>
      </c>
      <c r="BE1195" s="88">
        <f t="shared" si="34"/>
        <v>0</v>
      </c>
      <c r="BF1195" s="88">
        <f t="shared" si="35"/>
        <v>0</v>
      </c>
      <c r="BG1195" s="88">
        <f t="shared" si="36"/>
        <v>0</v>
      </c>
      <c r="BH1195" s="88">
        <f t="shared" si="37"/>
        <v>0</v>
      </c>
      <c r="BI1195" s="88">
        <f t="shared" si="38"/>
        <v>0</v>
      </c>
      <c r="BJ1195" s="19" t="s">
        <v>75</v>
      </c>
      <c r="BK1195" s="88">
        <f t="shared" si="39"/>
        <v>0</v>
      </c>
      <c r="BL1195" s="19" t="s">
        <v>305</v>
      </c>
      <c r="BM1195" s="87" t="s">
        <v>1727</v>
      </c>
    </row>
    <row r="1196" spans="1:65" s="2" customFormat="1" ht="14.45" customHeight="1">
      <c r="A1196" s="269"/>
      <c r="B1196" s="270"/>
      <c r="C1196" s="334" t="s">
        <v>1728</v>
      </c>
      <c r="D1196" s="334" t="s">
        <v>535</v>
      </c>
      <c r="E1196" s="335" t="s">
        <v>1729</v>
      </c>
      <c r="F1196" s="336" t="s">
        <v>1730</v>
      </c>
      <c r="G1196" s="337" t="s">
        <v>291</v>
      </c>
      <c r="H1196" s="338">
        <v>1</v>
      </c>
      <c r="I1196" s="111">
        <v>0</v>
      </c>
      <c r="J1196" s="111">
        <f t="shared" si="30"/>
        <v>0</v>
      </c>
      <c r="K1196" s="336" t="s">
        <v>3</v>
      </c>
      <c r="L1196" s="112"/>
      <c r="M1196" s="113" t="s">
        <v>3</v>
      </c>
      <c r="N1196" s="114" t="s">
        <v>39</v>
      </c>
      <c r="O1196" s="85">
        <v>0</v>
      </c>
      <c r="P1196" s="85">
        <f t="shared" si="31"/>
        <v>0</v>
      </c>
      <c r="Q1196" s="85">
        <v>0</v>
      </c>
      <c r="R1196" s="85">
        <f t="shared" si="32"/>
        <v>0</v>
      </c>
      <c r="S1196" s="85">
        <v>0</v>
      </c>
      <c r="T1196" s="86">
        <f t="shared" si="33"/>
        <v>0</v>
      </c>
      <c r="U1196" s="23"/>
      <c r="V1196" s="23"/>
      <c r="W1196" s="23"/>
      <c r="X1196" s="23"/>
      <c r="Y1196" s="23"/>
      <c r="Z1196" s="23"/>
      <c r="AA1196" s="23"/>
      <c r="AB1196" s="23"/>
      <c r="AC1196" s="23"/>
      <c r="AD1196" s="23"/>
      <c r="AE1196" s="23"/>
      <c r="AR1196" s="87" t="s">
        <v>410</v>
      </c>
      <c r="AT1196" s="87" t="s">
        <v>535</v>
      </c>
      <c r="AU1196" s="87" t="s">
        <v>77</v>
      </c>
      <c r="AY1196" s="19" t="s">
        <v>216</v>
      </c>
      <c r="BE1196" s="88">
        <f t="shared" si="34"/>
        <v>0</v>
      </c>
      <c r="BF1196" s="88">
        <f t="shared" si="35"/>
        <v>0</v>
      </c>
      <c r="BG1196" s="88">
        <f t="shared" si="36"/>
        <v>0</v>
      </c>
      <c r="BH1196" s="88">
        <f t="shared" si="37"/>
        <v>0</v>
      </c>
      <c r="BI1196" s="88">
        <f t="shared" si="38"/>
        <v>0</v>
      </c>
      <c r="BJ1196" s="19" t="s">
        <v>75</v>
      </c>
      <c r="BK1196" s="88">
        <f t="shared" si="39"/>
        <v>0</v>
      </c>
      <c r="BL1196" s="19" t="s">
        <v>305</v>
      </c>
      <c r="BM1196" s="87" t="s">
        <v>1731</v>
      </c>
    </row>
    <row r="1197" spans="1:65" s="2" customFormat="1" ht="14.45" customHeight="1">
      <c r="A1197" s="269"/>
      <c r="B1197" s="270"/>
      <c r="C1197" s="334" t="s">
        <v>1732</v>
      </c>
      <c r="D1197" s="334" t="s">
        <v>535</v>
      </c>
      <c r="E1197" s="335" t="s">
        <v>1733</v>
      </c>
      <c r="F1197" s="336" t="s">
        <v>1734</v>
      </c>
      <c r="G1197" s="337" t="s">
        <v>291</v>
      </c>
      <c r="H1197" s="338">
        <v>2</v>
      </c>
      <c r="I1197" s="111">
        <v>0</v>
      </c>
      <c r="J1197" s="111">
        <f t="shared" si="30"/>
        <v>0</v>
      </c>
      <c r="K1197" s="336" t="s">
        <v>3</v>
      </c>
      <c r="L1197" s="112"/>
      <c r="M1197" s="113" t="s">
        <v>3</v>
      </c>
      <c r="N1197" s="114" t="s">
        <v>39</v>
      </c>
      <c r="O1197" s="85">
        <v>0</v>
      </c>
      <c r="P1197" s="85">
        <f t="shared" si="31"/>
        <v>0</v>
      </c>
      <c r="Q1197" s="85">
        <v>0</v>
      </c>
      <c r="R1197" s="85">
        <f t="shared" si="32"/>
        <v>0</v>
      </c>
      <c r="S1197" s="85">
        <v>0</v>
      </c>
      <c r="T1197" s="86">
        <f t="shared" si="33"/>
        <v>0</v>
      </c>
      <c r="U1197" s="23"/>
      <c r="V1197" s="23"/>
      <c r="W1197" s="23"/>
      <c r="X1197" s="23"/>
      <c r="Y1197" s="23"/>
      <c r="Z1197" s="23"/>
      <c r="AA1197" s="23"/>
      <c r="AB1197" s="23"/>
      <c r="AC1197" s="23"/>
      <c r="AD1197" s="23"/>
      <c r="AE1197" s="23"/>
      <c r="AR1197" s="87" t="s">
        <v>410</v>
      </c>
      <c r="AT1197" s="87" t="s">
        <v>535</v>
      </c>
      <c r="AU1197" s="87" t="s">
        <v>77</v>
      </c>
      <c r="AY1197" s="19" t="s">
        <v>216</v>
      </c>
      <c r="BE1197" s="88">
        <f t="shared" si="34"/>
        <v>0</v>
      </c>
      <c r="BF1197" s="88">
        <f t="shared" si="35"/>
        <v>0</v>
      </c>
      <c r="BG1197" s="88">
        <f t="shared" si="36"/>
        <v>0</v>
      </c>
      <c r="BH1197" s="88">
        <f t="shared" si="37"/>
        <v>0</v>
      </c>
      <c r="BI1197" s="88">
        <f t="shared" si="38"/>
        <v>0</v>
      </c>
      <c r="BJ1197" s="19" t="s">
        <v>75</v>
      </c>
      <c r="BK1197" s="88">
        <f t="shared" si="39"/>
        <v>0</v>
      </c>
      <c r="BL1197" s="19" t="s">
        <v>305</v>
      </c>
      <c r="BM1197" s="87" t="s">
        <v>1735</v>
      </c>
    </row>
    <row r="1198" spans="1:65" s="2" customFormat="1" ht="14.45" customHeight="1">
      <c r="A1198" s="269"/>
      <c r="B1198" s="270"/>
      <c r="C1198" s="334" t="s">
        <v>1736</v>
      </c>
      <c r="D1198" s="334" t="s">
        <v>535</v>
      </c>
      <c r="E1198" s="335" t="s">
        <v>1737</v>
      </c>
      <c r="F1198" s="336" t="s">
        <v>1738</v>
      </c>
      <c r="G1198" s="337" t="s">
        <v>291</v>
      </c>
      <c r="H1198" s="338">
        <v>1</v>
      </c>
      <c r="I1198" s="111">
        <v>0</v>
      </c>
      <c r="J1198" s="111">
        <f t="shared" si="30"/>
        <v>0</v>
      </c>
      <c r="K1198" s="336" t="s">
        <v>3</v>
      </c>
      <c r="L1198" s="112"/>
      <c r="M1198" s="113" t="s">
        <v>3</v>
      </c>
      <c r="N1198" s="114" t="s">
        <v>39</v>
      </c>
      <c r="O1198" s="85">
        <v>0</v>
      </c>
      <c r="P1198" s="85">
        <f t="shared" si="31"/>
        <v>0</v>
      </c>
      <c r="Q1198" s="85">
        <v>0</v>
      </c>
      <c r="R1198" s="85">
        <f t="shared" si="32"/>
        <v>0</v>
      </c>
      <c r="S1198" s="85">
        <v>0</v>
      </c>
      <c r="T1198" s="86">
        <f t="shared" si="33"/>
        <v>0</v>
      </c>
      <c r="U1198" s="23"/>
      <c r="V1198" s="23"/>
      <c r="W1198" s="23"/>
      <c r="X1198" s="23"/>
      <c r="Y1198" s="23"/>
      <c r="Z1198" s="23"/>
      <c r="AA1198" s="23"/>
      <c r="AB1198" s="23"/>
      <c r="AC1198" s="23"/>
      <c r="AD1198" s="23"/>
      <c r="AE1198" s="23"/>
      <c r="AR1198" s="87" t="s">
        <v>410</v>
      </c>
      <c r="AT1198" s="87" t="s">
        <v>535</v>
      </c>
      <c r="AU1198" s="87" t="s">
        <v>77</v>
      </c>
      <c r="AY1198" s="19" t="s">
        <v>216</v>
      </c>
      <c r="BE1198" s="88">
        <f t="shared" si="34"/>
        <v>0</v>
      </c>
      <c r="BF1198" s="88">
        <f t="shared" si="35"/>
        <v>0</v>
      </c>
      <c r="BG1198" s="88">
        <f t="shared" si="36"/>
        <v>0</v>
      </c>
      <c r="BH1198" s="88">
        <f t="shared" si="37"/>
        <v>0</v>
      </c>
      <c r="BI1198" s="88">
        <f t="shared" si="38"/>
        <v>0</v>
      </c>
      <c r="BJ1198" s="19" t="s">
        <v>75</v>
      </c>
      <c r="BK1198" s="88">
        <f t="shared" si="39"/>
        <v>0</v>
      </c>
      <c r="BL1198" s="19" t="s">
        <v>305</v>
      </c>
      <c r="BM1198" s="87" t="s">
        <v>1739</v>
      </c>
    </row>
    <row r="1199" spans="1:65" s="2" customFormat="1" ht="14.45" customHeight="1">
      <c r="A1199" s="269"/>
      <c r="B1199" s="270"/>
      <c r="C1199" s="334" t="s">
        <v>1740</v>
      </c>
      <c r="D1199" s="334" t="s">
        <v>535</v>
      </c>
      <c r="E1199" s="335" t="s">
        <v>1741</v>
      </c>
      <c r="F1199" s="336" t="s">
        <v>1742</v>
      </c>
      <c r="G1199" s="337" t="s">
        <v>291</v>
      </c>
      <c r="H1199" s="338">
        <v>1</v>
      </c>
      <c r="I1199" s="111">
        <v>0</v>
      </c>
      <c r="J1199" s="111">
        <f t="shared" si="30"/>
        <v>0</v>
      </c>
      <c r="K1199" s="336" t="s">
        <v>3</v>
      </c>
      <c r="L1199" s="112"/>
      <c r="M1199" s="113" t="s">
        <v>3</v>
      </c>
      <c r="N1199" s="114" t="s">
        <v>39</v>
      </c>
      <c r="O1199" s="85">
        <v>0</v>
      </c>
      <c r="P1199" s="85">
        <f t="shared" si="31"/>
        <v>0</v>
      </c>
      <c r="Q1199" s="85">
        <v>0</v>
      </c>
      <c r="R1199" s="85">
        <f t="shared" si="32"/>
        <v>0</v>
      </c>
      <c r="S1199" s="85">
        <v>0</v>
      </c>
      <c r="T1199" s="86">
        <f t="shared" si="33"/>
        <v>0</v>
      </c>
      <c r="U1199" s="23"/>
      <c r="V1199" s="23"/>
      <c r="W1199" s="23"/>
      <c r="X1199" s="23"/>
      <c r="Y1199" s="23"/>
      <c r="Z1199" s="23"/>
      <c r="AA1199" s="23"/>
      <c r="AB1199" s="23"/>
      <c r="AC1199" s="23"/>
      <c r="AD1199" s="23"/>
      <c r="AE1199" s="23"/>
      <c r="AR1199" s="87" t="s">
        <v>410</v>
      </c>
      <c r="AT1199" s="87" t="s">
        <v>535</v>
      </c>
      <c r="AU1199" s="87" t="s">
        <v>77</v>
      </c>
      <c r="AY1199" s="19" t="s">
        <v>216</v>
      </c>
      <c r="BE1199" s="88">
        <f t="shared" si="34"/>
        <v>0</v>
      </c>
      <c r="BF1199" s="88">
        <f t="shared" si="35"/>
        <v>0</v>
      </c>
      <c r="BG1199" s="88">
        <f t="shared" si="36"/>
        <v>0</v>
      </c>
      <c r="BH1199" s="88">
        <f t="shared" si="37"/>
        <v>0</v>
      </c>
      <c r="BI1199" s="88">
        <f t="shared" si="38"/>
        <v>0</v>
      </c>
      <c r="BJ1199" s="19" t="s">
        <v>75</v>
      </c>
      <c r="BK1199" s="88">
        <f t="shared" si="39"/>
        <v>0</v>
      </c>
      <c r="BL1199" s="19" t="s">
        <v>305</v>
      </c>
      <c r="BM1199" s="87" t="s">
        <v>1743</v>
      </c>
    </row>
    <row r="1200" spans="1:65" s="2" customFormat="1" ht="14.45" customHeight="1">
      <c r="A1200" s="269"/>
      <c r="B1200" s="270"/>
      <c r="C1200" s="334" t="s">
        <v>1744</v>
      </c>
      <c r="D1200" s="334" t="s">
        <v>535</v>
      </c>
      <c r="E1200" s="335" t="s">
        <v>1745</v>
      </c>
      <c r="F1200" s="336" t="s">
        <v>1746</v>
      </c>
      <c r="G1200" s="337" t="s">
        <v>291</v>
      </c>
      <c r="H1200" s="338">
        <v>1</v>
      </c>
      <c r="I1200" s="111">
        <v>0</v>
      </c>
      <c r="J1200" s="111">
        <f t="shared" si="30"/>
        <v>0</v>
      </c>
      <c r="K1200" s="336" t="s">
        <v>3</v>
      </c>
      <c r="L1200" s="112"/>
      <c r="M1200" s="113" t="s">
        <v>3</v>
      </c>
      <c r="N1200" s="114" t="s">
        <v>39</v>
      </c>
      <c r="O1200" s="85">
        <v>0</v>
      </c>
      <c r="P1200" s="85">
        <f t="shared" si="31"/>
        <v>0</v>
      </c>
      <c r="Q1200" s="85">
        <v>0</v>
      </c>
      <c r="R1200" s="85">
        <f t="shared" si="32"/>
        <v>0</v>
      </c>
      <c r="S1200" s="85">
        <v>0</v>
      </c>
      <c r="T1200" s="86">
        <f t="shared" si="33"/>
        <v>0</v>
      </c>
      <c r="U1200" s="23"/>
      <c r="V1200" s="23"/>
      <c r="W1200" s="23"/>
      <c r="X1200" s="23"/>
      <c r="Y1200" s="23"/>
      <c r="Z1200" s="23"/>
      <c r="AA1200" s="23"/>
      <c r="AB1200" s="23"/>
      <c r="AC1200" s="23"/>
      <c r="AD1200" s="23"/>
      <c r="AE1200" s="23"/>
      <c r="AR1200" s="87" t="s">
        <v>410</v>
      </c>
      <c r="AT1200" s="87" t="s">
        <v>535</v>
      </c>
      <c r="AU1200" s="87" t="s">
        <v>77</v>
      </c>
      <c r="AY1200" s="19" t="s">
        <v>216</v>
      </c>
      <c r="BE1200" s="88">
        <f t="shared" si="34"/>
        <v>0</v>
      </c>
      <c r="BF1200" s="88">
        <f t="shared" si="35"/>
        <v>0</v>
      </c>
      <c r="BG1200" s="88">
        <f t="shared" si="36"/>
        <v>0</v>
      </c>
      <c r="BH1200" s="88">
        <f t="shared" si="37"/>
        <v>0</v>
      </c>
      <c r="BI1200" s="88">
        <f t="shared" si="38"/>
        <v>0</v>
      </c>
      <c r="BJ1200" s="19" t="s">
        <v>75</v>
      </c>
      <c r="BK1200" s="88">
        <f t="shared" si="39"/>
        <v>0</v>
      </c>
      <c r="BL1200" s="19" t="s">
        <v>305</v>
      </c>
      <c r="BM1200" s="87" t="s">
        <v>1747</v>
      </c>
    </row>
    <row r="1201" spans="1:65" s="2" customFormat="1" ht="14.45" customHeight="1">
      <c r="A1201" s="269"/>
      <c r="B1201" s="270"/>
      <c r="C1201" s="334" t="s">
        <v>1748</v>
      </c>
      <c r="D1201" s="334" t="s">
        <v>535</v>
      </c>
      <c r="E1201" s="335" t="s">
        <v>1749</v>
      </c>
      <c r="F1201" s="336" t="s">
        <v>1750</v>
      </c>
      <c r="G1201" s="337" t="s">
        <v>291</v>
      </c>
      <c r="H1201" s="338">
        <v>6</v>
      </c>
      <c r="I1201" s="111">
        <v>0</v>
      </c>
      <c r="J1201" s="111">
        <f t="shared" si="30"/>
        <v>0</v>
      </c>
      <c r="K1201" s="336" t="s">
        <v>3</v>
      </c>
      <c r="L1201" s="112"/>
      <c r="M1201" s="113" t="s">
        <v>3</v>
      </c>
      <c r="N1201" s="114" t="s">
        <v>39</v>
      </c>
      <c r="O1201" s="85">
        <v>0</v>
      </c>
      <c r="P1201" s="85">
        <f t="shared" si="31"/>
        <v>0</v>
      </c>
      <c r="Q1201" s="85">
        <v>0</v>
      </c>
      <c r="R1201" s="85">
        <f t="shared" si="32"/>
        <v>0</v>
      </c>
      <c r="S1201" s="85">
        <v>0</v>
      </c>
      <c r="T1201" s="86">
        <f t="shared" si="33"/>
        <v>0</v>
      </c>
      <c r="U1201" s="23"/>
      <c r="V1201" s="23"/>
      <c r="W1201" s="23"/>
      <c r="X1201" s="23"/>
      <c r="Y1201" s="23"/>
      <c r="Z1201" s="23"/>
      <c r="AA1201" s="23"/>
      <c r="AB1201" s="23"/>
      <c r="AC1201" s="23"/>
      <c r="AD1201" s="23"/>
      <c r="AE1201" s="23"/>
      <c r="AR1201" s="87" t="s">
        <v>410</v>
      </c>
      <c r="AT1201" s="87" t="s">
        <v>535</v>
      </c>
      <c r="AU1201" s="87" t="s">
        <v>77</v>
      </c>
      <c r="AY1201" s="19" t="s">
        <v>216</v>
      </c>
      <c r="BE1201" s="88">
        <f t="shared" si="34"/>
        <v>0</v>
      </c>
      <c r="BF1201" s="88">
        <f t="shared" si="35"/>
        <v>0</v>
      </c>
      <c r="BG1201" s="88">
        <f t="shared" si="36"/>
        <v>0</v>
      </c>
      <c r="BH1201" s="88">
        <f t="shared" si="37"/>
        <v>0</v>
      </c>
      <c r="BI1201" s="88">
        <f t="shared" si="38"/>
        <v>0</v>
      </c>
      <c r="BJ1201" s="19" t="s">
        <v>75</v>
      </c>
      <c r="BK1201" s="88">
        <f t="shared" si="39"/>
        <v>0</v>
      </c>
      <c r="BL1201" s="19" t="s">
        <v>305</v>
      </c>
      <c r="BM1201" s="87" t="s">
        <v>1751</v>
      </c>
    </row>
    <row r="1202" spans="1:65" s="12" customFormat="1" ht="25.9" customHeight="1">
      <c r="A1202" s="303"/>
      <c r="B1202" s="304"/>
      <c r="C1202" s="303"/>
      <c r="D1202" s="305" t="s">
        <v>67</v>
      </c>
      <c r="E1202" s="306" t="s">
        <v>1752</v>
      </c>
      <c r="F1202" s="306" t="s">
        <v>1753</v>
      </c>
      <c r="G1202" s="303"/>
      <c r="H1202" s="303"/>
      <c r="I1202" s="256"/>
      <c r="J1202" s="257">
        <f>BK1202</f>
        <v>0</v>
      </c>
      <c r="K1202" s="303"/>
      <c r="L1202" s="74"/>
      <c r="M1202" s="76"/>
      <c r="N1202" s="77"/>
      <c r="O1202" s="77"/>
      <c r="P1202" s="78">
        <f>P1203</f>
        <v>100</v>
      </c>
      <c r="Q1202" s="77"/>
      <c r="R1202" s="78">
        <f>R1203</f>
        <v>0</v>
      </c>
      <c r="S1202" s="77"/>
      <c r="T1202" s="79">
        <f>T1203</f>
        <v>0</v>
      </c>
      <c r="AR1202" s="75" t="s">
        <v>223</v>
      </c>
      <c r="AT1202" s="80" t="s">
        <v>67</v>
      </c>
      <c r="AU1202" s="80" t="s">
        <v>68</v>
      </c>
      <c r="AY1202" s="75" t="s">
        <v>216</v>
      </c>
      <c r="BK1202" s="81">
        <f>BK1203</f>
        <v>0</v>
      </c>
    </row>
    <row r="1203" spans="1:65" s="12" customFormat="1" ht="22.9" customHeight="1">
      <c r="A1203" s="303"/>
      <c r="B1203" s="304"/>
      <c r="C1203" s="303"/>
      <c r="D1203" s="305" t="s">
        <v>67</v>
      </c>
      <c r="E1203" s="307" t="s">
        <v>1752</v>
      </c>
      <c r="F1203" s="307" t="s">
        <v>1753</v>
      </c>
      <c r="G1203" s="303"/>
      <c r="H1203" s="303"/>
      <c r="I1203" s="256"/>
      <c r="J1203" s="258">
        <f>BK1203</f>
        <v>0</v>
      </c>
      <c r="K1203" s="303"/>
      <c r="L1203" s="74"/>
      <c r="M1203" s="76"/>
      <c r="N1203" s="77"/>
      <c r="O1203" s="77"/>
      <c r="P1203" s="78">
        <f>P1204</f>
        <v>100</v>
      </c>
      <c r="Q1203" s="77"/>
      <c r="R1203" s="78">
        <f>R1204</f>
        <v>0</v>
      </c>
      <c r="S1203" s="77"/>
      <c r="T1203" s="79">
        <f>T1204</f>
        <v>0</v>
      </c>
      <c r="AR1203" s="75" t="s">
        <v>223</v>
      </c>
      <c r="AT1203" s="80" t="s">
        <v>67</v>
      </c>
      <c r="AU1203" s="80" t="s">
        <v>75</v>
      </c>
      <c r="AY1203" s="75" t="s">
        <v>216</v>
      </c>
      <c r="BK1203" s="81">
        <f>BK1204</f>
        <v>0</v>
      </c>
    </row>
    <row r="1204" spans="1:65" s="2" customFormat="1" ht="21.6" customHeight="1">
      <c r="A1204" s="269"/>
      <c r="B1204" s="270"/>
      <c r="C1204" s="308" t="s">
        <v>1754</v>
      </c>
      <c r="D1204" s="308" t="s">
        <v>218</v>
      </c>
      <c r="E1204" s="309" t="s">
        <v>1755</v>
      </c>
      <c r="F1204" s="310" t="s">
        <v>1756</v>
      </c>
      <c r="G1204" s="311" t="s">
        <v>933</v>
      </c>
      <c r="H1204" s="312">
        <v>100</v>
      </c>
      <c r="I1204" s="82">
        <v>0</v>
      </c>
      <c r="J1204" s="82">
        <f>ROUND(I1204*H1204,2)</f>
        <v>0</v>
      </c>
      <c r="K1204" s="310" t="s">
        <v>222</v>
      </c>
      <c r="L1204" s="24"/>
      <c r="M1204" s="115" t="s">
        <v>3</v>
      </c>
      <c r="N1204" s="116" t="s">
        <v>39</v>
      </c>
      <c r="O1204" s="117">
        <v>1</v>
      </c>
      <c r="P1204" s="117">
        <f>O1204*H1204</f>
        <v>100</v>
      </c>
      <c r="Q1204" s="117">
        <v>0</v>
      </c>
      <c r="R1204" s="117">
        <f>Q1204*H1204</f>
        <v>0</v>
      </c>
      <c r="S1204" s="117">
        <v>0</v>
      </c>
      <c r="T1204" s="118">
        <f>S1204*H1204</f>
        <v>0</v>
      </c>
      <c r="U1204" s="23"/>
      <c r="V1204" s="23"/>
      <c r="W1204" s="23"/>
      <c r="X1204" s="23"/>
      <c r="Y1204" s="23"/>
      <c r="Z1204" s="23"/>
      <c r="AA1204" s="23"/>
      <c r="AB1204" s="23"/>
      <c r="AC1204" s="23"/>
      <c r="AD1204" s="23"/>
      <c r="AE1204" s="23"/>
      <c r="AR1204" s="87" t="s">
        <v>1757</v>
      </c>
      <c r="AT1204" s="87" t="s">
        <v>218</v>
      </c>
      <c r="AU1204" s="87" t="s">
        <v>77</v>
      </c>
      <c r="AY1204" s="19" t="s">
        <v>216</v>
      </c>
      <c r="BE1204" s="88">
        <f>IF(N1204="základní",J1204,0)</f>
        <v>0</v>
      </c>
      <c r="BF1204" s="88">
        <f>IF(N1204="snížená",J1204,0)</f>
        <v>0</v>
      </c>
      <c r="BG1204" s="88">
        <f>IF(N1204="zákl. přenesená",J1204,0)</f>
        <v>0</v>
      </c>
      <c r="BH1204" s="88">
        <f>IF(N1204="sníž. přenesená",J1204,0)</f>
        <v>0</v>
      </c>
      <c r="BI1204" s="88">
        <f>IF(N1204="nulová",J1204,0)</f>
        <v>0</v>
      </c>
      <c r="BJ1204" s="19" t="s">
        <v>75</v>
      </c>
      <c r="BK1204" s="88">
        <f>ROUND(I1204*H1204,2)</f>
        <v>0</v>
      </c>
      <c r="BL1204" s="19" t="s">
        <v>1757</v>
      </c>
      <c r="BM1204" s="87" t="s">
        <v>1758</v>
      </c>
    </row>
    <row r="1205" spans="1:65" s="2" customFormat="1" ht="6.95" customHeight="1">
      <c r="A1205" s="23"/>
      <c r="B1205" s="26"/>
      <c r="C1205" s="27"/>
      <c r="D1205" s="27"/>
      <c r="E1205" s="251"/>
      <c r="F1205" s="251"/>
      <c r="G1205" s="251"/>
      <c r="H1205" s="251"/>
      <c r="I1205" s="251"/>
      <c r="J1205" s="251"/>
      <c r="K1205" s="251"/>
      <c r="L1205" s="24"/>
      <c r="M1205" s="23"/>
      <c r="O1205" s="23"/>
      <c r="P1205" s="23"/>
      <c r="Q1205" s="23"/>
      <c r="R1205" s="23"/>
      <c r="S1205" s="23"/>
      <c r="T1205" s="23"/>
      <c r="U1205" s="23"/>
      <c r="V1205" s="23"/>
      <c r="W1205" s="23"/>
      <c r="X1205" s="23"/>
      <c r="Y1205" s="23"/>
      <c r="Z1205" s="23"/>
      <c r="AA1205" s="23"/>
      <c r="AB1205" s="23"/>
      <c r="AC1205" s="23"/>
      <c r="AD1205" s="23"/>
      <c r="AE1205" s="23"/>
    </row>
  </sheetData>
  <sheetProtection password="C971" sheet="1" objects="1" scenarios="1"/>
  <autoFilter ref="C114:K1204"/>
  <mergeCells count="12">
    <mergeCell ref="E107:H107"/>
    <mergeCell ref="L2:V2"/>
    <mergeCell ref="E50:H50"/>
    <mergeCell ref="E52:H52"/>
    <mergeCell ref="E54:H54"/>
    <mergeCell ref="E103:H103"/>
    <mergeCell ref="E105:H10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M91"/>
  <sheetViews>
    <sheetView showGridLines="0" topLeftCell="A67" workbookViewId="0">
      <selection activeCell="F90" sqref="F90"/>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88</v>
      </c>
    </row>
    <row r="3" spans="1:46" s="1" customFormat="1" ht="6.95" customHeight="1">
      <c r="A3" s="61"/>
      <c r="B3" s="263"/>
      <c r="C3" s="264"/>
      <c r="D3" s="264"/>
      <c r="E3" s="264"/>
      <c r="F3" s="264"/>
      <c r="G3" s="264"/>
      <c r="H3" s="264"/>
      <c r="I3" s="264"/>
      <c r="J3" s="264"/>
      <c r="K3" s="264"/>
      <c r="L3" s="20"/>
      <c r="AT3" s="19" t="s">
        <v>77</v>
      </c>
    </row>
    <row r="4" spans="1:46" s="1" customFormat="1" ht="24.95" customHeight="1">
      <c r="A4" s="61"/>
      <c r="B4" s="265"/>
      <c r="C4" s="61"/>
      <c r="D4" s="266" t="s">
        <v>142</v>
      </c>
      <c r="E4" s="61"/>
      <c r="F4" s="61"/>
      <c r="G4" s="61"/>
      <c r="H4" s="61"/>
      <c r="I4" s="61"/>
      <c r="J4" s="61"/>
      <c r="K4" s="61"/>
      <c r="L4" s="20"/>
      <c r="M4" s="63" t="s">
        <v>11</v>
      </c>
      <c r="AT4" s="19" t="s">
        <v>4</v>
      </c>
    </row>
    <row r="5" spans="1:46" s="1" customFormat="1" ht="6.95" customHeight="1">
      <c r="A5" s="61"/>
      <c r="B5" s="265"/>
      <c r="C5" s="61"/>
      <c r="D5" s="61"/>
      <c r="E5" s="61"/>
      <c r="F5" s="61"/>
      <c r="G5" s="61"/>
      <c r="H5" s="61"/>
      <c r="I5" s="61"/>
      <c r="J5" s="61"/>
      <c r="K5" s="61"/>
      <c r="L5" s="20"/>
    </row>
    <row r="6" spans="1:46" s="1" customFormat="1" ht="12" customHeight="1">
      <c r="A6" s="61"/>
      <c r="B6" s="265"/>
      <c r="C6" s="61"/>
      <c r="D6" s="268" t="s">
        <v>15</v>
      </c>
      <c r="E6" s="61"/>
      <c r="F6" s="61"/>
      <c r="G6" s="61"/>
      <c r="H6" s="61"/>
      <c r="I6" s="61"/>
      <c r="J6" s="61"/>
      <c r="K6" s="61"/>
      <c r="L6" s="20"/>
    </row>
    <row r="7" spans="1:46" s="1" customFormat="1" ht="14.45" customHeight="1">
      <c r="A7" s="61"/>
      <c r="B7" s="265"/>
      <c r="C7" s="61"/>
      <c r="D7" s="61"/>
      <c r="E7" s="722" t="str">
        <f>'Rekapitulace stavby'!K6</f>
        <v>Úpravy gastroprovozu Úřadu vlády ČR v 1.pp Strakovy akademie</v>
      </c>
      <c r="F7" s="723"/>
      <c r="G7" s="723"/>
      <c r="H7" s="723"/>
      <c r="I7" s="61"/>
      <c r="J7" s="61"/>
      <c r="K7" s="61"/>
      <c r="L7" s="20"/>
    </row>
    <row r="8" spans="1:46" s="1" customFormat="1" ht="12" customHeight="1">
      <c r="A8" s="61"/>
      <c r="B8" s="265"/>
      <c r="C8" s="61"/>
      <c r="D8" s="268" t="s">
        <v>151</v>
      </c>
      <c r="E8" s="61"/>
      <c r="F8" s="61"/>
      <c r="G8" s="61"/>
      <c r="H8" s="61"/>
      <c r="I8" s="61"/>
      <c r="J8" s="61"/>
      <c r="K8" s="61"/>
      <c r="L8" s="20"/>
    </row>
    <row r="9" spans="1:46" s="2" customFormat="1" ht="14.45" customHeight="1">
      <c r="A9" s="271"/>
      <c r="B9" s="270"/>
      <c r="C9" s="271"/>
      <c r="D9" s="271"/>
      <c r="E9" s="722" t="s">
        <v>1759</v>
      </c>
      <c r="F9" s="721"/>
      <c r="G9" s="721"/>
      <c r="H9" s="721"/>
      <c r="I9" s="271"/>
      <c r="J9" s="271"/>
      <c r="K9" s="271"/>
      <c r="L9" s="64"/>
      <c r="S9" s="23"/>
      <c r="T9" s="23"/>
      <c r="U9" s="23"/>
      <c r="V9" s="23"/>
      <c r="W9" s="23"/>
      <c r="X9" s="23"/>
      <c r="Y9" s="23"/>
      <c r="Z9" s="23"/>
      <c r="AA9" s="23"/>
      <c r="AB9" s="23"/>
      <c r="AC9" s="23"/>
      <c r="AD9" s="23"/>
      <c r="AE9" s="23"/>
    </row>
    <row r="10" spans="1:46" s="2" customFormat="1" ht="12" customHeight="1">
      <c r="A10" s="271"/>
      <c r="B10" s="270"/>
      <c r="C10" s="271"/>
      <c r="D10" s="268" t="s">
        <v>157</v>
      </c>
      <c r="E10" s="271"/>
      <c r="F10" s="271"/>
      <c r="G10" s="271"/>
      <c r="H10" s="271"/>
      <c r="I10" s="271"/>
      <c r="J10" s="271"/>
      <c r="K10" s="271"/>
      <c r="L10" s="64"/>
      <c r="S10" s="23"/>
      <c r="T10" s="23"/>
      <c r="U10" s="23"/>
      <c r="V10" s="23"/>
      <c r="W10" s="23"/>
      <c r="X10" s="23"/>
      <c r="Y10" s="23"/>
      <c r="Z10" s="23"/>
      <c r="AA10" s="23"/>
      <c r="AB10" s="23"/>
      <c r="AC10" s="23"/>
      <c r="AD10" s="23"/>
      <c r="AE10" s="23"/>
    </row>
    <row r="11" spans="1:46" s="2" customFormat="1" ht="14.45" customHeight="1">
      <c r="A11" s="271"/>
      <c r="B11" s="270"/>
      <c r="C11" s="271"/>
      <c r="D11" s="271"/>
      <c r="E11" s="689" t="s">
        <v>1760</v>
      </c>
      <c r="F11" s="721"/>
      <c r="G11" s="721"/>
      <c r="H11" s="721"/>
      <c r="I11" s="271"/>
      <c r="J11" s="271"/>
      <c r="K11" s="271"/>
      <c r="L11" s="64"/>
      <c r="S11" s="23"/>
      <c r="T11" s="23"/>
      <c r="U11" s="23"/>
      <c r="V11" s="23"/>
      <c r="W11" s="23"/>
      <c r="X11" s="23"/>
      <c r="Y11" s="23"/>
      <c r="Z11" s="23"/>
      <c r="AA11" s="23"/>
      <c r="AB11" s="23"/>
      <c r="AC11" s="23"/>
      <c r="AD11" s="23"/>
      <c r="AE11" s="23"/>
    </row>
    <row r="12" spans="1:46" s="2" customFormat="1">
      <c r="A12" s="271"/>
      <c r="B12" s="270"/>
      <c r="C12" s="271"/>
      <c r="D12" s="271"/>
      <c r="E12" s="271"/>
      <c r="F12" s="271"/>
      <c r="G12" s="271"/>
      <c r="H12" s="271"/>
      <c r="I12" s="271"/>
      <c r="J12" s="271"/>
      <c r="K12" s="271"/>
      <c r="L12" s="64"/>
      <c r="S12" s="23"/>
      <c r="T12" s="23"/>
      <c r="U12" s="23"/>
      <c r="V12" s="23"/>
      <c r="W12" s="23"/>
      <c r="X12" s="23"/>
      <c r="Y12" s="23"/>
      <c r="Z12" s="23"/>
      <c r="AA12" s="23"/>
      <c r="AB12" s="23"/>
      <c r="AC12" s="23"/>
      <c r="AD12" s="23"/>
      <c r="AE12" s="23"/>
    </row>
    <row r="13" spans="1:46" s="2" customFormat="1" ht="12" customHeight="1">
      <c r="A13" s="271"/>
      <c r="B13" s="270"/>
      <c r="C13" s="271"/>
      <c r="D13" s="268" t="s">
        <v>17</v>
      </c>
      <c r="E13" s="271"/>
      <c r="F13" s="273" t="s">
        <v>3</v>
      </c>
      <c r="G13" s="271"/>
      <c r="H13" s="271"/>
      <c r="I13" s="268" t="s">
        <v>18</v>
      </c>
      <c r="J13" s="273" t="s">
        <v>3</v>
      </c>
      <c r="K13" s="271"/>
      <c r="L13" s="64"/>
      <c r="S13" s="23"/>
      <c r="T13" s="23"/>
      <c r="U13" s="23"/>
      <c r="V13" s="23"/>
      <c r="W13" s="23"/>
      <c r="X13" s="23"/>
      <c r="Y13" s="23"/>
      <c r="Z13" s="23"/>
      <c r="AA13" s="23"/>
      <c r="AB13" s="23"/>
      <c r="AC13" s="23"/>
      <c r="AD13" s="23"/>
      <c r="AE13" s="23"/>
    </row>
    <row r="14" spans="1:46" s="2" customFormat="1" ht="12" customHeight="1">
      <c r="A14" s="271"/>
      <c r="B14" s="270"/>
      <c r="C14" s="271"/>
      <c r="D14" s="268" t="s">
        <v>19</v>
      </c>
      <c r="E14" s="271"/>
      <c r="F14" s="273" t="s">
        <v>27</v>
      </c>
      <c r="G14" s="271"/>
      <c r="H14" s="271"/>
      <c r="I14" s="268" t="s">
        <v>21</v>
      </c>
      <c r="J14" s="387">
        <f>'Rekapitulace stavby'!AN8</f>
        <v>44077</v>
      </c>
      <c r="K14" s="271"/>
      <c r="L14" s="64"/>
      <c r="S14" s="23"/>
      <c r="T14" s="23"/>
      <c r="U14" s="23"/>
      <c r="V14" s="23"/>
      <c r="W14" s="23"/>
      <c r="X14" s="23"/>
      <c r="Y14" s="23"/>
      <c r="Z14" s="23"/>
      <c r="AA14" s="23"/>
      <c r="AB14" s="23"/>
      <c r="AC14" s="23"/>
      <c r="AD14" s="23"/>
      <c r="AE14" s="23"/>
    </row>
    <row r="15" spans="1:46" s="2" customFormat="1" ht="10.9" customHeight="1">
      <c r="A15" s="271"/>
      <c r="B15" s="270"/>
      <c r="C15" s="271"/>
      <c r="D15" s="271"/>
      <c r="E15" s="271"/>
      <c r="F15" s="271"/>
      <c r="G15" s="271"/>
      <c r="H15" s="271"/>
      <c r="I15" s="271"/>
      <c r="J15" s="271"/>
      <c r="K15" s="271"/>
      <c r="L15" s="64"/>
      <c r="S15" s="23"/>
      <c r="T15" s="23"/>
      <c r="U15" s="23"/>
      <c r="V15" s="23"/>
      <c r="W15" s="23"/>
      <c r="X15" s="23"/>
      <c r="Y15" s="23"/>
      <c r="Z15" s="23"/>
      <c r="AA15" s="23"/>
      <c r="AB15" s="23"/>
      <c r="AC15" s="23"/>
      <c r="AD15" s="23"/>
      <c r="AE15" s="23"/>
    </row>
    <row r="16" spans="1:46" s="2" customFormat="1" ht="12" customHeight="1">
      <c r="A16" s="271"/>
      <c r="B16" s="270"/>
      <c r="C16" s="271"/>
      <c r="D16" s="268" t="s">
        <v>22</v>
      </c>
      <c r="E16" s="271"/>
      <c r="F16" s="271"/>
      <c r="G16" s="271"/>
      <c r="H16" s="271"/>
      <c r="I16" s="268" t="s">
        <v>23</v>
      </c>
      <c r="J16" s="273" t="s">
        <v>3</v>
      </c>
      <c r="K16" s="271"/>
      <c r="L16" s="64"/>
      <c r="S16" s="23"/>
      <c r="T16" s="23"/>
      <c r="U16" s="23"/>
      <c r="V16" s="23"/>
      <c r="W16" s="23"/>
      <c r="X16" s="23"/>
      <c r="Y16" s="23"/>
      <c r="Z16" s="23"/>
      <c r="AA16" s="23"/>
      <c r="AB16" s="23"/>
      <c r="AC16" s="23"/>
      <c r="AD16" s="23"/>
      <c r="AE16" s="23"/>
    </row>
    <row r="17" spans="1:31" s="2" customFormat="1" ht="18" customHeight="1">
      <c r="A17" s="271"/>
      <c r="B17" s="270"/>
      <c r="C17" s="271"/>
      <c r="D17" s="271"/>
      <c r="E17" s="273" t="s">
        <v>24</v>
      </c>
      <c r="F17" s="271"/>
      <c r="G17" s="271"/>
      <c r="H17" s="271"/>
      <c r="I17" s="268" t="s">
        <v>25</v>
      </c>
      <c r="J17" s="273" t="s">
        <v>3</v>
      </c>
      <c r="K17" s="271"/>
      <c r="L17" s="64"/>
      <c r="S17" s="23"/>
      <c r="T17" s="23"/>
      <c r="U17" s="23"/>
      <c r="V17" s="23"/>
      <c r="W17" s="23"/>
      <c r="X17" s="23"/>
      <c r="Y17" s="23"/>
      <c r="Z17" s="23"/>
      <c r="AA17" s="23"/>
      <c r="AB17" s="23"/>
      <c r="AC17" s="23"/>
      <c r="AD17" s="23"/>
      <c r="AE17" s="23"/>
    </row>
    <row r="18" spans="1:31" s="2" customFormat="1" ht="6.95" customHeight="1">
      <c r="A18" s="271"/>
      <c r="B18" s="270"/>
      <c r="C18" s="271"/>
      <c r="D18" s="271"/>
      <c r="E18" s="271"/>
      <c r="F18" s="271"/>
      <c r="G18" s="271"/>
      <c r="H18" s="271"/>
      <c r="I18" s="271"/>
      <c r="J18" s="271"/>
      <c r="K18" s="271"/>
      <c r="L18" s="64"/>
      <c r="S18" s="23"/>
      <c r="T18" s="23"/>
      <c r="U18" s="23"/>
      <c r="V18" s="23"/>
      <c r="W18" s="23"/>
      <c r="X18" s="23"/>
      <c r="Y18" s="23"/>
      <c r="Z18" s="23"/>
      <c r="AA18" s="23"/>
      <c r="AB18" s="23"/>
      <c r="AC18" s="23"/>
      <c r="AD18" s="23"/>
      <c r="AE18" s="23"/>
    </row>
    <row r="19" spans="1:31" s="2" customFormat="1" ht="12" customHeight="1">
      <c r="A19" s="271"/>
      <c r="B19" s="270"/>
      <c r="C19" s="271"/>
      <c r="D19" s="268" t="s">
        <v>26</v>
      </c>
      <c r="E19" s="271"/>
      <c r="F19" s="271"/>
      <c r="G19" s="271"/>
      <c r="H19" s="271"/>
      <c r="I19" s="268" t="s">
        <v>23</v>
      </c>
      <c r="J19" s="273" t="str">
        <f>'Rekapitulace stavby'!AN13</f>
        <v/>
      </c>
      <c r="K19" s="271"/>
      <c r="L19" s="64"/>
      <c r="S19" s="23"/>
      <c r="T19" s="23"/>
      <c r="U19" s="23"/>
      <c r="V19" s="23"/>
      <c r="W19" s="23"/>
      <c r="X19" s="23"/>
      <c r="Y19" s="23"/>
      <c r="Z19" s="23"/>
      <c r="AA19" s="23"/>
      <c r="AB19" s="23"/>
      <c r="AC19" s="23"/>
      <c r="AD19" s="23"/>
      <c r="AE19" s="23"/>
    </row>
    <row r="20" spans="1:31" s="2" customFormat="1" ht="18" customHeight="1">
      <c r="A20" s="271"/>
      <c r="B20" s="270"/>
      <c r="C20" s="271"/>
      <c r="D20" s="271"/>
      <c r="E20" s="714" t="str">
        <f>'Rekapitulace stavby'!E14</f>
        <v xml:space="preserve"> </v>
      </c>
      <c r="F20" s="714"/>
      <c r="G20" s="714"/>
      <c r="H20" s="714"/>
      <c r="I20" s="268" t="s">
        <v>25</v>
      </c>
      <c r="J20" s="273" t="str">
        <f>'Rekapitulace stavby'!AN14</f>
        <v/>
      </c>
      <c r="K20" s="271"/>
      <c r="L20" s="64"/>
      <c r="S20" s="23"/>
      <c r="T20" s="23"/>
      <c r="U20" s="23"/>
      <c r="V20" s="23"/>
      <c r="W20" s="23"/>
      <c r="X20" s="23"/>
      <c r="Y20" s="23"/>
      <c r="Z20" s="23"/>
      <c r="AA20" s="23"/>
      <c r="AB20" s="23"/>
      <c r="AC20" s="23"/>
      <c r="AD20" s="23"/>
      <c r="AE20" s="23"/>
    </row>
    <row r="21" spans="1:31" s="2" customFormat="1" ht="6.95" customHeight="1">
      <c r="A21" s="271"/>
      <c r="B21" s="270"/>
      <c r="C21" s="271"/>
      <c r="D21" s="271"/>
      <c r="E21" s="271"/>
      <c r="F21" s="271"/>
      <c r="G21" s="271"/>
      <c r="H21" s="271"/>
      <c r="I21" s="271"/>
      <c r="J21" s="271"/>
      <c r="K21" s="271"/>
      <c r="L21" s="64"/>
      <c r="S21" s="23"/>
      <c r="T21" s="23"/>
      <c r="U21" s="23"/>
      <c r="V21" s="23"/>
      <c r="W21" s="23"/>
      <c r="X21" s="23"/>
      <c r="Y21" s="23"/>
      <c r="Z21" s="23"/>
      <c r="AA21" s="23"/>
      <c r="AB21" s="23"/>
      <c r="AC21" s="23"/>
      <c r="AD21" s="23"/>
      <c r="AE21" s="23"/>
    </row>
    <row r="22" spans="1:31" s="2" customFormat="1" ht="12" customHeight="1">
      <c r="A22" s="271"/>
      <c r="B22" s="270"/>
      <c r="C22" s="271"/>
      <c r="D22" s="268" t="s">
        <v>28</v>
      </c>
      <c r="E22" s="271"/>
      <c r="F22" s="271"/>
      <c r="G22" s="271"/>
      <c r="H22" s="271"/>
      <c r="I22" s="268" t="s">
        <v>23</v>
      </c>
      <c r="J22" s="273" t="s">
        <v>3</v>
      </c>
      <c r="K22" s="271"/>
      <c r="L22" s="64"/>
      <c r="S22" s="23"/>
      <c r="T22" s="23"/>
      <c r="U22" s="23"/>
      <c r="V22" s="23"/>
      <c r="W22" s="23"/>
      <c r="X22" s="23"/>
      <c r="Y22" s="23"/>
      <c r="Z22" s="23"/>
      <c r="AA22" s="23"/>
      <c r="AB22" s="23"/>
      <c r="AC22" s="23"/>
      <c r="AD22" s="23"/>
      <c r="AE22" s="23"/>
    </row>
    <row r="23" spans="1:31" s="2" customFormat="1" ht="18" customHeight="1">
      <c r="A23" s="271"/>
      <c r="B23" s="270"/>
      <c r="C23" s="271"/>
      <c r="D23" s="271"/>
      <c r="E23" s="273" t="s">
        <v>29</v>
      </c>
      <c r="F23" s="271"/>
      <c r="G23" s="271"/>
      <c r="H23" s="271"/>
      <c r="I23" s="268" t="s">
        <v>25</v>
      </c>
      <c r="J23" s="273" t="s">
        <v>3</v>
      </c>
      <c r="K23" s="271"/>
      <c r="L23" s="64"/>
      <c r="S23" s="23"/>
      <c r="T23" s="23"/>
      <c r="U23" s="23"/>
      <c r="V23" s="23"/>
      <c r="W23" s="23"/>
      <c r="X23" s="23"/>
      <c r="Y23" s="23"/>
      <c r="Z23" s="23"/>
      <c r="AA23" s="23"/>
      <c r="AB23" s="23"/>
      <c r="AC23" s="23"/>
      <c r="AD23" s="23"/>
      <c r="AE23" s="23"/>
    </row>
    <row r="24" spans="1:31" s="2" customFormat="1" ht="6.95" customHeight="1">
      <c r="A24" s="271"/>
      <c r="B24" s="270"/>
      <c r="C24" s="271"/>
      <c r="D24" s="271"/>
      <c r="E24" s="271"/>
      <c r="F24" s="271"/>
      <c r="G24" s="271"/>
      <c r="H24" s="271"/>
      <c r="I24" s="271"/>
      <c r="J24" s="271"/>
      <c r="K24" s="271"/>
      <c r="L24" s="64"/>
      <c r="S24" s="23"/>
      <c r="T24" s="23"/>
      <c r="U24" s="23"/>
      <c r="V24" s="23"/>
      <c r="W24" s="23"/>
      <c r="X24" s="23"/>
      <c r="Y24" s="23"/>
      <c r="Z24" s="23"/>
      <c r="AA24" s="23"/>
      <c r="AB24" s="23"/>
      <c r="AC24" s="23"/>
      <c r="AD24" s="23"/>
      <c r="AE24" s="23"/>
    </row>
    <row r="25" spans="1:31" s="2" customFormat="1" ht="12" customHeight="1">
      <c r="A25" s="271"/>
      <c r="B25" s="270"/>
      <c r="C25" s="271"/>
      <c r="D25" s="268" t="s">
        <v>31</v>
      </c>
      <c r="E25" s="271"/>
      <c r="F25" s="271"/>
      <c r="G25" s="271"/>
      <c r="H25" s="271"/>
      <c r="I25" s="268" t="s">
        <v>23</v>
      </c>
      <c r="J25" s="273" t="s">
        <v>3</v>
      </c>
      <c r="K25" s="271"/>
      <c r="L25" s="64"/>
      <c r="S25" s="23"/>
      <c r="T25" s="23"/>
      <c r="U25" s="23"/>
      <c r="V25" s="23"/>
      <c r="W25" s="23"/>
      <c r="X25" s="23"/>
      <c r="Y25" s="23"/>
      <c r="Z25" s="23"/>
      <c r="AA25" s="23"/>
      <c r="AB25" s="23"/>
      <c r="AC25" s="23"/>
      <c r="AD25" s="23"/>
      <c r="AE25" s="23"/>
    </row>
    <row r="26" spans="1:31" s="2" customFormat="1" ht="18" customHeight="1">
      <c r="A26" s="271"/>
      <c r="B26" s="270"/>
      <c r="C26" s="271"/>
      <c r="D26" s="271"/>
      <c r="E26" s="273" t="s">
        <v>29</v>
      </c>
      <c r="F26" s="271"/>
      <c r="G26" s="271"/>
      <c r="H26" s="271"/>
      <c r="I26" s="268" t="s">
        <v>25</v>
      </c>
      <c r="J26" s="273" t="s">
        <v>3</v>
      </c>
      <c r="K26" s="271"/>
      <c r="L26" s="64"/>
      <c r="S26" s="23"/>
      <c r="T26" s="23"/>
      <c r="U26" s="23"/>
      <c r="V26" s="23"/>
      <c r="W26" s="23"/>
      <c r="X26" s="23"/>
      <c r="Y26" s="23"/>
      <c r="Z26" s="23"/>
      <c r="AA26" s="23"/>
      <c r="AB26" s="23"/>
      <c r="AC26" s="23"/>
      <c r="AD26" s="23"/>
      <c r="AE26" s="23"/>
    </row>
    <row r="27" spans="1:31" s="2" customFormat="1" ht="6.95" customHeight="1">
      <c r="A27" s="271"/>
      <c r="B27" s="270"/>
      <c r="C27" s="271"/>
      <c r="D27" s="271"/>
      <c r="E27" s="271"/>
      <c r="F27" s="271"/>
      <c r="G27" s="271"/>
      <c r="H27" s="271"/>
      <c r="I27" s="271"/>
      <c r="J27" s="271"/>
      <c r="K27" s="271"/>
      <c r="L27" s="64"/>
      <c r="S27" s="23"/>
      <c r="T27" s="23"/>
      <c r="U27" s="23"/>
      <c r="V27" s="23"/>
      <c r="W27" s="23"/>
      <c r="X27" s="23"/>
      <c r="Y27" s="23"/>
      <c r="Z27" s="23"/>
      <c r="AA27" s="23"/>
      <c r="AB27" s="23"/>
      <c r="AC27" s="23"/>
      <c r="AD27" s="23"/>
      <c r="AE27" s="23"/>
    </row>
    <row r="28" spans="1:31" s="2" customFormat="1" ht="12" customHeight="1">
      <c r="A28" s="271"/>
      <c r="B28" s="270"/>
      <c r="C28" s="271"/>
      <c r="D28" s="268" t="s">
        <v>32</v>
      </c>
      <c r="E28" s="271"/>
      <c r="F28" s="271"/>
      <c r="G28" s="271"/>
      <c r="H28" s="271"/>
      <c r="I28" s="271"/>
      <c r="J28" s="271"/>
      <c r="K28" s="271"/>
      <c r="L28" s="64"/>
      <c r="S28" s="23"/>
      <c r="T28" s="23"/>
      <c r="U28" s="23"/>
      <c r="V28" s="23"/>
      <c r="W28" s="23"/>
      <c r="X28" s="23"/>
      <c r="Y28" s="23"/>
      <c r="Z28" s="23"/>
      <c r="AA28" s="23"/>
      <c r="AB28" s="23"/>
      <c r="AC28" s="23"/>
      <c r="AD28" s="23"/>
      <c r="AE28" s="23"/>
    </row>
    <row r="29" spans="1:31" s="8" customFormat="1" ht="14.45" customHeight="1">
      <c r="A29" s="274"/>
      <c r="B29" s="275"/>
      <c r="C29" s="274"/>
      <c r="D29" s="274"/>
      <c r="E29" s="707" t="s">
        <v>3</v>
      </c>
      <c r="F29" s="707"/>
      <c r="G29" s="707"/>
      <c r="H29" s="707"/>
      <c r="I29" s="274"/>
      <c r="J29" s="274"/>
      <c r="K29" s="274"/>
      <c r="L29" s="66"/>
      <c r="S29" s="65"/>
      <c r="T29" s="65"/>
      <c r="U29" s="65"/>
      <c r="V29" s="65"/>
      <c r="W29" s="65"/>
      <c r="X29" s="65"/>
      <c r="Y29" s="65"/>
      <c r="Z29" s="65"/>
      <c r="AA29" s="65"/>
      <c r="AB29" s="65"/>
      <c r="AC29" s="65"/>
      <c r="AD29" s="65"/>
      <c r="AE29" s="65"/>
    </row>
    <row r="30" spans="1:31" s="2" customFormat="1" ht="6.95" customHeight="1">
      <c r="A30" s="271"/>
      <c r="B30" s="270"/>
      <c r="C30" s="271"/>
      <c r="D30" s="271"/>
      <c r="E30" s="271"/>
      <c r="F30" s="271"/>
      <c r="G30" s="271"/>
      <c r="H30" s="271"/>
      <c r="I30" s="271"/>
      <c r="J30" s="271"/>
      <c r="K30" s="271"/>
      <c r="L30" s="64"/>
      <c r="S30" s="23"/>
      <c r="T30" s="23"/>
      <c r="U30" s="23"/>
      <c r="V30" s="23"/>
      <c r="W30" s="23"/>
      <c r="X30" s="23"/>
      <c r="Y30" s="23"/>
      <c r="Z30" s="23"/>
      <c r="AA30" s="23"/>
      <c r="AB30" s="23"/>
      <c r="AC30" s="23"/>
      <c r="AD30" s="23"/>
      <c r="AE30" s="23"/>
    </row>
    <row r="31" spans="1:31" s="2" customFormat="1" ht="6.95" customHeight="1">
      <c r="A31" s="271"/>
      <c r="B31" s="270"/>
      <c r="C31" s="271"/>
      <c r="D31" s="276"/>
      <c r="E31" s="276"/>
      <c r="F31" s="276"/>
      <c r="G31" s="276"/>
      <c r="H31" s="276"/>
      <c r="I31" s="276"/>
      <c r="J31" s="276"/>
      <c r="K31" s="276"/>
      <c r="L31" s="64"/>
      <c r="S31" s="23"/>
      <c r="T31" s="23"/>
      <c r="U31" s="23"/>
      <c r="V31" s="23"/>
      <c r="W31" s="23"/>
      <c r="X31" s="23"/>
      <c r="Y31" s="23"/>
      <c r="Z31" s="23"/>
      <c r="AA31" s="23"/>
      <c r="AB31" s="23"/>
      <c r="AC31" s="23"/>
      <c r="AD31" s="23"/>
      <c r="AE31" s="23"/>
    </row>
    <row r="32" spans="1:31" s="2" customFormat="1" ht="25.35" customHeight="1">
      <c r="A32" s="271"/>
      <c r="B32" s="270"/>
      <c r="C32" s="271"/>
      <c r="D32" s="277" t="s">
        <v>34</v>
      </c>
      <c r="E32" s="271"/>
      <c r="F32" s="271"/>
      <c r="G32" s="271"/>
      <c r="H32" s="271"/>
      <c r="I32" s="271"/>
      <c r="J32" s="388">
        <f>ROUND(J87, 2)</f>
        <v>0</v>
      </c>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14.45" customHeight="1">
      <c r="A34" s="271"/>
      <c r="B34" s="270"/>
      <c r="C34" s="271"/>
      <c r="D34" s="271"/>
      <c r="E34" s="271"/>
      <c r="F34" s="278" t="s">
        <v>36</v>
      </c>
      <c r="G34" s="271"/>
      <c r="H34" s="271"/>
      <c r="I34" s="278" t="s">
        <v>35</v>
      </c>
      <c r="J34" s="278" t="s">
        <v>37</v>
      </c>
      <c r="K34" s="271"/>
      <c r="L34" s="64"/>
      <c r="S34" s="23"/>
      <c r="T34" s="23"/>
      <c r="U34" s="23"/>
      <c r="V34" s="23"/>
      <c r="W34" s="23"/>
      <c r="X34" s="23"/>
      <c r="Y34" s="23"/>
      <c r="Z34" s="23"/>
      <c r="AA34" s="23"/>
      <c r="AB34" s="23"/>
      <c r="AC34" s="23"/>
      <c r="AD34" s="23"/>
      <c r="AE34" s="23"/>
    </row>
    <row r="35" spans="1:31" s="2" customFormat="1" ht="14.45" customHeight="1">
      <c r="A35" s="271"/>
      <c r="B35" s="270"/>
      <c r="C35" s="271"/>
      <c r="D35" s="279" t="s">
        <v>38</v>
      </c>
      <c r="E35" s="268" t="s">
        <v>39</v>
      </c>
      <c r="F35" s="280">
        <f>ROUND((SUM(BE87:BE90)),  2)</f>
        <v>0</v>
      </c>
      <c r="G35" s="271"/>
      <c r="H35" s="271"/>
      <c r="I35" s="389">
        <v>0.21</v>
      </c>
      <c r="J35" s="280">
        <f>ROUND(((SUM(BE87:BE90))*I35),  2)</f>
        <v>0</v>
      </c>
      <c r="K35" s="271"/>
      <c r="L35" s="64"/>
      <c r="S35" s="23"/>
      <c r="T35" s="23"/>
      <c r="U35" s="23"/>
      <c r="V35" s="23"/>
      <c r="W35" s="23"/>
      <c r="X35" s="23"/>
      <c r="Y35" s="23"/>
      <c r="Z35" s="23"/>
      <c r="AA35" s="23"/>
      <c r="AB35" s="23"/>
      <c r="AC35" s="23"/>
      <c r="AD35" s="23"/>
      <c r="AE35" s="23"/>
    </row>
    <row r="36" spans="1:31" s="2" customFormat="1" ht="14.45" customHeight="1">
      <c r="A36" s="271"/>
      <c r="B36" s="270"/>
      <c r="C36" s="271"/>
      <c r="D36" s="271"/>
      <c r="E36" s="268" t="s">
        <v>40</v>
      </c>
      <c r="F36" s="280">
        <f>ROUND((SUM(BF87:BF90)),  2)</f>
        <v>0</v>
      </c>
      <c r="G36" s="271"/>
      <c r="H36" s="271"/>
      <c r="I36" s="389">
        <v>0.15</v>
      </c>
      <c r="J36" s="280">
        <f>ROUND(((SUM(BF87:BF90))*I36),  2)</f>
        <v>0</v>
      </c>
      <c r="K36" s="271"/>
      <c r="L36" s="64"/>
      <c r="S36" s="23"/>
      <c r="T36" s="23"/>
      <c r="U36" s="23"/>
      <c r="V36" s="23"/>
      <c r="W36" s="23"/>
      <c r="X36" s="23"/>
      <c r="Y36" s="23"/>
      <c r="Z36" s="23"/>
      <c r="AA36" s="23"/>
      <c r="AB36" s="23"/>
      <c r="AC36" s="23"/>
      <c r="AD36" s="23"/>
      <c r="AE36" s="23"/>
    </row>
    <row r="37" spans="1:31" s="2" customFormat="1" ht="14.45" hidden="1" customHeight="1">
      <c r="A37" s="271"/>
      <c r="B37" s="270"/>
      <c r="C37" s="271"/>
      <c r="D37" s="271"/>
      <c r="E37" s="268" t="s">
        <v>41</v>
      </c>
      <c r="F37" s="280">
        <f>ROUND((SUM(BG87:BG90)),  2)</f>
        <v>0</v>
      </c>
      <c r="G37" s="271"/>
      <c r="H37" s="271"/>
      <c r="I37" s="389">
        <v>0.21</v>
      </c>
      <c r="J37" s="280">
        <f>0</f>
        <v>0</v>
      </c>
      <c r="K37" s="271"/>
      <c r="L37" s="64"/>
      <c r="S37" s="23"/>
      <c r="T37" s="23"/>
      <c r="U37" s="23"/>
      <c r="V37" s="23"/>
      <c r="W37" s="23"/>
      <c r="X37" s="23"/>
      <c r="Y37" s="23"/>
      <c r="Z37" s="23"/>
      <c r="AA37" s="23"/>
      <c r="AB37" s="23"/>
      <c r="AC37" s="23"/>
      <c r="AD37" s="23"/>
      <c r="AE37" s="23"/>
    </row>
    <row r="38" spans="1:31" s="2" customFormat="1" ht="14.45" hidden="1" customHeight="1">
      <c r="A38" s="271"/>
      <c r="B38" s="270"/>
      <c r="C38" s="271"/>
      <c r="D38" s="271"/>
      <c r="E38" s="268" t="s">
        <v>42</v>
      </c>
      <c r="F38" s="280">
        <f>ROUND((SUM(BH87:BH90)),  2)</f>
        <v>0</v>
      </c>
      <c r="G38" s="271"/>
      <c r="H38" s="271"/>
      <c r="I38" s="389">
        <v>0.15</v>
      </c>
      <c r="J38" s="280">
        <f>0</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43</v>
      </c>
      <c r="F39" s="280">
        <f>ROUND((SUM(BI87:BI90)),  2)</f>
        <v>0</v>
      </c>
      <c r="G39" s="271"/>
      <c r="H39" s="271"/>
      <c r="I39" s="389">
        <v>0</v>
      </c>
      <c r="J39" s="280">
        <f>0</f>
        <v>0</v>
      </c>
      <c r="K39" s="271"/>
      <c r="L39" s="64"/>
      <c r="S39" s="23"/>
      <c r="T39" s="23"/>
      <c r="U39" s="23"/>
      <c r="V39" s="23"/>
      <c r="W39" s="23"/>
      <c r="X39" s="23"/>
      <c r="Y39" s="23"/>
      <c r="Z39" s="23"/>
      <c r="AA39" s="23"/>
      <c r="AB39" s="23"/>
      <c r="AC39" s="23"/>
      <c r="AD39" s="23"/>
      <c r="AE39" s="23"/>
    </row>
    <row r="40" spans="1:31" s="2" customFormat="1" ht="6.95" customHeight="1">
      <c r="A40" s="271"/>
      <c r="B40" s="270"/>
      <c r="C40" s="271"/>
      <c r="D40" s="271"/>
      <c r="E40" s="271"/>
      <c r="F40" s="271"/>
      <c r="G40" s="271"/>
      <c r="H40" s="271"/>
      <c r="I40" s="271"/>
      <c r="J40" s="271"/>
      <c r="K40" s="271"/>
      <c r="L40" s="64"/>
      <c r="S40" s="23"/>
      <c r="T40" s="23"/>
      <c r="U40" s="23"/>
      <c r="V40" s="23"/>
      <c r="W40" s="23"/>
      <c r="X40" s="23"/>
      <c r="Y40" s="23"/>
      <c r="Z40" s="23"/>
      <c r="AA40" s="23"/>
      <c r="AB40" s="23"/>
      <c r="AC40" s="23"/>
      <c r="AD40" s="23"/>
      <c r="AE40" s="23"/>
    </row>
    <row r="41" spans="1:31" s="2" customFormat="1" ht="25.35" customHeight="1">
      <c r="A41" s="271"/>
      <c r="B41" s="270"/>
      <c r="C41" s="281"/>
      <c r="D41" s="282" t="s">
        <v>44</v>
      </c>
      <c r="E41" s="283"/>
      <c r="F41" s="283"/>
      <c r="G41" s="284" t="s">
        <v>45</v>
      </c>
      <c r="H41" s="285" t="s">
        <v>46</v>
      </c>
      <c r="I41" s="283"/>
      <c r="J41" s="390">
        <f>SUM(J32:J39)</f>
        <v>0</v>
      </c>
      <c r="K41" s="339"/>
      <c r="L41" s="64"/>
      <c r="S41" s="23"/>
      <c r="T41" s="23"/>
      <c r="U41" s="23"/>
      <c r="V41" s="23"/>
      <c r="W41" s="23"/>
      <c r="X41" s="23"/>
      <c r="Y41" s="23"/>
      <c r="Z41" s="23"/>
      <c r="AA41" s="23"/>
      <c r="AB41" s="23"/>
      <c r="AC41" s="23"/>
      <c r="AD41" s="23"/>
      <c r="AE41" s="23"/>
    </row>
    <row r="42" spans="1:31" s="2" customFormat="1" ht="14.45" customHeight="1">
      <c r="A42" s="271"/>
      <c r="B42" s="286"/>
      <c r="C42" s="287"/>
      <c r="D42" s="287"/>
      <c r="E42" s="287"/>
      <c r="F42" s="287"/>
      <c r="G42" s="287"/>
      <c r="H42" s="287"/>
      <c r="I42" s="287"/>
      <c r="J42" s="287"/>
      <c r="K42" s="287"/>
      <c r="L42" s="64"/>
      <c r="S42" s="23"/>
      <c r="T42" s="23"/>
      <c r="U42" s="23"/>
      <c r="V42" s="23"/>
      <c r="W42" s="23"/>
      <c r="X42" s="23"/>
      <c r="Y42" s="23"/>
      <c r="Z42" s="23"/>
      <c r="AA42" s="23"/>
      <c r="AB42" s="23"/>
      <c r="AC42" s="23"/>
      <c r="AD42" s="23"/>
      <c r="AE42" s="23"/>
    </row>
    <row r="43" spans="1:31">
      <c r="A43" s="61"/>
      <c r="B43" s="61"/>
      <c r="C43" s="61"/>
      <c r="D43" s="61"/>
      <c r="E43" s="61"/>
      <c r="F43" s="61"/>
      <c r="G43" s="61"/>
      <c r="H43" s="61"/>
      <c r="I43" s="61"/>
      <c r="J43" s="61"/>
      <c r="K43" s="61"/>
    </row>
    <row r="44" spans="1:31">
      <c r="A44" s="61"/>
      <c r="B44" s="61"/>
      <c r="C44" s="61"/>
      <c r="D44" s="61"/>
      <c r="E44" s="61"/>
      <c r="F44" s="61"/>
      <c r="G44" s="61"/>
      <c r="H44" s="61"/>
      <c r="I44" s="61"/>
      <c r="J44" s="61"/>
      <c r="K44" s="61"/>
    </row>
    <row r="45" spans="1:31">
      <c r="A45" s="61"/>
      <c r="B45" s="61"/>
      <c r="C45" s="61"/>
      <c r="D45" s="61"/>
      <c r="E45" s="61"/>
      <c r="F45" s="61"/>
      <c r="G45" s="61"/>
      <c r="H45" s="61"/>
      <c r="I45" s="61"/>
      <c r="J45" s="61"/>
      <c r="K45" s="61"/>
    </row>
    <row r="46" spans="1:31" s="2" customFormat="1" ht="6.95" customHeight="1">
      <c r="A46" s="271"/>
      <c r="B46" s="288"/>
      <c r="C46" s="289"/>
      <c r="D46" s="289"/>
      <c r="E46" s="289"/>
      <c r="F46" s="289"/>
      <c r="G46" s="289"/>
      <c r="H46" s="289"/>
      <c r="I46" s="289"/>
      <c r="J46" s="289"/>
      <c r="K46" s="289"/>
      <c r="L46" s="64"/>
      <c r="S46" s="23"/>
      <c r="T46" s="23"/>
      <c r="U46" s="23"/>
      <c r="V46" s="23"/>
      <c r="W46" s="23"/>
      <c r="X46" s="23"/>
      <c r="Y46" s="23"/>
      <c r="Z46" s="23"/>
      <c r="AA46" s="23"/>
      <c r="AB46" s="23"/>
      <c r="AC46" s="23"/>
      <c r="AD46" s="23"/>
      <c r="AE46" s="23"/>
    </row>
    <row r="47" spans="1:31" s="2" customFormat="1" ht="24.95" customHeight="1">
      <c r="A47" s="271"/>
      <c r="B47" s="270"/>
      <c r="C47" s="266" t="s">
        <v>167</v>
      </c>
      <c r="D47" s="271"/>
      <c r="E47" s="271"/>
      <c r="F47" s="271"/>
      <c r="G47" s="271"/>
      <c r="H47" s="271"/>
      <c r="I47" s="271"/>
      <c r="J47" s="271"/>
      <c r="K47" s="271"/>
      <c r="L47" s="64"/>
      <c r="S47" s="23"/>
      <c r="T47" s="23"/>
      <c r="U47" s="23"/>
      <c r="V47" s="23"/>
      <c r="W47" s="23"/>
      <c r="X47" s="23"/>
      <c r="Y47" s="23"/>
      <c r="Z47" s="23"/>
      <c r="AA47" s="23"/>
      <c r="AB47" s="23"/>
      <c r="AC47" s="23"/>
      <c r="AD47" s="23"/>
      <c r="AE47" s="23"/>
    </row>
    <row r="48" spans="1:31" s="2" customFormat="1" ht="6.95" customHeight="1">
      <c r="A48" s="271"/>
      <c r="B48" s="270"/>
      <c r="C48" s="271"/>
      <c r="D48" s="271"/>
      <c r="E48" s="271"/>
      <c r="F48" s="271"/>
      <c r="G48" s="271"/>
      <c r="H48" s="271"/>
      <c r="I48" s="271"/>
      <c r="J48" s="271"/>
      <c r="K48" s="271"/>
      <c r="L48" s="64"/>
      <c r="S48" s="23"/>
      <c r="T48" s="23"/>
      <c r="U48" s="23"/>
      <c r="V48" s="23"/>
      <c r="W48" s="23"/>
      <c r="X48" s="23"/>
      <c r="Y48" s="23"/>
      <c r="Z48" s="23"/>
      <c r="AA48" s="23"/>
      <c r="AB48" s="23"/>
      <c r="AC48" s="23"/>
      <c r="AD48" s="23"/>
      <c r="AE48" s="23"/>
    </row>
    <row r="49" spans="1:47" s="2" customFormat="1" ht="12" customHeight="1">
      <c r="A49" s="271"/>
      <c r="B49" s="270"/>
      <c r="C49" s="268" t="s">
        <v>15</v>
      </c>
      <c r="D49" s="271"/>
      <c r="E49" s="271"/>
      <c r="F49" s="271"/>
      <c r="G49" s="271"/>
      <c r="H49" s="271"/>
      <c r="I49" s="271"/>
      <c r="J49" s="271"/>
      <c r="K49" s="271"/>
      <c r="L49" s="64"/>
      <c r="S49" s="23"/>
      <c r="T49" s="23"/>
      <c r="U49" s="23"/>
      <c r="V49" s="23"/>
      <c r="W49" s="23"/>
      <c r="X49" s="23"/>
      <c r="Y49" s="23"/>
      <c r="Z49" s="23"/>
      <c r="AA49" s="23"/>
      <c r="AB49" s="23"/>
      <c r="AC49" s="23"/>
      <c r="AD49" s="23"/>
      <c r="AE49" s="23"/>
    </row>
    <row r="50" spans="1:47" s="2" customFormat="1" ht="14.45" customHeight="1">
      <c r="A50" s="271"/>
      <c r="B50" s="270"/>
      <c r="C50" s="271"/>
      <c r="D50" s="271"/>
      <c r="E50" s="722" t="str">
        <f>E7</f>
        <v>Úpravy gastroprovozu Úřadu vlády ČR v 1.pp Strakovy akademie</v>
      </c>
      <c r="F50" s="723"/>
      <c r="G50" s="723"/>
      <c r="H50" s="723"/>
      <c r="I50" s="271"/>
      <c r="J50" s="271"/>
      <c r="K50" s="271"/>
      <c r="L50" s="64"/>
      <c r="S50" s="23"/>
      <c r="T50" s="23"/>
      <c r="U50" s="23"/>
      <c r="V50" s="23"/>
      <c r="W50" s="23"/>
      <c r="X50" s="23"/>
      <c r="Y50" s="23"/>
      <c r="Z50" s="23"/>
      <c r="AA50" s="23"/>
      <c r="AB50" s="23"/>
      <c r="AC50" s="23"/>
      <c r="AD50" s="23"/>
      <c r="AE50" s="23"/>
    </row>
    <row r="51" spans="1:47" s="1" customFormat="1" ht="12" customHeight="1">
      <c r="A51" s="61"/>
      <c r="B51" s="265"/>
      <c r="C51" s="268" t="s">
        <v>151</v>
      </c>
      <c r="D51" s="61"/>
      <c r="E51" s="61"/>
      <c r="F51" s="61"/>
      <c r="G51" s="61"/>
      <c r="H51" s="61"/>
      <c r="I51" s="61"/>
      <c r="J51" s="61"/>
      <c r="K51" s="61"/>
      <c r="L51" s="20"/>
    </row>
    <row r="52" spans="1:47" s="2" customFormat="1" ht="14.45" customHeight="1">
      <c r="A52" s="271"/>
      <c r="B52" s="270"/>
      <c r="C52" s="271"/>
      <c r="D52" s="271"/>
      <c r="E52" s="722" t="s">
        <v>1759</v>
      </c>
      <c r="F52" s="721"/>
      <c r="G52" s="721"/>
      <c r="H52" s="721"/>
      <c r="I52" s="271"/>
      <c r="J52" s="271"/>
      <c r="K52" s="271"/>
      <c r="L52" s="64"/>
      <c r="S52" s="23"/>
      <c r="T52" s="23"/>
      <c r="U52" s="23"/>
      <c r="V52" s="23"/>
      <c r="W52" s="23"/>
      <c r="X52" s="23"/>
      <c r="Y52" s="23"/>
      <c r="Z52" s="23"/>
      <c r="AA52" s="23"/>
      <c r="AB52" s="23"/>
      <c r="AC52" s="23"/>
      <c r="AD52" s="23"/>
      <c r="AE52" s="23"/>
    </row>
    <row r="53" spans="1:47" s="2" customFormat="1" ht="12" customHeight="1">
      <c r="A53" s="271"/>
      <c r="B53" s="270"/>
      <c r="C53" s="268" t="s">
        <v>157</v>
      </c>
      <c r="D53" s="271"/>
      <c r="E53" s="271"/>
      <c r="F53" s="271"/>
      <c r="G53" s="271"/>
      <c r="H53" s="271"/>
      <c r="I53" s="271"/>
      <c r="J53" s="271"/>
      <c r="K53" s="271"/>
      <c r="L53" s="64"/>
      <c r="S53" s="23"/>
      <c r="T53" s="23"/>
      <c r="U53" s="23"/>
      <c r="V53" s="23"/>
      <c r="W53" s="23"/>
      <c r="X53" s="23"/>
      <c r="Y53" s="23"/>
      <c r="Z53" s="23"/>
      <c r="AA53" s="23"/>
      <c r="AB53" s="23"/>
      <c r="AC53" s="23"/>
      <c r="AD53" s="23"/>
      <c r="AE53" s="23"/>
    </row>
    <row r="54" spans="1:47" s="2" customFormat="1" ht="14.45" customHeight="1">
      <c r="A54" s="271"/>
      <c r="B54" s="270"/>
      <c r="C54" s="271"/>
      <c r="D54" s="271"/>
      <c r="E54" s="689" t="str">
        <f>E11</f>
        <v xml:space="preserve">D.1.4.01 - Soupis prací - Zdravotechnika </v>
      </c>
      <c r="F54" s="721"/>
      <c r="G54" s="721"/>
      <c r="H54" s="721"/>
      <c r="I54" s="271"/>
      <c r="J54" s="271"/>
      <c r="K54" s="271"/>
      <c r="L54" s="64"/>
      <c r="S54" s="23"/>
      <c r="T54" s="23"/>
      <c r="U54" s="23"/>
      <c r="V54" s="23"/>
      <c r="W54" s="23"/>
      <c r="X54" s="23"/>
      <c r="Y54" s="23"/>
      <c r="Z54" s="23"/>
      <c r="AA54" s="23"/>
      <c r="AB54" s="23"/>
      <c r="AC54" s="23"/>
      <c r="AD54" s="23"/>
      <c r="AE54" s="23"/>
    </row>
    <row r="55" spans="1:47" s="2" customFormat="1" ht="6.95" customHeight="1">
      <c r="A55" s="271"/>
      <c r="B55" s="270"/>
      <c r="C55" s="271"/>
      <c r="D55" s="271"/>
      <c r="E55" s="271"/>
      <c r="F55" s="271"/>
      <c r="G55" s="271"/>
      <c r="H55" s="271"/>
      <c r="I55" s="271"/>
      <c r="J55" s="271"/>
      <c r="K55" s="271"/>
      <c r="L55" s="64"/>
      <c r="S55" s="23"/>
      <c r="T55" s="23"/>
      <c r="U55" s="23"/>
      <c r="V55" s="23"/>
      <c r="W55" s="23"/>
      <c r="X55" s="23"/>
      <c r="Y55" s="23"/>
      <c r="Z55" s="23"/>
      <c r="AA55" s="23"/>
      <c r="AB55" s="23"/>
      <c r="AC55" s="23"/>
      <c r="AD55" s="23"/>
      <c r="AE55" s="23"/>
    </row>
    <row r="56" spans="1:47" s="2" customFormat="1" ht="12" customHeight="1">
      <c r="A56" s="271"/>
      <c r="B56" s="270"/>
      <c r="C56" s="268" t="s">
        <v>19</v>
      </c>
      <c r="D56" s="271"/>
      <c r="E56" s="271"/>
      <c r="F56" s="273" t="str">
        <f>F14</f>
        <v xml:space="preserve"> </v>
      </c>
      <c r="G56" s="271"/>
      <c r="H56" s="271"/>
      <c r="I56" s="268" t="s">
        <v>21</v>
      </c>
      <c r="J56" s="387">
        <f>IF(J14="","",J14)</f>
        <v>44077</v>
      </c>
      <c r="K56" s="271"/>
      <c r="L56" s="64"/>
      <c r="S56" s="23"/>
      <c r="T56" s="23"/>
      <c r="U56" s="23"/>
      <c r="V56" s="23"/>
      <c r="W56" s="23"/>
      <c r="X56" s="23"/>
      <c r="Y56" s="23"/>
      <c r="Z56" s="23"/>
      <c r="AA56" s="23"/>
      <c r="AB56" s="23"/>
      <c r="AC56" s="23"/>
      <c r="AD56" s="23"/>
      <c r="AE56" s="23"/>
    </row>
    <row r="57" spans="1:47" s="2" customFormat="1" ht="6.95" customHeight="1">
      <c r="A57" s="271"/>
      <c r="B57" s="270"/>
      <c r="C57" s="271"/>
      <c r="D57" s="271"/>
      <c r="E57" s="271"/>
      <c r="F57" s="271"/>
      <c r="G57" s="271"/>
      <c r="H57" s="271"/>
      <c r="I57" s="271"/>
      <c r="J57" s="271"/>
      <c r="K57" s="271"/>
      <c r="L57" s="64"/>
      <c r="S57" s="23"/>
      <c r="T57" s="23"/>
      <c r="U57" s="23"/>
      <c r="V57" s="23"/>
      <c r="W57" s="23"/>
      <c r="X57" s="23"/>
      <c r="Y57" s="23"/>
      <c r="Z57" s="23"/>
      <c r="AA57" s="23"/>
      <c r="AB57" s="23"/>
      <c r="AC57" s="23"/>
      <c r="AD57" s="23"/>
      <c r="AE57" s="23"/>
    </row>
    <row r="58" spans="1:47" s="2" customFormat="1" ht="26.45" customHeight="1">
      <c r="A58" s="271"/>
      <c r="B58" s="270"/>
      <c r="C58" s="268" t="s">
        <v>22</v>
      </c>
      <c r="D58" s="271"/>
      <c r="E58" s="271"/>
      <c r="F58" s="273" t="str">
        <f>E17</f>
        <v xml:space="preserve">Úřad vlády České republiky </v>
      </c>
      <c r="G58" s="271"/>
      <c r="H58" s="271"/>
      <c r="I58" s="268" t="s">
        <v>28</v>
      </c>
      <c r="J58" s="391" t="str">
        <f>E23</f>
        <v>Ateliér Simona Group</v>
      </c>
      <c r="K58" s="271"/>
      <c r="L58" s="64"/>
      <c r="S58" s="23"/>
      <c r="T58" s="23"/>
      <c r="U58" s="23"/>
      <c r="V58" s="23"/>
      <c r="W58" s="23"/>
      <c r="X58" s="23"/>
      <c r="Y58" s="23"/>
      <c r="Z58" s="23"/>
      <c r="AA58" s="23"/>
      <c r="AB58" s="23"/>
      <c r="AC58" s="23"/>
      <c r="AD58" s="23"/>
      <c r="AE58" s="23"/>
    </row>
    <row r="59" spans="1:47" s="2" customFormat="1" ht="26.45" customHeight="1">
      <c r="A59" s="271"/>
      <c r="B59" s="270"/>
      <c r="C59" s="268" t="s">
        <v>26</v>
      </c>
      <c r="D59" s="271"/>
      <c r="E59" s="271"/>
      <c r="F59" s="273" t="str">
        <f>IF(E20="","",E20)</f>
        <v xml:space="preserve"> </v>
      </c>
      <c r="G59" s="271"/>
      <c r="H59" s="271"/>
      <c r="I59" s="268" t="s">
        <v>31</v>
      </c>
      <c r="J59" s="391" t="str">
        <f>E26</f>
        <v>Ateliér Simona Group</v>
      </c>
      <c r="K59" s="271"/>
      <c r="L59" s="64"/>
      <c r="S59" s="23"/>
      <c r="T59" s="23"/>
      <c r="U59" s="23"/>
      <c r="V59" s="23"/>
      <c r="W59" s="23"/>
      <c r="X59" s="23"/>
      <c r="Y59" s="23"/>
      <c r="Z59" s="23"/>
      <c r="AA59" s="23"/>
      <c r="AB59" s="23"/>
      <c r="AC59" s="23"/>
      <c r="AD59" s="23"/>
      <c r="AE59" s="23"/>
    </row>
    <row r="60" spans="1:47" s="2" customFormat="1" ht="10.35" customHeight="1">
      <c r="A60" s="271"/>
      <c r="B60" s="270"/>
      <c r="C60" s="271"/>
      <c r="D60" s="271"/>
      <c r="E60" s="271"/>
      <c r="F60" s="271"/>
      <c r="G60" s="271"/>
      <c r="H60" s="271"/>
      <c r="I60" s="271"/>
      <c r="J60" s="271"/>
      <c r="K60" s="271"/>
      <c r="L60" s="64"/>
      <c r="S60" s="23"/>
      <c r="T60" s="23"/>
      <c r="U60" s="23"/>
      <c r="V60" s="23"/>
      <c r="W60" s="23"/>
      <c r="X60" s="23"/>
      <c r="Y60" s="23"/>
      <c r="Z60" s="23"/>
      <c r="AA60" s="23"/>
      <c r="AB60" s="23"/>
      <c r="AC60" s="23"/>
      <c r="AD60" s="23"/>
      <c r="AE60" s="23"/>
    </row>
    <row r="61" spans="1:47" s="2" customFormat="1" ht="29.25" customHeight="1">
      <c r="A61" s="271"/>
      <c r="B61" s="270"/>
      <c r="C61" s="290" t="s">
        <v>168</v>
      </c>
      <c r="D61" s="281"/>
      <c r="E61" s="281"/>
      <c r="F61" s="281"/>
      <c r="G61" s="281"/>
      <c r="H61" s="281"/>
      <c r="I61" s="281"/>
      <c r="J61" s="392" t="s">
        <v>169</v>
      </c>
      <c r="K61" s="281"/>
      <c r="L61" s="64"/>
      <c r="S61" s="23"/>
      <c r="T61" s="23"/>
      <c r="U61" s="23"/>
      <c r="V61" s="23"/>
      <c r="W61" s="23"/>
      <c r="X61" s="23"/>
      <c r="Y61" s="23"/>
      <c r="Z61" s="23"/>
      <c r="AA61" s="23"/>
      <c r="AB61" s="23"/>
      <c r="AC61" s="23"/>
      <c r="AD61" s="23"/>
      <c r="AE61" s="23"/>
    </row>
    <row r="62" spans="1:47" s="2" customFormat="1" ht="10.35" customHeight="1">
      <c r="A62" s="271"/>
      <c r="B62" s="270"/>
      <c r="C62" s="271"/>
      <c r="D62" s="271"/>
      <c r="E62" s="271"/>
      <c r="F62" s="271"/>
      <c r="G62" s="271"/>
      <c r="H62" s="271"/>
      <c r="I62" s="271"/>
      <c r="J62" s="271"/>
      <c r="K62" s="271"/>
      <c r="L62" s="64"/>
      <c r="S62" s="23"/>
      <c r="T62" s="23"/>
      <c r="U62" s="23"/>
      <c r="V62" s="23"/>
      <c r="W62" s="23"/>
      <c r="X62" s="23"/>
      <c r="Y62" s="23"/>
      <c r="Z62" s="23"/>
      <c r="AA62" s="23"/>
      <c r="AB62" s="23"/>
      <c r="AC62" s="23"/>
      <c r="AD62" s="23"/>
      <c r="AE62" s="23"/>
    </row>
    <row r="63" spans="1:47" s="2" customFormat="1" ht="22.9" customHeight="1">
      <c r="A63" s="271"/>
      <c r="B63" s="270"/>
      <c r="C63" s="291" t="s">
        <v>66</v>
      </c>
      <c r="D63" s="271"/>
      <c r="E63" s="271"/>
      <c r="F63" s="271"/>
      <c r="G63" s="271"/>
      <c r="H63" s="271"/>
      <c r="I63" s="271"/>
      <c r="J63" s="388">
        <f>J87</f>
        <v>0</v>
      </c>
      <c r="K63" s="271"/>
      <c r="L63" s="64"/>
      <c r="S63" s="23"/>
      <c r="T63" s="23"/>
      <c r="U63" s="23"/>
      <c r="V63" s="23"/>
      <c r="W63" s="23"/>
      <c r="X63" s="23"/>
      <c r="Y63" s="23"/>
      <c r="Z63" s="23"/>
      <c r="AA63" s="23"/>
      <c r="AB63" s="23"/>
      <c r="AC63" s="23"/>
      <c r="AD63" s="23"/>
      <c r="AE63" s="23"/>
      <c r="AU63" s="19" t="s">
        <v>170</v>
      </c>
    </row>
    <row r="64" spans="1:47" s="9" customFormat="1" ht="24.95" customHeight="1">
      <c r="A64" s="292"/>
      <c r="B64" s="293"/>
      <c r="C64" s="292"/>
      <c r="D64" s="294" t="s">
        <v>1761</v>
      </c>
      <c r="E64" s="295"/>
      <c r="F64" s="295"/>
      <c r="G64" s="295"/>
      <c r="H64" s="295"/>
      <c r="I64" s="295"/>
      <c r="J64" s="393">
        <f>J88</f>
        <v>0</v>
      </c>
      <c r="K64" s="292"/>
      <c r="L64" s="67"/>
    </row>
    <row r="65" spans="1:31" s="10" customFormat="1" ht="19.899999999999999" customHeight="1">
      <c r="A65" s="246"/>
      <c r="B65" s="296"/>
      <c r="C65" s="246"/>
      <c r="D65" s="297" t="s">
        <v>1762</v>
      </c>
      <c r="E65" s="298"/>
      <c r="F65" s="298"/>
      <c r="G65" s="298"/>
      <c r="H65" s="298"/>
      <c r="I65" s="298"/>
      <c r="J65" s="394">
        <f>J89</f>
        <v>0</v>
      </c>
      <c r="K65" s="246"/>
      <c r="L65" s="68"/>
    </row>
    <row r="66" spans="1:31" s="2" customFormat="1" ht="21.75" customHeight="1">
      <c r="A66" s="271"/>
      <c r="B66" s="270"/>
      <c r="C66" s="271"/>
      <c r="D66" s="271"/>
      <c r="E66" s="271"/>
      <c r="F66" s="271"/>
      <c r="G66" s="271"/>
      <c r="H66" s="271"/>
      <c r="I66" s="271"/>
      <c r="J66" s="271"/>
      <c r="K66" s="271"/>
      <c r="L66" s="64"/>
      <c r="S66" s="23"/>
      <c r="T66" s="23"/>
      <c r="U66" s="23"/>
      <c r="V66" s="23"/>
      <c r="W66" s="23"/>
      <c r="X66" s="23"/>
      <c r="Y66" s="23"/>
      <c r="Z66" s="23"/>
      <c r="AA66" s="23"/>
      <c r="AB66" s="23"/>
      <c r="AC66" s="23"/>
      <c r="AD66" s="23"/>
      <c r="AE66" s="23"/>
    </row>
    <row r="67" spans="1:31" s="2" customFormat="1" ht="6.95" customHeight="1">
      <c r="A67" s="271"/>
      <c r="B67" s="286"/>
      <c r="C67" s="287"/>
      <c r="D67" s="287"/>
      <c r="E67" s="287"/>
      <c r="F67" s="287"/>
      <c r="G67" s="287"/>
      <c r="H67" s="287"/>
      <c r="I67" s="251"/>
      <c r="J67" s="251"/>
      <c r="K67" s="251"/>
      <c r="L67" s="64"/>
      <c r="S67" s="23"/>
      <c r="T67" s="23"/>
      <c r="U67" s="23"/>
      <c r="V67" s="23"/>
      <c r="W67" s="23"/>
      <c r="X67" s="23"/>
      <c r="Y67" s="23"/>
      <c r="Z67" s="23"/>
      <c r="AA67" s="23"/>
      <c r="AB67" s="23"/>
      <c r="AC67" s="23"/>
      <c r="AD67" s="23"/>
      <c r="AE67" s="23"/>
    </row>
    <row r="68" spans="1:31">
      <c r="A68" s="61"/>
      <c r="B68" s="61"/>
      <c r="C68" s="61"/>
      <c r="D68" s="61"/>
      <c r="E68" s="61"/>
      <c r="F68" s="61"/>
      <c r="G68" s="61"/>
      <c r="H68" s="61"/>
      <c r="I68" s="341"/>
      <c r="J68" s="341"/>
      <c r="K68" s="341"/>
    </row>
    <row r="69" spans="1:31">
      <c r="A69" s="61"/>
      <c r="B69" s="61"/>
      <c r="C69" s="61"/>
      <c r="D69" s="61"/>
      <c r="E69" s="61"/>
      <c r="F69" s="61"/>
      <c r="G69" s="61"/>
      <c r="H69" s="61"/>
      <c r="I69" s="341"/>
      <c r="J69" s="341"/>
      <c r="K69" s="341"/>
    </row>
    <row r="70" spans="1:31">
      <c r="A70" s="61"/>
      <c r="B70" s="61"/>
      <c r="C70" s="61"/>
      <c r="D70" s="61"/>
      <c r="E70" s="61"/>
      <c r="F70" s="61"/>
      <c r="G70" s="61"/>
      <c r="H70" s="61"/>
      <c r="I70" s="341"/>
      <c r="J70" s="341"/>
      <c r="K70" s="341"/>
    </row>
    <row r="71" spans="1:31" s="2" customFormat="1" ht="6.95" customHeight="1">
      <c r="A71" s="271"/>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31" s="2" customFormat="1" ht="24.95" customHeight="1">
      <c r="A72" s="271"/>
      <c r="B72" s="270"/>
      <c r="C72" s="266" t="s">
        <v>201</v>
      </c>
      <c r="D72" s="271"/>
      <c r="E72" s="271"/>
      <c r="F72" s="271"/>
      <c r="G72" s="271"/>
      <c r="H72" s="271"/>
      <c r="I72" s="271"/>
      <c r="J72" s="271"/>
      <c r="K72" s="271"/>
      <c r="L72" s="64"/>
      <c r="S72" s="23"/>
      <c r="T72" s="23"/>
      <c r="U72" s="23"/>
      <c r="V72" s="23"/>
      <c r="W72" s="23"/>
      <c r="X72" s="23"/>
      <c r="Y72" s="23"/>
      <c r="Z72" s="23"/>
      <c r="AA72" s="23"/>
      <c r="AB72" s="23"/>
      <c r="AC72" s="23"/>
      <c r="AD72" s="23"/>
      <c r="AE72" s="23"/>
    </row>
    <row r="73" spans="1:31" s="2" customFormat="1" ht="6.95" customHeight="1">
      <c r="A73" s="271"/>
      <c r="B73" s="270"/>
      <c r="C73" s="271"/>
      <c r="D73" s="271"/>
      <c r="E73" s="271"/>
      <c r="F73" s="271"/>
      <c r="G73" s="271"/>
      <c r="H73" s="271"/>
      <c r="I73" s="271"/>
      <c r="J73" s="271"/>
      <c r="K73" s="271"/>
      <c r="L73" s="64"/>
      <c r="S73" s="23"/>
      <c r="T73" s="23"/>
      <c r="U73" s="23"/>
      <c r="V73" s="23"/>
      <c r="W73" s="23"/>
      <c r="X73" s="23"/>
      <c r="Y73" s="23"/>
      <c r="Z73" s="23"/>
      <c r="AA73" s="23"/>
      <c r="AB73" s="23"/>
      <c r="AC73" s="23"/>
      <c r="AD73" s="23"/>
      <c r="AE73" s="23"/>
    </row>
    <row r="74" spans="1:31" s="2" customFormat="1" ht="12" customHeight="1">
      <c r="A74" s="271"/>
      <c r="B74" s="270"/>
      <c r="C74" s="268" t="s">
        <v>15</v>
      </c>
      <c r="D74" s="271"/>
      <c r="E74" s="271"/>
      <c r="F74" s="271"/>
      <c r="G74" s="271"/>
      <c r="H74" s="271"/>
      <c r="I74" s="271"/>
      <c r="J74" s="271"/>
      <c r="K74" s="271"/>
      <c r="L74" s="64"/>
      <c r="S74" s="23"/>
      <c r="T74" s="23"/>
      <c r="U74" s="23"/>
      <c r="V74" s="23"/>
      <c r="W74" s="23"/>
      <c r="X74" s="23"/>
      <c r="Y74" s="23"/>
      <c r="Z74" s="23"/>
      <c r="AA74" s="23"/>
      <c r="AB74" s="23"/>
      <c r="AC74" s="23"/>
      <c r="AD74" s="23"/>
      <c r="AE74" s="23"/>
    </row>
    <row r="75" spans="1:31" s="2" customFormat="1" ht="14.45" customHeight="1">
      <c r="A75" s="271"/>
      <c r="B75" s="270"/>
      <c r="C75" s="271"/>
      <c r="D75" s="271"/>
      <c r="E75" s="722" t="str">
        <f>E7</f>
        <v>Úpravy gastroprovozu Úřadu vlády ČR v 1.pp Strakovy akademie</v>
      </c>
      <c r="F75" s="723"/>
      <c r="G75" s="723"/>
      <c r="H75" s="723"/>
      <c r="I75" s="271"/>
      <c r="J75" s="271"/>
      <c r="K75" s="271"/>
      <c r="L75" s="64"/>
      <c r="S75" s="23"/>
      <c r="T75" s="23"/>
      <c r="U75" s="23"/>
      <c r="V75" s="23"/>
      <c r="W75" s="23"/>
      <c r="X75" s="23"/>
      <c r="Y75" s="23"/>
      <c r="Z75" s="23"/>
      <c r="AA75" s="23"/>
      <c r="AB75" s="23"/>
      <c r="AC75" s="23"/>
      <c r="AD75" s="23"/>
      <c r="AE75" s="23"/>
    </row>
    <row r="76" spans="1:31" s="1" customFormat="1" ht="12" customHeight="1">
      <c r="A76" s="61"/>
      <c r="B76" s="265"/>
      <c r="C76" s="268" t="s">
        <v>151</v>
      </c>
      <c r="D76" s="61"/>
      <c r="E76" s="61"/>
      <c r="F76" s="61"/>
      <c r="G76" s="61"/>
      <c r="H76" s="61"/>
      <c r="I76" s="61"/>
      <c r="J76" s="61"/>
      <c r="K76" s="61"/>
      <c r="L76" s="20"/>
    </row>
    <row r="77" spans="1:31" s="2" customFormat="1" ht="14.45" customHeight="1">
      <c r="A77" s="271"/>
      <c r="B77" s="270"/>
      <c r="C77" s="271"/>
      <c r="D77" s="271"/>
      <c r="E77" s="722" t="s">
        <v>1759</v>
      </c>
      <c r="F77" s="721"/>
      <c r="G77" s="721"/>
      <c r="H77" s="721"/>
      <c r="I77" s="271"/>
      <c r="J77" s="271"/>
      <c r="K77" s="271"/>
      <c r="L77" s="64"/>
      <c r="S77" s="23"/>
      <c r="T77" s="23"/>
      <c r="U77" s="23"/>
      <c r="V77" s="23"/>
      <c r="W77" s="23"/>
      <c r="X77" s="23"/>
      <c r="Y77" s="23"/>
      <c r="Z77" s="23"/>
      <c r="AA77" s="23"/>
      <c r="AB77" s="23"/>
      <c r="AC77" s="23"/>
      <c r="AD77" s="23"/>
      <c r="AE77" s="23"/>
    </row>
    <row r="78" spans="1:31" s="2" customFormat="1" ht="12" customHeight="1">
      <c r="A78" s="271"/>
      <c r="B78" s="270"/>
      <c r="C78" s="268" t="s">
        <v>157</v>
      </c>
      <c r="D78" s="271"/>
      <c r="E78" s="271"/>
      <c r="F78" s="271"/>
      <c r="G78" s="271"/>
      <c r="H78" s="271"/>
      <c r="I78" s="271"/>
      <c r="J78" s="271"/>
      <c r="K78" s="271"/>
      <c r="L78" s="64"/>
      <c r="S78" s="23"/>
      <c r="T78" s="23"/>
      <c r="U78" s="23"/>
      <c r="V78" s="23"/>
      <c r="W78" s="23"/>
      <c r="X78" s="23"/>
      <c r="Y78" s="23"/>
      <c r="Z78" s="23"/>
      <c r="AA78" s="23"/>
      <c r="AB78" s="23"/>
      <c r="AC78" s="23"/>
      <c r="AD78" s="23"/>
      <c r="AE78" s="23"/>
    </row>
    <row r="79" spans="1:31" s="2" customFormat="1" ht="14.45" customHeight="1">
      <c r="A79" s="271"/>
      <c r="B79" s="270"/>
      <c r="C79" s="271"/>
      <c r="D79" s="271"/>
      <c r="E79" s="689" t="str">
        <f>E11</f>
        <v xml:space="preserve">D.1.4.01 - Soupis prací - Zdravotechnika </v>
      </c>
      <c r="F79" s="721"/>
      <c r="G79" s="721"/>
      <c r="H79" s="721"/>
      <c r="I79" s="271"/>
      <c r="J79" s="271"/>
      <c r="K79" s="271"/>
      <c r="L79" s="64"/>
      <c r="S79" s="23"/>
      <c r="T79" s="23"/>
      <c r="U79" s="23"/>
      <c r="V79" s="23"/>
      <c r="W79" s="23"/>
      <c r="X79" s="23"/>
      <c r="Y79" s="23"/>
      <c r="Z79" s="23"/>
      <c r="AA79" s="23"/>
      <c r="AB79" s="23"/>
      <c r="AC79" s="23"/>
      <c r="AD79" s="23"/>
      <c r="AE79" s="23"/>
    </row>
    <row r="80" spans="1:31" s="2" customFormat="1" ht="6.95" customHeight="1">
      <c r="A80" s="271"/>
      <c r="B80" s="270"/>
      <c r="C80" s="271"/>
      <c r="D80" s="271"/>
      <c r="E80" s="271"/>
      <c r="F80" s="271"/>
      <c r="G80" s="271"/>
      <c r="H80" s="271"/>
      <c r="I80" s="271"/>
      <c r="J80" s="271"/>
      <c r="K80" s="271"/>
      <c r="L80" s="64"/>
      <c r="S80" s="23"/>
      <c r="T80" s="23"/>
      <c r="U80" s="23"/>
      <c r="V80" s="23"/>
      <c r="W80" s="23"/>
      <c r="X80" s="23"/>
      <c r="Y80" s="23"/>
      <c r="Z80" s="23"/>
      <c r="AA80" s="23"/>
      <c r="AB80" s="23"/>
      <c r="AC80" s="23"/>
      <c r="AD80" s="23"/>
      <c r="AE80" s="23"/>
    </row>
    <row r="81" spans="1:65" s="2" customFormat="1" ht="12" customHeight="1">
      <c r="A81" s="271"/>
      <c r="B81" s="270"/>
      <c r="C81" s="268" t="s">
        <v>19</v>
      </c>
      <c r="D81" s="271"/>
      <c r="E81" s="271"/>
      <c r="F81" s="273" t="str">
        <f>F14</f>
        <v xml:space="preserve"> </v>
      </c>
      <c r="G81" s="271"/>
      <c r="H81" s="271"/>
      <c r="I81" s="268" t="s">
        <v>21</v>
      </c>
      <c r="J81" s="387">
        <f>IF(J14="","",J14)</f>
        <v>44077</v>
      </c>
      <c r="K81" s="271"/>
      <c r="L81" s="64"/>
      <c r="S81" s="23"/>
      <c r="T81" s="23"/>
      <c r="U81" s="23"/>
      <c r="V81" s="23"/>
      <c r="W81" s="23"/>
      <c r="X81" s="23"/>
      <c r="Y81" s="23"/>
      <c r="Z81" s="23"/>
      <c r="AA81" s="23"/>
      <c r="AB81" s="23"/>
      <c r="AC81" s="23"/>
      <c r="AD81" s="23"/>
      <c r="AE81" s="23"/>
    </row>
    <row r="82" spans="1:65" s="2" customFormat="1" ht="6.95" customHeight="1">
      <c r="A82" s="271"/>
      <c r="B82" s="270"/>
      <c r="C82" s="271"/>
      <c r="D82" s="271"/>
      <c r="E82" s="271"/>
      <c r="F82" s="271"/>
      <c r="G82" s="271"/>
      <c r="H82" s="271"/>
      <c r="I82" s="271"/>
      <c r="J82" s="271"/>
      <c r="K82" s="271"/>
      <c r="L82" s="64"/>
      <c r="S82" s="23"/>
      <c r="T82" s="23"/>
      <c r="U82" s="23"/>
      <c r="V82" s="23"/>
      <c r="W82" s="23"/>
      <c r="X82" s="23"/>
      <c r="Y82" s="23"/>
      <c r="Z82" s="23"/>
      <c r="AA82" s="23"/>
      <c r="AB82" s="23"/>
      <c r="AC82" s="23"/>
      <c r="AD82" s="23"/>
      <c r="AE82" s="23"/>
    </row>
    <row r="83" spans="1:65" s="2" customFormat="1" ht="26.45" customHeight="1">
      <c r="A83" s="271"/>
      <c r="B83" s="270"/>
      <c r="C83" s="268" t="s">
        <v>22</v>
      </c>
      <c r="D83" s="271"/>
      <c r="E83" s="271"/>
      <c r="F83" s="273" t="str">
        <f>E17</f>
        <v xml:space="preserve">Úřad vlády České republiky </v>
      </c>
      <c r="G83" s="271"/>
      <c r="H83" s="271"/>
      <c r="I83" s="268" t="s">
        <v>28</v>
      </c>
      <c r="J83" s="391" t="str">
        <f>E23</f>
        <v>Ateliér Simona Group</v>
      </c>
      <c r="K83" s="271"/>
      <c r="L83" s="64"/>
      <c r="S83" s="23"/>
      <c r="T83" s="23"/>
      <c r="U83" s="23"/>
      <c r="V83" s="23"/>
      <c r="W83" s="23"/>
      <c r="X83" s="23"/>
      <c r="Y83" s="23"/>
      <c r="Z83" s="23"/>
      <c r="AA83" s="23"/>
      <c r="AB83" s="23"/>
      <c r="AC83" s="23"/>
      <c r="AD83" s="23"/>
      <c r="AE83" s="23"/>
    </row>
    <row r="84" spans="1:65" s="2" customFormat="1" ht="26.45" customHeight="1">
      <c r="A84" s="271"/>
      <c r="B84" s="270"/>
      <c r="C84" s="268" t="s">
        <v>26</v>
      </c>
      <c r="D84" s="271"/>
      <c r="E84" s="271"/>
      <c r="F84" s="273" t="str">
        <f>IF(E20="","",E20)</f>
        <v xml:space="preserve"> </v>
      </c>
      <c r="G84" s="271"/>
      <c r="H84" s="271"/>
      <c r="I84" s="268" t="s">
        <v>31</v>
      </c>
      <c r="J84" s="391" t="str">
        <f>E26</f>
        <v>Ateliér Simona Group</v>
      </c>
      <c r="K84" s="271"/>
      <c r="L84" s="64"/>
      <c r="S84" s="23"/>
      <c r="T84" s="23"/>
      <c r="U84" s="23"/>
      <c r="V84" s="23"/>
      <c r="W84" s="23"/>
      <c r="X84" s="23"/>
      <c r="Y84" s="23"/>
      <c r="Z84" s="23"/>
      <c r="AA84" s="23"/>
      <c r="AB84" s="23"/>
      <c r="AC84" s="23"/>
      <c r="AD84" s="23"/>
      <c r="AE84" s="23"/>
    </row>
    <row r="85" spans="1:65" s="2" customFormat="1" ht="10.35" customHeight="1">
      <c r="A85" s="271"/>
      <c r="B85" s="270"/>
      <c r="C85" s="271"/>
      <c r="D85" s="271"/>
      <c r="E85" s="271"/>
      <c r="F85" s="271"/>
      <c r="G85" s="271"/>
      <c r="H85" s="271"/>
      <c r="I85" s="271"/>
      <c r="J85" s="271"/>
      <c r="K85" s="271"/>
      <c r="L85" s="64"/>
      <c r="S85" s="23"/>
      <c r="T85" s="23"/>
      <c r="U85" s="23"/>
      <c r="V85" s="23"/>
      <c r="W85" s="23"/>
      <c r="X85" s="23"/>
      <c r="Y85" s="23"/>
      <c r="Z85" s="23"/>
      <c r="AA85" s="23"/>
      <c r="AB85" s="23"/>
      <c r="AC85" s="23"/>
      <c r="AD85" s="23"/>
      <c r="AE85" s="23"/>
    </row>
    <row r="86" spans="1:65" s="11" customFormat="1" ht="29.25" customHeight="1">
      <c r="A86" s="299"/>
      <c r="B86" s="300"/>
      <c r="C86" s="301" t="s">
        <v>202</v>
      </c>
      <c r="D86" s="302" t="s">
        <v>53</v>
      </c>
      <c r="E86" s="302" t="s">
        <v>49</v>
      </c>
      <c r="F86" s="302" t="s">
        <v>50</v>
      </c>
      <c r="G86" s="302" t="s">
        <v>203</v>
      </c>
      <c r="H86" s="302" t="s">
        <v>204</v>
      </c>
      <c r="I86" s="302" t="s">
        <v>205</v>
      </c>
      <c r="J86" s="302" t="s">
        <v>169</v>
      </c>
      <c r="K86" s="340" t="s">
        <v>206</v>
      </c>
      <c r="L86" s="70"/>
      <c r="M86" s="34" t="s">
        <v>3</v>
      </c>
      <c r="N86" s="35" t="s">
        <v>38</v>
      </c>
      <c r="O86" s="35" t="s">
        <v>207</v>
      </c>
      <c r="P86" s="35" t="s">
        <v>208</v>
      </c>
      <c r="Q86" s="35" t="s">
        <v>209</v>
      </c>
      <c r="R86" s="35" t="s">
        <v>210</v>
      </c>
      <c r="S86" s="35" t="s">
        <v>211</v>
      </c>
      <c r="T86" s="36" t="s">
        <v>212</v>
      </c>
      <c r="U86" s="69"/>
      <c r="V86" s="69"/>
      <c r="W86" s="69"/>
      <c r="X86" s="69"/>
      <c r="Y86" s="69"/>
      <c r="Z86" s="69"/>
      <c r="AA86" s="69"/>
      <c r="AB86" s="69"/>
      <c r="AC86" s="69"/>
      <c r="AD86" s="69"/>
      <c r="AE86" s="69"/>
    </row>
    <row r="87" spans="1:65" s="2" customFormat="1" ht="22.9" customHeight="1">
      <c r="A87" s="271"/>
      <c r="B87" s="270"/>
      <c r="C87" s="243" t="s">
        <v>213</v>
      </c>
      <c r="D87" s="271"/>
      <c r="E87" s="271"/>
      <c r="F87" s="271"/>
      <c r="G87" s="271"/>
      <c r="H87" s="271"/>
      <c r="I87" s="271"/>
      <c r="J87" s="410">
        <f>BK87</f>
        <v>0</v>
      </c>
      <c r="K87" s="271"/>
      <c r="L87" s="24"/>
      <c r="M87" s="37"/>
      <c r="N87" s="30"/>
      <c r="O87" s="38"/>
      <c r="P87" s="71">
        <f>P88</f>
        <v>0</v>
      </c>
      <c r="Q87" s="38"/>
      <c r="R87" s="71">
        <f>R88</f>
        <v>0</v>
      </c>
      <c r="S87" s="38"/>
      <c r="T87" s="72">
        <f>T88</f>
        <v>0</v>
      </c>
      <c r="U87" s="23"/>
      <c r="V87" s="23"/>
      <c r="W87" s="23"/>
      <c r="X87" s="23"/>
      <c r="Y87" s="23"/>
      <c r="Z87" s="23"/>
      <c r="AA87" s="23"/>
      <c r="AB87" s="23"/>
      <c r="AC87" s="23"/>
      <c r="AD87" s="23"/>
      <c r="AE87" s="23"/>
      <c r="AT87" s="19" t="s">
        <v>67</v>
      </c>
      <c r="AU87" s="19" t="s">
        <v>170</v>
      </c>
      <c r="BK87" s="73">
        <f>BK88</f>
        <v>0</v>
      </c>
    </row>
    <row r="88" spans="1:65" s="12" customFormat="1" ht="25.9" customHeight="1">
      <c r="A88" s="303"/>
      <c r="B88" s="304"/>
      <c r="C88" s="303"/>
      <c r="D88" s="305" t="s">
        <v>67</v>
      </c>
      <c r="E88" s="306" t="s">
        <v>895</v>
      </c>
      <c r="F88" s="306" t="s">
        <v>895</v>
      </c>
      <c r="G88" s="303"/>
      <c r="H88" s="303"/>
      <c r="I88" s="303"/>
      <c r="J88" s="411">
        <f>BK88</f>
        <v>0</v>
      </c>
      <c r="K88" s="303"/>
      <c r="L88" s="74"/>
      <c r="M88" s="76"/>
      <c r="N88" s="77"/>
      <c r="O88" s="77"/>
      <c r="P88" s="78">
        <f>P89</f>
        <v>0</v>
      </c>
      <c r="Q88" s="77"/>
      <c r="R88" s="78">
        <f>R89</f>
        <v>0</v>
      </c>
      <c r="S88" s="77"/>
      <c r="T88" s="79">
        <f>T89</f>
        <v>0</v>
      </c>
      <c r="AR88" s="75" t="s">
        <v>77</v>
      </c>
      <c r="AT88" s="80" t="s">
        <v>67</v>
      </c>
      <c r="AU88" s="80" t="s">
        <v>68</v>
      </c>
      <c r="AY88" s="75" t="s">
        <v>216</v>
      </c>
      <c r="BK88" s="81">
        <f>BK89</f>
        <v>0</v>
      </c>
    </row>
    <row r="89" spans="1:65" s="12" customFormat="1" ht="22.9" customHeight="1">
      <c r="A89" s="303"/>
      <c r="B89" s="304"/>
      <c r="C89" s="303"/>
      <c r="D89" s="305" t="s">
        <v>67</v>
      </c>
      <c r="E89" s="307" t="s">
        <v>1763</v>
      </c>
      <c r="F89" s="307" t="s">
        <v>1764</v>
      </c>
      <c r="G89" s="303"/>
      <c r="H89" s="303"/>
      <c r="I89" s="256"/>
      <c r="J89" s="412">
        <f>BK89</f>
        <v>0</v>
      </c>
      <c r="K89" s="303"/>
      <c r="L89" s="74"/>
      <c r="M89" s="76"/>
      <c r="N89" s="77"/>
      <c r="O89" s="77"/>
      <c r="P89" s="78">
        <f>P90</f>
        <v>0</v>
      </c>
      <c r="Q89" s="77"/>
      <c r="R89" s="78">
        <f>R90</f>
        <v>0</v>
      </c>
      <c r="S89" s="77"/>
      <c r="T89" s="79">
        <f>T90</f>
        <v>0</v>
      </c>
      <c r="AR89" s="75" t="s">
        <v>77</v>
      </c>
      <c r="AT89" s="80" t="s">
        <v>67</v>
      </c>
      <c r="AU89" s="80" t="s">
        <v>75</v>
      </c>
      <c r="AY89" s="75" t="s">
        <v>216</v>
      </c>
      <c r="BK89" s="81">
        <f>BK90</f>
        <v>0</v>
      </c>
    </row>
    <row r="90" spans="1:65" s="2" customFormat="1" ht="14.45" customHeight="1">
      <c r="A90" s="271"/>
      <c r="B90" s="270"/>
      <c r="C90" s="308" t="s">
        <v>75</v>
      </c>
      <c r="D90" s="308" t="s">
        <v>218</v>
      </c>
      <c r="E90" s="309" t="s">
        <v>1765</v>
      </c>
      <c r="F90" s="310" t="s">
        <v>2294</v>
      </c>
      <c r="G90" s="311" t="s">
        <v>1766</v>
      </c>
      <c r="H90" s="312">
        <v>1</v>
      </c>
      <c r="I90" s="82">
        <f>ZTI!J110</f>
        <v>0</v>
      </c>
      <c r="J90" s="413">
        <f>ROUND(I90*H90,2)</f>
        <v>0</v>
      </c>
      <c r="K90" s="310" t="s">
        <v>3</v>
      </c>
      <c r="L90" s="24"/>
      <c r="M90" s="115" t="s">
        <v>3</v>
      </c>
      <c r="N90" s="116" t="s">
        <v>39</v>
      </c>
      <c r="O90" s="117">
        <v>0</v>
      </c>
      <c r="P90" s="117">
        <f>O90*H90</f>
        <v>0</v>
      </c>
      <c r="Q90" s="117">
        <v>0</v>
      </c>
      <c r="R90" s="117">
        <f>Q90*H90</f>
        <v>0</v>
      </c>
      <c r="S90" s="117">
        <v>0</v>
      </c>
      <c r="T90" s="118">
        <f>S90*H90</f>
        <v>0</v>
      </c>
      <c r="U90" s="23"/>
      <c r="V90" s="23"/>
      <c r="W90" s="23"/>
      <c r="X90" s="23"/>
      <c r="Y90" s="23"/>
      <c r="Z90" s="23"/>
      <c r="AA90" s="23"/>
      <c r="AB90" s="23"/>
      <c r="AC90" s="23"/>
      <c r="AD90" s="23"/>
      <c r="AE90" s="23"/>
      <c r="AR90" s="87" t="s">
        <v>305</v>
      </c>
      <c r="AT90" s="87" t="s">
        <v>218</v>
      </c>
      <c r="AU90" s="87" t="s">
        <v>77</v>
      </c>
      <c r="AY90" s="19" t="s">
        <v>216</v>
      </c>
      <c r="BE90" s="88">
        <f>IF(N90="základní",J90,0)</f>
        <v>0</v>
      </c>
      <c r="BF90" s="88">
        <f>IF(N90="snížená",J90,0)</f>
        <v>0</v>
      </c>
      <c r="BG90" s="88">
        <f>IF(N90="zákl. přenesená",J90,0)</f>
        <v>0</v>
      </c>
      <c r="BH90" s="88">
        <f>IF(N90="sníž. přenesená",J90,0)</f>
        <v>0</v>
      </c>
      <c r="BI90" s="88">
        <f>IF(N90="nulová",J90,0)</f>
        <v>0</v>
      </c>
      <c r="BJ90" s="19" t="s">
        <v>75</v>
      </c>
      <c r="BK90" s="88">
        <f>ROUND(I90*H90,2)</f>
        <v>0</v>
      </c>
      <c r="BL90" s="19" t="s">
        <v>305</v>
      </c>
      <c r="BM90" s="87" t="s">
        <v>1767</v>
      </c>
    </row>
    <row r="91" spans="1:65" s="2" customFormat="1" ht="6.95" customHeight="1">
      <c r="A91" s="248"/>
      <c r="B91" s="342"/>
      <c r="C91" s="251"/>
      <c r="D91" s="251"/>
      <c r="E91" s="251"/>
      <c r="F91" s="251"/>
      <c r="G91" s="251"/>
      <c r="H91" s="251"/>
      <c r="I91" s="251"/>
      <c r="J91" s="251"/>
      <c r="K91" s="251"/>
      <c r="L91" s="24"/>
      <c r="M91" s="23"/>
      <c r="O91" s="23"/>
      <c r="P91" s="23"/>
      <c r="Q91" s="23"/>
      <c r="R91" s="23"/>
      <c r="S91" s="23"/>
      <c r="T91" s="23"/>
      <c r="U91" s="23"/>
      <c r="V91" s="23"/>
      <c r="W91" s="23"/>
      <c r="X91" s="23"/>
      <c r="Y91" s="23"/>
      <c r="Z91" s="23"/>
      <c r="AA91" s="23"/>
      <c r="AB91" s="23"/>
      <c r="AC91" s="23"/>
      <c r="AD91" s="23"/>
      <c r="AE91" s="23"/>
    </row>
  </sheetData>
  <sheetProtection password="C971" sheet="1" objects="1" scenarios="1"/>
  <autoFilter ref="C86:K9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I115"/>
  <sheetViews>
    <sheetView zoomScale="75" zoomScaleNormal="75" workbookViewId="0">
      <pane ySplit="11" topLeftCell="A12" activePane="bottomLeft" state="frozenSplit"/>
      <selection activeCell="F91" sqref="F91"/>
      <selection pane="bottomLeft" activeCell="G87" sqref="G87"/>
    </sheetView>
  </sheetViews>
  <sheetFormatPr defaultColWidth="13.5" defaultRowHeight="12.75"/>
  <cols>
    <col min="1" max="1" width="4.33203125" style="190" customWidth="1"/>
    <col min="2" max="2" width="8.83203125" style="190" customWidth="1"/>
    <col min="3" max="3" width="16.6640625" style="190" customWidth="1"/>
    <col min="4" max="4" width="70.6640625" style="190" customWidth="1"/>
    <col min="5" max="5" width="7.5" style="190" customWidth="1"/>
    <col min="6" max="6" width="15" style="190" customWidth="1"/>
    <col min="7" max="7" width="14" style="190" customWidth="1"/>
    <col min="8" max="10" width="16.6640625" style="190" customWidth="1"/>
    <col min="11" max="12" width="13.6640625" style="190" customWidth="1"/>
    <col min="13" max="23" width="13.5" style="190"/>
    <col min="24" max="61" width="14.1640625" style="190" hidden="1" customWidth="1"/>
    <col min="62" max="16384" width="13.5" style="190"/>
  </cols>
  <sheetData>
    <row r="1" spans="1:61" ht="72.95" customHeight="1">
      <c r="A1" s="737" t="s">
        <v>2293</v>
      </c>
      <c r="B1" s="738"/>
      <c r="C1" s="738"/>
      <c r="D1" s="738"/>
      <c r="E1" s="738"/>
      <c r="F1" s="738"/>
      <c r="G1" s="738"/>
      <c r="H1" s="738"/>
      <c r="I1" s="738"/>
      <c r="J1" s="738"/>
      <c r="K1" s="738"/>
      <c r="L1" s="738"/>
    </row>
    <row r="2" spans="1:61">
      <c r="A2" s="739" t="s">
        <v>2292</v>
      </c>
      <c r="B2" s="740"/>
      <c r="C2" s="740"/>
      <c r="D2" s="741" t="s">
        <v>2291</v>
      </c>
      <c r="E2" s="743" t="s">
        <v>2290</v>
      </c>
      <c r="F2" s="740"/>
      <c r="G2" s="743" t="s">
        <v>27</v>
      </c>
      <c r="H2" s="744" t="s">
        <v>2289</v>
      </c>
      <c r="I2" s="744" t="s">
        <v>2288</v>
      </c>
      <c r="J2" s="740"/>
      <c r="K2" s="740"/>
      <c r="L2" s="740"/>
      <c r="M2" s="204"/>
    </row>
    <row r="3" spans="1:61">
      <c r="A3" s="736"/>
      <c r="B3" s="730"/>
      <c r="C3" s="730"/>
      <c r="D3" s="742"/>
      <c r="E3" s="730"/>
      <c r="F3" s="730"/>
      <c r="G3" s="730"/>
      <c r="H3" s="730"/>
      <c r="I3" s="730"/>
      <c r="J3" s="730"/>
      <c r="K3" s="730"/>
      <c r="L3" s="730"/>
      <c r="M3" s="204"/>
    </row>
    <row r="4" spans="1:61">
      <c r="A4" s="731" t="s">
        <v>2287</v>
      </c>
      <c r="B4" s="730"/>
      <c r="C4" s="730"/>
      <c r="D4" s="729" t="s">
        <v>2286</v>
      </c>
      <c r="E4" s="735" t="s">
        <v>2285</v>
      </c>
      <c r="F4" s="730"/>
      <c r="G4" s="735" t="s">
        <v>2280</v>
      </c>
      <c r="H4" s="729" t="s">
        <v>28</v>
      </c>
      <c r="I4" s="729" t="s">
        <v>2284</v>
      </c>
      <c r="J4" s="730"/>
      <c r="K4" s="730"/>
      <c r="L4" s="730"/>
      <c r="M4" s="204"/>
    </row>
    <row r="5" spans="1:61">
      <c r="A5" s="736"/>
      <c r="B5" s="730"/>
      <c r="C5" s="730"/>
      <c r="D5" s="730"/>
      <c r="E5" s="730"/>
      <c r="F5" s="730"/>
      <c r="G5" s="730"/>
      <c r="H5" s="730"/>
      <c r="I5" s="730"/>
      <c r="J5" s="730"/>
      <c r="K5" s="730"/>
      <c r="L5" s="730"/>
      <c r="M5" s="204"/>
    </row>
    <row r="6" spans="1:61">
      <c r="A6" s="731" t="s">
        <v>2283</v>
      </c>
      <c r="B6" s="730"/>
      <c r="C6" s="730"/>
      <c r="D6" s="729" t="s">
        <v>2282</v>
      </c>
      <c r="E6" s="735" t="s">
        <v>2281</v>
      </c>
      <c r="F6" s="730"/>
      <c r="G6" s="735" t="s">
        <v>2280</v>
      </c>
      <c r="H6" s="729" t="s">
        <v>26</v>
      </c>
      <c r="I6" s="734">
        <v>0</v>
      </c>
      <c r="J6" s="730"/>
      <c r="K6" s="730"/>
      <c r="L6" s="730"/>
      <c r="M6" s="204"/>
    </row>
    <row r="7" spans="1:61">
      <c r="A7" s="736"/>
      <c r="B7" s="730"/>
      <c r="C7" s="730"/>
      <c r="D7" s="730"/>
      <c r="E7" s="730"/>
      <c r="F7" s="730"/>
      <c r="G7" s="730"/>
      <c r="H7" s="730"/>
      <c r="I7" s="730"/>
      <c r="J7" s="730"/>
      <c r="K7" s="730"/>
      <c r="L7" s="730"/>
      <c r="M7" s="204"/>
    </row>
    <row r="8" spans="1:61">
      <c r="A8" s="731" t="s">
        <v>2279</v>
      </c>
      <c r="B8" s="730"/>
      <c r="C8" s="730"/>
      <c r="D8" s="734">
        <v>0</v>
      </c>
      <c r="E8" s="735" t="s">
        <v>2278</v>
      </c>
      <c r="F8" s="730"/>
      <c r="G8" s="735" t="s">
        <v>2277</v>
      </c>
      <c r="H8" s="729" t="s">
        <v>2276</v>
      </c>
      <c r="I8" s="729" t="s">
        <v>2275</v>
      </c>
      <c r="J8" s="730"/>
      <c r="K8" s="730"/>
      <c r="L8" s="730"/>
      <c r="M8" s="204"/>
    </row>
    <row r="9" spans="1:61" ht="13.5" thickBot="1">
      <c r="A9" s="732"/>
      <c r="B9" s="733"/>
      <c r="C9" s="733"/>
      <c r="D9" s="733"/>
      <c r="E9" s="733"/>
      <c r="F9" s="733"/>
      <c r="G9" s="733"/>
      <c r="H9" s="733"/>
      <c r="I9" s="733"/>
      <c r="J9" s="733"/>
      <c r="K9" s="733"/>
      <c r="L9" s="733"/>
      <c r="M9" s="204"/>
    </row>
    <row r="10" spans="1:61">
      <c r="A10" s="361" t="s">
        <v>2274</v>
      </c>
      <c r="B10" s="362" t="s">
        <v>2001</v>
      </c>
      <c r="C10" s="362" t="s">
        <v>49</v>
      </c>
      <c r="D10" s="362" t="s">
        <v>2273</v>
      </c>
      <c r="E10" s="362" t="s">
        <v>2272</v>
      </c>
      <c r="F10" s="363" t="s">
        <v>204</v>
      </c>
      <c r="G10" s="416" t="s">
        <v>2265</v>
      </c>
      <c r="H10" s="724" t="s">
        <v>2271</v>
      </c>
      <c r="I10" s="725"/>
      <c r="J10" s="726"/>
      <c r="K10" s="724" t="s">
        <v>2270</v>
      </c>
      <c r="L10" s="726"/>
      <c r="M10" s="203"/>
    </row>
    <row r="11" spans="1:61" ht="13.5" thickBot="1">
      <c r="A11" s="364" t="s">
        <v>27</v>
      </c>
      <c r="B11" s="365" t="s">
        <v>27</v>
      </c>
      <c r="C11" s="365" t="s">
        <v>27</v>
      </c>
      <c r="D11" s="366" t="s">
        <v>2269</v>
      </c>
      <c r="E11" s="365" t="s">
        <v>27</v>
      </c>
      <c r="F11" s="365" t="s">
        <v>27</v>
      </c>
      <c r="G11" s="417" t="s">
        <v>2268</v>
      </c>
      <c r="H11" s="381" t="s">
        <v>2267</v>
      </c>
      <c r="I11" s="414" t="s">
        <v>2266</v>
      </c>
      <c r="J11" s="382" t="s">
        <v>2264</v>
      </c>
      <c r="K11" s="381" t="s">
        <v>2265</v>
      </c>
      <c r="L11" s="382" t="s">
        <v>2264</v>
      </c>
      <c r="M11" s="203"/>
      <c r="Y11" s="196" t="s">
        <v>2263</v>
      </c>
      <c r="Z11" s="196" t="s">
        <v>2262</v>
      </c>
      <c r="AA11" s="196" t="s">
        <v>2261</v>
      </c>
      <c r="AB11" s="196" t="s">
        <v>2260</v>
      </c>
      <c r="AC11" s="196" t="s">
        <v>2259</v>
      </c>
      <c r="AD11" s="196" t="s">
        <v>2258</v>
      </c>
      <c r="AE11" s="196" t="s">
        <v>2257</v>
      </c>
      <c r="AF11" s="196" t="s">
        <v>2256</v>
      </c>
      <c r="AG11" s="196" t="s">
        <v>2255</v>
      </c>
      <c r="BG11" s="196" t="s">
        <v>2254</v>
      </c>
      <c r="BH11" s="196" t="s">
        <v>2253</v>
      </c>
      <c r="BI11" s="196" t="s">
        <v>2252</v>
      </c>
    </row>
    <row r="12" spans="1:61">
      <c r="A12" s="367"/>
      <c r="B12" s="368"/>
      <c r="C12" s="368" t="s">
        <v>288</v>
      </c>
      <c r="D12" s="368" t="s">
        <v>217</v>
      </c>
      <c r="E12" s="367" t="s">
        <v>27</v>
      </c>
      <c r="F12" s="367" t="s">
        <v>27</v>
      </c>
      <c r="G12" s="354" t="s">
        <v>27</v>
      </c>
      <c r="H12" s="384">
        <f>SUM(H13:H15)</f>
        <v>0</v>
      </c>
      <c r="I12" s="384">
        <f>SUM(I13:I15)</f>
        <v>0</v>
      </c>
      <c r="J12" s="384">
        <f>SUM(J13:J15)</f>
        <v>0</v>
      </c>
      <c r="K12" s="383"/>
      <c r="L12" s="384">
        <f>SUM(L13:L15)</f>
        <v>1.1322000000000001</v>
      </c>
      <c r="AH12" s="196"/>
      <c r="AR12" s="199">
        <f>SUM(AI13:AI15)</f>
        <v>0</v>
      </c>
      <c r="AS12" s="199">
        <f>SUM(AJ13:AJ15)</f>
        <v>0</v>
      </c>
      <c r="AT12" s="199">
        <f>SUM(AK13:AK15)</f>
        <v>0</v>
      </c>
    </row>
    <row r="13" spans="1:61">
      <c r="A13" s="369" t="s">
        <v>75</v>
      </c>
      <c r="B13" s="369"/>
      <c r="C13" s="369" t="s">
        <v>2251</v>
      </c>
      <c r="D13" s="369" t="s">
        <v>2250</v>
      </c>
      <c r="E13" s="369" t="s">
        <v>221</v>
      </c>
      <c r="F13" s="370">
        <v>1</v>
      </c>
      <c r="G13" s="355">
        <v>0</v>
      </c>
      <c r="H13" s="370">
        <f>F13*AN13</f>
        <v>0</v>
      </c>
      <c r="I13" s="370">
        <f>F13*AO13</f>
        <v>0</v>
      </c>
      <c r="J13" s="370">
        <f>F13*G13</f>
        <v>0</v>
      </c>
      <c r="K13" s="370">
        <v>0</v>
      </c>
      <c r="L13" s="370">
        <f>F13*K13</f>
        <v>0</v>
      </c>
      <c r="Y13" s="195">
        <f>IF(AP13="5",BI13,0)</f>
        <v>0</v>
      </c>
      <c r="AA13" s="195">
        <f>IF(AP13="1",BG13,0)</f>
        <v>0</v>
      </c>
      <c r="AB13" s="195">
        <f>IF(AP13="1",BH13,0)</f>
        <v>0</v>
      </c>
      <c r="AC13" s="195">
        <f>IF(AP13="7",BG13,0)</f>
        <v>0</v>
      </c>
      <c r="AD13" s="195">
        <f>IF(AP13="7",BH13,0)</f>
        <v>0</v>
      </c>
      <c r="AE13" s="195">
        <f>IF(AP13="2",BG13,0)</f>
        <v>0</v>
      </c>
      <c r="AF13" s="195">
        <f>IF(AP13="2",BH13,0)</f>
        <v>0</v>
      </c>
      <c r="AG13" s="195">
        <f>IF(AP13="0",BI13,0)</f>
        <v>0</v>
      </c>
      <c r="AH13" s="196"/>
      <c r="AI13" s="194">
        <f>IF(AM13=0,J13,0)</f>
        <v>0</v>
      </c>
      <c r="AJ13" s="194">
        <f>IF(AM13=15,J13,0)</f>
        <v>0</v>
      </c>
      <c r="AK13" s="194">
        <f>IF(AM13=21,J13,0)</f>
        <v>0</v>
      </c>
      <c r="AM13" s="195">
        <v>21</v>
      </c>
      <c r="AN13" s="195">
        <f>G13*0</f>
        <v>0</v>
      </c>
      <c r="AO13" s="195">
        <f>G13*(1-0)</f>
        <v>0</v>
      </c>
      <c r="AP13" s="198" t="s">
        <v>75</v>
      </c>
      <c r="AU13" s="195">
        <f>AV13+AW13</f>
        <v>0</v>
      </c>
      <c r="AV13" s="195">
        <f>F13*AN13</f>
        <v>0</v>
      </c>
      <c r="AW13" s="195">
        <f>F13*AO13</f>
        <v>0</v>
      </c>
      <c r="AX13" s="197" t="s">
        <v>2245</v>
      </c>
      <c r="AY13" s="197" t="s">
        <v>2244</v>
      </c>
      <c r="AZ13" s="196" t="s">
        <v>2067</v>
      </c>
      <c r="BB13" s="195">
        <f>AV13+AW13</f>
        <v>0</v>
      </c>
      <c r="BC13" s="195">
        <f>G13/(100-BD13)*100</f>
        <v>0</v>
      </c>
      <c r="BD13" s="195">
        <v>0</v>
      </c>
      <c r="BE13" s="195">
        <f>L13</f>
        <v>0</v>
      </c>
      <c r="BG13" s="194">
        <f>F13*AN13</f>
        <v>0</v>
      </c>
      <c r="BH13" s="194">
        <f>F13*AO13</f>
        <v>0</v>
      </c>
      <c r="BI13" s="194">
        <f>F13*G13</f>
        <v>0</v>
      </c>
    </row>
    <row r="14" spans="1:61">
      <c r="A14" s="369" t="s">
        <v>77</v>
      </c>
      <c r="B14" s="369"/>
      <c r="C14" s="369" t="s">
        <v>2249</v>
      </c>
      <c r="D14" s="369" t="s">
        <v>2248</v>
      </c>
      <c r="E14" s="369" t="s">
        <v>221</v>
      </c>
      <c r="F14" s="370">
        <v>1</v>
      </c>
      <c r="G14" s="355">
        <v>0</v>
      </c>
      <c r="H14" s="370">
        <f>F14*AN14</f>
        <v>0</v>
      </c>
      <c r="I14" s="370">
        <f>F14*AO14</f>
        <v>0</v>
      </c>
      <c r="J14" s="370">
        <f>F14*G14</f>
        <v>0</v>
      </c>
      <c r="K14" s="370">
        <v>1.1322000000000001</v>
      </c>
      <c r="L14" s="370">
        <f>F14*K14</f>
        <v>1.1322000000000001</v>
      </c>
      <c r="Y14" s="195">
        <f>IF(AP14="5",BI14,0)</f>
        <v>0</v>
      </c>
      <c r="AA14" s="195">
        <f>IF(AP14="1",BG14,0)</f>
        <v>0</v>
      </c>
      <c r="AB14" s="195">
        <f>IF(AP14="1",BH14,0)</f>
        <v>0</v>
      </c>
      <c r="AC14" s="195">
        <f>IF(AP14="7",BG14,0)</f>
        <v>0</v>
      </c>
      <c r="AD14" s="195">
        <f>IF(AP14="7",BH14,0)</f>
        <v>0</v>
      </c>
      <c r="AE14" s="195">
        <f>IF(AP14="2",BG14,0)</f>
        <v>0</v>
      </c>
      <c r="AF14" s="195">
        <f>IF(AP14="2",BH14,0)</f>
        <v>0</v>
      </c>
      <c r="AG14" s="195">
        <f>IF(AP14="0",BI14,0)</f>
        <v>0</v>
      </c>
      <c r="AH14" s="196"/>
      <c r="AI14" s="194">
        <f>IF(AM14=0,J14,0)</f>
        <v>0</v>
      </c>
      <c r="AJ14" s="194">
        <f>IF(AM14=15,J14,0)</f>
        <v>0</v>
      </c>
      <c r="AK14" s="194">
        <f>IF(AM14=21,J14,0)</f>
        <v>0</v>
      </c>
      <c r="AM14" s="195">
        <v>21</v>
      </c>
      <c r="AN14" s="195">
        <f>G14*0.522464962901896</f>
        <v>0</v>
      </c>
      <c r="AO14" s="195">
        <f>G14*(1-0.522464962901896)</f>
        <v>0</v>
      </c>
      <c r="AP14" s="198" t="s">
        <v>75</v>
      </c>
      <c r="AU14" s="195">
        <f>AV14+AW14</f>
        <v>0</v>
      </c>
      <c r="AV14" s="195">
        <f>F14*AN14</f>
        <v>0</v>
      </c>
      <c r="AW14" s="195">
        <f>F14*AO14</f>
        <v>0</v>
      </c>
      <c r="AX14" s="197" t="s">
        <v>2245</v>
      </c>
      <c r="AY14" s="197" t="s">
        <v>2244</v>
      </c>
      <c r="AZ14" s="196" t="s">
        <v>2067</v>
      </c>
      <c r="BB14" s="195">
        <f>AV14+AW14</f>
        <v>0</v>
      </c>
      <c r="BC14" s="195">
        <f>G14/(100-BD14)*100</f>
        <v>0</v>
      </c>
      <c r="BD14" s="195">
        <v>0</v>
      </c>
      <c r="BE14" s="195">
        <f>L14</f>
        <v>1.1322000000000001</v>
      </c>
      <c r="BG14" s="194">
        <f>F14*AN14</f>
        <v>0</v>
      </c>
      <c r="BH14" s="194">
        <f>F14*AO14</f>
        <v>0</v>
      </c>
      <c r="BI14" s="194">
        <f>F14*G14</f>
        <v>0</v>
      </c>
    </row>
    <row r="15" spans="1:61">
      <c r="A15" s="369" t="s">
        <v>100</v>
      </c>
      <c r="B15" s="369"/>
      <c r="C15" s="369" t="s">
        <v>2247</v>
      </c>
      <c r="D15" s="369" t="s">
        <v>2246</v>
      </c>
      <c r="E15" s="369" t="s">
        <v>221</v>
      </c>
      <c r="F15" s="370">
        <v>1</v>
      </c>
      <c r="G15" s="355">
        <v>0</v>
      </c>
      <c r="H15" s="370">
        <f>F15*AN15</f>
        <v>0</v>
      </c>
      <c r="I15" s="370">
        <f>F15*AO15</f>
        <v>0</v>
      </c>
      <c r="J15" s="370">
        <f>F15*G15</f>
        <v>0</v>
      </c>
      <c r="K15" s="370">
        <v>0</v>
      </c>
      <c r="L15" s="370">
        <f>F15*K15</f>
        <v>0</v>
      </c>
      <c r="Y15" s="195">
        <f>IF(AP15="5",BI15,0)</f>
        <v>0</v>
      </c>
      <c r="AA15" s="195">
        <f>IF(AP15="1",BG15,0)</f>
        <v>0</v>
      </c>
      <c r="AB15" s="195">
        <f>IF(AP15="1",BH15,0)</f>
        <v>0</v>
      </c>
      <c r="AC15" s="195">
        <f>IF(AP15="7",BG15,0)</f>
        <v>0</v>
      </c>
      <c r="AD15" s="195">
        <f>IF(AP15="7",BH15,0)</f>
        <v>0</v>
      </c>
      <c r="AE15" s="195">
        <f>IF(AP15="2",BG15,0)</f>
        <v>0</v>
      </c>
      <c r="AF15" s="195">
        <f>IF(AP15="2",BH15,0)</f>
        <v>0</v>
      </c>
      <c r="AG15" s="195">
        <f>IF(AP15="0",BI15,0)</f>
        <v>0</v>
      </c>
      <c r="AH15" s="196"/>
      <c r="AI15" s="194">
        <f>IF(AM15=0,J15,0)</f>
        <v>0</v>
      </c>
      <c r="AJ15" s="194">
        <f>IF(AM15=15,J15,0)</f>
        <v>0</v>
      </c>
      <c r="AK15" s="194">
        <f>IF(AM15=21,J15,0)</f>
        <v>0</v>
      </c>
      <c r="AM15" s="195">
        <v>21</v>
      </c>
      <c r="AN15" s="195">
        <f>G15*0</f>
        <v>0</v>
      </c>
      <c r="AO15" s="195">
        <f>G15*(1-0)</f>
        <v>0</v>
      </c>
      <c r="AP15" s="198" t="s">
        <v>75</v>
      </c>
      <c r="AU15" s="195">
        <f>AV15+AW15</f>
        <v>0</v>
      </c>
      <c r="AV15" s="195">
        <f>F15*AN15</f>
        <v>0</v>
      </c>
      <c r="AW15" s="195">
        <f>F15*AO15</f>
        <v>0</v>
      </c>
      <c r="AX15" s="197" t="s">
        <v>2245</v>
      </c>
      <c r="AY15" s="197" t="s">
        <v>2244</v>
      </c>
      <c r="AZ15" s="196" t="s">
        <v>2067</v>
      </c>
      <c r="BB15" s="195">
        <f>AV15+AW15</f>
        <v>0</v>
      </c>
      <c r="BC15" s="195">
        <f>G15/(100-BD15)*100</f>
        <v>0</v>
      </c>
      <c r="BD15" s="195">
        <v>0</v>
      </c>
      <c r="BE15" s="195">
        <f>L15</f>
        <v>0</v>
      </c>
      <c r="BG15" s="194">
        <f>F15*AN15</f>
        <v>0</v>
      </c>
      <c r="BH15" s="194">
        <f>F15*AO15</f>
        <v>0</v>
      </c>
      <c r="BI15" s="194">
        <f>F15*G15</f>
        <v>0</v>
      </c>
    </row>
    <row r="16" spans="1:61">
      <c r="A16" s="371"/>
      <c r="B16" s="372"/>
      <c r="C16" s="372" t="s">
        <v>1765</v>
      </c>
      <c r="D16" s="372" t="s">
        <v>2243</v>
      </c>
      <c r="E16" s="371" t="s">
        <v>27</v>
      </c>
      <c r="F16" s="371" t="s">
        <v>27</v>
      </c>
      <c r="G16" s="356" t="s">
        <v>27</v>
      </c>
      <c r="H16" s="386">
        <f>SUM(H17:H35)</f>
        <v>0</v>
      </c>
      <c r="I16" s="386">
        <f>SUM(I17:I35)</f>
        <v>0</v>
      </c>
      <c r="J16" s="386">
        <f>SUM(J17:J35)</f>
        <v>0</v>
      </c>
      <c r="K16" s="385"/>
      <c r="L16" s="386">
        <f>SUM(L17:L35)</f>
        <v>0.40223999999999999</v>
      </c>
      <c r="AH16" s="196"/>
      <c r="AR16" s="199">
        <f>SUM(AI17:AI35)</f>
        <v>0</v>
      </c>
      <c r="AS16" s="199">
        <f>SUM(AJ17:AJ35)</f>
        <v>0</v>
      </c>
      <c r="AT16" s="199">
        <f>SUM(AK17:AK35)</f>
        <v>0</v>
      </c>
    </row>
    <row r="17" spans="1:61">
      <c r="A17" s="369" t="s">
        <v>223</v>
      </c>
      <c r="B17" s="369"/>
      <c r="C17" s="369" t="s">
        <v>2242</v>
      </c>
      <c r="D17" s="369" t="s">
        <v>2241</v>
      </c>
      <c r="E17" s="369" t="s">
        <v>364</v>
      </c>
      <c r="F17" s="370">
        <v>50</v>
      </c>
      <c r="G17" s="355">
        <v>0</v>
      </c>
      <c r="H17" s="370">
        <f t="shared" ref="H17:H35" si="0">F17*AN17</f>
        <v>0</v>
      </c>
      <c r="I17" s="370">
        <f t="shared" ref="I17:I35" si="1">F17*AO17</f>
        <v>0</v>
      </c>
      <c r="J17" s="370">
        <f t="shared" ref="J17:J35" si="2">F17*G17</f>
        <v>0</v>
      </c>
      <c r="K17" s="370">
        <v>2.0999999999999999E-3</v>
      </c>
      <c r="L17" s="370">
        <f t="shared" ref="L17:L35" si="3">F17*K17</f>
        <v>0.105</v>
      </c>
      <c r="Y17" s="195">
        <f t="shared" ref="Y17:Y35" si="4">IF(AP17="5",BI17,0)</f>
        <v>0</v>
      </c>
      <c r="AA17" s="195">
        <f t="shared" ref="AA17:AA35" si="5">IF(AP17="1",BG17,0)</f>
        <v>0</v>
      </c>
      <c r="AB17" s="195">
        <f t="shared" ref="AB17:AB35" si="6">IF(AP17="1",BH17,0)</f>
        <v>0</v>
      </c>
      <c r="AC17" s="195">
        <f t="shared" ref="AC17:AC35" si="7">IF(AP17="7",BG17,0)</f>
        <v>0</v>
      </c>
      <c r="AD17" s="195">
        <f t="shared" ref="AD17:AD35" si="8">IF(AP17="7",BH17,0)</f>
        <v>0</v>
      </c>
      <c r="AE17" s="195">
        <f t="shared" ref="AE17:AE35" si="9">IF(AP17="2",BG17,0)</f>
        <v>0</v>
      </c>
      <c r="AF17" s="195">
        <f t="shared" ref="AF17:AF35" si="10">IF(AP17="2",BH17,0)</f>
        <v>0</v>
      </c>
      <c r="AG17" s="195">
        <f t="shared" ref="AG17:AG35" si="11">IF(AP17="0",BI17,0)</f>
        <v>0</v>
      </c>
      <c r="AH17" s="196"/>
      <c r="AI17" s="194">
        <f t="shared" ref="AI17:AI35" si="12">IF(AM17=0,J17,0)</f>
        <v>0</v>
      </c>
      <c r="AJ17" s="194">
        <f t="shared" ref="AJ17:AJ35" si="13">IF(AM17=15,J17,0)</f>
        <v>0</v>
      </c>
      <c r="AK17" s="194">
        <f t="shared" ref="AK17:AK35" si="14">IF(AM17=21,J17,0)</f>
        <v>0</v>
      </c>
      <c r="AM17" s="195">
        <v>21</v>
      </c>
      <c r="AN17" s="195">
        <f>G17*0</f>
        <v>0</v>
      </c>
      <c r="AO17" s="195">
        <f>G17*(1-0)</f>
        <v>0</v>
      </c>
      <c r="AP17" s="198" t="s">
        <v>255</v>
      </c>
      <c r="AU17" s="195">
        <f t="shared" ref="AU17:AU35" si="15">AV17+AW17</f>
        <v>0</v>
      </c>
      <c r="AV17" s="195">
        <f t="shared" ref="AV17:AV35" si="16">F17*AN17</f>
        <v>0</v>
      </c>
      <c r="AW17" s="195">
        <f t="shared" ref="AW17:AW35" si="17">F17*AO17</f>
        <v>0</v>
      </c>
      <c r="AX17" s="197" t="s">
        <v>2204</v>
      </c>
      <c r="AY17" s="197" t="s">
        <v>2073</v>
      </c>
      <c r="AZ17" s="196" t="s">
        <v>2067</v>
      </c>
      <c r="BB17" s="195">
        <f t="shared" ref="BB17:BB35" si="18">AV17+AW17</f>
        <v>0</v>
      </c>
      <c r="BC17" s="195">
        <f t="shared" ref="BC17:BC35" si="19">G17/(100-BD17)*100</f>
        <v>0</v>
      </c>
      <c r="BD17" s="195">
        <v>0</v>
      </c>
      <c r="BE17" s="195">
        <f t="shared" ref="BE17:BE35" si="20">L17</f>
        <v>0.105</v>
      </c>
      <c r="BG17" s="194">
        <f t="shared" ref="BG17:BG35" si="21">F17*AN17</f>
        <v>0</v>
      </c>
      <c r="BH17" s="194">
        <f t="shared" ref="BH17:BH35" si="22">F17*AO17</f>
        <v>0</v>
      </c>
      <c r="BI17" s="194">
        <f t="shared" ref="BI17:BI35" si="23">F17*G17</f>
        <v>0</v>
      </c>
    </row>
    <row r="18" spans="1:61">
      <c r="A18" s="369" t="s">
        <v>244</v>
      </c>
      <c r="B18" s="369"/>
      <c r="C18" s="369" t="s">
        <v>2240</v>
      </c>
      <c r="D18" s="369" t="s">
        <v>2239</v>
      </c>
      <c r="E18" s="369" t="s">
        <v>291</v>
      </c>
      <c r="F18" s="370">
        <v>2</v>
      </c>
      <c r="G18" s="355">
        <v>0</v>
      </c>
      <c r="H18" s="370">
        <f t="shared" si="0"/>
        <v>0</v>
      </c>
      <c r="I18" s="370">
        <f t="shared" si="1"/>
        <v>0</v>
      </c>
      <c r="J18" s="370">
        <f t="shared" si="2"/>
        <v>0</v>
      </c>
      <c r="K18" s="370">
        <v>2.9610000000000001E-2</v>
      </c>
      <c r="L18" s="370">
        <f t="shared" si="3"/>
        <v>5.9220000000000002E-2</v>
      </c>
      <c r="Y18" s="195">
        <f t="shared" si="4"/>
        <v>0</v>
      </c>
      <c r="AA18" s="195">
        <f t="shared" si="5"/>
        <v>0</v>
      </c>
      <c r="AB18" s="195">
        <f t="shared" si="6"/>
        <v>0</v>
      </c>
      <c r="AC18" s="195">
        <f t="shared" si="7"/>
        <v>0</v>
      </c>
      <c r="AD18" s="195">
        <f t="shared" si="8"/>
        <v>0</v>
      </c>
      <c r="AE18" s="195">
        <f t="shared" si="9"/>
        <v>0</v>
      </c>
      <c r="AF18" s="195">
        <f t="shared" si="10"/>
        <v>0</v>
      </c>
      <c r="AG18" s="195">
        <f t="shared" si="11"/>
        <v>0</v>
      </c>
      <c r="AH18" s="196"/>
      <c r="AI18" s="194">
        <f t="shared" si="12"/>
        <v>0</v>
      </c>
      <c r="AJ18" s="194">
        <f t="shared" si="13"/>
        <v>0</v>
      </c>
      <c r="AK18" s="194">
        <f t="shared" si="14"/>
        <v>0</v>
      </c>
      <c r="AM18" s="195">
        <v>21</v>
      </c>
      <c r="AN18" s="195">
        <f>G18*0</f>
        <v>0</v>
      </c>
      <c r="AO18" s="195">
        <f>G18*(1-0)</f>
        <v>0</v>
      </c>
      <c r="AP18" s="198" t="s">
        <v>255</v>
      </c>
      <c r="AU18" s="195">
        <f t="shared" si="15"/>
        <v>0</v>
      </c>
      <c r="AV18" s="195">
        <f t="shared" si="16"/>
        <v>0</v>
      </c>
      <c r="AW18" s="195">
        <f t="shared" si="17"/>
        <v>0</v>
      </c>
      <c r="AX18" s="197" t="s">
        <v>2204</v>
      </c>
      <c r="AY18" s="197" t="s">
        <v>2073</v>
      </c>
      <c r="AZ18" s="196" t="s">
        <v>2067</v>
      </c>
      <c r="BB18" s="195">
        <f t="shared" si="18"/>
        <v>0</v>
      </c>
      <c r="BC18" s="195">
        <f t="shared" si="19"/>
        <v>0</v>
      </c>
      <c r="BD18" s="195">
        <v>0</v>
      </c>
      <c r="BE18" s="195">
        <f t="shared" si="20"/>
        <v>5.9220000000000002E-2</v>
      </c>
      <c r="BG18" s="194">
        <f t="shared" si="21"/>
        <v>0</v>
      </c>
      <c r="BH18" s="194">
        <f t="shared" si="22"/>
        <v>0</v>
      </c>
      <c r="BI18" s="194">
        <f t="shared" si="23"/>
        <v>0</v>
      </c>
    </row>
    <row r="19" spans="1:61">
      <c r="A19" s="369" t="s">
        <v>248</v>
      </c>
      <c r="B19" s="369"/>
      <c r="C19" s="369" t="s">
        <v>2238</v>
      </c>
      <c r="D19" s="369" t="s">
        <v>2237</v>
      </c>
      <c r="E19" s="369" t="s">
        <v>291</v>
      </c>
      <c r="F19" s="370">
        <v>1</v>
      </c>
      <c r="G19" s="355">
        <v>0</v>
      </c>
      <c r="H19" s="370">
        <f t="shared" si="0"/>
        <v>0</v>
      </c>
      <c r="I19" s="370">
        <f t="shared" si="1"/>
        <v>0</v>
      </c>
      <c r="J19" s="370">
        <f t="shared" si="2"/>
        <v>0</v>
      </c>
      <c r="K19" s="370">
        <v>9.2100000000000001E-2</v>
      </c>
      <c r="L19" s="370">
        <f t="shared" si="3"/>
        <v>9.2100000000000001E-2</v>
      </c>
      <c r="Y19" s="195">
        <f t="shared" si="4"/>
        <v>0</v>
      </c>
      <c r="AA19" s="195">
        <f t="shared" si="5"/>
        <v>0</v>
      </c>
      <c r="AB19" s="195">
        <f t="shared" si="6"/>
        <v>0</v>
      </c>
      <c r="AC19" s="195">
        <f t="shared" si="7"/>
        <v>0</v>
      </c>
      <c r="AD19" s="195">
        <f t="shared" si="8"/>
        <v>0</v>
      </c>
      <c r="AE19" s="195">
        <f t="shared" si="9"/>
        <v>0</v>
      </c>
      <c r="AF19" s="195">
        <f t="shared" si="10"/>
        <v>0</v>
      </c>
      <c r="AG19" s="195">
        <f t="shared" si="11"/>
        <v>0</v>
      </c>
      <c r="AH19" s="196"/>
      <c r="AI19" s="194">
        <f t="shared" si="12"/>
        <v>0</v>
      </c>
      <c r="AJ19" s="194">
        <f t="shared" si="13"/>
        <v>0</v>
      </c>
      <c r="AK19" s="194">
        <f t="shared" si="14"/>
        <v>0</v>
      </c>
      <c r="AM19" s="195">
        <v>21</v>
      </c>
      <c r="AN19" s="195">
        <f>G19*0.603845728413368</f>
        <v>0</v>
      </c>
      <c r="AO19" s="195">
        <f>G19*(1-0.603845728413368)</f>
        <v>0</v>
      </c>
      <c r="AP19" s="198" t="s">
        <v>255</v>
      </c>
      <c r="AU19" s="195">
        <f t="shared" si="15"/>
        <v>0</v>
      </c>
      <c r="AV19" s="195">
        <f t="shared" si="16"/>
        <v>0</v>
      </c>
      <c r="AW19" s="195">
        <f t="shared" si="17"/>
        <v>0</v>
      </c>
      <c r="AX19" s="197" t="s">
        <v>2204</v>
      </c>
      <c r="AY19" s="197" t="s">
        <v>2073</v>
      </c>
      <c r="AZ19" s="196" t="s">
        <v>2067</v>
      </c>
      <c r="BB19" s="195">
        <f t="shared" si="18"/>
        <v>0</v>
      </c>
      <c r="BC19" s="195">
        <f t="shared" si="19"/>
        <v>0</v>
      </c>
      <c r="BD19" s="195">
        <v>0</v>
      </c>
      <c r="BE19" s="195">
        <f t="shared" si="20"/>
        <v>9.2100000000000001E-2</v>
      </c>
      <c r="BG19" s="194">
        <f t="shared" si="21"/>
        <v>0</v>
      </c>
      <c r="BH19" s="194">
        <f t="shared" si="22"/>
        <v>0</v>
      </c>
      <c r="BI19" s="194">
        <f t="shared" si="23"/>
        <v>0</v>
      </c>
    </row>
    <row r="20" spans="1:61">
      <c r="A20" s="369" t="s">
        <v>255</v>
      </c>
      <c r="B20" s="369"/>
      <c r="C20" s="369" t="s">
        <v>2236</v>
      </c>
      <c r="D20" s="369" t="s">
        <v>2235</v>
      </c>
      <c r="E20" s="369" t="s">
        <v>291</v>
      </c>
      <c r="F20" s="370">
        <v>9</v>
      </c>
      <c r="G20" s="355">
        <v>0</v>
      </c>
      <c r="H20" s="370">
        <f t="shared" si="0"/>
        <v>0</v>
      </c>
      <c r="I20" s="370">
        <f t="shared" si="1"/>
        <v>0</v>
      </c>
      <c r="J20" s="370">
        <f t="shared" si="2"/>
        <v>0</v>
      </c>
      <c r="K20" s="370">
        <v>3.8000000000000002E-4</v>
      </c>
      <c r="L20" s="370">
        <f t="shared" si="3"/>
        <v>3.4200000000000003E-3</v>
      </c>
      <c r="Y20" s="195">
        <f t="shared" si="4"/>
        <v>0</v>
      </c>
      <c r="AA20" s="195">
        <f t="shared" si="5"/>
        <v>0</v>
      </c>
      <c r="AB20" s="195">
        <f t="shared" si="6"/>
        <v>0</v>
      </c>
      <c r="AC20" s="195">
        <f t="shared" si="7"/>
        <v>0</v>
      </c>
      <c r="AD20" s="195">
        <f t="shared" si="8"/>
        <v>0</v>
      </c>
      <c r="AE20" s="195">
        <f t="shared" si="9"/>
        <v>0</v>
      </c>
      <c r="AF20" s="195">
        <f t="shared" si="10"/>
        <v>0</v>
      </c>
      <c r="AG20" s="195">
        <f t="shared" si="11"/>
        <v>0</v>
      </c>
      <c r="AH20" s="196"/>
      <c r="AI20" s="194">
        <f t="shared" si="12"/>
        <v>0</v>
      </c>
      <c r="AJ20" s="194">
        <f t="shared" si="13"/>
        <v>0</v>
      </c>
      <c r="AK20" s="194">
        <f t="shared" si="14"/>
        <v>0</v>
      </c>
      <c r="AM20" s="195">
        <v>21</v>
      </c>
      <c r="AN20" s="195">
        <f>G20*0.793080895008606</f>
        <v>0</v>
      </c>
      <c r="AO20" s="195">
        <f>G20*(1-0.793080895008606)</f>
        <v>0</v>
      </c>
      <c r="AP20" s="198" t="s">
        <v>255</v>
      </c>
      <c r="AU20" s="195">
        <f t="shared" si="15"/>
        <v>0</v>
      </c>
      <c r="AV20" s="195">
        <f t="shared" si="16"/>
        <v>0</v>
      </c>
      <c r="AW20" s="195">
        <f t="shared" si="17"/>
        <v>0</v>
      </c>
      <c r="AX20" s="197" t="s">
        <v>2204</v>
      </c>
      <c r="AY20" s="197" t="s">
        <v>2073</v>
      </c>
      <c r="AZ20" s="196" t="s">
        <v>2067</v>
      </c>
      <c r="BB20" s="195">
        <f t="shared" si="18"/>
        <v>0</v>
      </c>
      <c r="BC20" s="195">
        <f t="shared" si="19"/>
        <v>0</v>
      </c>
      <c r="BD20" s="195">
        <v>0</v>
      </c>
      <c r="BE20" s="195">
        <f t="shared" si="20"/>
        <v>3.4200000000000003E-3</v>
      </c>
      <c r="BG20" s="194">
        <f t="shared" si="21"/>
        <v>0</v>
      </c>
      <c r="BH20" s="194">
        <f t="shared" si="22"/>
        <v>0</v>
      </c>
      <c r="BI20" s="194">
        <f t="shared" si="23"/>
        <v>0</v>
      </c>
    </row>
    <row r="21" spans="1:61">
      <c r="A21" s="369" t="s">
        <v>260</v>
      </c>
      <c r="B21" s="369"/>
      <c r="C21" s="369" t="s">
        <v>2234</v>
      </c>
      <c r="D21" s="369" t="s">
        <v>2233</v>
      </c>
      <c r="E21" s="369" t="s">
        <v>364</v>
      </c>
      <c r="F21" s="370">
        <v>35</v>
      </c>
      <c r="G21" s="355">
        <v>0</v>
      </c>
      <c r="H21" s="370">
        <f t="shared" si="0"/>
        <v>0</v>
      </c>
      <c r="I21" s="370">
        <f t="shared" si="1"/>
        <v>0</v>
      </c>
      <c r="J21" s="370">
        <f t="shared" si="2"/>
        <v>0</v>
      </c>
      <c r="K21" s="370">
        <v>3.4000000000000002E-4</v>
      </c>
      <c r="L21" s="370">
        <f t="shared" si="3"/>
        <v>1.1900000000000001E-2</v>
      </c>
      <c r="Y21" s="195">
        <f t="shared" si="4"/>
        <v>0</v>
      </c>
      <c r="AA21" s="195">
        <f t="shared" si="5"/>
        <v>0</v>
      </c>
      <c r="AB21" s="195">
        <f t="shared" si="6"/>
        <v>0</v>
      </c>
      <c r="AC21" s="195">
        <f t="shared" si="7"/>
        <v>0</v>
      </c>
      <c r="AD21" s="195">
        <f t="shared" si="8"/>
        <v>0</v>
      </c>
      <c r="AE21" s="195">
        <f t="shared" si="9"/>
        <v>0</v>
      </c>
      <c r="AF21" s="195">
        <f t="shared" si="10"/>
        <v>0</v>
      </c>
      <c r="AG21" s="195">
        <f t="shared" si="11"/>
        <v>0</v>
      </c>
      <c r="AH21" s="196"/>
      <c r="AI21" s="194">
        <f t="shared" si="12"/>
        <v>0</v>
      </c>
      <c r="AJ21" s="194">
        <f t="shared" si="13"/>
        <v>0</v>
      </c>
      <c r="AK21" s="194">
        <f t="shared" si="14"/>
        <v>0</v>
      </c>
      <c r="AM21" s="195">
        <v>21</v>
      </c>
      <c r="AN21" s="195">
        <f>G21*0.39220618556701</f>
        <v>0</v>
      </c>
      <c r="AO21" s="195">
        <f>G21*(1-0.39220618556701)</f>
        <v>0</v>
      </c>
      <c r="AP21" s="198" t="s">
        <v>255</v>
      </c>
      <c r="AU21" s="195">
        <f t="shared" si="15"/>
        <v>0</v>
      </c>
      <c r="AV21" s="195">
        <f t="shared" si="16"/>
        <v>0</v>
      </c>
      <c r="AW21" s="195">
        <f t="shared" si="17"/>
        <v>0</v>
      </c>
      <c r="AX21" s="197" t="s">
        <v>2204</v>
      </c>
      <c r="AY21" s="197" t="s">
        <v>2073</v>
      </c>
      <c r="AZ21" s="196" t="s">
        <v>2067</v>
      </c>
      <c r="BB21" s="195">
        <f t="shared" si="18"/>
        <v>0</v>
      </c>
      <c r="BC21" s="195">
        <f t="shared" si="19"/>
        <v>0</v>
      </c>
      <c r="BD21" s="195">
        <v>0</v>
      </c>
      <c r="BE21" s="195">
        <f t="shared" si="20"/>
        <v>1.1900000000000001E-2</v>
      </c>
      <c r="BG21" s="194">
        <f t="shared" si="21"/>
        <v>0</v>
      </c>
      <c r="BH21" s="194">
        <f t="shared" si="22"/>
        <v>0</v>
      </c>
      <c r="BI21" s="194">
        <f t="shared" si="23"/>
        <v>0</v>
      </c>
    </row>
    <row r="22" spans="1:61">
      <c r="A22" s="369" t="s">
        <v>265</v>
      </c>
      <c r="B22" s="369"/>
      <c r="C22" s="369" t="s">
        <v>2232</v>
      </c>
      <c r="D22" s="369" t="s">
        <v>2231</v>
      </c>
      <c r="E22" s="369" t="s">
        <v>364</v>
      </c>
      <c r="F22" s="370">
        <v>15</v>
      </c>
      <c r="G22" s="355">
        <v>0</v>
      </c>
      <c r="H22" s="370">
        <f t="shared" si="0"/>
        <v>0</v>
      </c>
      <c r="I22" s="370">
        <f t="shared" si="1"/>
        <v>0</v>
      </c>
      <c r="J22" s="370">
        <f t="shared" si="2"/>
        <v>0</v>
      </c>
      <c r="K22" s="370">
        <v>3.8000000000000002E-4</v>
      </c>
      <c r="L22" s="370">
        <f t="shared" si="3"/>
        <v>5.7000000000000002E-3</v>
      </c>
      <c r="Y22" s="195">
        <f t="shared" si="4"/>
        <v>0</v>
      </c>
      <c r="AA22" s="195">
        <f t="shared" si="5"/>
        <v>0</v>
      </c>
      <c r="AB22" s="195">
        <f t="shared" si="6"/>
        <v>0</v>
      </c>
      <c r="AC22" s="195">
        <f t="shared" si="7"/>
        <v>0</v>
      </c>
      <c r="AD22" s="195">
        <f t="shared" si="8"/>
        <v>0</v>
      </c>
      <c r="AE22" s="195">
        <f t="shared" si="9"/>
        <v>0</v>
      </c>
      <c r="AF22" s="195">
        <f t="shared" si="10"/>
        <v>0</v>
      </c>
      <c r="AG22" s="195">
        <f t="shared" si="11"/>
        <v>0</v>
      </c>
      <c r="AH22" s="196"/>
      <c r="AI22" s="194">
        <f t="shared" si="12"/>
        <v>0</v>
      </c>
      <c r="AJ22" s="194">
        <f t="shared" si="13"/>
        <v>0</v>
      </c>
      <c r="AK22" s="194">
        <f t="shared" si="14"/>
        <v>0</v>
      </c>
      <c r="AM22" s="195">
        <v>21</v>
      </c>
      <c r="AN22" s="195">
        <f>G22*0.339058295964126</f>
        <v>0</v>
      </c>
      <c r="AO22" s="195">
        <f>G22*(1-0.339058295964126)</f>
        <v>0</v>
      </c>
      <c r="AP22" s="198" t="s">
        <v>255</v>
      </c>
      <c r="AU22" s="195">
        <f t="shared" si="15"/>
        <v>0</v>
      </c>
      <c r="AV22" s="195">
        <f t="shared" si="16"/>
        <v>0</v>
      </c>
      <c r="AW22" s="195">
        <f t="shared" si="17"/>
        <v>0</v>
      </c>
      <c r="AX22" s="197" t="s">
        <v>2204</v>
      </c>
      <c r="AY22" s="197" t="s">
        <v>2073</v>
      </c>
      <c r="AZ22" s="196" t="s">
        <v>2067</v>
      </c>
      <c r="BB22" s="195">
        <f t="shared" si="18"/>
        <v>0</v>
      </c>
      <c r="BC22" s="195">
        <f t="shared" si="19"/>
        <v>0</v>
      </c>
      <c r="BD22" s="195">
        <v>0</v>
      </c>
      <c r="BE22" s="195">
        <f t="shared" si="20"/>
        <v>5.7000000000000002E-3</v>
      </c>
      <c r="BG22" s="194">
        <f t="shared" si="21"/>
        <v>0</v>
      </c>
      <c r="BH22" s="194">
        <f t="shared" si="22"/>
        <v>0</v>
      </c>
      <c r="BI22" s="194">
        <f t="shared" si="23"/>
        <v>0</v>
      </c>
    </row>
    <row r="23" spans="1:61">
      <c r="A23" s="369" t="s">
        <v>270</v>
      </c>
      <c r="B23" s="369"/>
      <c r="C23" s="369" t="s">
        <v>2230</v>
      </c>
      <c r="D23" s="369" t="s">
        <v>2229</v>
      </c>
      <c r="E23" s="369" t="s">
        <v>364</v>
      </c>
      <c r="F23" s="370">
        <v>40</v>
      </c>
      <c r="G23" s="355">
        <v>0</v>
      </c>
      <c r="H23" s="370">
        <f t="shared" si="0"/>
        <v>0</v>
      </c>
      <c r="I23" s="370">
        <f t="shared" si="1"/>
        <v>0</v>
      </c>
      <c r="J23" s="370">
        <f t="shared" si="2"/>
        <v>0</v>
      </c>
      <c r="K23" s="370">
        <v>4.6999999999999999E-4</v>
      </c>
      <c r="L23" s="370">
        <f t="shared" si="3"/>
        <v>1.8800000000000001E-2</v>
      </c>
      <c r="Y23" s="195">
        <f t="shared" si="4"/>
        <v>0</v>
      </c>
      <c r="AA23" s="195">
        <f t="shared" si="5"/>
        <v>0</v>
      </c>
      <c r="AB23" s="195">
        <f t="shared" si="6"/>
        <v>0</v>
      </c>
      <c r="AC23" s="195">
        <f t="shared" si="7"/>
        <v>0</v>
      </c>
      <c r="AD23" s="195">
        <f t="shared" si="8"/>
        <v>0</v>
      </c>
      <c r="AE23" s="195">
        <f t="shared" si="9"/>
        <v>0</v>
      </c>
      <c r="AF23" s="195">
        <f t="shared" si="10"/>
        <v>0</v>
      </c>
      <c r="AG23" s="195">
        <f t="shared" si="11"/>
        <v>0</v>
      </c>
      <c r="AH23" s="196"/>
      <c r="AI23" s="194">
        <f t="shared" si="12"/>
        <v>0</v>
      </c>
      <c r="AJ23" s="194">
        <f t="shared" si="13"/>
        <v>0</v>
      </c>
      <c r="AK23" s="194">
        <f t="shared" si="14"/>
        <v>0</v>
      </c>
      <c r="AM23" s="195">
        <v>21</v>
      </c>
      <c r="AN23" s="195">
        <f>G23*0.323721881390593</f>
        <v>0</v>
      </c>
      <c r="AO23" s="195">
        <f>G23*(1-0.323721881390593)</f>
        <v>0</v>
      </c>
      <c r="AP23" s="198" t="s">
        <v>255</v>
      </c>
      <c r="AU23" s="195">
        <f t="shared" si="15"/>
        <v>0</v>
      </c>
      <c r="AV23" s="195">
        <f t="shared" si="16"/>
        <v>0</v>
      </c>
      <c r="AW23" s="195">
        <f t="shared" si="17"/>
        <v>0</v>
      </c>
      <c r="AX23" s="197" t="s">
        <v>2204</v>
      </c>
      <c r="AY23" s="197" t="s">
        <v>2073</v>
      </c>
      <c r="AZ23" s="196" t="s">
        <v>2067</v>
      </c>
      <c r="BB23" s="195">
        <f t="shared" si="18"/>
        <v>0</v>
      </c>
      <c r="BC23" s="195">
        <f t="shared" si="19"/>
        <v>0</v>
      </c>
      <c r="BD23" s="195">
        <v>0</v>
      </c>
      <c r="BE23" s="195">
        <f t="shared" si="20"/>
        <v>1.8800000000000001E-2</v>
      </c>
      <c r="BG23" s="194">
        <f t="shared" si="21"/>
        <v>0</v>
      </c>
      <c r="BH23" s="194">
        <f t="shared" si="22"/>
        <v>0</v>
      </c>
      <c r="BI23" s="194">
        <f t="shared" si="23"/>
        <v>0</v>
      </c>
    </row>
    <row r="24" spans="1:61">
      <c r="A24" s="369" t="s">
        <v>277</v>
      </c>
      <c r="B24" s="369"/>
      <c r="C24" s="369" t="s">
        <v>2228</v>
      </c>
      <c r="D24" s="369" t="s">
        <v>2227</v>
      </c>
      <c r="E24" s="369" t="s">
        <v>364</v>
      </c>
      <c r="F24" s="370">
        <v>3</v>
      </c>
      <c r="G24" s="355">
        <v>0</v>
      </c>
      <c r="H24" s="370">
        <f t="shared" si="0"/>
        <v>0</v>
      </c>
      <c r="I24" s="370">
        <f t="shared" si="1"/>
        <v>0</v>
      </c>
      <c r="J24" s="370">
        <f t="shared" si="2"/>
        <v>0</v>
      </c>
      <c r="K24" s="370">
        <v>1.5200000000000001E-3</v>
      </c>
      <c r="L24" s="370">
        <f t="shared" si="3"/>
        <v>4.5599999999999998E-3</v>
      </c>
      <c r="Y24" s="195">
        <f t="shared" si="4"/>
        <v>0</v>
      </c>
      <c r="AA24" s="195">
        <f t="shared" si="5"/>
        <v>0</v>
      </c>
      <c r="AB24" s="195">
        <f t="shared" si="6"/>
        <v>0</v>
      </c>
      <c r="AC24" s="195">
        <f t="shared" si="7"/>
        <v>0</v>
      </c>
      <c r="AD24" s="195">
        <f t="shared" si="8"/>
        <v>0</v>
      </c>
      <c r="AE24" s="195">
        <f t="shared" si="9"/>
        <v>0</v>
      </c>
      <c r="AF24" s="195">
        <f t="shared" si="10"/>
        <v>0</v>
      </c>
      <c r="AG24" s="195">
        <f t="shared" si="11"/>
        <v>0</v>
      </c>
      <c r="AH24" s="196"/>
      <c r="AI24" s="194">
        <f t="shared" si="12"/>
        <v>0</v>
      </c>
      <c r="AJ24" s="194">
        <f t="shared" si="13"/>
        <v>0</v>
      </c>
      <c r="AK24" s="194">
        <f t="shared" si="14"/>
        <v>0</v>
      </c>
      <c r="AM24" s="195">
        <v>21</v>
      </c>
      <c r="AN24" s="195">
        <f>G24*0.307580025608195</f>
        <v>0</v>
      </c>
      <c r="AO24" s="195">
        <f>G24*(1-0.307580025608195)</f>
        <v>0</v>
      </c>
      <c r="AP24" s="198" t="s">
        <v>255</v>
      </c>
      <c r="AU24" s="195">
        <f t="shared" si="15"/>
        <v>0</v>
      </c>
      <c r="AV24" s="195">
        <f t="shared" si="16"/>
        <v>0</v>
      </c>
      <c r="AW24" s="195">
        <f t="shared" si="17"/>
        <v>0</v>
      </c>
      <c r="AX24" s="197" t="s">
        <v>2204</v>
      </c>
      <c r="AY24" s="197" t="s">
        <v>2073</v>
      </c>
      <c r="AZ24" s="196" t="s">
        <v>2067</v>
      </c>
      <c r="BB24" s="195">
        <f t="shared" si="18"/>
        <v>0</v>
      </c>
      <c r="BC24" s="195">
        <f t="shared" si="19"/>
        <v>0</v>
      </c>
      <c r="BD24" s="195">
        <v>0</v>
      </c>
      <c r="BE24" s="195">
        <f t="shared" si="20"/>
        <v>4.5599999999999998E-3</v>
      </c>
      <c r="BG24" s="194">
        <f t="shared" si="21"/>
        <v>0</v>
      </c>
      <c r="BH24" s="194">
        <f t="shared" si="22"/>
        <v>0</v>
      </c>
      <c r="BI24" s="194">
        <f t="shared" si="23"/>
        <v>0</v>
      </c>
    </row>
    <row r="25" spans="1:61">
      <c r="A25" s="369" t="s">
        <v>283</v>
      </c>
      <c r="B25" s="369"/>
      <c r="C25" s="369" t="s">
        <v>2226</v>
      </c>
      <c r="D25" s="369" t="s">
        <v>2225</v>
      </c>
      <c r="E25" s="369" t="s">
        <v>364</v>
      </c>
      <c r="F25" s="370">
        <v>30</v>
      </c>
      <c r="G25" s="355">
        <v>0</v>
      </c>
      <c r="H25" s="370">
        <f t="shared" si="0"/>
        <v>0</v>
      </c>
      <c r="I25" s="370">
        <f t="shared" si="1"/>
        <v>0</v>
      </c>
      <c r="J25" s="370">
        <f t="shared" si="2"/>
        <v>0</v>
      </c>
      <c r="K25" s="370">
        <v>1.4400000000000001E-3</v>
      </c>
      <c r="L25" s="370">
        <f t="shared" si="3"/>
        <v>4.3200000000000002E-2</v>
      </c>
      <c r="Y25" s="195">
        <f t="shared" si="4"/>
        <v>0</v>
      </c>
      <c r="AA25" s="195">
        <f t="shared" si="5"/>
        <v>0</v>
      </c>
      <c r="AB25" s="195">
        <f t="shared" si="6"/>
        <v>0</v>
      </c>
      <c r="AC25" s="195">
        <f t="shared" si="7"/>
        <v>0</v>
      </c>
      <c r="AD25" s="195">
        <f t="shared" si="8"/>
        <v>0</v>
      </c>
      <c r="AE25" s="195">
        <f t="shared" si="9"/>
        <v>0</v>
      </c>
      <c r="AF25" s="195">
        <f t="shared" si="10"/>
        <v>0</v>
      </c>
      <c r="AG25" s="195">
        <f t="shared" si="11"/>
        <v>0</v>
      </c>
      <c r="AH25" s="196"/>
      <c r="AI25" s="194">
        <f t="shared" si="12"/>
        <v>0</v>
      </c>
      <c r="AJ25" s="194">
        <f t="shared" si="13"/>
        <v>0</v>
      </c>
      <c r="AK25" s="194">
        <f t="shared" si="14"/>
        <v>0</v>
      </c>
      <c r="AM25" s="195">
        <v>21</v>
      </c>
      <c r="AN25" s="195">
        <f>G25*0.407588424437299</f>
        <v>0</v>
      </c>
      <c r="AO25" s="195">
        <f>G25*(1-0.407588424437299)</f>
        <v>0</v>
      </c>
      <c r="AP25" s="198" t="s">
        <v>255</v>
      </c>
      <c r="AU25" s="195">
        <f t="shared" si="15"/>
        <v>0</v>
      </c>
      <c r="AV25" s="195">
        <f t="shared" si="16"/>
        <v>0</v>
      </c>
      <c r="AW25" s="195">
        <f t="shared" si="17"/>
        <v>0</v>
      </c>
      <c r="AX25" s="197" t="s">
        <v>2204</v>
      </c>
      <c r="AY25" s="197" t="s">
        <v>2073</v>
      </c>
      <c r="AZ25" s="196" t="s">
        <v>2067</v>
      </c>
      <c r="BB25" s="195">
        <f t="shared" si="18"/>
        <v>0</v>
      </c>
      <c r="BC25" s="195">
        <f t="shared" si="19"/>
        <v>0</v>
      </c>
      <c r="BD25" s="195">
        <v>0</v>
      </c>
      <c r="BE25" s="195">
        <f t="shared" si="20"/>
        <v>4.3200000000000002E-2</v>
      </c>
      <c r="BG25" s="194">
        <f t="shared" si="21"/>
        <v>0</v>
      </c>
      <c r="BH25" s="194">
        <f t="shared" si="22"/>
        <v>0</v>
      </c>
      <c r="BI25" s="194">
        <f t="shared" si="23"/>
        <v>0</v>
      </c>
    </row>
    <row r="26" spans="1:61">
      <c r="A26" s="369" t="s">
        <v>288</v>
      </c>
      <c r="B26" s="369"/>
      <c r="C26" s="369" t="s">
        <v>2224</v>
      </c>
      <c r="D26" s="369" t="s">
        <v>2223</v>
      </c>
      <c r="E26" s="369" t="s">
        <v>364</v>
      </c>
      <c r="F26" s="370">
        <v>8</v>
      </c>
      <c r="G26" s="355">
        <v>0</v>
      </c>
      <c r="H26" s="370">
        <f t="shared" si="0"/>
        <v>0</v>
      </c>
      <c r="I26" s="370">
        <f t="shared" si="1"/>
        <v>0</v>
      </c>
      <c r="J26" s="370">
        <f t="shared" si="2"/>
        <v>0</v>
      </c>
      <c r="K26" s="370">
        <v>1.8799999999999999E-3</v>
      </c>
      <c r="L26" s="370">
        <f t="shared" si="3"/>
        <v>1.504E-2</v>
      </c>
      <c r="Y26" s="195">
        <f t="shared" si="4"/>
        <v>0</v>
      </c>
      <c r="AA26" s="195">
        <f t="shared" si="5"/>
        <v>0</v>
      </c>
      <c r="AB26" s="195">
        <f t="shared" si="6"/>
        <v>0</v>
      </c>
      <c r="AC26" s="195">
        <f t="shared" si="7"/>
        <v>0</v>
      </c>
      <c r="AD26" s="195">
        <f t="shared" si="8"/>
        <v>0</v>
      </c>
      <c r="AE26" s="195">
        <f t="shared" si="9"/>
        <v>0</v>
      </c>
      <c r="AF26" s="195">
        <f t="shared" si="10"/>
        <v>0</v>
      </c>
      <c r="AG26" s="195">
        <f t="shared" si="11"/>
        <v>0</v>
      </c>
      <c r="AH26" s="196"/>
      <c r="AI26" s="194">
        <f t="shared" si="12"/>
        <v>0</v>
      </c>
      <c r="AJ26" s="194">
        <f t="shared" si="13"/>
        <v>0</v>
      </c>
      <c r="AK26" s="194">
        <f t="shared" si="14"/>
        <v>0</v>
      </c>
      <c r="AM26" s="195">
        <v>21</v>
      </c>
      <c r="AN26" s="195">
        <f>G26*0.665929283771532</f>
        <v>0</v>
      </c>
      <c r="AO26" s="195">
        <f>G26*(1-0.665929283771532)</f>
        <v>0</v>
      </c>
      <c r="AP26" s="198" t="s">
        <v>255</v>
      </c>
      <c r="AU26" s="195">
        <f t="shared" si="15"/>
        <v>0</v>
      </c>
      <c r="AV26" s="195">
        <f t="shared" si="16"/>
        <v>0</v>
      </c>
      <c r="AW26" s="195">
        <f t="shared" si="17"/>
        <v>0</v>
      </c>
      <c r="AX26" s="197" t="s">
        <v>2204</v>
      </c>
      <c r="AY26" s="197" t="s">
        <v>2073</v>
      </c>
      <c r="AZ26" s="196" t="s">
        <v>2067</v>
      </c>
      <c r="BB26" s="195">
        <f t="shared" si="18"/>
        <v>0</v>
      </c>
      <c r="BC26" s="195">
        <f t="shared" si="19"/>
        <v>0</v>
      </c>
      <c r="BD26" s="195">
        <v>0</v>
      </c>
      <c r="BE26" s="195">
        <f t="shared" si="20"/>
        <v>1.504E-2</v>
      </c>
      <c r="BG26" s="194">
        <f t="shared" si="21"/>
        <v>0</v>
      </c>
      <c r="BH26" s="194">
        <f t="shared" si="22"/>
        <v>0</v>
      </c>
      <c r="BI26" s="194">
        <f t="shared" si="23"/>
        <v>0</v>
      </c>
    </row>
    <row r="27" spans="1:61">
      <c r="A27" s="369" t="s">
        <v>294</v>
      </c>
      <c r="B27" s="369"/>
      <c r="C27" s="369" t="s">
        <v>2222</v>
      </c>
      <c r="D27" s="369" t="s">
        <v>2221</v>
      </c>
      <c r="E27" s="369" t="s">
        <v>364</v>
      </c>
      <c r="F27" s="370">
        <v>15</v>
      </c>
      <c r="G27" s="355">
        <v>0</v>
      </c>
      <c r="H27" s="370">
        <f t="shared" si="0"/>
        <v>0</v>
      </c>
      <c r="I27" s="370">
        <f t="shared" si="1"/>
        <v>0</v>
      </c>
      <c r="J27" s="370">
        <f t="shared" si="2"/>
        <v>0</v>
      </c>
      <c r="K27" s="370">
        <v>2.7699999999999999E-3</v>
      </c>
      <c r="L27" s="370">
        <f t="shared" si="3"/>
        <v>4.1549999999999997E-2</v>
      </c>
      <c r="Y27" s="195">
        <f t="shared" si="4"/>
        <v>0</v>
      </c>
      <c r="AA27" s="195">
        <f t="shared" si="5"/>
        <v>0</v>
      </c>
      <c r="AB27" s="195">
        <f t="shared" si="6"/>
        <v>0</v>
      </c>
      <c r="AC27" s="195">
        <f t="shared" si="7"/>
        <v>0</v>
      </c>
      <c r="AD27" s="195">
        <f t="shared" si="8"/>
        <v>0</v>
      </c>
      <c r="AE27" s="195">
        <f t="shared" si="9"/>
        <v>0</v>
      </c>
      <c r="AF27" s="195">
        <f t="shared" si="10"/>
        <v>0</v>
      </c>
      <c r="AG27" s="195">
        <f t="shared" si="11"/>
        <v>0</v>
      </c>
      <c r="AH27" s="196"/>
      <c r="AI27" s="194">
        <f t="shared" si="12"/>
        <v>0</v>
      </c>
      <c r="AJ27" s="194">
        <f t="shared" si="13"/>
        <v>0</v>
      </c>
      <c r="AK27" s="194">
        <f t="shared" si="14"/>
        <v>0</v>
      </c>
      <c r="AM27" s="195">
        <v>21</v>
      </c>
      <c r="AN27" s="195">
        <f>G27*0.779713043478261</f>
        <v>0</v>
      </c>
      <c r="AO27" s="195">
        <f>G27*(1-0.779713043478261)</f>
        <v>0</v>
      </c>
      <c r="AP27" s="198" t="s">
        <v>255</v>
      </c>
      <c r="AU27" s="195">
        <f t="shared" si="15"/>
        <v>0</v>
      </c>
      <c r="AV27" s="195">
        <f t="shared" si="16"/>
        <v>0</v>
      </c>
      <c r="AW27" s="195">
        <f t="shared" si="17"/>
        <v>0</v>
      </c>
      <c r="AX27" s="197" t="s">
        <v>2204</v>
      </c>
      <c r="AY27" s="197" t="s">
        <v>2073</v>
      </c>
      <c r="AZ27" s="196" t="s">
        <v>2067</v>
      </c>
      <c r="BB27" s="195">
        <f t="shared" si="18"/>
        <v>0</v>
      </c>
      <c r="BC27" s="195">
        <f t="shared" si="19"/>
        <v>0</v>
      </c>
      <c r="BD27" s="195">
        <v>0</v>
      </c>
      <c r="BE27" s="195">
        <f t="shared" si="20"/>
        <v>4.1549999999999997E-2</v>
      </c>
      <c r="BG27" s="194">
        <f t="shared" si="21"/>
        <v>0</v>
      </c>
      <c r="BH27" s="194">
        <f t="shared" si="22"/>
        <v>0</v>
      </c>
      <c r="BI27" s="194">
        <f t="shared" si="23"/>
        <v>0</v>
      </c>
    </row>
    <row r="28" spans="1:61">
      <c r="A28" s="373" t="s">
        <v>9</v>
      </c>
      <c r="B28" s="373"/>
      <c r="C28" s="373" t="s">
        <v>2220</v>
      </c>
      <c r="D28" s="373" t="s">
        <v>2219</v>
      </c>
      <c r="E28" s="373" t="s">
        <v>291</v>
      </c>
      <c r="F28" s="374">
        <v>1</v>
      </c>
      <c r="G28" s="357">
        <v>0</v>
      </c>
      <c r="H28" s="374">
        <f t="shared" si="0"/>
        <v>0</v>
      </c>
      <c r="I28" s="374">
        <f t="shared" si="1"/>
        <v>0</v>
      </c>
      <c r="J28" s="374">
        <f t="shared" si="2"/>
        <v>0</v>
      </c>
      <c r="K28" s="374">
        <v>6.3000000000000003E-4</v>
      </c>
      <c r="L28" s="374">
        <f t="shared" si="3"/>
        <v>6.3000000000000003E-4</v>
      </c>
      <c r="Y28" s="195">
        <f t="shared" si="4"/>
        <v>0</v>
      </c>
      <c r="AA28" s="195">
        <f t="shared" si="5"/>
        <v>0</v>
      </c>
      <c r="AB28" s="195">
        <f t="shared" si="6"/>
        <v>0</v>
      </c>
      <c r="AC28" s="195">
        <f t="shared" si="7"/>
        <v>0</v>
      </c>
      <c r="AD28" s="195">
        <f t="shared" si="8"/>
        <v>0</v>
      </c>
      <c r="AE28" s="195">
        <f t="shared" si="9"/>
        <v>0</v>
      </c>
      <c r="AF28" s="195">
        <f t="shared" si="10"/>
        <v>0</v>
      </c>
      <c r="AG28" s="195">
        <f t="shared" si="11"/>
        <v>0</v>
      </c>
      <c r="AH28" s="196"/>
      <c r="AI28" s="200">
        <f t="shared" si="12"/>
        <v>0</v>
      </c>
      <c r="AJ28" s="200">
        <f t="shared" si="13"/>
        <v>0</v>
      </c>
      <c r="AK28" s="200">
        <f t="shared" si="14"/>
        <v>0</v>
      </c>
      <c r="AM28" s="195">
        <v>21</v>
      </c>
      <c r="AN28" s="195">
        <f>G28*1</f>
        <v>0</v>
      </c>
      <c r="AO28" s="195">
        <f>G28*(1-1)</f>
        <v>0</v>
      </c>
      <c r="AP28" s="201" t="s">
        <v>255</v>
      </c>
      <c r="AU28" s="195">
        <f t="shared" si="15"/>
        <v>0</v>
      </c>
      <c r="AV28" s="195">
        <f t="shared" si="16"/>
        <v>0</v>
      </c>
      <c r="AW28" s="195">
        <f t="shared" si="17"/>
        <v>0</v>
      </c>
      <c r="AX28" s="197" t="s">
        <v>2204</v>
      </c>
      <c r="AY28" s="197" t="s">
        <v>2073</v>
      </c>
      <c r="AZ28" s="196" t="s">
        <v>2067</v>
      </c>
      <c r="BB28" s="195">
        <f t="shared" si="18"/>
        <v>0</v>
      </c>
      <c r="BC28" s="195">
        <f t="shared" si="19"/>
        <v>0</v>
      </c>
      <c r="BD28" s="195">
        <v>0</v>
      </c>
      <c r="BE28" s="195">
        <f t="shared" si="20"/>
        <v>6.3000000000000003E-4</v>
      </c>
      <c r="BG28" s="200">
        <f t="shared" si="21"/>
        <v>0</v>
      </c>
      <c r="BH28" s="200">
        <f t="shared" si="22"/>
        <v>0</v>
      </c>
      <c r="BI28" s="200">
        <f t="shared" si="23"/>
        <v>0</v>
      </c>
    </row>
    <row r="29" spans="1:61">
      <c r="A29" s="369" t="s">
        <v>305</v>
      </c>
      <c r="B29" s="369"/>
      <c r="C29" s="369" t="s">
        <v>2218</v>
      </c>
      <c r="D29" s="369" t="s">
        <v>2217</v>
      </c>
      <c r="E29" s="369" t="s">
        <v>291</v>
      </c>
      <c r="F29" s="370">
        <v>3</v>
      </c>
      <c r="G29" s="355">
        <v>0</v>
      </c>
      <c r="H29" s="370">
        <f t="shared" si="0"/>
        <v>0</v>
      </c>
      <c r="I29" s="370">
        <f t="shared" si="1"/>
        <v>0</v>
      </c>
      <c r="J29" s="370">
        <f t="shared" si="2"/>
        <v>0</v>
      </c>
      <c r="K29" s="370">
        <v>0</v>
      </c>
      <c r="L29" s="370">
        <f t="shared" si="3"/>
        <v>0</v>
      </c>
      <c r="Y29" s="195">
        <f t="shared" si="4"/>
        <v>0</v>
      </c>
      <c r="AA29" s="195">
        <f t="shared" si="5"/>
        <v>0</v>
      </c>
      <c r="AB29" s="195">
        <f t="shared" si="6"/>
        <v>0</v>
      </c>
      <c r="AC29" s="195">
        <f t="shared" si="7"/>
        <v>0</v>
      </c>
      <c r="AD29" s="195">
        <f t="shared" si="8"/>
        <v>0</v>
      </c>
      <c r="AE29" s="195">
        <f t="shared" si="9"/>
        <v>0</v>
      </c>
      <c r="AF29" s="195">
        <f t="shared" si="10"/>
        <v>0</v>
      </c>
      <c r="AG29" s="195">
        <f t="shared" si="11"/>
        <v>0</v>
      </c>
      <c r="AH29" s="196"/>
      <c r="AI29" s="194">
        <f t="shared" si="12"/>
        <v>0</v>
      </c>
      <c r="AJ29" s="194">
        <f t="shared" si="13"/>
        <v>0</v>
      </c>
      <c r="AK29" s="194">
        <f t="shared" si="14"/>
        <v>0</v>
      </c>
      <c r="AM29" s="195">
        <v>21</v>
      </c>
      <c r="AN29" s="195">
        <f>G29*0</f>
        <v>0</v>
      </c>
      <c r="AO29" s="195">
        <f>G29*(1-0)</f>
        <v>0</v>
      </c>
      <c r="AP29" s="198" t="s">
        <v>255</v>
      </c>
      <c r="AU29" s="195">
        <f t="shared" si="15"/>
        <v>0</v>
      </c>
      <c r="AV29" s="195">
        <f t="shared" si="16"/>
        <v>0</v>
      </c>
      <c r="AW29" s="195">
        <f t="shared" si="17"/>
        <v>0</v>
      </c>
      <c r="AX29" s="197" t="s">
        <v>2204</v>
      </c>
      <c r="AY29" s="197" t="s">
        <v>2073</v>
      </c>
      <c r="AZ29" s="196" t="s">
        <v>2067</v>
      </c>
      <c r="BB29" s="195">
        <f t="shared" si="18"/>
        <v>0</v>
      </c>
      <c r="BC29" s="195">
        <f t="shared" si="19"/>
        <v>0</v>
      </c>
      <c r="BD29" s="195">
        <v>0</v>
      </c>
      <c r="BE29" s="195">
        <f t="shared" si="20"/>
        <v>0</v>
      </c>
      <c r="BG29" s="194">
        <f t="shared" si="21"/>
        <v>0</v>
      </c>
      <c r="BH29" s="194">
        <f t="shared" si="22"/>
        <v>0</v>
      </c>
      <c r="BI29" s="194">
        <f t="shared" si="23"/>
        <v>0</v>
      </c>
    </row>
    <row r="30" spans="1:61">
      <c r="A30" s="369" t="s">
        <v>309</v>
      </c>
      <c r="B30" s="369"/>
      <c r="C30" s="369" t="s">
        <v>2216</v>
      </c>
      <c r="D30" s="369" t="s">
        <v>2215</v>
      </c>
      <c r="E30" s="369" t="s">
        <v>291</v>
      </c>
      <c r="F30" s="370">
        <v>22</v>
      </c>
      <c r="G30" s="355">
        <v>0</v>
      </c>
      <c r="H30" s="370">
        <f t="shared" si="0"/>
        <v>0</v>
      </c>
      <c r="I30" s="370">
        <f t="shared" si="1"/>
        <v>0</v>
      </c>
      <c r="J30" s="370">
        <f t="shared" si="2"/>
        <v>0</v>
      </c>
      <c r="K30" s="370">
        <v>0</v>
      </c>
      <c r="L30" s="370">
        <f t="shared" si="3"/>
        <v>0</v>
      </c>
      <c r="Y30" s="195">
        <f t="shared" si="4"/>
        <v>0</v>
      </c>
      <c r="AA30" s="195">
        <f t="shared" si="5"/>
        <v>0</v>
      </c>
      <c r="AB30" s="195">
        <f t="shared" si="6"/>
        <v>0</v>
      </c>
      <c r="AC30" s="195">
        <f t="shared" si="7"/>
        <v>0</v>
      </c>
      <c r="AD30" s="195">
        <f t="shared" si="8"/>
        <v>0</v>
      </c>
      <c r="AE30" s="195">
        <f t="shared" si="9"/>
        <v>0</v>
      </c>
      <c r="AF30" s="195">
        <f t="shared" si="10"/>
        <v>0</v>
      </c>
      <c r="AG30" s="195">
        <f t="shared" si="11"/>
        <v>0</v>
      </c>
      <c r="AH30" s="196"/>
      <c r="AI30" s="194">
        <f t="shared" si="12"/>
        <v>0</v>
      </c>
      <c r="AJ30" s="194">
        <f t="shared" si="13"/>
        <v>0</v>
      </c>
      <c r="AK30" s="194">
        <f t="shared" si="14"/>
        <v>0</v>
      </c>
      <c r="AM30" s="195">
        <v>21</v>
      </c>
      <c r="AN30" s="195">
        <f>G30*0</f>
        <v>0</v>
      </c>
      <c r="AO30" s="195">
        <f>G30*(1-0)</f>
        <v>0</v>
      </c>
      <c r="AP30" s="198" t="s">
        <v>255</v>
      </c>
      <c r="AU30" s="195">
        <f t="shared" si="15"/>
        <v>0</v>
      </c>
      <c r="AV30" s="195">
        <f t="shared" si="16"/>
        <v>0</v>
      </c>
      <c r="AW30" s="195">
        <f t="shared" si="17"/>
        <v>0</v>
      </c>
      <c r="AX30" s="197" t="s">
        <v>2204</v>
      </c>
      <c r="AY30" s="197" t="s">
        <v>2073</v>
      </c>
      <c r="AZ30" s="196" t="s">
        <v>2067</v>
      </c>
      <c r="BB30" s="195">
        <f t="shared" si="18"/>
        <v>0</v>
      </c>
      <c r="BC30" s="195">
        <f t="shared" si="19"/>
        <v>0</v>
      </c>
      <c r="BD30" s="195">
        <v>0</v>
      </c>
      <c r="BE30" s="195">
        <f t="shared" si="20"/>
        <v>0</v>
      </c>
      <c r="BG30" s="194">
        <f t="shared" si="21"/>
        <v>0</v>
      </c>
      <c r="BH30" s="194">
        <f t="shared" si="22"/>
        <v>0</v>
      </c>
      <c r="BI30" s="194">
        <f t="shared" si="23"/>
        <v>0</v>
      </c>
    </row>
    <row r="31" spans="1:61">
      <c r="A31" s="369" t="s">
        <v>315</v>
      </c>
      <c r="B31" s="369"/>
      <c r="C31" s="369" t="s">
        <v>2214</v>
      </c>
      <c r="D31" s="369" t="s">
        <v>2213</v>
      </c>
      <c r="E31" s="369" t="s">
        <v>291</v>
      </c>
      <c r="F31" s="370">
        <v>2</v>
      </c>
      <c r="G31" s="355">
        <v>0</v>
      </c>
      <c r="H31" s="370">
        <f t="shared" si="0"/>
        <v>0</v>
      </c>
      <c r="I31" s="370">
        <f t="shared" si="1"/>
        <v>0</v>
      </c>
      <c r="J31" s="370">
        <f t="shared" si="2"/>
        <v>0</v>
      </c>
      <c r="K31" s="370">
        <v>0</v>
      </c>
      <c r="L31" s="370">
        <f t="shared" si="3"/>
        <v>0</v>
      </c>
      <c r="Y31" s="195">
        <f t="shared" si="4"/>
        <v>0</v>
      </c>
      <c r="AA31" s="195">
        <f t="shared" si="5"/>
        <v>0</v>
      </c>
      <c r="AB31" s="195">
        <f t="shared" si="6"/>
        <v>0</v>
      </c>
      <c r="AC31" s="195">
        <f t="shared" si="7"/>
        <v>0</v>
      </c>
      <c r="AD31" s="195">
        <f t="shared" si="8"/>
        <v>0</v>
      </c>
      <c r="AE31" s="195">
        <f t="shared" si="9"/>
        <v>0</v>
      </c>
      <c r="AF31" s="195">
        <f t="shared" si="10"/>
        <v>0</v>
      </c>
      <c r="AG31" s="195">
        <f t="shared" si="11"/>
        <v>0</v>
      </c>
      <c r="AH31" s="196"/>
      <c r="AI31" s="194">
        <f t="shared" si="12"/>
        <v>0</v>
      </c>
      <c r="AJ31" s="194">
        <f t="shared" si="13"/>
        <v>0</v>
      </c>
      <c r="AK31" s="194">
        <f t="shared" si="14"/>
        <v>0</v>
      </c>
      <c r="AM31" s="195">
        <v>21</v>
      </c>
      <c r="AN31" s="195">
        <f>G31*0</f>
        <v>0</v>
      </c>
      <c r="AO31" s="195">
        <f>G31*(1-0)</f>
        <v>0</v>
      </c>
      <c r="AP31" s="198" t="s">
        <v>255</v>
      </c>
      <c r="AU31" s="195">
        <f t="shared" si="15"/>
        <v>0</v>
      </c>
      <c r="AV31" s="195">
        <f t="shared" si="16"/>
        <v>0</v>
      </c>
      <c r="AW31" s="195">
        <f t="shared" si="17"/>
        <v>0</v>
      </c>
      <c r="AX31" s="197" t="s">
        <v>2204</v>
      </c>
      <c r="AY31" s="197" t="s">
        <v>2073</v>
      </c>
      <c r="AZ31" s="196" t="s">
        <v>2067</v>
      </c>
      <c r="BB31" s="195">
        <f t="shared" si="18"/>
        <v>0</v>
      </c>
      <c r="BC31" s="195">
        <f t="shared" si="19"/>
        <v>0</v>
      </c>
      <c r="BD31" s="195">
        <v>0</v>
      </c>
      <c r="BE31" s="195">
        <f t="shared" si="20"/>
        <v>0</v>
      </c>
      <c r="BG31" s="194">
        <f t="shared" si="21"/>
        <v>0</v>
      </c>
      <c r="BH31" s="194">
        <f t="shared" si="22"/>
        <v>0</v>
      </c>
      <c r="BI31" s="194">
        <f t="shared" si="23"/>
        <v>0</v>
      </c>
    </row>
    <row r="32" spans="1:61">
      <c r="A32" s="369" t="s">
        <v>320</v>
      </c>
      <c r="B32" s="369"/>
      <c r="C32" s="369" t="s">
        <v>2212</v>
      </c>
      <c r="D32" s="369" t="s">
        <v>2211</v>
      </c>
      <c r="E32" s="369" t="s">
        <v>364</v>
      </c>
      <c r="F32" s="370">
        <v>130</v>
      </c>
      <c r="G32" s="355">
        <v>0</v>
      </c>
      <c r="H32" s="370">
        <f t="shared" si="0"/>
        <v>0</v>
      </c>
      <c r="I32" s="370">
        <f t="shared" si="1"/>
        <v>0</v>
      </c>
      <c r="J32" s="370">
        <f t="shared" si="2"/>
        <v>0</v>
      </c>
      <c r="K32" s="370">
        <v>0</v>
      </c>
      <c r="L32" s="370">
        <f t="shared" si="3"/>
        <v>0</v>
      </c>
      <c r="Y32" s="195">
        <f t="shared" si="4"/>
        <v>0</v>
      </c>
      <c r="AA32" s="195">
        <f t="shared" si="5"/>
        <v>0</v>
      </c>
      <c r="AB32" s="195">
        <f t="shared" si="6"/>
        <v>0</v>
      </c>
      <c r="AC32" s="195">
        <f t="shared" si="7"/>
        <v>0</v>
      </c>
      <c r="AD32" s="195">
        <f t="shared" si="8"/>
        <v>0</v>
      </c>
      <c r="AE32" s="195">
        <f t="shared" si="9"/>
        <v>0</v>
      </c>
      <c r="AF32" s="195">
        <f t="shared" si="10"/>
        <v>0</v>
      </c>
      <c r="AG32" s="195">
        <f t="shared" si="11"/>
        <v>0</v>
      </c>
      <c r="AH32" s="196"/>
      <c r="AI32" s="194">
        <f t="shared" si="12"/>
        <v>0</v>
      </c>
      <c r="AJ32" s="194">
        <f t="shared" si="13"/>
        <v>0</v>
      </c>
      <c r="AK32" s="194">
        <f t="shared" si="14"/>
        <v>0</v>
      </c>
      <c r="AM32" s="195">
        <v>21</v>
      </c>
      <c r="AN32" s="195">
        <f>G32*0.026431718061674</f>
        <v>0</v>
      </c>
      <c r="AO32" s="195">
        <f>G32*(1-0.026431718061674)</f>
        <v>0</v>
      </c>
      <c r="AP32" s="198" t="s">
        <v>255</v>
      </c>
      <c r="AU32" s="195">
        <f t="shared" si="15"/>
        <v>0</v>
      </c>
      <c r="AV32" s="195">
        <f t="shared" si="16"/>
        <v>0</v>
      </c>
      <c r="AW32" s="195">
        <f t="shared" si="17"/>
        <v>0</v>
      </c>
      <c r="AX32" s="197" t="s">
        <v>2204</v>
      </c>
      <c r="AY32" s="197" t="s">
        <v>2073</v>
      </c>
      <c r="AZ32" s="196" t="s">
        <v>2067</v>
      </c>
      <c r="BB32" s="195">
        <f t="shared" si="18"/>
        <v>0</v>
      </c>
      <c r="BC32" s="195">
        <f t="shared" si="19"/>
        <v>0</v>
      </c>
      <c r="BD32" s="195">
        <v>0</v>
      </c>
      <c r="BE32" s="195">
        <f t="shared" si="20"/>
        <v>0</v>
      </c>
      <c r="BG32" s="194">
        <f t="shared" si="21"/>
        <v>0</v>
      </c>
      <c r="BH32" s="194">
        <f t="shared" si="22"/>
        <v>0</v>
      </c>
      <c r="BI32" s="194">
        <f t="shared" si="23"/>
        <v>0</v>
      </c>
    </row>
    <row r="33" spans="1:61">
      <c r="A33" s="369" t="s">
        <v>328</v>
      </c>
      <c r="B33" s="369"/>
      <c r="C33" s="369" t="s">
        <v>2210</v>
      </c>
      <c r="D33" s="369" t="s">
        <v>2209</v>
      </c>
      <c r="E33" s="369" t="s">
        <v>364</v>
      </c>
      <c r="F33" s="370">
        <v>15</v>
      </c>
      <c r="G33" s="355">
        <v>0</v>
      </c>
      <c r="H33" s="370">
        <f t="shared" si="0"/>
        <v>0</v>
      </c>
      <c r="I33" s="370">
        <f t="shared" si="1"/>
        <v>0</v>
      </c>
      <c r="J33" s="370">
        <f t="shared" si="2"/>
        <v>0</v>
      </c>
      <c r="K33" s="370">
        <v>0</v>
      </c>
      <c r="L33" s="370">
        <f t="shared" si="3"/>
        <v>0</v>
      </c>
      <c r="Y33" s="195">
        <f t="shared" si="4"/>
        <v>0</v>
      </c>
      <c r="AA33" s="195">
        <f t="shared" si="5"/>
        <v>0</v>
      </c>
      <c r="AB33" s="195">
        <f t="shared" si="6"/>
        <v>0</v>
      </c>
      <c r="AC33" s="195">
        <f t="shared" si="7"/>
        <v>0</v>
      </c>
      <c r="AD33" s="195">
        <f t="shared" si="8"/>
        <v>0</v>
      </c>
      <c r="AE33" s="195">
        <f t="shared" si="9"/>
        <v>0</v>
      </c>
      <c r="AF33" s="195">
        <f t="shared" si="10"/>
        <v>0</v>
      </c>
      <c r="AG33" s="195">
        <f t="shared" si="11"/>
        <v>0</v>
      </c>
      <c r="AH33" s="196"/>
      <c r="AI33" s="194">
        <f t="shared" si="12"/>
        <v>0</v>
      </c>
      <c r="AJ33" s="194">
        <f t="shared" si="13"/>
        <v>0</v>
      </c>
      <c r="AK33" s="194">
        <f t="shared" si="14"/>
        <v>0</v>
      </c>
      <c r="AM33" s="195">
        <v>21</v>
      </c>
      <c r="AN33" s="195">
        <f>G33*0.0800271278399457</f>
        <v>0</v>
      </c>
      <c r="AO33" s="195">
        <f>G33*(1-0.0800271278399457)</f>
        <v>0</v>
      </c>
      <c r="AP33" s="198" t="s">
        <v>255</v>
      </c>
      <c r="AU33" s="195">
        <f t="shared" si="15"/>
        <v>0</v>
      </c>
      <c r="AV33" s="195">
        <f t="shared" si="16"/>
        <v>0</v>
      </c>
      <c r="AW33" s="195">
        <f t="shared" si="17"/>
        <v>0</v>
      </c>
      <c r="AX33" s="197" t="s">
        <v>2204</v>
      </c>
      <c r="AY33" s="197" t="s">
        <v>2073</v>
      </c>
      <c r="AZ33" s="196" t="s">
        <v>2067</v>
      </c>
      <c r="BB33" s="195">
        <f t="shared" si="18"/>
        <v>0</v>
      </c>
      <c r="BC33" s="195">
        <f t="shared" si="19"/>
        <v>0</v>
      </c>
      <c r="BD33" s="195">
        <v>0</v>
      </c>
      <c r="BE33" s="195">
        <f t="shared" si="20"/>
        <v>0</v>
      </c>
      <c r="BG33" s="194">
        <f t="shared" si="21"/>
        <v>0</v>
      </c>
      <c r="BH33" s="194">
        <f t="shared" si="22"/>
        <v>0</v>
      </c>
      <c r="BI33" s="194">
        <f t="shared" si="23"/>
        <v>0</v>
      </c>
    </row>
    <row r="34" spans="1:61">
      <c r="A34" s="369" t="s">
        <v>8</v>
      </c>
      <c r="B34" s="369"/>
      <c r="C34" s="369" t="s">
        <v>2208</v>
      </c>
      <c r="D34" s="369" t="s">
        <v>2207</v>
      </c>
      <c r="E34" s="369" t="s">
        <v>291</v>
      </c>
      <c r="F34" s="370">
        <v>2</v>
      </c>
      <c r="G34" s="355">
        <v>0</v>
      </c>
      <c r="H34" s="370">
        <f t="shared" si="0"/>
        <v>0</v>
      </c>
      <c r="I34" s="370">
        <f t="shared" si="1"/>
        <v>0</v>
      </c>
      <c r="J34" s="370">
        <f t="shared" si="2"/>
        <v>0</v>
      </c>
      <c r="K34" s="370">
        <v>5.5999999999999995E-4</v>
      </c>
      <c r="L34" s="370">
        <f t="shared" si="3"/>
        <v>1.1199999999999999E-3</v>
      </c>
      <c r="Y34" s="195">
        <f t="shared" si="4"/>
        <v>0</v>
      </c>
      <c r="AA34" s="195">
        <f t="shared" si="5"/>
        <v>0</v>
      </c>
      <c r="AB34" s="195">
        <f t="shared" si="6"/>
        <v>0</v>
      </c>
      <c r="AC34" s="195">
        <f t="shared" si="7"/>
        <v>0</v>
      </c>
      <c r="AD34" s="195">
        <f t="shared" si="8"/>
        <v>0</v>
      </c>
      <c r="AE34" s="195">
        <f t="shared" si="9"/>
        <v>0</v>
      </c>
      <c r="AF34" s="195">
        <f t="shared" si="10"/>
        <v>0</v>
      </c>
      <c r="AG34" s="195">
        <f t="shared" si="11"/>
        <v>0</v>
      </c>
      <c r="AH34" s="196"/>
      <c r="AI34" s="194">
        <f t="shared" si="12"/>
        <v>0</v>
      </c>
      <c r="AJ34" s="194">
        <f t="shared" si="13"/>
        <v>0</v>
      </c>
      <c r="AK34" s="194">
        <f t="shared" si="14"/>
        <v>0</v>
      </c>
      <c r="AM34" s="195">
        <v>21</v>
      </c>
      <c r="AN34" s="195">
        <f>G34*0.901229449606862</f>
        <v>0</v>
      </c>
      <c r="AO34" s="195">
        <f>G34*(1-0.901229449606862)</f>
        <v>0</v>
      </c>
      <c r="AP34" s="198" t="s">
        <v>255</v>
      </c>
      <c r="AU34" s="195">
        <f t="shared" si="15"/>
        <v>0</v>
      </c>
      <c r="AV34" s="195">
        <f t="shared" si="16"/>
        <v>0</v>
      </c>
      <c r="AW34" s="195">
        <f t="shared" si="17"/>
        <v>0</v>
      </c>
      <c r="AX34" s="197" t="s">
        <v>2204</v>
      </c>
      <c r="AY34" s="197" t="s">
        <v>2073</v>
      </c>
      <c r="AZ34" s="196" t="s">
        <v>2067</v>
      </c>
      <c r="BB34" s="195">
        <f t="shared" si="18"/>
        <v>0</v>
      </c>
      <c r="BC34" s="195">
        <f t="shared" si="19"/>
        <v>0</v>
      </c>
      <c r="BD34" s="195">
        <v>0</v>
      </c>
      <c r="BE34" s="195">
        <f t="shared" si="20"/>
        <v>1.1199999999999999E-3</v>
      </c>
      <c r="BG34" s="194">
        <f t="shared" si="21"/>
        <v>0</v>
      </c>
      <c r="BH34" s="194">
        <f t="shared" si="22"/>
        <v>0</v>
      </c>
      <c r="BI34" s="194">
        <f t="shared" si="23"/>
        <v>0</v>
      </c>
    </row>
    <row r="35" spans="1:61">
      <c r="A35" s="369" t="s">
        <v>337</v>
      </c>
      <c r="B35" s="369"/>
      <c r="C35" s="369" t="s">
        <v>2206</v>
      </c>
      <c r="D35" s="369" t="s">
        <v>2205</v>
      </c>
      <c r="E35" s="369" t="s">
        <v>273</v>
      </c>
      <c r="F35" s="370">
        <v>0.4022</v>
      </c>
      <c r="G35" s="355">
        <v>0</v>
      </c>
      <c r="H35" s="370">
        <f t="shared" si="0"/>
        <v>0</v>
      </c>
      <c r="I35" s="370">
        <f t="shared" si="1"/>
        <v>0</v>
      </c>
      <c r="J35" s="370">
        <f t="shared" si="2"/>
        <v>0</v>
      </c>
      <c r="K35" s="370">
        <v>0</v>
      </c>
      <c r="L35" s="370">
        <f t="shared" si="3"/>
        <v>0</v>
      </c>
      <c r="Y35" s="195">
        <f t="shared" si="4"/>
        <v>0</v>
      </c>
      <c r="AA35" s="195">
        <f t="shared" si="5"/>
        <v>0</v>
      </c>
      <c r="AB35" s="195">
        <f t="shared" si="6"/>
        <v>0</v>
      </c>
      <c r="AC35" s="195">
        <f t="shared" si="7"/>
        <v>0</v>
      </c>
      <c r="AD35" s="195">
        <f t="shared" si="8"/>
        <v>0</v>
      </c>
      <c r="AE35" s="195">
        <f t="shared" si="9"/>
        <v>0</v>
      </c>
      <c r="AF35" s="195">
        <f t="shared" si="10"/>
        <v>0</v>
      </c>
      <c r="AG35" s="195">
        <f t="shared" si="11"/>
        <v>0</v>
      </c>
      <c r="AH35" s="196"/>
      <c r="AI35" s="194">
        <f t="shared" si="12"/>
        <v>0</v>
      </c>
      <c r="AJ35" s="194">
        <f t="shared" si="13"/>
        <v>0</v>
      </c>
      <c r="AK35" s="194">
        <f t="shared" si="14"/>
        <v>0</v>
      </c>
      <c r="AM35" s="195">
        <v>21</v>
      </c>
      <c r="AN35" s="195">
        <f>G35*0</f>
        <v>0</v>
      </c>
      <c r="AO35" s="195">
        <f>G35*(1-0)</f>
        <v>0</v>
      </c>
      <c r="AP35" s="198" t="s">
        <v>255</v>
      </c>
      <c r="AU35" s="195">
        <f t="shared" si="15"/>
        <v>0</v>
      </c>
      <c r="AV35" s="195">
        <f t="shared" si="16"/>
        <v>0</v>
      </c>
      <c r="AW35" s="195">
        <f t="shared" si="17"/>
        <v>0</v>
      </c>
      <c r="AX35" s="197" t="s">
        <v>2204</v>
      </c>
      <c r="AY35" s="197" t="s">
        <v>2073</v>
      </c>
      <c r="AZ35" s="196" t="s">
        <v>2067</v>
      </c>
      <c r="BB35" s="195">
        <f t="shared" si="18"/>
        <v>0</v>
      </c>
      <c r="BC35" s="195">
        <f t="shared" si="19"/>
        <v>0</v>
      </c>
      <c r="BD35" s="195">
        <v>0</v>
      </c>
      <c r="BE35" s="195">
        <f t="shared" si="20"/>
        <v>0</v>
      </c>
      <c r="BG35" s="194">
        <f t="shared" si="21"/>
        <v>0</v>
      </c>
      <c r="BH35" s="194">
        <f t="shared" si="22"/>
        <v>0</v>
      </c>
      <c r="BI35" s="194">
        <f t="shared" si="23"/>
        <v>0</v>
      </c>
    </row>
    <row r="36" spans="1:61">
      <c r="A36" s="371"/>
      <c r="B36" s="372"/>
      <c r="C36" s="372" t="s">
        <v>2203</v>
      </c>
      <c r="D36" s="372" t="s">
        <v>2202</v>
      </c>
      <c r="E36" s="371" t="s">
        <v>27</v>
      </c>
      <c r="F36" s="371" t="s">
        <v>27</v>
      </c>
      <c r="G36" s="356" t="s">
        <v>27</v>
      </c>
      <c r="H36" s="386">
        <f>SUM(H37:H70)</f>
        <v>0</v>
      </c>
      <c r="I36" s="386">
        <f>SUM(I37:I70)</f>
        <v>0</v>
      </c>
      <c r="J36" s="386">
        <f>SUM(J37:J70)</f>
        <v>0</v>
      </c>
      <c r="K36" s="385"/>
      <c r="L36" s="386">
        <f>SUM(L37:L70)</f>
        <v>0.43590999999999991</v>
      </c>
      <c r="AH36" s="196"/>
      <c r="AR36" s="199">
        <f>SUM(AI37:AI70)</f>
        <v>0</v>
      </c>
      <c r="AS36" s="199">
        <f>SUM(AJ37:AJ70)</f>
        <v>0</v>
      </c>
      <c r="AT36" s="199">
        <f>SUM(AK37:AK70)</f>
        <v>0</v>
      </c>
    </row>
    <row r="37" spans="1:61">
      <c r="A37" s="369" t="s">
        <v>343</v>
      </c>
      <c r="B37" s="369"/>
      <c r="C37" s="369" t="s">
        <v>2201</v>
      </c>
      <c r="D37" s="369" t="s">
        <v>2200</v>
      </c>
      <c r="E37" s="369" t="s">
        <v>364</v>
      </c>
      <c r="F37" s="370">
        <v>40</v>
      </c>
      <c r="G37" s="355">
        <v>0</v>
      </c>
      <c r="H37" s="370">
        <f t="shared" ref="H37:H45" si="24">F37*AN37</f>
        <v>0</v>
      </c>
      <c r="I37" s="370">
        <f t="shared" ref="I37:I45" si="25">F37*AO37</f>
        <v>0</v>
      </c>
      <c r="J37" s="370">
        <f t="shared" ref="J37:J45" si="26">F37*G37</f>
        <v>0</v>
      </c>
      <c r="K37" s="370">
        <v>2.1299999999999999E-3</v>
      </c>
      <c r="L37" s="370">
        <f t="shared" ref="L37:L45" si="27">F37*K37</f>
        <v>8.5199999999999998E-2</v>
      </c>
      <c r="Y37" s="195">
        <f t="shared" ref="Y37:Y45" si="28">IF(AP37="5",BI37,0)</f>
        <v>0</v>
      </c>
      <c r="AA37" s="195">
        <f t="shared" ref="AA37:AA45" si="29">IF(AP37="1",BG37,0)</f>
        <v>0</v>
      </c>
      <c r="AB37" s="195">
        <f t="shared" ref="AB37:AB45" si="30">IF(AP37="1",BH37,0)</f>
        <v>0</v>
      </c>
      <c r="AC37" s="195">
        <f t="shared" ref="AC37:AC45" si="31">IF(AP37="7",BG37,0)</f>
        <v>0</v>
      </c>
      <c r="AD37" s="195">
        <f t="shared" ref="AD37:AD45" si="32">IF(AP37="7",BH37,0)</f>
        <v>0</v>
      </c>
      <c r="AE37" s="195">
        <f t="shared" ref="AE37:AE45" si="33">IF(AP37="2",BG37,0)</f>
        <v>0</v>
      </c>
      <c r="AF37" s="195">
        <f t="shared" ref="AF37:AF45" si="34">IF(AP37="2",BH37,0)</f>
        <v>0</v>
      </c>
      <c r="AG37" s="195">
        <f t="shared" ref="AG37:AG45" si="35">IF(AP37="0",BI37,0)</f>
        <v>0</v>
      </c>
      <c r="AH37" s="196"/>
      <c r="AI37" s="194">
        <f t="shared" ref="AI37:AI45" si="36">IF(AM37=0,J37,0)</f>
        <v>0</v>
      </c>
      <c r="AJ37" s="194">
        <f t="shared" ref="AJ37:AJ45" si="37">IF(AM37=15,J37,0)</f>
        <v>0</v>
      </c>
      <c r="AK37" s="194">
        <f t="shared" ref="AK37:AK45" si="38">IF(AM37=21,J37,0)</f>
        <v>0</v>
      </c>
      <c r="AM37" s="195">
        <v>21</v>
      </c>
      <c r="AN37" s="195">
        <f>G37*0</f>
        <v>0</v>
      </c>
      <c r="AO37" s="195">
        <f>G37*(1-0)</f>
        <v>0</v>
      </c>
      <c r="AP37" s="198" t="s">
        <v>255</v>
      </c>
      <c r="AU37" s="195">
        <f t="shared" ref="AU37:AU45" si="39">AV37+AW37</f>
        <v>0</v>
      </c>
      <c r="AV37" s="195">
        <f t="shared" ref="AV37:AV45" si="40">F37*AN37</f>
        <v>0</v>
      </c>
      <c r="AW37" s="195">
        <f t="shared" ref="AW37:AW45" si="41">F37*AO37</f>
        <v>0</v>
      </c>
      <c r="AX37" s="197" t="s">
        <v>2143</v>
      </c>
      <c r="AY37" s="197" t="s">
        <v>2073</v>
      </c>
      <c r="AZ37" s="196" t="s">
        <v>2067</v>
      </c>
      <c r="BB37" s="195">
        <f t="shared" ref="BB37:BB45" si="42">AV37+AW37</f>
        <v>0</v>
      </c>
      <c r="BC37" s="195">
        <f t="shared" ref="BC37:BC45" si="43">G37/(100-BD37)*100</f>
        <v>0</v>
      </c>
      <c r="BD37" s="195">
        <v>0</v>
      </c>
      <c r="BE37" s="195">
        <f t="shared" ref="BE37:BE45" si="44">L37</f>
        <v>8.5199999999999998E-2</v>
      </c>
      <c r="BG37" s="194">
        <f t="shared" ref="BG37:BG45" si="45">F37*AN37</f>
        <v>0</v>
      </c>
      <c r="BH37" s="194">
        <f t="shared" ref="BH37:BH45" si="46">F37*AO37</f>
        <v>0</v>
      </c>
      <c r="BI37" s="194">
        <f t="shared" ref="BI37:BI45" si="47">F37*G37</f>
        <v>0</v>
      </c>
    </row>
    <row r="38" spans="1:61">
      <c r="A38" s="369" t="s">
        <v>356</v>
      </c>
      <c r="B38" s="369"/>
      <c r="C38" s="369" t="s">
        <v>2199</v>
      </c>
      <c r="D38" s="369" t="s">
        <v>2198</v>
      </c>
      <c r="E38" s="369" t="s">
        <v>364</v>
      </c>
      <c r="F38" s="370">
        <v>30</v>
      </c>
      <c r="G38" s="355">
        <v>0</v>
      </c>
      <c r="H38" s="370">
        <f t="shared" si="24"/>
        <v>0</v>
      </c>
      <c r="I38" s="370">
        <f t="shared" si="25"/>
        <v>0</v>
      </c>
      <c r="J38" s="370">
        <f t="shared" si="26"/>
        <v>0</v>
      </c>
      <c r="K38" s="370">
        <v>4.9699999999999996E-3</v>
      </c>
      <c r="L38" s="370">
        <f t="shared" si="27"/>
        <v>0.14909999999999998</v>
      </c>
      <c r="Y38" s="195">
        <f t="shared" si="28"/>
        <v>0</v>
      </c>
      <c r="AA38" s="195">
        <f t="shared" si="29"/>
        <v>0</v>
      </c>
      <c r="AB38" s="195">
        <f t="shared" si="30"/>
        <v>0</v>
      </c>
      <c r="AC38" s="195">
        <f t="shared" si="31"/>
        <v>0</v>
      </c>
      <c r="AD38" s="195">
        <f t="shared" si="32"/>
        <v>0</v>
      </c>
      <c r="AE38" s="195">
        <f t="shared" si="33"/>
        <v>0</v>
      </c>
      <c r="AF38" s="195">
        <f t="shared" si="34"/>
        <v>0</v>
      </c>
      <c r="AG38" s="195">
        <f t="shared" si="35"/>
        <v>0</v>
      </c>
      <c r="AH38" s="196"/>
      <c r="AI38" s="194">
        <f t="shared" si="36"/>
        <v>0</v>
      </c>
      <c r="AJ38" s="194">
        <f t="shared" si="37"/>
        <v>0</v>
      </c>
      <c r="AK38" s="194">
        <f t="shared" si="38"/>
        <v>0</v>
      </c>
      <c r="AM38" s="195">
        <v>21</v>
      </c>
      <c r="AN38" s="195">
        <f>G38*0</f>
        <v>0</v>
      </c>
      <c r="AO38" s="195">
        <f>G38*(1-0)</f>
        <v>0</v>
      </c>
      <c r="AP38" s="198" t="s">
        <v>255</v>
      </c>
      <c r="AU38" s="195">
        <f t="shared" si="39"/>
        <v>0</v>
      </c>
      <c r="AV38" s="195">
        <f t="shared" si="40"/>
        <v>0</v>
      </c>
      <c r="AW38" s="195">
        <f t="shared" si="41"/>
        <v>0</v>
      </c>
      <c r="AX38" s="197" t="s">
        <v>2143</v>
      </c>
      <c r="AY38" s="197" t="s">
        <v>2073</v>
      </c>
      <c r="AZ38" s="196" t="s">
        <v>2067</v>
      </c>
      <c r="BB38" s="195">
        <f t="shared" si="42"/>
        <v>0</v>
      </c>
      <c r="BC38" s="195">
        <f t="shared" si="43"/>
        <v>0</v>
      </c>
      <c r="BD38" s="195">
        <v>0</v>
      </c>
      <c r="BE38" s="195">
        <f t="shared" si="44"/>
        <v>0.14909999999999998</v>
      </c>
      <c r="BG38" s="194">
        <f t="shared" si="45"/>
        <v>0</v>
      </c>
      <c r="BH38" s="194">
        <f t="shared" si="46"/>
        <v>0</v>
      </c>
      <c r="BI38" s="194">
        <f t="shared" si="47"/>
        <v>0</v>
      </c>
    </row>
    <row r="39" spans="1:61">
      <c r="A39" s="369" t="s">
        <v>361</v>
      </c>
      <c r="B39" s="369"/>
      <c r="C39" s="369" t="s">
        <v>2197</v>
      </c>
      <c r="D39" s="369" t="s">
        <v>2196</v>
      </c>
      <c r="E39" s="369" t="s">
        <v>364</v>
      </c>
      <c r="F39" s="370">
        <v>130</v>
      </c>
      <c r="G39" s="355">
        <v>0</v>
      </c>
      <c r="H39" s="370">
        <f t="shared" si="24"/>
        <v>0</v>
      </c>
      <c r="I39" s="370">
        <f t="shared" si="25"/>
        <v>0</v>
      </c>
      <c r="J39" s="370">
        <f t="shared" si="26"/>
        <v>0</v>
      </c>
      <c r="K39" s="370">
        <v>4.0999999999999999E-4</v>
      </c>
      <c r="L39" s="370">
        <f t="shared" si="27"/>
        <v>5.33E-2</v>
      </c>
      <c r="Y39" s="195">
        <f t="shared" si="28"/>
        <v>0</v>
      </c>
      <c r="AA39" s="195">
        <f t="shared" si="29"/>
        <v>0</v>
      </c>
      <c r="AB39" s="195">
        <f t="shared" si="30"/>
        <v>0</v>
      </c>
      <c r="AC39" s="195">
        <f t="shared" si="31"/>
        <v>0</v>
      </c>
      <c r="AD39" s="195">
        <f t="shared" si="32"/>
        <v>0</v>
      </c>
      <c r="AE39" s="195">
        <f t="shared" si="33"/>
        <v>0</v>
      </c>
      <c r="AF39" s="195">
        <f t="shared" si="34"/>
        <v>0</v>
      </c>
      <c r="AG39" s="195">
        <f t="shared" si="35"/>
        <v>0</v>
      </c>
      <c r="AH39" s="196"/>
      <c r="AI39" s="194">
        <f t="shared" si="36"/>
        <v>0</v>
      </c>
      <c r="AJ39" s="194">
        <f t="shared" si="37"/>
        <v>0</v>
      </c>
      <c r="AK39" s="194">
        <f t="shared" si="38"/>
        <v>0</v>
      </c>
      <c r="AM39" s="195">
        <v>21</v>
      </c>
      <c r="AN39" s="195">
        <f>G39*0.314148936170213</f>
        <v>0</v>
      </c>
      <c r="AO39" s="195">
        <f>G39*(1-0.314148936170213)</f>
        <v>0</v>
      </c>
      <c r="AP39" s="198" t="s">
        <v>255</v>
      </c>
      <c r="AU39" s="195">
        <f t="shared" si="39"/>
        <v>0</v>
      </c>
      <c r="AV39" s="195">
        <f t="shared" si="40"/>
        <v>0</v>
      </c>
      <c r="AW39" s="195">
        <f t="shared" si="41"/>
        <v>0</v>
      </c>
      <c r="AX39" s="197" t="s">
        <v>2143</v>
      </c>
      <c r="AY39" s="197" t="s">
        <v>2073</v>
      </c>
      <c r="AZ39" s="196" t="s">
        <v>2067</v>
      </c>
      <c r="BB39" s="195">
        <f t="shared" si="42"/>
        <v>0</v>
      </c>
      <c r="BC39" s="195">
        <f t="shared" si="43"/>
        <v>0</v>
      </c>
      <c r="BD39" s="195">
        <v>0</v>
      </c>
      <c r="BE39" s="195">
        <f t="shared" si="44"/>
        <v>5.33E-2</v>
      </c>
      <c r="BG39" s="194">
        <f t="shared" si="45"/>
        <v>0</v>
      </c>
      <c r="BH39" s="194">
        <f t="shared" si="46"/>
        <v>0</v>
      </c>
      <c r="BI39" s="194">
        <f t="shared" si="47"/>
        <v>0</v>
      </c>
    </row>
    <row r="40" spans="1:61">
      <c r="A40" s="369" t="s">
        <v>368</v>
      </c>
      <c r="B40" s="369"/>
      <c r="C40" s="369" t="s">
        <v>2195</v>
      </c>
      <c r="D40" s="369" t="s">
        <v>2194</v>
      </c>
      <c r="E40" s="369" t="s">
        <v>364</v>
      </c>
      <c r="F40" s="370">
        <v>45</v>
      </c>
      <c r="G40" s="355">
        <v>0</v>
      </c>
      <c r="H40" s="370">
        <f t="shared" si="24"/>
        <v>0</v>
      </c>
      <c r="I40" s="370">
        <f t="shared" si="25"/>
        <v>0</v>
      </c>
      <c r="J40" s="370">
        <f t="shared" si="26"/>
        <v>0</v>
      </c>
      <c r="K40" s="370">
        <v>5.2999999999999998E-4</v>
      </c>
      <c r="L40" s="370">
        <f t="shared" si="27"/>
        <v>2.385E-2</v>
      </c>
      <c r="Y40" s="195">
        <f t="shared" si="28"/>
        <v>0</v>
      </c>
      <c r="AA40" s="195">
        <f t="shared" si="29"/>
        <v>0</v>
      </c>
      <c r="AB40" s="195">
        <f t="shared" si="30"/>
        <v>0</v>
      </c>
      <c r="AC40" s="195">
        <f t="shared" si="31"/>
        <v>0</v>
      </c>
      <c r="AD40" s="195">
        <f t="shared" si="32"/>
        <v>0</v>
      </c>
      <c r="AE40" s="195">
        <f t="shared" si="33"/>
        <v>0</v>
      </c>
      <c r="AF40" s="195">
        <f t="shared" si="34"/>
        <v>0</v>
      </c>
      <c r="AG40" s="195">
        <f t="shared" si="35"/>
        <v>0</v>
      </c>
      <c r="AH40" s="196"/>
      <c r="AI40" s="194">
        <f t="shared" si="36"/>
        <v>0</v>
      </c>
      <c r="AJ40" s="194">
        <f t="shared" si="37"/>
        <v>0</v>
      </c>
      <c r="AK40" s="194">
        <f t="shared" si="38"/>
        <v>0</v>
      </c>
      <c r="AM40" s="195">
        <v>21</v>
      </c>
      <c r="AN40" s="195">
        <f>G40*0.385506607929515</f>
        <v>0</v>
      </c>
      <c r="AO40" s="195">
        <f>G40*(1-0.385506607929515)</f>
        <v>0</v>
      </c>
      <c r="AP40" s="198" t="s">
        <v>255</v>
      </c>
      <c r="AU40" s="195">
        <f t="shared" si="39"/>
        <v>0</v>
      </c>
      <c r="AV40" s="195">
        <f t="shared" si="40"/>
        <v>0</v>
      </c>
      <c r="AW40" s="195">
        <f t="shared" si="41"/>
        <v>0</v>
      </c>
      <c r="AX40" s="197" t="s">
        <v>2143</v>
      </c>
      <c r="AY40" s="197" t="s">
        <v>2073</v>
      </c>
      <c r="AZ40" s="196" t="s">
        <v>2067</v>
      </c>
      <c r="BB40" s="195">
        <f t="shared" si="42"/>
        <v>0</v>
      </c>
      <c r="BC40" s="195">
        <f t="shared" si="43"/>
        <v>0</v>
      </c>
      <c r="BD40" s="195">
        <v>0</v>
      </c>
      <c r="BE40" s="195">
        <f t="shared" si="44"/>
        <v>2.385E-2</v>
      </c>
      <c r="BG40" s="194">
        <f t="shared" si="45"/>
        <v>0</v>
      </c>
      <c r="BH40" s="194">
        <f t="shared" si="46"/>
        <v>0</v>
      </c>
      <c r="BI40" s="194">
        <f t="shared" si="47"/>
        <v>0</v>
      </c>
    </row>
    <row r="41" spans="1:61">
      <c r="A41" s="369" t="s">
        <v>380</v>
      </c>
      <c r="B41" s="369"/>
      <c r="C41" s="369" t="s">
        <v>2193</v>
      </c>
      <c r="D41" s="369" t="s">
        <v>2192</v>
      </c>
      <c r="E41" s="369" t="s">
        <v>364</v>
      </c>
      <c r="F41" s="370">
        <v>50</v>
      </c>
      <c r="G41" s="355">
        <v>0</v>
      </c>
      <c r="H41" s="370">
        <f t="shared" si="24"/>
        <v>0</v>
      </c>
      <c r="I41" s="370">
        <f t="shared" si="25"/>
        <v>0</v>
      </c>
      <c r="J41" s="370">
        <f t="shared" si="26"/>
        <v>0</v>
      </c>
      <c r="K41" s="370">
        <v>6.8999999999999997E-4</v>
      </c>
      <c r="L41" s="370">
        <f t="shared" si="27"/>
        <v>3.4499999999999996E-2</v>
      </c>
      <c r="Y41" s="195">
        <f t="shared" si="28"/>
        <v>0</v>
      </c>
      <c r="AA41" s="195">
        <f t="shared" si="29"/>
        <v>0</v>
      </c>
      <c r="AB41" s="195">
        <f t="shared" si="30"/>
        <v>0</v>
      </c>
      <c r="AC41" s="195">
        <f t="shared" si="31"/>
        <v>0</v>
      </c>
      <c r="AD41" s="195">
        <f t="shared" si="32"/>
        <v>0</v>
      </c>
      <c r="AE41" s="195">
        <f t="shared" si="33"/>
        <v>0</v>
      </c>
      <c r="AF41" s="195">
        <f t="shared" si="34"/>
        <v>0</v>
      </c>
      <c r="AG41" s="195">
        <f t="shared" si="35"/>
        <v>0</v>
      </c>
      <c r="AH41" s="196"/>
      <c r="AI41" s="194">
        <f t="shared" si="36"/>
        <v>0</v>
      </c>
      <c r="AJ41" s="194">
        <f t="shared" si="37"/>
        <v>0</v>
      </c>
      <c r="AK41" s="194">
        <f t="shared" si="38"/>
        <v>0</v>
      </c>
      <c r="AM41" s="195">
        <v>21</v>
      </c>
      <c r="AN41" s="195">
        <f>G41*0.440472175379427</f>
        <v>0</v>
      </c>
      <c r="AO41" s="195">
        <f>G41*(1-0.440472175379427)</f>
        <v>0</v>
      </c>
      <c r="AP41" s="198" t="s">
        <v>255</v>
      </c>
      <c r="AU41" s="195">
        <f t="shared" si="39"/>
        <v>0</v>
      </c>
      <c r="AV41" s="195">
        <f t="shared" si="40"/>
        <v>0</v>
      </c>
      <c r="AW41" s="195">
        <f t="shared" si="41"/>
        <v>0</v>
      </c>
      <c r="AX41" s="197" t="s">
        <v>2143</v>
      </c>
      <c r="AY41" s="197" t="s">
        <v>2073</v>
      </c>
      <c r="AZ41" s="196" t="s">
        <v>2067</v>
      </c>
      <c r="BB41" s="195">
        <f t="shared" si="42"/>
        <v>0</v>
      </c>
      <c r="BC41" s="195">
        <f t="shared" si="43"/>
        <v>0</v>
      </c>
      <c r="BD41" s="195">
        <v>0</v>
      </c>
      <c r="BE41" s="195">
        <f t="shared" si="44"/>
        <v>3.4499999999999996E-2</v>
      </c>
      <c r="BG41" s="194">
        <f t="shared" si="45"/>
        <v>0</v>
      </c>
      <c r="BH41" s="194">
        <f t="shared" si="46"/>
        <v>0</v>
      </c>
      <c r="BI41" s="194">
        <f t="shared" si="47"/>
        <v>0</v>
      </c>
    </row>
    <row r="42" spans="1:61">
      <c r="A42" s="369" t="s">
        <v>386</v>
      </c>
      <c r="B42" s="369"/>
      <c r="C42" s="369" t="s">
        <v>2191</v>
      </c>
      <c r="D42" s="369" t="s">
        <v>2190</v>
      </c>
      <c r="E42" s="369" t="s">
        <v>364</v>
      </c>
      <c r="F42" s="370">
        <v>10</v>
      </c>
      <c r="G42" s="355">
        <v>0</v>
      </c>
      <c r="H42" s="370">
        <f t="shared" si="24"/>
        <v>0</v>
      </c>
      <c r="I42" s="370">
        <f t="shared" si="25"/>
        <v>0</v>
      </c>
      <c r="J42" s="370">
        <f t="shared" si="26"/>
        <v>0</v>
      </c>
      <c r="K42" s="370">
        <v>1.01E-3</v>
      </c>
      <c r="L42" s="370">
        <f t="shared" si="27"/>
        <v>1.0100000000000001E-2</v>
      </c>
      <c r="Y42" s="195">
        <f t="shared" si="28"/>
        <v>0</v>
      </c>
      <c r="AA42" s="195">
        <f t="shared" si="29"/>
        <v>0</v>
      </c>
      <c r="AB42" s="195">
        <f t="shared" si="30"/>
        <v>0</v>
      </c>
      <c r="AC42" s="195">
        <f t="shared" si="31"/>
        <v>0</v>
      </c>
      <c r="AD42" s="195">
        <f t="shared" si="32"/>
        <v>0</v>
      </c>
      <c r="AE42" s="195">
        <f t="shared" si="33"/>
        <v>0</v>
      </c>
      <c r="AF42" s="195">
        <f t="shared" si="34"/>
        <v>0</v>
      </c>
      <c r="AG42" s="195">
        <f t="shared" si="35"/>
        <v>0</v>
      </c>
      <c r="AH42" s="196"/>
      <c r="AI42" s="194">
        <f t="shared" si="36"/>
        <v>0</v>
      </c>
      <c r="AJ42" s="194">
        <f t="shared" si="37"/>
        <v>0</v>
      </c>
      <c r="AK42" s="194">
        <f t="shared" si="38"/>
        <v>0</v>
      </c>
      <c r="AM42" s="195">
        <v>21</v>
      </c>
      <c r="AN42" s="195">
        <f>G42*0.580589519650655</f>
        <v>0</v>
      </c>
      <c r="AO42" s="195">
        <f>G42*(1-0.580589519650655)</f>
        <v>0</v>
      </c>
      <c r="AP42" s="198" t="s">
        <v>255</v>
      </c>
      <c r="AU42" s="195">
        <f t="shared" si="39"/>
        <v>0</v>
      </c>
      <c r="AV42" s="195">
        <f t="shared" si="40"/>
        <v>0</v>
      </c>
      <c r="AW42" s="195">
        <f t="shared" si="41"/>
        <v>0</v>
      </c>
      <c r="AX42" s="197" t="s">
        <v>2143</v>
      </c>
      <c r="AY42" s="197" t="s">
        <v>2073</v>
      </c>
      <c r="AZ42" s="196" t="s">
        <v>2067</v>
      </c>
      <c r="BB42" s="195">
        <f t="shared" si="42"/>
        <v>0</v>
      </c>
      <c r="BC42" s="195">
        <f t="shared" si="43"/>
        <v>0</v>
      </c>
      <c r="BD42" s="195">
        <v>0</v>
      </c>
      <c r="BE42" s="195">
        <f t="shared" si="44"/>
        <v>1.0100000000000001E-2</v>
      </c>
      <c r="BG42" s="194">
        <f t="shared" si="45"/>
        <v>0</v>
      </c>
      <c r="BH42" s="194">
        <f t="shared" si="46"/>
        <v>0</v>
      </c>
      <c r="BI42" s="194">
        <f t="shared" si="47"/>
        <v>0</v>
      </c>
    </row>
    <row r="43" spans="1:61">
      <c r="A43" s="369" t="s">
        <v>392</v>
      </c>
      <c r="B43" s="369"/>
      <c r="C43" s="369" t="s">
        <v>2189</v>
      </c>
      <c r="D43" s="369" t="s">
        <v>2188</v>
      </c>
      <c r="E43" s="369" t="s">
        <v>364</v>
      </c>
      <c r="F43" s="370">
        <v>25</v>
      </c>
      <c r="G43" s="355">
        <v>0</v>
      </c>
      <c r="H43" s="370">
        <f t="shared" si="24"/>
        <v>0</v>
      </c>
      <c r="I43" s="370">
        <f t="shared" si="25"/>
        <v>0</v>
      </c>
      <c r="J43" s="370">
        <f t="shared" si="26"/>
        <v>0</v>
      </c>
      <c r="K43" s="370">
        <v>1.41E-3</v>
      </c>
      <c r="L43" s="370">
        <f t="shared" si="27"/>
        <v>3.5250000000000004E-2</v>
      </c>
      <c r="Y43" s="195">
        <f t="shared" si="28"/>
        <v>0</v>
      </c>
      <c r="AA43" s="195">
        <f t="shared" si="29"/>
        <v>0</v>
      </c>
      <c r="AB43" s="195">
        <f t="shared" si="30"/>
        <v>0</v>
      </c>
      <c r="AC43" s="195">
        <f t="shared" si="31"/>
        <v>0</v>
      </c>
      <c r="AD43" s="195">
        <f t="shared" si="32"/>
        <v>0</v>
      </c>
      <c r="AE43" s="195">
        <f t="shared" si="33"/>
        <v>0</v>
      </c>
      <c r="AF43" s="195">
        <f t="shared" si="34"/>
        <v>0</v>
      </c>
      <c r="AG43" s="195">
        <f t="shared" si="35"/>
        <v>0</v>
      </c>
      <c r="AH43" s="196"/>
      <c r="AI43" s="194">
        <f t="shared" si="36"/>
        <v>0</v>
      </c>
      <c r="AJ43" s="194">
        <f t="shared" si="37"/>
        <v>0</v>
      </c>
      <c r="AK43" s="194">
        <f t="shared" si="38"/>
        <v>0</v>
      </c>
      <c r="AM43" s="195">
        <v>21</v>
      </c>
      <c r="AN43" s="195">
        <f>G43*0.607084019769357</f>
        <v>0</v>
      </c>
      <c r="AO43" s="195">
        <f>G43*(1-0.607084019769357)</f>
        <v>0</v>
      </c>
      <c r="AP43" s="198" t="s">
        <v>255</v>
      </c>
      <c r="AU43" s="195">
        <f t="shared" si="39"/>
        <v>0</v>
      </c>
      <c r="AV43" s="195">
        <f t="shared" si="40"/>
        <v>0</v>
      </c>
      <c r="AW43" s="195">
        <f t="shared" si="41"/>
        <v>0</v>
      </c>
      <c r="AX43" s="197" t="s">
        <v>2143</v>
      </c>
      <c r="AY43" s="197" t="s">
        <v>2073</v>
      </c>
      <c r="AZ43" s="196" t="s">
        <v>2067</v>
      </c>
      <c r="BB43" s="195">
        <f t="shared" si="42"/>
        <v>0</v>
      </c>
      <c r="BC43" s="195">
        <f t="shared" si="43"/>
        <v>0</v>
      </c>
      <c r="BD43" s="195">
        <v>0</v>
      </c>
      <c r="BE43" s="195">
        <f t="shared" si="44"/>
        <v>3.5250000000000004E-2</v>
      </c>
      <c r="BG43" s="194">
        <f t="shared" si="45"/>
        <v>0</v>
      </c>
      <c r="BH43" s="194">
        <f t="shared" si="46"/>
        <v>0</v>
      </c>
      <c r="BI43" s="194">
        <f t="shared" si="47"/>
        <v>0</v>
      </c>
    </row>
    <row r="44" spans="1:61">
      <c r="A44" s="373" t="s">
        <v>399</v>
      </c>
      <c r="B44" s="373"/>
      <c r="C44" s="373" t="s">
        <v>2187</v>
      </c>
      <c r="D44" s="373" t="s">
        <v>2186</v>
      </c>
      <c r="E44" s="373" t="s">
        <v>364</v>
      </c>
      <c r="F44" s="374">
        <v>10</v>
      </c>
      <c r="G44" s="357">
        <v>0</v>
      </c>
      <c r="H44" s="374">
        <f t="shared" si="24"/>
        <v>0</v>
      </c>
      <c r="I44" s="374">
        <f t="shared" si="25"/>
        <v>0</v>
      </c>
      <c r="J44" s="374">
        <f t="shared" si="26"/>
        <v>0</v>
      </c>
      <c r="K44" s="374">
        <v>3.3E-4</v>
      </c>
      <c r="L44" s="374">
        <f t="shared" si="27"/>
        <v>3.3E-3</v>
      </c>
      <c r="Y44" s="195">
        <f t="shared" si="28"/>
        <v>0</v>
      </c>
      <c r="AA44" s="195">
        <f t="shared" si="29"/>
        <v>0</v>
      </c>
      <c r="AB44" s="195">
        <f t="shared" si="30"/>
        <v>0</v>
      </c>
      <c r="AC44" s="195">
        <f t="shared" si="31"/>
        <v>0</v>
      </c>
      <c r="AD44" s="195">
        <f t="shared" si="32"/>
        <v>0</v>
      </c>
      <c r="AE44" s="195">
        <f t="shared" si="33"/>
        <v>0</v>
      </c>
      <c r="AF44" s="195">
        <f t="shared" si="34"/>
        <v>0</v>
      </c>
      <c r="AG44" s="195">
        <f t="shared" si="35"/>
        <v>0</v>
      </c>
      <c r="AH44" s="196"/>
      <c r="AI44" s="200">
        <f t="shared" si="36"/>
        <v>0</v>
      </c>
      <c r="AJ44" s="200">
        <f t="shared" si="37"/>
        <v>0</v>
      </c>
      <c r="AK44" s="200">
        <f t="shared" si="38"/>
        <v>0</v>
      </c>
      <c r="AM44" s="195">
        <v>21</v>
      </c>
      <c r="AN44" s="195">
        <f>G44*1</f>
        <v>0</v>
      </c>
      <c r="AO44" s="195">
        <f>G44*(1-1)</f>
        <v>0</v>
      </c>
      <c r="AP44" s="201" t="s">
        <v>255</v>
      </c>
      <c r="AU44" s="195">
        <f t="shared" si="39"/>
        <v>0</v>
      </c>
      <c r="AV44" s="195">
        <f t="shared" si="40"/>
        <v>0</v>
      </c>
      <c r="AW44" s="195">
        <f t="shared" si="41"/>
        <v>0</v>
      </c>
      <c r="AX44" s="197" t="s">
        <v>2143</v>
      </c>
      <c r="AY44" s="197" t="s">
        <v>2073</v>
      </c>
      <c r="AZ44" s="196" t="s">
        <v>2067</v>
      </c>
      <c r="BB44" s="195">
        <f t="shared" si="42"/>
        <v>0</v>
      </c>
      <c r="BC44" s="195">
        <f t="shared" si="43"/>
        <v>0</v>
      </c>
      <c r="BD44" s="195">
        <v>0</v>
      </c>
      <c r="BE44" s="195">
        <f t="shared" si="44"/>
        <v>3.3E-3</v>
      </c>
      <c r="BG44" s="200">
        <f t="shared" si="45"/>
        <v>0</v>
      </c>
      <c r="BH44" s="200">
        <f t="shared" si="46"/>
        <v>0</v>
      </c>
      <c r="BI44" s="200">
        <f t="shared" si="47"/>
        <v>0</v>
      </c>
    </row>
    <row r="45" spans="1:61">
      <c r="A45" s="369" t="s">
        <v>404</v>
      </c>
      <c r="B45" s="369"/>
      <c r="C45" s="369" t="s">
        <v>3476</v>
      </c>
      <c r="D45" s="369" t="s">
        <v>2185</v>
      </c>
      <c r="E45" s="369" t="s">
        <v>364</v>
      </c>
      <c r="F45" s="370">
        <v>130</v>
      </c>
      <c r="G45" s="355">
        <v>0</v>
      </c>
      <c r="H45" s="370">
        <f t="shared" si="24"/>
        <v>0</v>
      </c>
      <c r="I45" s="370">
        <f t="shared" si="25"/>
        <v>0</v>
      </c>
      <c r="J45" s="370">
        <f t="shared" si="26"/>
        <v>0</v>
      </c>
      <c r="K45" s="370">
        <v>4.0000000000000003E-5</v>
      </c>
      <c r="L45" s="370">
        <f t="shared" si="27"/>
        <v>5.2000000000000006E-3</v>
      </c>
      <c r="Y45" s="195">
        <f t="shared" si="28"/>
        <v>0</v>
      </c>
      <c r="AA45" s="195">
        <f t="shared" si="29"/>
        <v>0</v>
      </c>
      <c r="AB45" s="195">
        <f t="shared" si="30"/>
        <v>0</v>
      </c>
      <c r="AC45" s="195">
        <f t="shared" si="31"/>
        <v>0</v>
      </c>
      <c r="AD45" s="195">
        <f t="shared" si="32"/>
        <v>0</v>
      </c>
      <c r="AE45" s="195">
        <f t="shared" si="33"/>
        <v>0</v>
      </c>
      <c r="AF45" s="195">
        <f t="shared" si="34"/>
        <v>0</v>
      </c>
      <c r="AG45" s="195">
        <f t="shared" si="35"/>
        <v>0</v>
      </c>
      <c r="AH45" s="196"/>
      <c r="AI45" s="194">
        <f t="shared" si="36"/>
        <v>0</v>
      </c>
      <c r="AJ45" s="194">
        <f t="shared" si="37"/>
        <v>0</v>
      </c>
      <c r="AK45" s="194">
        <f t="shared" si="38"/>
        <v>0</v>
      </c>
      <c r="AM45" s="195">
        <v>21</v>
      </c>
      <c r="AN45" s="195">
        <f>G45*0.337931034482759</f>
        <v>0</v>
      </c>
      <c r="AO45" s="195">
        <f>G45*(1-0.337931034482759)</f>
        <v>0</v>
      </c>
      <c r="AP45" s="198" t="s">
        <v>255</v>
      </c>
      <c r="AU45" s="195">
        <f t="shared" si="39"/>
        <v>0</v>
      </c>
      <c r="AV45" s="195">
        <f t="shared" si="40"/>
        <v>0</v>
      </c>
      <c r="AW45" s="195">
        <f t="shared" si="41"/>
        <v>0</v>
      </c>
      <c r="AX45" s="197" t="s">
        <v>2143</v>
      </c>
      <c r="AY45" s="197" t="s">
        <v>2073</v>
      </c>
      <c r="AZ45" s="196" t="s">
        <v>2067</v>
      </c>
      <c r="BB45" s="195">
        <f t="shared" si="42"/>
        <v>0</v>
      </c>
      <c r="BC45" s="195">
        <f t="shared" si="43"/>
        <v>0</v>
      </c>
      <c r="BD45" s="195">
        <v>0</v>
      </c>
      <c r="BE45" s="195">
        <f t="shared" si="44"/>
        <v>5.2000000000000006E-3</v>
      </c>
      <c r="BG45" s="194">
        <f t="shared" si="45"/>
        <v>0</v>
      </c>
      <c r="BH45" s="194">
        <f t="shared" si="46"/>
        <v>0</v>
      </c>
      <c r="BI45" s="194">
        <f t="shared" si="47"/>
        <v>0</v>
      </c>
    </row>
    <row r="46" spans="1:61">
      <c r="A46" s="375"/>
      <c r="B46" s="375"/>
      <c r="C46" s="375"/>
      <c r="D46" s="376" t="s">
        <v>2184</v>
      </c>
      <c r="E46" s="375"/>
      <c r="F46" s="375"/>
      <c r="G46" s="358"/>
      <c r="H46" s="375"/>
      <c r="I46" s="375"/>
      <c r="J46" s="375"/>
      <c r="K46" s="375"/>
      <c r="L46" s="375"/>
    </row>
    <row r="47" spans="1:61">
      <c r="A47" s="369" t="s">
        <v>410</v>
      </c>
      <c r="B47" s="369"/>
      <c r="C47" s="369" t="s">
        <v>3477</v>
      </c>
      <c r="D47" s="369" t="s">
        <v>2183</v>
      </c>
      <c r="E47" s="369" t="s">
        <v>364</v>
      </c>
      <c r="F47" s="370">
        <v>45</v>
      </c>
      <c r="G47" s="355">
        <v>0</v>
      </c>
      <c r="H47" s="370">
        <f>F47*AN47</f>
        <v>0</v>
      </c>
      <c r="I47" s="370">
        <f>F47*AO47</f>
        <v>0</v>
      </c>
      <c r="J47" s="370">
        <f>F47*G47</f>
        <v>0</v>
      </c>
      <c r="K47" s="370">
        <v>6.0000000000000002E-5</v>
      </c>
      <c r="L47" s="370">
        <f>F47*K47</f>
        <v>2.7000000000000001E-3</v>
      </c>
      <c r="Y47" s="195">
        <f>IF(AP47="5",BI47,0)</f>
        <v>0</v>
      </c>
      <c r="AA47" s="195">
        <f>IF(AP47="1",BG47,0)</f>
        <v>0</v>
      </c>
      <c r="AB47" s="195">
        <f>IF(AP47="1",BH47,0)</f>
        <v>0</v>
      </c>
      <c r="AC47" s="195">
        <f>IF(AP47="7",BG47,0)</f>
        <v>0</v>
      </c>
      <c r="AD47" s="195">
        <f>IF(AP47="7",BH47,0)</f>
        <v>0</v>
      </c>
      <c r="AE47" s="195">
        <f>IF(AP47="2",BG47,0)</f>
        <v>0</v>
      </c>
      <c r="AF47" s="195">
        <f>IF(AP47="2",BH47,0)</f>
        <v>0</v>
      </c>
      <c r="AG47" s="195">
        <f>IF(AP47="0",BI47,0)</f>
        <v>0</v>
      </c>
      <c r="AH47" s="196"/>
      <c r="AI47" s="194">
        <f>IF(AM47=0,J47,0)</f>
        <v>0</v>
      </c>
      <c r="AJ47" s="194">
        <f>IF(AM47=15,J47,0)</f>
        <v>0</v>
      </c>
      <c r="AK47" s="194">
        <f>IF(AM47=21,J47,0)</f>
        <v>0</v>
      </c>
      <c r="AM47" s="195">
        <v>21</v>
      </c>
      <c r="AN47" s="195">
        <f>G47*0.361520190023753</f>
        <v>0</v>
      </c>
      <c r="AO47" s="195">
        <f>G47*(1-0.361520190023753)</f>
        <v>0</v>
      </c>
      <c r="AP47" s="198" t="s">
        <v>255</v>
      </c>
      <c r="AU47" s="195">
        <f>AV47+AW47</f>
        <v>0</v>
      </c>
      <c r="AV47" s="195">
        <f>F47*AN47</f>
        <v>0</v>
      </c>
      <c r="AW47" s="195">
        <f>F47*AO47</f>
        <v>0</v>
      </c>
      <c r="AX47" s="197" t="s">
        <v>2143</v>
      </c>
      <c r="AY47" s="197" t="s">
        <v>2073</v>
      </c>
      <c r="AZ47" s="196" t="s">
        <v>2067</v>
      </c>
      <c r="BB47" s="195">
        <f>AV47+AW47</f>
        <v>0</v>
      </c>
      <c r="BC47" s="195">
        <f>G47/(100-BD47)*100</f>
        <v>0</v>
      </c>
      <c r="BD47" s="195">
        <v>0</v>
      </c>
      <c r="BE47" s="195">
        <f>L47</f>
        <v>2.7000000000000001E-3</v>
      </c>
      <c r="BG47" s="194">
        <f>F47*AN47</f>
        <v>0</v>
      </c>
      <c r="BH47" s="194">
        <f>F47*AO47</f>
        <v>0</v>
      </c>
      <c r="BI47" s="194">
        <f>F47*G47</f>
        <v>0</v>
      </c>
    </row>
    <row r="48" spans="1:61">
      <c r="A48" s="375"/>
      <c r="B48" s="375"/>
      <c r="C48" s="375"/>
      <c r="D48" s="376" t="s">
        <v>2182</v>
      </c>
      <c r="E48" s="375"/>
      <c r="F48" s="375"/>
      <c r="G48" s="358"/>
      <c r="H48" s="375"/>
      <c r="I48" s="375"/>
      <c r="J48" s="375"/>
      <c r="K48" s="375"/>
      <c r="L48" s="375"/>
    </row>
    <row r="49" spans="1:61">
      <c r="A49" s="369" t="s">
        <v>416</v>
      </c>
      <c r="B49" s="369"/>
      <c r="C49" s="369" t="s">
        <v>3478</v>
      </c>
      <c r="D49" s="369" t="s">
        <v>2181</v>
      </c>
      <c r="E49" s="369" t="s">
        <v>364</v>
      </c>
      <c r="F49" s="370">
        <v>50</v>
      </c>
      <c r="G49" s="355">
        <v>0</v>
      </c>
      <c r="H49" s="370">
        <f>F49*AN49</f>
        <v>0</v>
      </c>
      <c r="I49" s="370">
        <f>F49*AO49</f>
        <v>0</v>
      </c>
      <c r="J49" s="370">
        <f>F49*G49</f>
        <v>0</v>
      </c>
      <c r="K49" s="370">
        <v>6.0000000000000002E-5</v>
      </c>
      <c r="L49" s="370">
        <f>F49*K49</f>
        <v>3.0000000000000001E-3</v>
      </c>
      <c r="Y49" s="195">
        <f>IF(AP49="5",BI49,0)</f>
        <v>0</v>
      </c>
      <c r="AA49" s="195">
        <f>IF(AP49="1",BG49,0)</f>
        <v>0</v>
      </c>
      <c r="AB49" s="195">
        <f>IF(AP49="1",BH49,0)</f>
        <v>0</v>
      </c>
      <c r="AC49" s="195">
        <f>IF(AP49="7",BG49,0)</f>
        <v>0</v>
      </c>
      <c r="AD49" s="195">
        <f>IF(AP49="7",BH49,0)</f>
        <v>0</v>
      </c>
      <c r="AE49" s="195">
        <f>IF(AP49="2",BG49,0)</f>
        <v>0</v>
      </c>
      <c r="AF49" s="195">
        <f>IF(AP49="2",BH49,0)</f>
        <v>0</v>
      </c>
      <c r="AG49" s="195">
        <f>IF(AP49="0",BI49,0)</f>
        <v>0</v>
      </c>
      <c r="AH49" s="196"/>
      <c r="AI49" s="194">
        <f>IF(AM49=0,J49,0)</f>
        <v>0</v>
      </c>
      <c r="AJ49" s="194">
        <f>IF(AM49=15,J49,0)</f>
        <v>0</v>
      </c>
      <c r="AK49" s="194">
        <f>IF(AM49=21,J49,0)</f>
        <v>0</v>
      </c>
      <c r="AM49" s="195">
        <v>21</v>
      </c>
      <c r="AN49" s="195">
        <f>G49*0.384223124154439</f>
        <v>0</v>
      </c>
      <c r="AO49" s="195">
        <f>G49*(1-0.384223124154439)</f>
        <v>0</v>
      </c>
      <c r="AP49" s="198" t="s">
        <v>255</v>
      </c>
      <c r="AU49" s="195">
        <f>AV49+AW49</f>
        <v>0</v>
      </c>
      <c r="AV49" s="195">
        <f>F49*AN49</f>
        <v>0</v>
      </c>
      <c r="AW49" s="195">
        <f>F49*AO49</f>
        <v>0</v>
      </c>
      <c r="AX49" s="197" t="s">
        <v>2143</v>
      </c>
      <c r="AY49" s="197" t="s">
        <v>2073</v>
      </c>
      <c r="AZ49" s="196" t="s">
        <v>2067</v>
      </c>
      <c r="BB49" s="195">
        <f>AV49+AW49</f>
        <v>0</v>
      </c>
      <c r="BC49" s="195">
        <f>G49/(100-BD49)*100</f>
        <v>0</v>
      </c>
      <c r="BD49" s="195">
        <v>0</v>
      </c>
      <c r="BE49" s="195">
        <f>L49</f>
        <v>3.0000000000000001E-3</v>
      </c>
      <c r="BG49" s="194">
        <f>F49*AN49</f>
        <v>0</v>
      </c>
      <c r="BH49" s="194">
        <f>F49*AO49</f>
        <v>0</v>
      </c>
      <c r="BI49" s="194">
        <f>F49*G49</f>
        <v>0</v>
      </c>
    </row>
    <row r="50" spans="1:61">
      <c r="A50" s="375"/>
      <c r="B50" s="375"/>
      <c r="C50" s="375"/>
      <c r="D50" s="376" t="s">
        <v>2180</v>
      </c>
      <c r="E50" s="375"/>
      <c r="F50" s="375"/>
      <c r="G50" s="358"/>
      <c r="H50" s="375"/>
      <c r="I50" s="375"/>
      <c r="J50" s="375"/>
      <c r="K50" s="375"/>
      <c r="L50" s="375"/>
    </row>
    <row r="51" spans="1:61">
      <c r="A51" s="369" t="s">
        <v>148</v>
      </c>
      <c r="B51" s="369"/>
      <c r="C51" s="369" t="s">
        <v>3479</v>
      </c>
      <c r="D51" s="369" t="s">
        <v>2179</v>
      </c>
      <c r="E51" s="369" t="s">
        <v>364</v>
      </c>
      <c r="F51" s="370">
        <v>10</v>
      </c>
      <c r="G51" s="355">
        <v>0</v>
      </c>
      <c r="H51" s="370">
        <f>F51*AN51</f>
        <v>0</v>
      </c>
      <c r="I51" s="370">
        <f>F51*AO51</f>
        <v>0</v>
      </c>
      <c r="J51" s="370">
        <f>F51*G51</f>
        <v>0</v>
      </c>
      <c r="K51" s="370">
        <v>1.1E-4</v>
      </c>
      <c r="L51" s="370">
        <f>F51*K51</f>
        <v>1.1000000000000001E-3</v>
      </c>
      <c r="Y51" s="195">
        <f>IF(AP51="5",BI51,0)</f>
        <v>0</v>
      </c>
      <c r="AA51" s="195">
        <f>IF(AP51="1",BG51,0)</f>
        <v>0</v>
      </c>
      <c r="AB51" s="195">
        <f>IF(AP51="1",BH51,0)</f>
        <v>0</v>
      </c>
      <c r="AC51" s="195">
        <f>IF(AP51="7",BG51,0)</f>
        <v>0</v>
      </c>
      <c r="AD51" s="195">
        <f>IF(AP51="7",BH51,0)</f>
        <v>0</v>
      </c>
      <c r="AE51" s="195">
        <f>IF(AP51="2",BG51,0)</f>
        <v>0</v>
      </c>
      <c r="AF51" s="195">
        <f>IF(AP51="2",BH51,0)</f>
        <v>0</v>
      </c>
      <c r="AG51" s="195">
        <f>IF(AP51="0",BI51,0)</f>
        <v>0</v>
      </c>
      <c r="AH51" s="196"/>
      <c r="AI51" s="194">
        <f>IF(AM51=0,J51,0)</f>
        <v>0</v>
      </c>
      <c r="AJ51" s="194">
        <f>IF(AM51=15,J51,0)</f>
        <v>0</v>
      </c>
      <c r="AK51" s="194">
        <f>IF(AM51=21,J51,0)</f>
        <v>0</v>
      </c>
      <c r="AM51" s="195">
        <v>21</v>
      </c>
      <c r="AN51" s="195">
        <f>G51*0.402465753424658</f>
        <v>0</v>
      </c>
      <c r="AO51" s="195">
        <f>G51*(1-0.402465753424658)</f>
        <v>0</v>
      </c>
      <c r="AP51" s="198" t="s">
        <v>255</v>
      </c>
      <c r="AU51" s="195">
        <f>AV51+AW51</f>
        <v>0</v>
      </c>
      <c r="AV51" s="195">
        <f>F51*AN51</f>
        <v>0</v>
      </c>
      <c r="AW51" s="195">
        <f>F51*AO51</f>
        <v>0</v>
      </c>
      <c r="AX51" s="197" t="s">
        <v>2143</v>
      </c>
      <c r="AY51" s="197" t="s">
        <v>2073</v>
      </c>
      <c r="AZ51" s="196" t="s">
        <v>2067</v>
      </c>
      <c r="BB51" s="195">
        <f>AV51+AW51</f>
        <v>0</v>
      </c>
      <c r="BC51" s="195">
        <f>G51/(100-BD51)*100</f>
        <v>0</v>
      </c>
      <c r="BD51" s="195">
        <v>0</v>
      </c>
      <c r="BE51" s="195">
        <f>L51</f>
        <v>1.1000000000000001E-3</v>
      </c>
      <c r="BG51" s="194">
        <f>F51*AN51</f>
        <v>0</v>
      </c>
      <c r="BH51" s="194">
        <f>F51*AO51</f>
        <v>0</v>
      </c>
      <c r="BI51" s="194">
        <f>F51*G51</f>
        <v>0</v>
      </c>
    </row>
    <row r="52" spans="1:61">
      <c r="A52" s="375"/>
      <c r="B52" s="375"/>
      <c r="C52" s="375"/>
      <c r="D52" s="376" t="s">
        <v>2178</v>
      </c>
      <c r="E52" s="375"/>
      <c r="F52" s="375"/>
      <c r="G52" s="358"/>
      <c r="H52" s="375"/>
      <c r="I52" s="375"/>
      <c r="J52" s="375"/>
      <c r="K52" s="375"/>
      <c r="L52" s="375"/>
    </row>
    <row r="53" spans="1:61">
      <c r="A53" s="369" t="s">
        <v>426</v>
      </c>
      <c r="B53" s="369"/>
      <c r="C53" s="369" t="s">
        <v>3480</v>
      </c>
      <c r="D53" s="369" t="s">
        <v>2177</v>
      </c>
      <c r="E53" s="369" t="s">
        <v>364</v>
      </c>
      <c r="F53" s="370">
        <v>25</v>
      </c>
      <c r="G53" s="355">
        <v>0</v>
      </c>
      <c r="H53" s="370">
        <f>F53*AN53</f>
        <v>0</v>
      </c>
      <c r="I53" s="370">
        <f>F53*AO53</f>
        <v>0</v>
      </c>
      <c r="J53" s="370">
        <f>F53*G53</f>
        <v>0</v>
      </c>
      <c r="K53" s="370">
        <v>1.3999999999999999E-4</v>
      </c>
      <c r="L53" s="370">
        <f>F53*K53</f>
        <v>3.4999999999999996E-3</v>
      </c>
      <c r="Y53" s="195">
        <f>IF(AP53="5",BI53,0)</f>
        <v>0</v>
      </c>
      <c r="AA53" s="195">
        <f>IF(AP53="1",BG53,0)</f>
        <v>0</v>
      </c>
      <c r="AB53" s="195">
        <f>IF(AP53="1",BH53,0)</f>
        <v>0</v>
      </c>
      <c r="AC53" s="195">
        <f>IF(AP53="7",BG53,0)</f>
        <v>0</v>
      </c>
      <c r="AD53" s="195">
        <f>IF(AP53="7",BH53,0)</f>
        <v>0</v>
      </c>
      <c r="AE53" s="195">
        <f>IF(AP53="2",BG53,0)</f>
        <v>0</v>
      </c>
      <c r="AF53" s="195">
        <f>IF(AP53="2",BH53,0)</f>
        <v>0</v>
      </c>
      <c r="AG53" s="195">
        <f>IF(AP53="0",BI53,0)</f>
        <v>0</v>
      </c>
      <c r="AH53" s="196"/>
      <c r="AI53" s="194">
        <f>IF(AM53=0,J53,0)</f>
        <v>0</v>
      </c>
      <c r="AJ53" s="194">
        <f>IF(AM53=15,J53,0)</f>
        <v>0</v>
      </c>
      <c r="AK53" s="194">
        <f>IF(AM53=21,J53,0)</f>
        <v>0</v>
      </c>
      <c r="AM53" s="195">
        <v>21</v>
      </c>
      <c r="AN53" s="195">
        <f>G53*0.428709677419355</f>
        <v>0</v>
      </c>
      <c r="AO53" s="195">
        <f>G53*(1-0.428709677419355)</f>
        <v>0</v>
      </c>
      <c r="AP53" s="198" t="s">
        <v>255</v>
      </c>
      <c r="AU53" s="195">
        <f>AV53+AW53</f>
        <v>0</v>
      </c>
      <c r="AV53" s="195">
        <f>F53*AN53</f>
        <v>0</v>
      </c>
      <c r="AW53" s="195">
        <f>F53*AO53</f>
        <v>0</v>
      </c>
      <c r="AX53" s="197" t="s">
        <v>2143</v>
      </c>
      <c r="AY53" s="197" t="s">
        <v>2073</v>
      </c>
      <c r="AZ53" s="196" t="s">
        <v>2067</v>
      </c>
      <c r="BB53" s="195">
        <f>AV53+AW53</f>
        <v>0</v>
      </c>
      <c r="BC53" s="195">
        <f>G53/(100-BD53)*100</f>
        <v>0</v>
      </c>
      <c r="BD53" s="195">
        <v>0</v>
      </c>
      <c r="BE53" s="195">
        <f>L53</f>
        <v>3.4999999999999996E-3</v>
      </c>
      <c r="BG53" s="194">
        <f>F53*AN53</f>
        <v>0</v>
      </c>
      <c r="BH53" s="194">
        <f>F53*AO53</f>
        <v>0</v>
      </c>
      <c r="BI53" s="194">
        <f>F53*G53</f>
        <v>0</v>
      </c>
    </row>
    <row r="54" spans="1:61">
      <c r="A54" s="375"/>
      <c r="B54" s="375"/>
      <c r="C54" s="375"/>
      <c r="D54" s="376" t="s">
        <v>2176</v>
      </c>
      <c r="E54" s="375"/>
      <c r="F54" s="375"/>
      <c r="G54" s="358"/>
      <c r="H54" s="375"/>
      <c r="I54" s="375"/>
      <c r="J54" s="375"/>
      <c r="K54" s="375"/>
      <c r="L54" s="375"/>
    </row>
    <row r="55" spans="1:61">
      <c r="A55" s="369" t="s">
        <v>431</v>
      </c>
      <c r="B55" s="369"/>
      <c r="C55" s="369" t="s">
        <v>2175</v>
      </c>
      <c r="D55" s="369" t="s">
        <v>2174</v>
      </c>
      <c r="E55" s="369" t="s">
        <v>291</v>
      </c>
      <c r="F55" s="370">
        <v>51</v>
      </c>
      <c r="G55" s="355">
        <v>0</v>
      </c>
      <c r="H55" s="370">
        <f t="shared" ref="H55:H70" si="48">F55*AN55</f>
        <v>0</v>
      </c>
      <c r="I55" s="370">
        <f t="shared" ref="I55:I70" si="49">F55*AO55</f>
        <v>0</v>
      </c>
      <c r="J55" s="370">
        <f t="shared" ref="J55:J70" si="50">F55*G55</f>
        <v>0</v>
      </c>
      <c r="K55" s="370">
        <v>0</v>
      </c>
      <c r="L55" s="370">
        <f t="shared" ref="L55:L70" si="51">F55*K55</f>
        <v>0</v>
      </c>
      <c r="Y55" s="195">
        <f t="shared" ref="Y55:Y70" si="52">IF(AP55="5",BI55,0)</f>
        <v>0</v>
      </c>
      <c r="AA55" s="195">
        <f t="shared" ref="AA55:AA70" si="53">IF(AP55="1",BG55,0)</f>
        <v>0</v>
      </c>
      <c r="AB55" s="195">
        <f t="shared" ref="AB55:AB70" si="54">IF(AP55="1",BH55,0)</f>
        <v>0</v>
      </c>
      <c r="AC55" s="195">
        <f t="shared" ref="AC55:AC70" si="55">IF(AP55="7",BG55,0)</f>
        <v>0</v>
      </c>
      <c r="AD55" s="195">
        <f t="shared" ref="AD55:AD70" si="56">IF(AP55="7",BH55,0)</f>
        <v>0</v>
      </c>
      <c r="AE55" s="195">
        <f t="shared" ref="AE55:AE70" si="57">IF(AP55="2",BG55,0)</f>
        <v>0</v>
      </c>
      <c r="AF55" s="195">
        <f t="shared" ref="AF55:AF70" si="58">IF(AP55="2",BH55,0)</f>
        <v>0</v>
      </c>
      <c r="AG55" s="195">
        <f t="shared" ref="AG55:AG70" si="59">IF(AP55="0",BI55,0)</f>
        <v>0</v>
      </c>
      <c r="AH55" s="196"/>
      <c r="AI55" s="194">
        <f t="shared" ref="AI55:AI70" si="60">IF(AM55=0,J55,0)</f>
        <v>0</v>
      </c>
      <c r="AJ55" s="194">
        <f t="shared" ref="AJ55:AJ70" si="61">IF(AM55=15,J55,0)</f>
        <v>0</v>
      </c>
      <c r="AK55" s="194">
        <f t="shared" ref="AK55:AK70" si="62">IF(AM55=21,J55,0)</f>
        <v>0</v>
      </c>
      <c r="AM55" s="195">
        <v>21</v>
      </c>
      <c r="AN55" s="195">
        <f>G55*0</f>
        <v>0</v>
      </c>
      <c r="AO55" s="195">
        <f>G55*(1-0)</f>
        <v>0</v>
      </c>
      <c r="AP55" s="198" t="s">
        <v>255</v>
      </c>
      <c r="AU55" s="195">
        <f t="shared" ref="AU55:AU70" si="63">AV55+AW55</f>
        <v>0</v>
      </c>
      <c r="AV55" s="195">
        <f t="shared" ref="AV55:AV70" si="64">F55*AN55</f>
        <v>0</v>
      </c>
      <c r="AW55" s="195">
        <f t="shared" ref="AW55:AW70" si="65">F55*AO55</f>
        <v>0</v>
      </c>
      <c r="AX55" s="197" t="s">
        <v>2143</v>
      </c>
      <c r="AY55" s="197" t="s">
        <v>2073</v>
      </c>
      <c r="AZ55" s="196" t="s">
        <v>2067</v>
      </c>
      <c r="BB55" s="195">
        <f t="shared" ref="BB55:BB70" si="66">AV55+AW55</f>
        <v>0</v>
      </c>
      <c r="BC55" s="195">
        <f t="shared" ref="BC55:BC70" si="67">G55/(100-BD55)*100</f>
        <v>0</v>
      </c>
      <c r="BD55" s="195">
        <v>0</v>
      </c>
      <c r="BE55" s="195">
        <f t="shared" ref="BE55:BE70" si="68">L55</f>
        <v>0</v>
      </c>
      <c r="BG55" s="194">
        <f t="shared" ref="BG55:BG70" si="69">F55*AN55</f>
        <v>0</v>
      </c>
      <c r="BH55" s="194">
        <f t="shared" ref="BH55:BH70" si="70">F55*AO55</f>
        <v>0</v>
      </c>
      <c r="BI55" s="194">
        <f t="shared" ref="BI55:BI70" si="71">F55*G55</f>
        <v>0</v>
      </c>
    </row>
    <row r="56" spans="1:61">
      <c r="A56" s="369" t="s">
        <v>438</v>
      </c>
      <c r="B56" s="369"/>
      <c r="C56" s="369" t="s">
        <v>2173</v>
      </c>
      <c r="D56" s="369" t="s">
        <v>2172</v>
      </c>
      <c r="E56" s="369" t="s">
        <v>291</v>
      </c>
      <c r="F56" s="370">
        <v>51</v>
      </c>
      <c r="G56" s="355">
        <v>0</v>
      </c>
      <c r="H56" s="370">
        <f t="shared" si="48"/>
        <v>0</v>
      </c>
      <c r="I56" s="370">
        <f t="shared" si="49"/>
        <v>0</v>
      </c>
      <c r="J56" s="370">
        <f t="shared" si="50"/>
        <v>0</v>
      </c>
      <c r="K56" s="370">
        <v>1.8000000000000001E-4</v>
      </c>
      <c r="L56" s="370">
        <f t="shared" si="51"/>
        <v>9.1800000000000007E-3</v>
      </c>
      <c r="Y56" s="195">
        <f t="shared" si="52"/>
        <v>0</v>
      </c>
      <c r="AA56" s="195">
        <f t="shared" si="53"/>
        <v>0</v>
      </c>
      <c r="AB56" s="195">
        <f t="shared" si="54"/>
        <v>0</v>
      </c>
      <c r="AC56" s="195">
        <f t="shared" si="55"/>
        <v>0</v>
      </c>
      <c r="AD56" s="195">
        <f t="shared" si="56"/>
        <v>0</v>
      </c>
      <c r="AE56" s="195">
        <f t="shared" si="57"/>
        <v>0</v>
      </c>
      <c r="AF56" s="195">
        <f t="shared" si="58"/>
        <v>0</v>
      </c>
      <c r="AG56" s="195">
        <f t="shared" si="59"/>
        <v>0</v>
      </c>
      <c r="AH56" s="196"/>
      <c r="AI56" s="194">
        <f t="shared" si="60"/>
        <v>0</v>
      </c>
      <c r="AJ56" s="194">
        <f t="shared" si="61"/>
        <v>0</v>
      </c>
      <c r="AK56" s="194">
        <f t="shared" si="62"/>
        <v>0</v>
      </c>
      <c r="AM56" s="195">
        <v>21</v>
      </c>
      <c r="AN56" s="195">
        <f>G56*0.368901098901099</f>
        <v>0</v>
      </c>
      <c r="AO56" s="195">
        <f>G56*(1-0.368901098901099)</f>
        <v>0</v>
      </c>
      <c r="AP56" s="198" t="s">
        <v>255</v>
      </c>
      <c r="AU56" s="195">
        <f t="shared" si="63"/>
        <v>0</v>
      </c>
      <c r="AV56" s="195">
        <f t="shared" si="64"/>
        <v>0</v>
      </c>
      <c r="AW56" s="195">
        <f t="shared" si="65"/>
        <v>0</v>
      </c>
      <c r="AX56" s="197" t="s">
        <v>2143</v>
      </c>
      <c r="AY56" s="197" t="s">
        <v>2073</v>
      </c>
      <c r="AZ56" s="196" t="s">
        <v>2067</v>
      </c>
      <c r="BB56" s="195">
        <f t="shared" si="66"/>
        <v>0</v>
      </c>
      <c r="BC56" s="195">
        <f t="shared" si="67"/>
        <v>0</v>
      </c>
      <c r="BD56" s="195">
        <v>0</v>
      </c>
      <c r="BE56" s="195">
        <f t="shared" si="68"/>
        <v>9.1800000000000007E-3</v>
      </c>
      <c r="BG56" s="194">
        <f t="shared" si="69"/>
        <v>0</v>
      </c>
      <c r="BH56" s="194">
        <f t="shared" si="70"/>
        <v>0</v>
      </c>
      <c r="BI56" s="194">
        <f t="shared" si="71"/>
        <v>0</v>
      </c>
    </row>
    <row r="57" spans="1:61">
      <c r="A57" s="369" t="s">
        <v>444</v>
      </c>
      <c r="B57" s="369"/>
      <c r="C57" s="369" t="s">
        <v>2171</v>
      </c>
      <c r="D57" s="369" t="s">
        <v>2170</v>
      </c>
      <c r="E57" s="369" t="s">
        <v>291</v>
      </c>
      <c r="F57" s="370">
        <v>2</v>
      </c>
      <c r="G57" s="355">
        <v>0</v>
      </c>
      <c r="H57" s="370">
        <f t="shared" si="48"/>
        <v>0</v>
      </c>
      <c r="I57" s="370">
        <f t="shared" si="49"/>
        <v>0</v>
      </c>
      <c r="J57" s="370">
        <f t="shared" si="50"/>
        <v>0</v>
      </c>
      <c r="K57" s="370">
        <v>3.1E-4</v>
      </c>
      <c r="L57" s="370">
        <f t="shared" si="51"/>
        <v>6.2E-4</v>
      </c>
      <c r="Y57" s="195">
        <f t="shared" si="52"/>
        <v>0</v>
      </c>
      <c r="AA57" s="195">
        <f t="shared" si="53"/>
        <v>0</v>
      </c>
      <c r="AB57" s="195">
        <f t="shared" si="54"/>
        <v>0</v>
      </c>
      <c r="AC57" s="195">
        <f t="shared" si="55"/>
        <v>0</v>
      </c>
      <c r="AD57" s="195">
        <f t="shared" si="56"/>
        <v>0</v>
      </c>
      <c r="AE57" s="195">
        <f t="shared" si="57"/>
        <v>0</v>
      </c>
      <c r="AF57" s="195">
        <f t="shared" si="58"/>
        <v>0</v>
      </c>
      <c r="AG57" s="195">
        <f t="shared" si="59"/>
        <v>0</v>
      </c>
      <c r="AH57" s="196"/>
      <c r="AI57" s="194">
        <f t="shared" si="60"/>
        <v>0</v>
      </c>
      <c r="AJ57" s="194">
        <f t="shared" si="61"/>
        <v>0</v>
      </c>
      <c r="AK57" s="194">
        <f t="shared" si="62"/>
        <v>0</v>
      </c>
      <c r="AM57" s="195">
        <v>21</v>
      </c>
      <c r="AN57" s="195">
        <f>G57*0.710191179599404</f>
        <v>0</v>
      </c>
      <c r="AO57" s="195">
        <f>G57*(1-0.710191179599404)</f>
        <v>0</v>
      </c>
      <c r="AP57" s="198" t="s">
        <v>255</v>
      </c>
      <c r="AU57" s="195">
        <f t="shared" si="63"/>
        <v>0</v>
      </c>
      <c r="AV57" s="195">
        <f t="shared" si="64"/>
        <v>0</v>
      </c>
      <c r="AW57" s="195">
        <f t="shared" si="65"/>
        <v>0</v>
      </c>
      <c r="AX57" s="197" t="s">
        <v>2143</v>
      </c>
      <c r="AY57" s="197" t="s">
        <v>2073</v>
      </c>
      <c r="AZ57" s="196" t="s">
        <v>2067</v>
      </c>
      <c r="BB57" s="195">
        <f t="shared" si="66"/>
        <v>0</v>
      </c>
      <c r="BC57" s="195">
        <f t="shared" si="67"/>
        <v>0</v>
      </c>
      <c r="BD57" s="195">
        <v>0</v>
      </c>
      <c r="BE57" s="195">
        <f t="shared" si="68"/>
        <v>6.2E-4</v>
      </c>
      <c r="BG57" s="194">
        <f t="shared" si="69"/>
        <v>0</v>
      </c>
      <c r="BH57" s="194">
        <f t="shared" si="70"/>
        <v>0</v>
      </c>
      <c r="BI57" s="194">
        <f t="shared" si="71"/>
        <v>0</v>
      </c>
    </row>
    <row r="58" spans="1:61">
      <c r="A58" s="369" t="s">
        <v>453</v>
      </c>
      <c r="B58" s="369"/>
      <c r="C58" s="369" t="s">
        <v>2169</v>
      </c>
      <c r="D58" s="369" t="s">
        <v>2168</v>
      </c>
      <c r="E58" s="369" t="s">
        <v>291</v>
      </c>
      <c r="F58" s="370">
        <v>3</v>
      </c>
      <c r="G58" s="355">
        <v>0</v>
      </c>
      <c r="H58" s="370">
        <f t="shared" si="48"/>
        <v>0</v>
      </c>
      <c r="I58" s="370">
        <f t="shared" si="49"/>
        <v>0</v>
      </c>
      <c r="J58" s="370">
        <f t="shared" si="50"/>
        <v>0</v>
      </c>
      <c r="K58" s="370">
        <v>4.8000000000000001E-4</v>
      </c>
      <c r="L58" s="370">
        <f t="shared" si="51"/>
        <v>1.4400000000000001E-3</v>
      </c>
      <c r="Y58" s="195">
        <f t="shared" si="52"/>
        <v>0</v>
      </c>
      <c r="AA58" s="195">
        <f t="shared" si="53"/>
        <v>0</v>
      </c>
      <c r="AB58" s="195">
        <f t="shared" si="54"/>
        <v>0</v>
      </c>
      <c r="AC58" s="195">
        <f t="shared" si="55"/>
        <v>0</v>
      </c>
      <c r="AD58" s="195">
        <f t="shared" si="56"/>
        <v>0</v>
      </c>
      <c r="AE58" s="195">
        <f t="shared" si="57"/>
        <v>0</v>
      </c>
      <c r="AF58" s="195">
        <f t="shared" si="58"/>
        <v>0</v>
      </c>
      <c r="AG58" s="195">
        <f t="shared" si="59"/>
        <v>0</v>
      </c>
      <c r="AH58" s="196"/>
      <c r="AI58" s="194">
        <f t="shared" si="60"/>
        <v>0</v>
      </c>
      <c r="AJ58" s="194">
        <f t="shared" si="61"/>
        <v>0</v>
      </c>
      <c r="AK58" s="194">
        <f t="shared" si="62"/>
        <v>0</v>
      </c>
      <c r="AM58" s="195">
        <v>21</v>
      </c>
      <c r="AN58" s="195">
        <f>G58*0.778474576271186</f>
        <v>0</v>
      </c>
      <c r="AO58" s="195">
        <f>G58*(1-0.778474576271186)</f>
        <v>0</v>
      </c>
      <c r="AP58" s="198" t="s">
        <v>255</v>
      </c>
      <c r="AU58" s="195">
        <f t="shared" si="63"/>
        <v>0</v>
      </c>
      <c r="AV58" s="195">
        <f t="shared" si="64"/>
        <v>0</v>
      </c>
      <c r="AW58" s="195">
        <f t="shared" si="65"/>
        <v>0</v>
      </c>
      <c r="AX58" s="197" t="s">
        <v>2143</v>
      </c>
      <c r="AY58" s="197" t="s">
        <v>2073</v>
      </c>
      <c r="AZ58" s="196" t="s">
        <v>2067</v>
      </c>
      <c r="BB58" s="195">
        <f t="shared" si="66"/>
        <v>0</v>
      </c>
      <c r="BC58" s="195">
        <f t="shared" si="67"/>
        <v>0</v>
      </c>
      <c r="BD58" s="195">
        <v>0</v>
      </c>
      <c r="BE58" s="195">
        <f t="shared" si="68"/>
        <v>1.4400000000000001E-3</v>
      </c>
      <c r="BG58" s="194">
        <f t="shared" si="69"/>
        <v>0</v>
      </c>
      <c r="BH58" s="194">
        <f t="shared" si="70"/>
        <v>0</v>
      </c>
      <c r="BI58" s="194">
        <f t="shared" si="71"/>
        <v>0</v>
      </c>
    </row>
    <row r="59" spans="1:61">
      <c r="A59" s="369" t="s">
        <v>459</v>
      </c>
      <c r="B59" s="369"/>
      <c r="C59" s="369" t="s">
        <v>2167</v>
      </c>
      <c r="D59" s="369" t="s">
        <v>2166</v>
      </c>
      <c r="E59" s="369" t="s">
        <v>291</v>
      </c>
      <c r="F59" s="370">
        <v>3</v>
      </c>
      <c r="G59" s="355">
        <v>0</v>
      </c>
      <c r="H59" s="370">
        <f t="shared" si="48"/>
        <v>0</v>
      </c>
      <c r="I59" s="370">
        <f t="shared" si="49"/>
        <v>0</v>
      </c>
      <c r="J59" s="370">
        <f t="shared" si="50"/>
        <v>0</v>
      </c>
      <c r="K59" s="370">
        <v>1.0399999999999999E-3</v>
      </c>
      <c r="L59" s="370">
        <f t="shared" si="51"/>
        <v>3.1199999999999995E-3</v>
      </c>
      <c r="Y59" s="195">
        <f t="shared" si="52"/>
        <v>0</v>
      </c>
      <c r="AA59" s="195">
        <f t="shared" si="53"/>
        <v>0</v>
      </c>
      <c r="AB59" s="195">
        <f t="shared" si="54"/>
        <v>0</v>
      </c>
      <c r="AC59" s="195">
        <f t="shared" si="55"/>
        <v>0</v>
      </c>
      <c r="AD59" s="195">
        <f t="shared" si="56"/>
        <v>0</v>
      </c>
      <c r="AE59" s="195">
        <f t="shared" si="57"/>
        <v>0</v>
      </c>
      <c r="AF59" s="195">
        <f t="shared" si="58"/>
        <v>0</v>
      </c>
      <c r="AG59" s="195">
        <f t="shared" si="59"/>
        <v>0</v>
      </c>
      <c r="AH59" s="196"/>
      <c r="AI59" s="194">
        <f t="shared" si="60"/>
        <v>0</v>
      </c>
      <c r="AJ59" s="194">
        <f t="shared" si="61"/>
        <v>0</v>
      </c>
      <c r="AK59" s="194">
        <f t="shared" si="62"/>
        <v>0</v>
      </c>
      <c r="AM59" s="195">
        <v>21</v>
      </c>
      <c r="AN59" s="195">
        <f>G59*0.826720257234727</f>
        <v>0</v>
      </c>
      <c r="AO59" s="195">
        <f>G59*(1-0.826720257234727)</f>
        <v>0</v>
      </c>
      <c r="AP59" s="198" t="s">
        <v>255</v>
      </c>
      <c r="AU59" s="195">
        <f t="shared" si="63"/>
        <v>0</v>
      </c>
      <c r="AV59" s="195">
        <f t="shared" si="64"/>
        <v>0</v>
      </c>
      <c r="AW59" s="195">
        <f t="shared" si="65"/>
        <v>0</v>
      </c>
      <c r="AX59" s="197" t="s">
        <v>2143</v>
      </c>
      <c r="AY59" s="197" t="s">
        <v>2073</v>
      </c>
      <c r="AZ59" s="196" t="s">
        <v>2067</v>
      </c>
      <c r="BB59" s="195">
        <f t="shared" si="66"/>
        <v>0</v>
      </c>
      <c r="BC59" s="195">
        <f t="shared" si="67"/>
        <v>0</v>
      </c>
      <c r="BD59" s="195">
        <v>0</v>
      </c>
      <c r="BE59" s="195">
        <f t="shared" si="68"/>
        <v>3.1199999999999995E-3</v>
      </c>
      <c r="BG59" s="194">
        <f t="shared" si="69"/>
        <v>0</v>
      </c>
      <c r="BH59" s="194">
        <f t="shared" si="70"/>
        <v>0</v>
      </c>
      <c r="BI59" s="194">
        <f t="shared" si="71"/>
        <v>0</v>
      </c>
    </row>
    <row r="60" spans="1:61">
      <c r="A60" s="369" t="s">
        <v>467</v>
      </c>
      <c r="B60" s="369"/>
      <c r="C60" s="369" t="s">
        <v>2165</v>
      </c>
      <c r="D60" s="369" t="s">
        <v>2164</v>
      </c>
      <c r="E60" s="369" t="s">
        <v>2085</v>
      </c>
      <c r="F60" s="370">
        <v>8</v>
      </c>
      <c r="G60" s="355">
        <v>0</v>
      </c>
      <c r="H60" s="370">
        <f t="shared" si="48"/>
        <v>0</v>
      </c>
      <c r="I60" s="370">
        <f t="shared" si="49"/>
        <v>0</v>
      </c>
      <c r="J60" s="370">
        <f t="shared" si="50"/>
        <v>0</v>
      </c>
      <c r="K60" s="370">
        <v>0</v>
      </c>
      <c r="L60" s="370">
        <f t="shared" si="51"/>
        <v>0</v>
      </c>
      <c r="Y60" s="195">
        <f t="shared" si="52"/>
        <v>0</v>
      </c>
      <c r="AA60" s="195">
        <f t="shared" si="53"/>
        <v>0</v>
      </c>
      <c r="AB60" s="195">
        <f t="shared" si="54"/>
        <v>0</v>
      </c>
      <c r="AC60" s="195">
        <f t="shared" si="55"/>
        <v>0</v>
      </c>
      <c r="AD60" s="195">
        <f t="shared" si="56"/>
        <v>0</v>
      </c>
      <c r="AE60" s="195">
        <f t="shared" si="57"/>
        <v>0</v>
      </c>
      <c r="AF60" s="195">
        <f t="shared" si="58"/>
        <v>0</v>
      </c>
      <c r="AG60" s="195">
        <f t="shared" si="59"/>
        <v>0</v>
      </c>
      <c r="AH60" s="196"/>
      <c r="AI60" s="194">
        <f t="shared" si="60"/>
        <v>0</v>
      </c>
      <c r="AJ60" s="194">
        <f t="shared" si="61"/>
        <v>0</v>
      </c>
      <c r="AK60" s="194">
        <f t="shared" si="62"/>
        <v>0</v>
      </c>
      <c r="AM60" s="195">
        <v>21</v>
      </c>
      <c r="AN60" s="195">
        <f>G60*0.680747145402944</f>
        <v>0</v>
      </c>
      <c r="AO60" s="195">
        <f>G60*(1-0.680747145402944)</f>
        <v>0</v>
      </c>
      <c r="AP60" s="198" t="s">
        <v>255</v>
      </c>
      <c r="AU60" s="195">
        <f t="shared" si="63"/>
        <v>0</v>
      </c>
      <c r="AV60" s="195">
        <f t="shared" si="64"/>
        <v>0</v>
      </c>
      <c r="AW60" s="195">
        <f t="shared" si="65"/>
        <v>0</v>
      </c>
      <c r="AX60" s="197" t="s">
        <v>2143</v>
      </c>
      <c r="AY60" s="197" t="s">
        <v>2073</v>
      </c>
      <c r="AZ60" s="196" t="s">
        <v>2067</v>
      </c>
      <c r="BB60" s="195">
        <f t="shared" si="66"/>
        <v>0</v>
      </c>
      <c r="BC60" s="195">
        <f t="shared" si="67"/>
        <v>0</v>
      </c>
      <c r="BD60" s="195">
        <v>0</v>
      </c>
      <c r="BE60" s="195">
        <f t="shared" si="68"/>
        <v>0</v>
      </c>
      <c r="BG60" s="194">
        <f t="shared" si="69"/>
        <v>0</v>
      </c>
      <c r="BH60" s="194">
        <f t="shared" si="70"/>
        <v>0</v>
      </c>
      <c r="BI60" s="194">
        <f t="shared" si="71"/>
        <v>0</v>
      </c>
    </row>
    <row r="61" spans="1:61">
      <c r="A61" s="369" t="s">
        <v>473</v>
      </c>
      <c r="B61" s="369"/>
      <c r="C61" s="369" t="s">
        <v>2163</v>
      </c>
      <c r="D61" s="369" t="s">
        <v>2162</v>
      </c>
      <c r="E61" s="369" t="s">
        <v>291</v>
      </c>
      <c r="F61" s="370">
        <v>1</v>
      </c>
      <c r="G61" s="355">
        <v>0</v>
      </c>
      <c r="H61" s="370">
        <f t="shared" si="48"/>
        <v>0</v>
      </c>
      <c r="I61" s="370">
        <f t="shared" si="49"/>
        <v>0</v>
      </c>
      <c r="J61" s="370">
        <f t="shared" si="50"/>
        <v>0</v>
      </c>
      <c r="K61" s="370">
        <v>2.4399999999999999E-3</v>
      </c>
      <c r="L61" s="370">
        <f t="shared" si="51"/>
        <v>2.4399999999999999E-3</v>
      </c>
      <c r="Y61" s="195">
        <f t="shared" si="52"/>
        <v>0</v>
      </c>
      <c r="AA61" s="195">
        <f t="shared" si="53"/>
        <v>0</v>
      </c>
      <c r="AB61" s="195">
        <f t="shared" si="54"/>
        <v>0</v>
      </c>
      <c r="AC61" s="195">
        <f t="shared" si="55"/>
        <v>0</v>
      </c>
      <c r="AD61" s="195">
        <f t="shared" si="56"/>
        <v>0</v>
      </c>
      <c r="AE61" s="195">
        <f t="shared" si="57"/>
        <v>0</v>
      </c>
      <c r="AF61" s="195">
        <f t="shared" si="58"/>
        <v>0</v>
      </c>
      <c r="AG61" s="195">
        <f t="shared" si="59"/>
        <v>0</v>
      </c>
      <c r="AH61" s="196"/>
      <c r="AI61" s="194">
        <f t="shared" si="60"/>
        <v>0</v>
      </c>
      <c r="AJ61" s="194">
        <f t="shared" si="61"/>
        <v>0</v>
      </c>
      <c r="AK61" s="194">
        <f t="shared" si="62"/>
        <v>0</v>
      </c>
      <c r="AM61" s="195">
        <v>21</v>
      </c>
      <c r="AN61" s="195">
        <f>G61*0.813958746569922</f>
        <v>0</v>
      </c>
      <c r="AO61" s="195">
        <f>G61*(1-0.813958746569922)</f>
        <v>0</v>
      </c>
      <c r="AP61" s="198" t="s">
        <v>255</v>
      </c>
      <c r="AU61" s="195">
        <f t="shared" si="63"/>
        <v>0</v>
      </c>
      <c r="AV61" s="195">
        <f t="shared" si="64"/>
        <v>0</v>
      </c>
      <c r="AW61" s="195">
        <f t="shared" si="65"/>
        <v>0</v>
      </c>
      <c r="AX61" s="197" t="s">
        <v>2143</v>
      </c>
      <c r="AY61" s="197" t="s">
        <v>2073</v>
      </c>
      <c r="AZ61" s="196" t="s">
        <v>2067</v>
      </c>
      <c r="BB61" s="195">
        <f t="shared" si="66"/>
        <v>0</v>
      </c>
      <c r="BC61" s="195">
        <f t="shared" si="67"/>
        <v>0</v>
      </c>
      <c r="BD61" s="195">
        <v>0</v>
      </c>
      <c r="BE61" s="195">
        <f t="shared" si="68"/>
        <v>2.4399999999999999E-3</v>
      </c>
      <c r="BG61" s="194">
        <f t="shared" si="69"/>
        <v>0</v>
      </c>
      <c r="BH61" s="194">
        <f t="shared" si="70"/>
        <v>0</v>
      </c>
      <c r="BI61" s="194">
        <f t="shared" si="71"/>
        <v>0</v>
      </c>
    </row>
    <row r="62" spans="1:61">
      <c r="A62" s="369" t="s">
        <v>483</v>
      </c>
      <c r="B62" s="369"/>
      <c r="C62" s="369" t="s">
        <v>2161</v>
      </c>
      <c r="D62" s="369" t="s">
        <v>2160</v>
      </c>
      <c r="E62" s="369" t="s">
        <v>291</v>
      </c>
      <c r="F62" s="370">
        <v>1</v>
      </c>
      <c r="G62" s="355">
        <v>0</v>
      </c>
      <c r="H62" s="370">
        <f t="shared" si="48"/>
        <v>0</v>
      </c>
      <c r="I62" s="370">
        <f t="shared" si="49"/>
        <v>0</v>
      </c>
      <c r="J62" s="370">
        <f t="shared" si="50"/>
        <v>0</v>
      </c>
      <c r="K62" s="370">
        <v>2.14E-3</v>
      </c>
      <c r="L62" s="370">
        <f t="shared" si="51"/>
        <v>2.14E-3</v>
      </c>
      <c r="Y62" s="195">
        <f t="shared" si="52"/>
        <v>0</v>
      </c>
      <c r="AA62" s="195">
        <f t="shared" si="53"/>
        <v>0</v>
      </c>
      <c r="AB62" s="195">
        <f t="shared" si="54"/>
        <v>0</v>
      </c>
      <c r="AC62" s="195">
        <f t="shared" si="55"/>
        <v>0</v>
      </c>
      <c r="AD62" s="195">
        <f t="shared" si="56"/>
        <v>0</v>
      </c>
      <c r="AE62" s="195">
        <f t="shared" si="57"/>
        <v>0</v>
      </c>
      <c r="AF62" s="195">
        <f t="shared" si="58"/>
        <v>0</v>
      </c>
      <c r="AG62" s="195">
        <f t="shared" si="59"/>
        <v>0</v>
      </c>
      <c r="AH62" s="196"/>
      <c r="AI62" s="194">
        <f t="shared" si="60"/>
        <v>0</v>
      </c>
      <c r="AJ62" s="194">
        <f t="shared" si="61"/>
        <v>0</v>
      </c>
      <c r="AK62" s="194">
        <f t="shared" si="62"/>
        <v>0</v>
      </c>
      <c r="AM62" s="195">
        <v>21</v>
      </c>
      <c r="AN62" s="195">
        <f>G62*0.797230769230769</f>
        <v>0</v>
      </c>
      <c r="AO62" s="195">
        <f>G62*(1-0.797230769230769)</f>
        <v>0</v>
      </c>
      <c r="AP62" s="198" t="s">
        <v>255</v>
      </c>
      <c r="AU62" s="195">
        <f t="shared" si="63"/>
        <v>0</v>
      </c>
      <c r="AV62" s="195">
        <f t="shared" si="64"/>
        <v>0</v>
      </c>
      <c r="AW62" s="195">
        <f t="shared" si="65"/>
        <v>0</v>
      </c>
      <c r="AX62" s="197" t="s">
        <v>2143</v>
      </c>
      <c r="AY62" s="197" t="s">
        <v>2073</v>
      </c>
      <c r="AZ62" s="196" t="s">
        <v>2067</v>
      </c>
      <c r="BB62" s="195">
        <f t="shared" si="66"/>
        <v>0</v>
      </c>
      <c r="BC62" s="195">
        <f t="shared" si="67"/>
        <v>0</v>
      </c>
      <c r="BD62" s="195">
        <v>0</v>
      </c>
      <c r="BE62" s="195">
        <f t="shared" si="68"/>
        <v>2.14E-3</v>
      </c>
      <c r="BG62" s="194">
        <f t="shared" si="69"/>
        <v>0</v>
      </c>
      <c r="BH62" s="194">
        <f t="shared" si="70"/>
        <v>0</v>
      </c>
      <c r="BI62" s="194">
        <f t="shared" si="71"/>
        <v>0</v>
      </c>
    </row>
    <row r="63" spans="1:61">
      <c r="A63" s="369" t="s">
        <v>488</v>
      </c>
      <c r="B63" s="369"/>
      <c r="C63" s="369" t="s">
        <v>2159</v>
      </c>
      <c r="D63" s="369" t="s">
        <v>2158</v>
      </c>
      <c r="E63" s="369" t="s">
        <v>291</v>
      </c>
      <c r="F63" s="370">
        <v>1</v>
      </c>
      <c r="G63" s="355">
        <v>0</v>
      </c>
      <c r="H63" s="370">
        <f t="shared" si="48"/>
        <v>0</v>
      </c>
      <c r="I63" s="370">
        <f t="shared" si="49"/>
        <v>0</v>
      </c>
      <c r="J63" s="370">
        <f t="shared" si="50"/>
        <v>0</v>
      </c>
      <c r="K63" s="370">
        <v>9.8999999999999999E-4</v>
      </c>
      <c r="L63" s="370">
        <f t="shared" si="51"/>
        <v>9.8999999999999999E-4</v>
      </c>
      <c r="Y63" s="195">
        <f t="shared" si="52"/>
        <v>0</v>
      </c>
      <c r="AA63" s="195">
        <f t="shared" si="53"/>
        <v>0</v>
      </c>
      <c r="AB63" s="195">
        <f t="shared" si="54"/>
        <v>0</v>
      </c>
      <c r="AC63" s="195">
        <f t="shared" si="55"/>
        <v>0</v>
      </c>
      <c r="AD63" s="195">
        <f t="shared" si="56"/>
        <v>0</v>
      </c>
      <c r="AE63" s="195">
        <f t="shared" si="57"/>
        <v>0</v>
      </c>
      <c r="AF63" s="195">
        <f t="shared" si="58"/>
        <v>0</v>
      </c>
      <c r="AG63" s="195">
        <f t="shared" si="59"/>
        <v>0</v>
      </c>
      <c r="AH63" s="196"/>
      <c r="AI63" s="194">
        <f t="shared" si="60"/>
        <v>0</v>
      </c>
      <c r="AJ63" s="194">
        <f t="shared" si="61"/>
        <v>0</v>
      </c>
      <c r="AK63" s="194">
        <f t="shared" si="62"/>
        <v>0</v>
      </c>
      <c r="AM63" s="195">
        <v>21</v>
      </c>
      <c r="AN63" s="195">
        <f>G63*0.293103448275862</f>
        <v>0</v>
      </c>
      <c r="AO63" s="195">
        <f>G63*(1-0.293103448275862)</f>
        <v>0</v>
      </c>
      <c r="AP63" s="198" t="s">
        <v>255</v>
      </c>
      <c r="AU63" s="195">
        <f t="shared" si="63"/>
        <v>0</v>
      </c>
      <c r="AV63" s="195">
        <f t="shared" si="64"/>
        <v>0</v>
      </c>
      <c r="AW63" s="195">
        <f t="shared" si="65"/>
        <v>0</v>
      </c>
      <c r="AX63" s="197" t="s">
        <v>2143</v>
      </c>
      <c r="AY63" s="197" t="s">
        <v>2073</v>
      </c>
      <c r="AZ63" s="196" t="s">
        <v>2067</v>
      </c>
      <c r="BB63" s="195">
        <f t="shared" si="66"/>
        <v>0</v>
      </c>
      <c r="BC63" s="195">
        <f t="shared" si="67"/>
        <v>0</v>
      </c>
      <c r="BD63" s="195">
        <v>0</v>
      </c>
      <c r="BE63" s="195">
        <f t="shared" si="68"/>
        <v>9.8999999999999999E-4</v>
      </c>
      <c r="BG63" s="194">
        <f t="shared" si="69"/>
        <v>0</v>
      </c>
      <c r="BH63" s="194">
        <f t="shared" si="70"/>
        <v>0</v>
      </c>
      <c r="BI63" s="194">
        <f t="shared" si="71"/>
        <v>0</v>
      </c>
    </row>
    <row r="64" spans="1:61">
      <c r="A64" s="369" t="s">
        <v>496</v>
      </c>
      <c r="B64" s="369"/>
      <c r="C64" s="369" t="s">
        <v>2157</v>
      </c>
      <c r="D64" s="369" t="s">
        <v>2156</v>
      </c>
      <c r="E64" s="369" t="s">
        <v>291</v>
      </c>
      <c r="F64" s="370">
        <v>1</v>
      </c>
      <c r="G64" s="355">
        <v>0</v>
      </c>
      <c r="H64" s="370">
        <f t="shared" si="48"/>
        <v>0</v>
      </c>
      <c r="I64" s="370">
        <f t="shared" si="49"/>
        <v>0</v>
      </c>
      <c r="J64" s="370">
        <f t="shared" si="50"/>
        <v>0</v>
      </c>
      <c r="K64" s="370">
        <v>2.1800000000000001E-3</v>
      </c>
      <c r="L64" s="370">
        <f t="shared" si="51"/>
        <v>2.1800000000000001E-3</v>
      </c>
      <c r="Y64" s="195">
        <f t="shared" si="52"/>
        <v>0</v>
      </c>
      <c r="AA64" s="195">
        <f t="shared" si="53"/>
        <v>0</v>
      </c>
      <c r="AB64" s="195">
        <f t="shared" si="54"/>
        <v>0</v>
      </c>
      <c r="AC64" s="195">
        <f t="shared" si="55"/>
        <v>0</v>
      </c>
      <c r="AD64" s="195">
        <f t="shared" si="56"/>
        <v>0</v>
      </c>
      <c r="AE64" s="195">
        <f t="shared" si="57"/>
        <v>0</v>
      </c>
      <c r="AF64" s="195">
        <f t="shared" si="58"/>
        <v>0</v>
      </c>
      <c r="AG64" s="195">
        <f t="shared" si="59"/>
        <v>0</v>
      </c>
      <c r="AH64" s="196"/>
      <c r="AI64" s="194">
        <f t="shared" si="60"/>
        <v>0</v>
      </c>
      <c r="AJ64" s="194">
        <f t="shared" si="61"/>
        <v>0</v>
      </c>
      <c r="AK64" s="194">
        <f t="shared" si="62"/>
        <v>0</v>
      </c>
      <c r="AM64" s="195">
        <v>21</v>
      </c>
      <c r="AN64" s="195">
        <f>G64*0.362839657282742</f>
        <v>0</v>
      </c>
      <c r="AO64" s="195">
        <f>G64*(1-0.362839657282742)</f>
        <v>0</v>
      </c>
      <c r="AP64" s="198" t="s">
        <v>255</v>
      </c>
      <c r="AU64" s="195">
        <f t="shared" si="63"/>
        <v>0</v>
      </c>
      <c r="AV64" s="195">
        <f t="shared" si="64"/>
        <v>0</v>
      </c>
      <c r="AW64" s="195">
        <f t="shared" si="65"/>
        <v>0</v>
      </c>
      <c r="AX64" s="197" t="s">
        <v>2143</v>
      </c>
      <c r="AY64" s="197" t="s">
        <v>2073</v>
      </c>
      <c r="AZ64" s="196" t="s">
        <v>2067</v>
      </c>
      <c r="BB64" s="195">
        <f t="shared" si="66"/>
        <v>0</v>
      </c>
      <c r="BC64" s="195">
        <f t="shared" si="67"/>
        <v>0</v>
      </c>
      <c r="BD64" s="195">
        <v>0</v>
      </c>
      <c r="BE64" s="195">
        <f t="shared" si="68"/>
        <v>2.1800000000000001E-3</v>
      </c>
      <c r="BG64" s="194">
        <f t="shared" si="69"/>
        <v>0</v>
      </c>
      <c r="BH64" s="194">
        <f t="shared" si="70"/>
        <v>0</v>
      </c>
      <c r="BI64" s="194">
        <f t="shared" si="71"/>
        <v>0</v>
      </c>
    </row>
    <row r="65" spans="1:61">
      <c r="A65" s="369" t="s">
        <v>502</v>
      </c>
      <c r="B65" s="369"/>
      <c r="C65" s="369" t="s">
        <v>2155</v>
      </c>
      <c r="D65" s="369" t="s">
        <v>2154</v>
      </c>
      <c r="E65" s="369" t="s">
        <v>291</v>
      </c>
      <c r="F65" s="370">
        <v>16</v>
      </c>
      <c r="G65" s="355">
        <v>0</v>
      </c>
      <c r="H65" s="370">
        <f t="shared" si="48"/>
        <v>0</v>
      </c>
      <c r="I65" s="370">
        <f t="shared" si="49"/>
        <v>0</v>
      </c>
      <c r="J65" s="370">
        <f t="shared" si="50"/>
        <v>0</v>
      </c>
      <c r="K65" s="370">
        <v>1E-4</v>
      </c>
      <c r="L65" s="370">
        <f t="shared" si="51"/>
        <v>1.6000000000000001E-3</v>
      </c>
      <c r="Y65" s="195">
        <f t="shared" si="52"/>
        <v>0</v>
      </c>
      <c r="AA65" s="195">
        <f t="shared" si="53"/>
        <v>0</v>
      </c>
      <c r="AB65" s="195">
        <f t="shared" si="54"/>
        <v>0</v>
      </c>
      <c r="AC65" s="195">
        <f t="shared" si="55"/>
        <v>0</v>
      </c>
      <c r="AD65" s="195">
        <f t="shared" si="56"/>
        <v>0</v>
      </c>
      <c r="AE65" s="195">
        <f t="shared" si="57"/>
        <v>0</v>
      </c>
      <c r="AF65" s="195">
        <f t="shared" si="58"/>
        <v>0</v>
      </c>
      <c r="AG65" s="195">
        <f t="shared" si="59"/>
        <v>0</v>
      </c>
      <c r="AH65" s="196"/>
      <c r="AI65" s="194">
        <f t="shared" si="60"/>
        <v>0</v>
      </c>
      <c r="AJ65" s="194">
        <f t="shared" si="61"/>
        <v>0</v>
      </c>
      <c r="AK65" s="194">
        <f t="shared" si="62"/>
        <v>0</v>
      </c>
      <c r="AM65" s="195">
        <v>21</v>
      </c>
      <c r="AN65" s="195">
        <f>G65*0.517876489707476</f>
        <v>0</v>
      </c>
      <c r="AO65" s="195">
        <f>G65*(1-0.517876489707476)</f>
        <v>0</v>
      </c>
      <c r="AP65" s="198" t="s">
        <v>255</v>
      </c>
      <c r="AU65" s="195">
        <f t="shared" si="63"/>
        <v>0</v>
      </c>
      <c r="AV65" s="195">
        <f t="shared" si="64"/>
        <v>0</v>
      </c>
      <c r="AW65" s="195">
        <f t="shared" si="65"/>
        <v>0</v>
      </c>
      <c r="AX65" s="197" t="s">
        <v>2143</v>
      </c>
      <c r="AY65" s="197" t="s">
        <v>2073</v>
      </c>
      <c r="AZ65" s="196" t="s">
        <v>2067</v>
      </c>
      <c r="BB65" s="195">
        <f t="shared" si="66"/>
        <v>0</v>
      </c>
      <c r="BC65" s="195">
        <f t="shared" si="67"/>
        <v>0</v>
      </c>
      <c r="BD65" s="195">
        <v>0</v>
      </c>
      <c r="BE65" s="195">
        <f t="shared" si="68"/>
        <v>1.6000000000000001E-3</v>
      </c>
      <c r="BG65" s="194">
        <f t="shared" si="69"/>
        <v>0</v>
      </c>
      <c r="BH65" s="194">
        <f t="shared" si="70"/>
        <v>0</v>
      </c>
      <c r="BI65" s="194">
        <f t="shared" si="71"/>
        <v>0</v>
      </c>
    </row>
    <row r="66" spans="1:61">
      <c r="A66" s="369" t="s">
        <v>515</v>
      </c>
      <c r="B66" s="369"/>
      <c r="C66" s="369" t="s">
        <v>2153</v>
      </c>
      <c r="D66" s="369" t="s">
        <v>2152</v>
      </c>
      <c r="E66" s="369" t="s">
        <v>364</v>
      </c>
      <c r="F66" s="370">
        <v>175</v>
      </c>
      <c r="G66" s="355">
        <v>0</v>
      </c>
      <c r="H66" s="370">
        <f t="shared" si="48"/>
        <v>0</v>
      </c>
      <c r="I66" s="370">
        <f t="shared" si="49"/>
        <v>0</v>
      </c>
      <c r="J66" s="370">
        <f t="shared" si="50"/>
        <v>0</v>
      </c>
      <c r="K66" s="370">
        <v>0</v>
      </c>
      <c r="L66" s="370">
        <f t="shared" si="51"/>
        <v>0</v>
      </c>
      <c r="Y66" s="195">
        <f t="shared" si="52"/>
        <v>0</v>
      </c>
      <c r="AA66" s="195">
        <f t="shared" si="53"/>
        <v>0</v>
      </c>
      <c r="AB66" s="195">
        <f t="shared" si="54"/>
        <v>0</v>
      </c>
      <c r="AC66" s="195">
        <f t="shared" si="55"/>
        <v>0</v>
      </c>
      <c r="AD66" s="195">
        <f t="shared" si="56"/>
        <v>0</v>
      </c>
      <c r="AE66" s="195">
        <f t="shared" si="57"/>
        <v>0</v>
      </c>
      <c r="AF66" s="195">
        <f t="shared" si="58"/>
        <v>0</v>
      </c>
      <c r="AG66" s="195">
        <f t="shared" si="59"/>
        <v>0</v>
      </c>
      <c r="AH66" s="196"/>
      <c r="AI66" s="194">
        <f t="shared" si="60"/>
        <v>0</v>
      </c>
      <c r="AJ66" s="194">
        <f t="shared" si="61"/>
        <v>0</v>
      </c>
      <c r="AK66" s="194">
        <f t="shared" si="62"/>
        <v>0</v>
      </c>
      <c r="AM66" s="195">
        <v>21</v>
      </c>
      <c r="AN66" s="195">
        <f>G66*0.013980868285504</f>
        <v>0</v>
      </c>
      <c r="AO66" s="195">
        <f>G66*(1-0.013980868285504)</f>
        <v>0</v>
      </c>
      <c r="AP66" s="198" t="s">
        <v>255</v>
      </c>
      <c r="AU66" s="195">
        <f t="shared" si="63"/>
        <v>0</v>
      </c>
      <c r="AV66" s="195">
        <f t="shared" si="64"/>
        <v>0</v>
      </c>
      <c r="AW66" s="195">
        <f t="shared" si="65"/>
        <v>0</v>
      </c>
      <c r="AX66" s="197" t="s">
        <v>2143</v>
      </c>
      <c r="AY66" s="197" t="s">
        <v>2073</v>
      </c>
      <c r="AZ66" s="196" t="s">
        <v>2067</v>
      </c>
      <c r="BB66" s="195">
        <f t="shared" si="66"/>
        <v>0</v>
      </c>
      <c r="BC66" s="195">
        <f t="shared" si="67"/>
        <v>0</v>
      </c>
      <c r="BD66" s="195">
        <v>0</v>
      </c>
      <c r="BE66" s="195">
        <f t="shared" si="68"/>
        <v>0</v>
      </c>
      <c r="BG66" s="194">
        <f t="shared" si="69"/>
        <v>0</v>
      </c>
      <c r="BH66" s="194">
        <f t="shared" si="70"/>
        <v>0</v>
      </c>
      <c r="BI66" s="194">
        <f t="shared" si="71"/>
        <v>0</v>
      </c>
    </row>
    <row r="67" spans="1:61">
      <c r="A67" s="369" t="s">
        <v>534</v>
      </c>
      <c r="B67" s="369"/>
      <c r="C67" s="369" t="s">
        <v>2151</v>
      </c>
      <c r="D67" s="369" t="s">
        <v>2150</v>
      </c>
      <c r="E67" s="369" t="s">
        <v>364</v>
      </c>
      <c r="F67" s="370">
        <v>10</v>
      </c>
      <c r="G67" s="355">
        <v>0</v>
      </c>
      <c r="H67" s="370">
        <f t="shared" si="48"/>
        <v>0</v>
      </c>
      <c r="I67" s="370">
        <f t="shared" si="49"/>
        <v>0</v>
      </c>
      <c r="J67" s="370">
        <f t="shared" si="50"/>
        <v>0</v>
      </c>
      <c r="K67" s="370">
        <v>0</v>
      </c>
      <c r="L67" s="370">
        <f t="shared" si="51"/>
        <v>0</v>
      </c>
      <c r="Y67" s="195">
        <f t="shared" si="52"/>
        <v>0</v>
      </c>
      <c r="AA67" s="195">
        <f t="shared" si="53"/>
        <v>0</v>
      </c>
      <c r="AB67" s="195">
        <f t="shared" si="54"/>
        <v>0</v>
      </c>
      <c r="AC67" s="195">
        <f t="shared" si="55"/>
        <v>0</v>
      </c>
      <c r="AD67" s="195">
        <f t="shared" si="56"/>
        <v>0</v>
      </c>
      <c r="AE67" s="195">
        <f t="shared" si="57"/>
        <v>0</v>
      </c>
      <c r="AF67" s="195">
        <f t="shared" si="58"/>
        <v>0</v>
      </c>
      <c r="AG67" s="195">
        <f t="shared" si="59"/>
        <v>0</v>
      </c>
      <c r="AH67" s="196"/>
      <c r="AI67" s="194">
        <f t="shared" si="60"/>
        <v>0</v>
      </c>
      <c r="AJ67" s="194">
        <f t="shared" si="61"/>
        <v>0</v>
      </c>
      <c r="AK67" s="194">
        <f t="shared" si="62"/>
        <v>0</v>
      </c>
      <c r="AM67" s="195">
        <v>21</v>
      </c>
      <c r="AN67" s="195">
        <f>G67*0.0158620689655172</f>
        <v>0</v>
      </c>
      <c r="AO67" s="195">
        <f>G67*(1-0.0158620689655172)</f>
        <v>0</v>
      </c>
      <c r="AP67" s="198" t="s">
        <v>255</v>
      </c>
      <c r="AU67" s="195">
        <f t="shared" si="63"/>
        <v>0</v>
      </c>
      <c r="AV67" s="195">
        <f t="shared" si="64"/>
        <v>0</v>
      </c>
      <c r="AW67" s="195">
        <f t="shared" si="65"/>
        <v>0</v>
      </c>
      <c r="AX67" s="197" t="s">
        <v>2143</v>
      </c>
      <c r="AY67" s="197" t="s">
        <v>2073</v>
      </c>
      <c r="AZ67" s="196" t="s">
        <v>2067</v>
      </c>
      <c r="BB67" s="195">
        <f t="shared" si="66"/>
        <v>0</v>
      </c>
      <c r="BC67" s="195">
        <f t="shared" si="67"/>
        <v>0</v>
      </c>
      <c r="BD67" s="195">
        <v>0</v>
      </c>
      <c r="BE67" s="195">
        <f t="shared" si="68"/>
        <v>0</v>
      </c>
      <c r="BG67" s="194">
        <f t="shared" si="69"/>
        <v>0</v>
      </c>
      <c r="BH67" s="194">
        <f t="shared" si="70"/>
        <v>0</v>
      </c>
      <c r="BI67" s="194">
        <f t="shared" si="71"/>
        <v>0</v>
      </c>
    </row>
    <row r="68" spans="1:61">
      <c r="A68" s="369" t="s">
        <v>540</v>
      </c>
      <c r="B68" s="369"/>
      <c r="C68" s="369" t="s">
        <v>2149</v>
      </c>
      <c r="D68" s="369" t="s">
        <v>2148</v>
      </c>
      <c r="E68" s="369" t="s">
        <v>364</v>
      </c>
      <c r="F68" s="370">
        <v>25</v>
      </c>
      <c r="G68" s="355">
        <v>0</v>
      </c>
      <c r="H68" s="370">
        <f t="shared" si="48"/>
        <v>0</v>
      </c>
      <c r="I68" s="370">
        <f t="shared" si="49"/>
        <v>0</v>
      </c>
      <c r="J68" s="370">
        <f t="shared" si="50"/>
        <v>0</v>
      </c>
      <c r="K68" s="370">
        <v>0</v>
      </c>
      <c r="L68" s="370">
        <f t="shared" si="51"/>
        <v>0</v>
      </c>
      <c r="Y68" s="195">
        <f t="shared" si="52"/>
        <v>0</v>
      </c>
      <c r="AA68" s="195">
        <f t="shared" si="53"/>
        <v>0</v>
      </c>
      <c r="AB68" s="195">
        <f t="shared" si="54"/>
        <v>0</v>
      </c>
      <c r="AC68" s="195">
        <f t="shared" si="55"/>
        <v>0</v>
      </c>
      <c r="AD68" s="195">
        <f t="shared" si="56"/>
        <v>0</v>
      </c>
      <c r="AE68" s="195">
        <f t="shared" si="57"/>
        <v>0</v>
      </c>
      <c r="AF68" s="195">
        <f t="shared" si="58"/>
        <v>0</v>
      </c>
      <c r="AG68" s="195">
        <f t="shared" si="59"/>
        <v>0</v>
      </c>
      <c r="AH68" s="196"/>
      <c r="AI68" s="194">
        <f t="shared" si="60"/>
        <v>0</v>
      </c>
      <c r="AJ68" s="194">
        <f t="shared" si="61"/>
        <v>0</v>
      </c>
      <c r="AK68" s="194">
        <f t="shared" si="62"/>
        <v>0</v>
      </c>
      <c r="AM68" s="195">
        <v>21</v>
      </c>
      <c r="AN68" s="195">
        <f>G68*0.0182741116751269</f>
        <v>0</v>
      </c>
      <c r="AO68" s="195">
        <f>G68*(1-0.0182741116751269)</f>
        <v>0</v>
      </c>
      <c r="AP68" s="198" t="s">
        <v>255</v>
      </c>
      <c r="AU68" s="195">
        <f t="shared" si="63"/>
        <v>0</v>
      </c>
      <c r="AV68" s="195">
        <f t="shared" si="64"/>
        <v>0</v>
      </c>
      <c r="AW68" s="195">
        <f t="shared" si="65"/>
        <v>0</v>
      </c>
      <c r="AX68" s="197" t="s">
        <v>2143</v>
      </c>
      <c r="AY68" s="197" t="s">
        <v>2073</v>
      </c>
      <c r="AZ68" s="196" t="s">
        <v>2067</v>
      </c>
      <c r="BB68" s="195">
        <f t="shared" si="66"/>
        <v>0</v>
      </c>
      <c r="BC68" s="195">
        <f t="shared" si="67"/>
        <v>0</v>
      </c>
      <c r="BD68" s="195">
        <v>0</v>
      </c>
      <c r="BE68" s="195">
        <f t="shared" si="68"/>
        <v>0</v>
      </c>
      <c r="BG68" s="194">
        <f t="shared" si="69"/>
        <v>0</v>
      </c>
      <c r="BH68" s="194">
        <f t="shared" si="70"/>
        <v>0</v>
      </c>
      <c r="BI68" s="194">
        <f t="shared" si="71"/>
        <v>0</v>
      </c>
    </row>
    <row r="69" spans="1:61">
      <c r="A69" s="369" t="s">
        <v>545</v>
      </c>
      <c r="B69" s="369"/>
      <c r="C69" s="369" t="s">
        <v>2147</v>
      </c>
      <c r="D69" s="369" t="s">
        <v>2146</v>
      </c>
      <c r="E69" s="369" t="s">
        <v>364</v>
      </c>
      <c r="F69" s="370">
        <v>210</v>
      </c>
      <c r="G69" s="355">
        <v>0</v>
      </c>
      <c r="H69" s="370">
        <f t="shared" si="48"/>
        <v>0</v>
      </c>
      <c r="I69" s="370">
        <f t="shared" si="49"/>
        <v>0</v>
      </c>
      <c r="J69" s="370">
        <f t="shared" si="50"/>
        <v>0</v>
      </c>
      <c r="K69" s="370">
        <v>1.0000000000000001E-5</v>
      </c>
      <c r="L69" s="370">
        <f t="shared" si="51"/>
        <v>2.1000000000000003E-3</v>
      </c>
      <c r="Y69" s="195">
        <f t="shared" si="52"/>
        <v>0</v>
      </c>
      <c r="AA69" s="195">
        <f t="shared" si="53"/>
        <v>0</v>
      </c>
      <c r="AB69" s="195">
        <f t="shared" si="54"/>
        <v>0</v>
      </c>
      <c r="AC69" s="195">
        <f t="shared" si="55"/>
        <v>0</v>
      </c>
      <c r="AD69" s="195">
        <f t="shared" si="56"/>
        <v>0</v>
      </c>
      <c r="AE69" s="195">
        <f t="shared" si="57"/>
        <v>0</v>
      </c>
      <c r="AF69" s="195">
        <f t="shared" si="58"/>
        <v>0</v>
      </c>
      <c r="AG69" s="195">
        <f t="shared" si="59"/>
        <v>0</v>
      </c>
      <c r="AH69" s="196"/>
      <c r="AI69" s="194">
        <f t="shared" si="60"/>
        <v>0</v>
      </c>
      <c r="AJ69" s="194">
        <f t="shared" si="61"/>
        <v>0</v>
      </c>
      <c r="AK69" s="194">
        <f t="shared" si="62"/>
        <v>0</v>
      </c>
      <c r="AM69" s="195">
        <v>21</v>
      </c>
      <c r="AN69" s="195">
        <f>G69*0.0504983388704319</f>
        <v>0</v>
      </c>
      <c r="AO69" s="195">
        <f>G69*(1-0.0504983388704319)</f>
        <v>0</v>
      </c>
      <c r="AP69" s="198" t="s">
        <v>255</v>
      </c>
      <c r="AU69" s="195">
        <f t="shared" si="63"/>
        <v>0</v>
      </c>
      <c r="AV69" s="195">
        <f t="shared" si="64"/>
        <v>0</v>
      </c>
      <c r="AW69" s="195">
        <f t="shared" si="65"/>
        <v>0</v>
      </c>
      <c r="AX69" s="197" t="s">
        <v>2143</v>
      </c>
      <c r="AY69" s="197" t="s">
        <v>2073</v>
      </c>
      <c r="AZ69" s="196" t="s">
        <v>2067</v>
      </c>
      <c r="BB69" s="195">
        <f t="shared" si="66"/>
        <v>0</v>
      </c>
      <c r="BC69" s="195">
        <f t="shared" si="67"/>
        <v>0</v>
      </c>
      <c r="BD69" s="195">
        <v>0</v>
      </c>
      <c r="BE69" s="195">
        <f t="shared" si="68"/>
        <v>2.1000000000000003E-3</v>
      </c>
      <c r="BG69" s="194">
        <f t="shared" si="69"/>
        <v>0</v>
      </c>
      <c r="BH69" s="194">
        <f t="shared" si="70"/>
        <v>0</v>
      </c>
      <c r="BI69" s="194">
        <f t="shared" si="71"/>
        <v>0</v>
      </c>
    </row>
    <row r="70" spans="1:61">
      <c r="A70" s="369" t="s">
        <v>552</v>
      </c>
      <c r="B70" s="369"/>
      <c r="C70" s="369" t="s">
        <v>2145</v>
      </c>
      <c r="D70" s="369" t="s">
        <v>2144</v>
      </c>
      <c r="E70" s="369" t="s">
        <v>273</v>
      </c>
      <c r="F70" s="370">
        <v>0.43590000000000001</v>
      </c>
      <c r="G70" s="355">
        <v>0</v>
      </c>
      <c r="H70" s="370">
        <f t="shared" si="48"/>
        <v>0</v>
      </c>
      <c r="I70" s="370">
        <f t="shared" si="49"/>
        <v>0</v>
      </c>
      <c r="J70" s="370">
        <f t="shared" si="50"/>
        <v>0</v>
      </c>
      <c r="K70" s="370">
        <v>0</v>
      </c>
      <c r="L70" s="370">
        <f t="shared" si="51"/>
        <v>0</v>
      </c>
      <c r="Y70" s="195">
        <f t="shared" si="52"/>
        <v>0</v>
      </c>
      <c r="AA70" s="195">
        <f t="shared" si="53"/>
        <v>0</v>
      </c>
      <c r="AB70" s="195">
        <f t="shared" si="54"/>
        <v>0</v>
      </c>
      <c r="AC70" s="195">
        <f t="shared" si="55"/>
        <v>0</v>
      </c>
      <c r="AD70" s="195">
        <f t="shared" si="56"/>
        <v>0</v>
      </c>
      <c r="AE70" s="195">
        <f t="shared" si="57"/>
        <v>0</v>
      </c>
      <c r="AF70" s="195">
        <f t="shared" si="58"/>
        <v>0</v>
      </c>
      <c r="AG70" s="195">
        <f t="shared" si="59"/>
        <v>0</v>
      </c>
      <c r="AH70" s="196"/>
      <c r="AI70" s="194">
        <f t="shared" si="60"/>
        <v>0</v>
      </c>
      <c r="AJ70" s="194">
        <f t="shared" si="61"/>
        <v>0</v>
      </c>
      <c r="AK70" s="194">
        <f t="shared" si="62"/>
        <v>0</v>
      </c>
      <c r="AM70" s="195">
        <v>21</v>
      </c>
      <c r="AN70" s="195">
        <f>G70*0</f>
        <v>0</v>
      </c>
      <c r="AO70" s="195">
        <f>G70*(1-0)</f>
        <v>0</v>
      </c>
      <c r="AP70" s="198" t="s">
        <v>255</v>
      </c>
      <c r="AU70" s="195">
        <f t="shared" si="63"/>
        <v>0</v>
      </c>
      <c r="AV70" s="195">
        <f t="shared" si="64"/>
        <v>0</v>
      </c>
      <c r="AW70" s="195">
        <f t="shared" si="65"/>
        <v>0</v>
      </c>
      <c r="AX70" s="197" t="s">
        <v>2143</v>
      </c>
      <c r="AY70" s="197" t="s">
        <v>2073</v>
      </c>
      <c r="AZ70" s="196" t="s">
        <v>2067</v>
      </c>
      <c r="BB70" s="195">
        <f t="shared" si="66"/>
        <v>0</v>
      </c>
      <c r="BC70" s="195">
        <f t="shared" si="67"/>
        <v>0</v>
      </c>
      <c r="BD70" s="195">
        <v>0</v>
      </c>
      <c r="BE70" s="195">
        <f t="shared" si="68"/>
        <v>0</v>
      </c>
      <c r="BG70" s="194">
        <f t="shared" si="69"/>
        <v>0</v>
      </c>
      <c r="BH70" s="194">
        <f t="shared" si="70"/>
        <v>0</v>
      </c>
      <c r="BI70" s="194">
        <f t="shared" si="71"/>
        <v>0</v>
      </c>
    </row>
    <row r="71" spans="1:61">
      <c r="A71" s="371"/>
      <c r="B71" s="372"/>
      <c r="C71" s="372" t="s">
        <v>928</v>
      </c>
      <c r="D71" s="372" t="s">
        <v>2142</v>
      </c>
      <c r="E71" s="371" t="s">
        <v>27</v>
      </c>
      <c r="F71" s="371" t="s">
        <v>27</v>
      </c>
      <c r="G71" s="356" t="s">
        <v>27</v>
      </c>
      <c r="H71" s="386">
        <f>SUM(H72:H107)</f>
        <v>0</v>
      </c>
      <c r="I71" s="386">
        <f>SUM(I72:I107)</f>
        <v>0</v>
      </c>
      <c r="J71" s="386">
        <f>SUM(J72:J107)</f>
        <v>0</v>
      </c>
      <c r="K71" s="385"/>
      <c r="L71" s="386">
        <f>SUM(L72:L107)</f>
        <v>0.4050200000000001</v>
      </c>
      <c r="AH71" s="196"/>
      <c r="AR71" s="199">
        <f>SUM(AI72:AI107)</f>
        <v>0</v>
      </c>
      <c r="AS71" s="199">
        <f>SUM(AJ72:AJ107)</f>
        <v>0</v>
      </c>
      <c r="AT71" s="199">
        <f>SUM(AK72:AK107)</f>
        <v>0</v>
      </c>
    </row>
    <row r="72" spans="1:61">
      <c r="A72" s="369" t="s">
        <v>557</v>
      </c>
      <c r="B72" s="369"/>
      <c r="C72" s="369" t="s">
        <v>2141</v>
      </c>
      <c r="D72" s="369" t="s">
        <v>2140</v>
      </c>
      <c r="E72" s="369" t="s">
        <v>2085</v>
      </c>
      <c r="F72" s="370">
        <v>11</v>
      </c>
      <c r="G72" s="355">
        <v>0</v>
      </c>
      <c r="H72" s="370">
        <f t="shared" ref="H72:H79" si="72">F72*AN72</f>
        <v>0</v>
      </c>
      <c r="I72" s="370">
        <f t="shared" ref="I72:I79" si="73">F72*AO72</f>
        <v>0</v>
      </c>
      <c r="J72" s="370">
        <f t="shared" ref="J72:J79" si="74">F72*G72</f>
        <v>0</v>
      </c>
      <c r="K72" s="370">
        <v>1.56E-3</v>
      </c>
      <c r="L72" s="370">
        <f t="shared" ref="L72:L79" si="75">F72*K72</f>
        <v>1.7159999999999998E-2</v>
      </c>
      <c r="Y72" s="195">
        <f t="shared" ref="Y72:Y79" si="76">IF(AP72="5",BI72,0)</f>
        <v>0</v>
      </c>
      <c r="AA72" s="195">
        <f t="shared" ref="AA72:AA79" si="77">IF(AP72="1",BG72,0)</f>
        <v>0</v>
      </c>
      <c r="AB72" s="195">
        <f t="shared" ref="AB72:AB79" si="78">IF(AP72="1",BH72,0)</f>
        <v>0</v>
      </c>
      <c r="AC72" s="195">
        <f t="shared" ref="AC72:AC79" si="79">IF(AP72="7",BG72,0)</f>
        <v>0</v>
      </c>
      <c r="AD72" s="195">
        <f t="shared" ref="AD72:AD79" si="80">IF(AP72="7",BH72,0)</f>
        <v>0</v>
      </c>
      <c r="AE72" s="195">
        <f t="shared" ref="AE72:AE79" si="81">IF(AP72="2",BG72,0)</f>
        <v>0</v>
      </c>
      <c r="AF72" s="195">
        <f t="shared" ref="AF72:AF79" si="82">IF(AP72="2",BH72,0)</f>
        <v>0</v>
      </c>
      <c r="AG72" s="195">
        <f t="shared" ref="AG72:AG79" si="83">IF(AP72="0",BI72,0)</f>
        <v>0</v>
      </c>
      <c r="AH72" s="196"/>
      <c r="AI72" s="194">
        <f t="shared" ref="AI72:AI79" si="84">IF(AM72=0,J72,0)</f>
        <v>0</v>
      </c>
      <c r="AJ72" s="194">
        <f t="shared" ref="AJ72:AJ79" si="85">IF(AM72=15,J72,0)</f>
        <v>0</v>
      </c>
      <c r="AK72" s="194">
        <f t="shared" ref="AK72:AK79" si="86">IF(AM72=21,J72,0)</f>
        <v>0</v>
      </c>
      <c r="AM72" s="195">
        <v>21</v>
      </c>
      <c r="AN72" s="195">
        <f t="shared" ref="AN72:AN78" si="87">G72*0</f>
        <v>0</v>
      </c>
      <c r="AO72" s="195">
        <f t="shared" ref="AO72:AO78" si="88">G72*(1-0)</f>
        <v>0</v>
      </c>
      <c r="AP72" s="198" t="s">
        <v>255</v>
      </c>
      <c r="AU72" s="195">
        <f t="shared" ref="AU72:AU79" si="89">AV72+AW72</f>
        <v>0</v>
      </c>
      <c r="AV72" s="195">
        <f t="shared" ref="AV72:AV79" si="90">F72*AN72</f>
        <v>0</v>
      </c>
      <c r="AW72" s="195">
        <f t="shared" ref="AW72:AW79" si="91">F72*AO72</f>
        <v>0</v>
      </c>
      <c r="AX72" s="197" t="s">
        <v>2074</v>
      </c>
      <c r="AY72" s="197" t="s">
        <v>2073</v>
      </c>
      <c r="AZ72" s="196" t="s">
        <v>2067</v>
      </c>
      <c r="BB72" s="195">
        <f t="shared" ref="BB72:BB79" si="92">AV72+AW72</f>
        <v>0</v>
      </c>
      <c r="BC72" s="195">
        <f t="shared" ref="BC72:BC79" si="93">G72/(100-BD72)*100</f>
        <v>0</v>
      </c>
      <c r="BD72" s="195">
        <v>0</v>
      </c>
      <c r="BE72" s="195">
        <f t="shared" ref="BE72:BE79" si="94">L72</f>
        <v>1.7159999999999998E-2</v>
      </c>
      <c r="BG72" s="194">
        <f t="shared" ref="BG72:BG79" si="95">F72*AN72</f>
        <v>0</v>
      </c>
      <c r="BH72" s="194">
        <f t="shared" ref="BH72:BH79" si="96">F72*AO72</f>
        <v>0</v>
      </c>
      <c r="BI72" s="194">
        <f t="shared" ref="BI72:BI79" si="97">F72*G72</f>
        <v>0</v>
      </c>
    </row>
    <row r="73" spans="1:61">
      <c r="A73" s="369" t="s">
        <v>562</v>
      </c>
      <c r="B73" s="369"/>
      <c r="C73" s="369" t="s">
        <v>2139</v>
      </c>
      <c r="D73" s="369" t="s">
        <v>2138</v>
      </c>
      <c r="E73" s="369" t="s">
        <v>2085</v>
      </c>
      <c r="F73" s="370">
        <v>2</v>
      </c>
      <c r="G73" s="355">
        <v>0</v>
      </c>
      <c r="H73" s="370">
        <f t="shared" si="72"/>
        <v>0</v>
      </c>
      <c r="I73" s="370">
        <f t="shared" si="73"/>
        <v>0</v>
      </c>
      <c r="J73" s="370">
        <f t="shared" si="74"/>
        <v>0</v>
      </c>
      <c r="K73" s="370">
        <v>3.4200000000000001E-2</v>
      </c>
      <c r="L73" s="370">
        <f t="shared" si="75"/>
        <v>6.8400000000000002E-2</v>
      </c>
      <c r="Y73" s="195">
        <f t="shared" si="76"/>
        <v>0</v>
      </c>
      <c r="AA73" s="195">
        <f t="shared" si="77"/>
        <v>0</v>
      </c>
      <c r="AB73" s="195">
        <f t="shared" si="78"/>
        <v>0</v>
      </c>
      <c r="AC73" s="195">
        <f t="shared" si="79"/>
        <v>0</v>
      </c>
      <c r="AD73" s="195">
        <f t="shared" si="80"/>
        <v>0</v>
      </c>
      <c r="AE73" s="195">
        <f t="shared" si="81"/>
        <v>0</v>
      </c>
      <c r="AF73" s="195">
        <f t="shared" si="82"/>
        <v>0</v>
      </c>
      <c r="AG73" s="195">
        <f t="shared" si="83"/>
        <v>0</v>
      </c>
      <c r="AH73" s="196"/>
      <c r="AI73" s="194">
        <f t="shared" si="84"/>
        <v>0</v>
      </c>
      <c r="AJ73" s="194">
        <f t="shared" si="85"/>
        <v>0</v>
      </c>
      <c r="AK73" s="194">
        <f t="shared" si="86"/>
        <v>0</v>
      </c>
      <c r="AM73" s="195">
        <v>21</v>
      </c>
      <c r="AN73" s="195">
        <f t="shared" si="87"/>
        <v>0</v>
      </c>
      <c r="AO73" s="195">
        <f t="shared" si="88"/>
        <v>0</v>
      </c>
      <c r="AP73" s="198" t="s">
        <v>255</v>
      </c>
      <c r="AU73" s="195">
        <f t="shared" si="89"/>
        <v>0</v>
      </c>
      <c r="AV73" s="195">
        <f t="shared" si="90"/>
        <v>0</v>
      </c>
      <c r="AW73" s="195">
        <f t="shared" si="91"/>
        <v>0</v>
      </c>
      <c r="AX73" s="197" t="s">
        <v>2074</v>
      </c>
      <c r="AY73" s="197" t="s">
        <v>2073</v>
      </c>
      <c r="AZ73" s="196" t="s">
        <v>2067</v>
      </c>
      <c r="BB73" s="195">
        <f t="shared" si="92"/>
        <v>0</v>
      </c>
      <c r="BC73" s="195">
        <f t="shared" si="93"/>
        <v>0</v>
      </c>
      <c r="BD73" s="195">
        <v>0</v>
      </c>
      <c r="BE73" s="195">
        <f t="shared" si="94"/>
        <v>6.8400000000000002E-2</v>
      </c>
      <c r="BG73" s="194">
        <f t="shared" si="95"/>
        <v>0</v>
      </c>
      <c r="BH73" s="194">
        <f t="shared" si="96"/>
        <v>0</v>
      </c>
      <c r="BI73" s="194">
        <f t="shared" si="97"/>
        <v>0</v>
      </c>
    </row>
    <row r="74" spans="1:61">
      <c r="A74" s="369" t="s">
        <v>566</v>
      </c>
      <c r="B74" s="369"/>
      <c r="C74" s="369" t="s">
        <v>2137</v>
      </c>
      <c r="D74" s="369" t="s">
        <v>2136</v>
      </c>
      <c r="E74" s="369" t="s">
        <v>291</v>
      </c>
      <c r="F74" s="370">
        <v>1</v>
      </c>
      <c r="G74" s="355">
        <v>0</v>
      </c>
      <c r="H74" s="370">
        <f t="shared" si="72"/>
        <v>0</v>
      </c>
      <c r="I74" s="370">
        <f t="shared" si="73"/>
        <v>0</v>
      </c>
      <c r="J74" s="370">
        <f t="shared" si="74"/>
        <v>0</v>
      </c>
      <c r="K74" s="370">
        <v>5.1999999999999995E-4</v>
      </c>
      <c r="L74" s="370">
        <f t="shared" si="75"/>
        <v>5.1999999999999995E-4</v>
      </c>
      <c r="Y74" s="195">
        <f t="shared" si="76"/>
        <v>0</v>
      </c>
      <c r="AA74" s="195">
        <f t="shared" si="77"/>
        <v>0</v>
      </c>
      <c r="AB74" s="195">
        <f t="shared" si="78"/>
        <v>0</v>
      </c>
      <c r="AC74" s="195">
        <f t="shared" si="79"/>
        <v>0</v>
      </c>
      <c r="AD74" s="195">
        <f t="shared" si="80"/>
        <v>0</v>
      </c>
      <c r="AE74" s="195">
        <f t="shared" si="81"/>
        <v>0</v>
      </c>
      <c r="AF74" s="195">
        <f t="shared" si="82"/>
        <v>0</v>
      </c>
      <c r="AG74" s="195">
        <f t="shared" si="83"/>
        <v>0</v>
      </c>
      <c r="AH74" s="196"/>
      <c r="AI74" s="194">
        <f t="shared" si="84"/>
        <v>0</v>
      </c>
      <c r="AJ74" s="194">
        <f t="shared" si="85"/>
        <v>0</v>
      </c>
      <c r="AK74" s="194">
        <f t="shared" si="86"/>
        <v>0</v>
      </c>
      <c r="AM74" s="195">
        <v>21</v>
      </c>
      <c r="AN74" s="195">
        <f t="shared" si="87"/>
        <v>0</v>
      </c>
      <c r="AO74" s="195">
        <f t="shared" si="88"/>
        <v>0</v>
      </c>
      <c r="AP74" s="198" t="s">
        <v>255</v>
      </c>
      <c r="AU74" s="195">
        <f t="shared" si="89"/>
        <v>0</v>
      </c>
      <c r="AV74" s="195">
        <f t="shared" si="90"/>
        <v>0</v>
      </c>
      <c r="AW74" s="195">
        <f t="shared" si="91"/>
        <v>0</v>
      </c>
      <c r="AX74" s="197" t="s">
        <v>2074</v>
      </c>
      <c r="AY74" s="197" t="s">
        <v>2073</v>
      </c>
      <c r="AZ74" s="196" t="s">
        <v>2067</v>
      </c>
      <c r="BB74" s="195">
        <f t="shared" si="92"/>
        <v>0</v>
      </c>
      <c r="BC74" s="195">
        <f t="shared" si="93"/>
        <v>0</v>
      </c>
      <c r="BD74" s="195">
        <v>0</v>
      </c>
      <c r="BE74" s="195">
        <f t="shared" si="94"/>
        <v>5.1999999999999995E-4</v>
      </c>
      <c r="BG74" s="194">
        <f t="shared" si="95"/>
        <v>0</v>
      </c>
      <c r="BH74" s="194">
        <f t="shared" si="96"/>
        <v>0</v>
      </c>
      <c r="BI74" s="194">
        <f t="shared" si="97"/>
        <v>0</v>
      </c>
    </row>
    <row r="75" spans="1:61">
      <c r="A75" s="369" t="s">
        <v>573</v>
      </c>
      <c r="B75" s="369"/>
      <c r="C75" s="369" t="s">
        <v>2135</v>
      </c>
      <c r="D75" s="369" t="s">
        <v>2134</v>
      </c>
      <c r="E75" s="369" t="s">
        <v>2085</v>
      </c>
      <c r="F75" s="370">
        <v>4</v>
      </c>
      <c r="G75" s="355">
        <v>0</v>
      </c>
      <c r="H75" s="370">
        <f t="shared" si="72"/>
        <v>0</v>
      </c>
      <c r="I75" s="370">
        <f t="shared" si="73"/>
        <v>0</v>
      </c>
      <c r="J75" s="370">
        <f t="shared" si="74"/>
        <v>0</v>
      </c>
      <c r="K75" s="370">
        <v>1.9460000000000002E-2</v>
      </c>
      <c r="L75" s="370">
        <f t="shared" si="75"/>
        <v>7.7840000000000006E-2</v>
      </c>
      <c r="Y75" s="195">
        <f t="shared" si="76"/>
        <v>0</v>
      </c>
      <c r="AA75" s="195">
        <f t="shared" si="77"/>
        <v>0</v>
      </c>
      <c r="AB75" s="195">
        <f t="shared" si="78"/>
        <v>0</v>
      </c>
      <c r="AC75" s="195">
        <f t="shared" si="79"/>
        <v>0</v>
      </c>
      <c r="AD75" s="195">
        <f t="shared" si="80"/>
        <v>0</v>
      </c>
      <c r="AE75" s="195">
        <f t="shared" si="81"/>
        <v>0</v>
      </c>
      <c r="AF75" s="195">
        <f t="shared" si="82"/>
        <v>0</v>
      </c>
      <c r="AG75" s="195">
        <f t="shared" si="83"/>
        <v>0</v>
      </c>
      <c r="AH75" s="196"/>
      <c r="AI75" s="194">
        <f t="shared" si="84"/>
        <v>0</v>
      </c>
      <c r="AJ75" s="194">
        <f t="shared" si="85"/>
        <v>0</v>
      </c>
      <c r="AK75" s="194">
        <f t="shared" si="86"/>
        <v>0</v>
      </c>
      <c r="AM75" s="195">
        <v>21</v>
      </c>
      <c r="AN75" s="195">
        <f t="shared" si="87"/>
        <v>0</v>
      </c>
      <c r="AO75" s="195">
        <f t="shared" si="88"/>
        <v>0</v>
      </c>
      <c r="AP75" s="198" t="s">
        <v>255</v>
      </c>
      <c r="AU75" s="195">
        <f t="shared" si="89"/>
        <v>0</v>
      </c>
      <c r="AV75" s="195">
        <f t="shared" si="90"/>
        <v>0</v>
      </c>
      <c r="AW75" s="195">
        <f t="shared" si="91"/>
        <v>0</v>
      </c>
      <c r="AX75" s="197" t="s">
        <v>2074</v>
      </c>
      <c r="AY75" s="197" t="s">
        <v>2073</v>
      </c>
      <c r="AZ75" s="196" t="s">
        <v>2067</v>
      </c>
      <c r="BB75" s="195">
        <f t="shared" si="92"/>
        <v>0</v>
      </c>
      <c r="BC75" s="195">
        <f t="shared" si="93"/>
        <v>0</v>
      </c>
      <c r="BD75" s="195">
        <v>0</v>
      </c>
      <c r="BE75" s="195">
        <f t="shared" si="94"/>
        <v>7.7840000000000006E-2</v>
      </c>
      <c r="BG75" s="194">
        <f t="shared" si="95"/>
        <v>0</v>
      </c>
      <c r="BH75" s="194">
        <f t="shared" si="96"/>
        <v>0</v>
      </c>
      <c r="BI75" s="194">
        <f t="shared" si="97"/>
        <v>0</v>
      </c>
    </row>
    <row r="76" spans="1:61">
      <c r="A76" s="369" t="s">
        <v>580</v>
      </c>
      <c r="B76" s="369"/>
      <c r="C76" s="369" t="s">
        <v>2133</v>
      </c>
      <c r="D76" s="369" t="s">
        <v>2132</v>
      </c>
      <c r="E76" s="369" t="s">
        <v>291</v>
      </c>
      <c r="F76" s="370">
        <v>4</v>
      </c>
      <c r="G76" s="355">
        <v>0</v>
      </c>
      <c r="H76" s="370">
        <f t="shared" si="72"/>
        <v>0</v>
      </c>
      <c r="I76" s="370">
        <f t="shared" si="73"/>
        <v>0</v>
      </c>
      <c r="J76" s="370">
        <f t="shared" si="74"/>
        <v>0</v>
      </c>
      <c r="K76" s="370">
        <v>8.4999999999999995E-4</v>
      </c>
      <c r="L76" s="370">
        <f t="shared" si="75"/>
        <v>3.3999999999999998E-3</v>
      </c>
      <c r="Y76" s="195">
        <f t="shared" si="76"/>
        <v>0</v>
      </c>
      <c r="AA76" s="195">
        <f t="shared" si="77"/>
        <v>0</v>
      </c>
      <c r="AB76" s="195">
        <f t="shared" si="78"/>
        <v>0</v>
      </c>
      <c r="AC76" s="195">
        <f t="shared" si="79"/>
        <v>0</v>
      </c>
      <c r="AD76" s="195">
        <f t="shared" si="80"/>
        <v>0</v>
      </c>
      <c r="AE76" s="195">
        <f t="shared" si="81"/>
        <v>0</v>
      </c>
      <c r="AF76" s="195">
        <f t="shared" si="82"/>
        <v>0</v>
      </c>
      <c r="AG76" s="195">
        <f t="shared" si="83"/>
        <v>0</v>
      </c>
      <c r="AH76" s="196"/>
      <c r="AI76" s="194">
        <f t="shared" si="84"/>
        <v>0</v>
      </c>
      <c r="AJ76" s="194">
        <f t="shared" si="85"/>
        <v>0</v>
      </c>
      <c r="AK76" s="194">
        <f t="shared" si="86"/>
        <v>0</v>
      </c>
      <c r="AM76" s="195">
        <v>21</v>
      </c>
      <c r="AN76" s="195">
        <f t="shared" si="87"/>
        <v>0</v>
      </c>
      <c r="AO76" s="195">
        <f t="shared" si="88"/>
        <v>0</v>
      </c>
      <c r="AP76" s="198" t="s">
        <v>255</v>
      </c>
      <c r="AU76" s="195">
        <f t="shared" si="89"/>
        <v>0</v>
      </c>
      <c r="AV76" s="195">
        <f t="shared" si="90"/>
        <v>0</v>
      </c>
      <c r="AW76" s="195">
        <f t="shared" si="91"/>
        <v>0</v>
      </c>
      <c r="AX76" s="197" t="s">
        <v>2074</v>
      </c>
      <c r="AY76" s="197" t="s">
        <v>2073</v>
      </c>
      <c r="AZ76" s="196" t="s">
        <v>2067</v>
      </c>
      <c r="BB76" s="195">
        <f t="shared" si="92"/>
        <v>0</v>
      </c>
      <c r="BC76" s="195">
        <f t="shared" si="93"/>
        <v>0</v>
      </c>
      <c r="BD76" s="195">
        <v>0</v>
      </c>
      <c r="BE76" s="195">
        <f t="shared" si="94"/>
        <v>3.3999999999999998E-3</v>
      </c>
      <c r="BG76" s="194">
        <f t="shared" si="95"/>
        <v>0</v>
      </c>
      <c r="BH76" s="194">
        <f t="shared" si="96"/>
        <v>0</v>
      </c>
      <c r="BI76" s="194">
        <f t="shared" si="97"/>
        <v>0</v>
      </c>
    </row>
    <row r="77" spans="1:61">
      <c r="A77" s="369" t="s">
        <v>586</v>
      </c>
      <c r="B77" s="369"/>
      <c r="C77" s="369" t="s">
        <v>2131</v>
      </c>
      <c r="D77" s="369" t="s">
        <v>2130</v>
      </c>
      <c r="E77" s="369" t="s">
        <v>2085</v>
      </c>
      <c r="F77" s="370">
        <v>1</v>
      </c>
      <c r="G77" s="355">
        <v>0</v>
      </c>
      <c r="H77" s="370">
        <f t="shared" si="72"/>
        <v>0</v>
      </c>
      <c r="I77" s="370">
        <f t="shared" si="73"/>
        <v>0</v>
      </c>
      <c r="J77" s="370">
        <f t="shared" si="74"/>
        <v>0</v>
      </c>
      <c r="K77" s="370">
        <v>2.4500000000000001E-2</v>
      </c>
      <c r="L77" s="370">
        <f t="shared" si="75"/>
        <v>2.4500000000000001E-2</v>
      </c>
      <c r="Y77" s="195">
        <f t="shared" si="76"/>
        <v>0</v>
      </c>
      <c r="AA77" s="195">
        <f t="shared" si="77"/>
        <v>0</v>
      </c>
      <c r="AB77" s="195">
        <f t="shared" si="78"/>
        <v>0</v>
      </c>
      <c r="AC77" s="195">
        <f t="shared" si="79"/>
        <v>0</v>
      </c>
      <c r="AD77" s="195">
        <f t="shared" si="80"/>
        <v>0</v>
      </c>
      <c r="AE77" s="195">
        <f t="shared" si="81"/>
        <v>0</v>
      </c>
      <c r="AF77" s="195">
        <f t="shared" si="82"/>
        <v>0</v>
      </c>
      <c r="AG77" s="195">
        <f t="shared" si="83"/>
        <v>0</v>
      </c>
      <c r="AH77" s="196"/>
      <c r="AI77" s="194">
        <f t="shared" si="84"/>
        <v>0</v>
      </c>
      <c r="AJ77" s="194">
        <f t="shared" si="85"/>
        <v>0</v>
      </c>
      <c r="AK77" s="194">
        <f t="shared" si="86"/>
        <v>0</v>
      </c>
      <c r="AM77" s="195">
        <v>21</v>
      </c>
      <c r="AN77" s="195">
        <f t="shared" si="87"/>
        <v>0</v>
      </c>
      <c r="AO77" s="195">
        <f t="shared" si="88"/>
        <v>0</v>
      </c>
      <c r="AP77" s="198" t="s">
        <v>255</v>
      </c>
      <c r="AU77" s="195">
        <f t="shared" si="89"/>
        <v>0</v>
      </c>
      <c r="AV77" s="195">
        <f t="shared" si="90"/>
        <v>0</v>
      </c>
      <c r="AW77" s="195">
        <f t="shared" si="91"/>
        <v>0</v>
      </c>
      <c r="AX77" s="197" t="s">
        <v>2074</v>
      </c>
      <c r="AY77" s="197" t="s">
        <v>2073</v>
      </c>
      <c r="AZ77" s="196" t="s">
        <v>2067</v>
      </c>
      <c r="BB77" s="195">
        <f t="shared" si="92"/>
        <v>0</v>
      </c>
      <c r="BC77" s="195">
        <f t="shared" si="93"/>
        <v>0</v>
      </c>
      <c r="BD77" s="195">
        <v>0</v>
      </c>
      <c r="BE77" s="195">
        <f t="shared" si="94"/>
        <v>2.4500000000000001E-2</v>
      </c>
      <c r="BG77" s="194">
        <f t="shared" si="95"/>
        <v>0</v>
      </c>
      <c r="BH77" s="194">
        <f t="shared" si="96"/>
        <v>0</v>
      </c>
      <c r="BI77" s="194">
        <f t="shared" si="97"/>
        <v>0</v>
      </c>
    </row>
    <row r="78" spans="1:61">
      <c r="A78" s="369" t="s">
        <v>590</v>
      </c>
      <c r="B78" s="369"/>
      <c r="C78" s="369" t="s">
        <v>2129</v>
      </c>
      <c r="D78" s="369" t="s">
        <v>2128</v>
      </c>
      <c r="E78" s="369" t="s">
        <v>2085</v>
      </c>
      <c r="F78" s="370">
        <v>1</v>
      </c>
      <c r="G78" s="355">
        <v>0</v>
      </c>
      <c r="H78" s="370">
        <f t="shared" si="72"/>
        <v>0</v>
      </c>
      <c r="I78" s="370">
        <f t="shared" si="73"/>
        <v>0</v>
      </c>
      <c r="J78" s="370">
        <f t="shared" si="74"/>
        <v>0</v>
      </c>
      <c r="K78" s="370">
        <v>3.4700000000000002E-2</v>
      </c>
      <c r="L78" s="370">
        <f t="shared" si="75"/>
        <v>3.4700000000000002E-2</v>
      </c>
      <c r="Y78" s="195">
        <f t="shared" si="76"/>
        <v>0</v>
      </c>
      <c r="AA78" s="195">
        <f t="shared" si="77"/>
        <v>0</v>
      </c>
      <c r="AB78" s="195">
        <f t="shared" si="78"/>
        <v>0</v>
      </c>
      <c r="AC78" s="195">
        <f t="shared" si="79"/>
        <v>0</v>
      </c>
      <c r="AD78" s="195">
        <f t="shared" si="80"/>
        <v>0</v>
      </c>
      <c r="AE78" s="195">
        <f t="shared" si="81"/>
        <v>0</v>
      </c>
      <c r="AF78" s="195">
        <f t="shared" si="82"/>
        <v>0</v>
      </c>
      <c r="AG78" s="195">
        <f t="shared" si="83"/>
        <v>0</v>
      </c>
      <c r="AH78" s="196"/>
      <c r="AI78" s="194">
        <f t="shared" si="84"/>
        <v>0</v>
      </c>
      <c r="AJ78" s="194">
        <f t="shared" si="85"/>
        <v>0</v>
      </c>
      <c r="AK78" s="194">
        <f t="shared" si="86"/>
        <v>0</v>
      </c>
      <c r="AM78" s="195">
        <v>21</v>
      </c>
      <c r="AN78" s="195">
        <f t="shared" si="87"/>
        <v>0</v>
      </c>
      <c r="AO78" s="195">
        <f t="shared" si="88"/>
        <v>0</v>
      </c>
      <c r="AP78" s="198" t="s">
        <v>255</v>
      </c>
      <c r="AU78" s="195">
        <f t="shared" si="89"/>
        <v>0</v>
      </c>
      <c r="AV78" s="195">
        <f t="shared" si="90"/>
        <v>0</v>
      </c>
      <c r="AW78" s="195">
        <f t="shared" si="91"/>
        <v>0</v>
      </c>
      <c r="AX78" s="197" t="s">
        <v>2074</v>
      </c>
      <c r="AY78" s="197" t="s">
        <v>2073</v>
      </c>
      <c r="AZ78" s="196" t="s">
        <v>2067</v>
      </c>
      <c r="BB78" s="195">
        <f t="shared" si="92"/>
        <v>0</v>
      </c>
      <c r="BC78" s="195">
        <f t="shared" si="93"/>
        <v>0</v>
      </c>
      <c r="BD78" s="195">
        <v>0</v>
      </c>
      <c r="BE78" s="195">
        <f t="shared" si="94"/>
        <v>3.4700000000000002E-2</v>
      </c>
      <c r="BG78" s="194">
        <f t="shared" si="95"/>
        <v>0</v>
      </c>
      <c r="BH78" s="194">
        <f t="shared" si="96"/>
        <v>0</v>
      </c>
      <c r="BI78" s="194">
        <f t="shared" si="97"/>
        <v>0</v>
      </c>
    </row>
    <row r="79" spans="1:61">
      <c r="A79" s="369" t="s">
        <v>594</v>
      </c>
      <c r="B79" s="369"/>
      <c r="C79" s="369" t="s">
        <v>3493</v>
      </c>
      <c r="D79" s="369" t="s">
        <v>2127</v>
      </c>
      <c r="E79" s="369" t="s">
        <v>2085</v>
      </c>
      <c r="F79" s="370">
        <v>1</v>
      </c>
      <c r="G79" s="355">
        <v>0</v>
      </c>
      <c r="H79" s="370">
        <f t="shared" si="72"/>
        <v>0</v>
      </c>
      <c r="I79" s="370">
        <f t="shared" si="73"/>
        <v>0</v>
      </c>
      <c r="J79" s="370">
        <f t="shared" si="74"/>
        <v>0</v>
      </c>
      <c r="K79" s="370">
        <v>1.772E-2</v>
      </c>
      <c r="L79" s="370">
        <f t="shared" si="75"/>
        <v>1.772E-2</v>
      </c>
      <c r="Y79" s="195">
        <f t="shared" si="76"/>
        <v>0</v>
      </c>
      <c r="AA79" s="195">
        <f t="shared" si="77"/>
        <v>0</v>
      </c>
      <c r="AB79" s="195">
        <f t="shared" si="78"/>
        <v>0</v>
      </c>
      <c r="AC79" s="195">
        <f t="shared" si="79"/>
        <v>0</v>
      </c>
      <c r="AD79" s="195">
        <f t="shared" si="80"/>
        <v>0</v>
      </c>
      <c r="AE79" s="195">
        <f t="shared" si="81"/>
        <v>0</v>
      </c>
      <c r="AF79" s="195">
        <f t="shared" si="82"/>
        <v>0</v>
      </c>
      <c r="AG79" s="195">
        <f t="shared" si="83"/>
        <v>0</v>
      </c>
      <c r="AH79" s="196"/>
      <c r="AI79" s="194">
        <f t="shared" si="84"/>
        <v>0</v>
      </c>
      <c r="AJ79" s="194">
        <f t="shared" si="85"/>
        <v>0</v>
      </c>
      <c r="AK79" s="194">
        <f t="shared" si="86"/>
        <v>0</v>
      </c>
      <c r="AM79" s="195">
        <v>21</v>
      </c>
      <c r="AN79" s="195">
        <f>G79*0.876518238993711</f>
        <v>0</v>
      </c>
      <c r="AO79" s="195">
        <f>G79*(1-0.876518238993711)</f>
        <v>0</v>
      </c>
      <c r="AP79" s="198" t="s">
        <v>255</v>
      </c>
      <c r="AU79" s="195">
        <f t="shared" si="89"/>
        <v>0</v>
      </c>
      <c r="AV79" s="195">
        <f t="shared" si="90"/>
        <v>0</v>
      </c>
      <c r="AW79" s="195">
        <f t="shared" si="91"/>
        <v>0</v>
      </c>
      <c r="AX79" s="197" t="s">
        <v>2074</v>
      </c>
      <c r="AY79" s="197" t="s">
        <v>2073</v>
      </c>
      <c r="AZ79" s="196" t="s">
        <v>2067</v>
      </c>
      <c r="BB79" s="195">
        <f t="shared" si="92"/>
        <v>0</v>
      </c>
      <c r="BC79" s="195">
        <f t="shared" si="93"/>
        <v>0</v>
      </c>
      <c r="BD79" s="195">
        <v>0</v>
      </c>
      <c r="BE79" s="195">
        <f t="shared" si="94"/>
        <v>1.772E-2</v>
      </c>
      <c r="BG79" s="194">
        <f t="shared" si="95"/>
        <v>0</v>
      </c>
      <c r="BH79" s="194">
        <f t="shared" si="96"/>
        <v>0</v>
      </c>
      <c r="BI79" s="194">
        <f t="shared" si="97"/>
        <v>0</v>
      </c>
    </row>
    <row r="80" spans="1:61">
      <c r="A80" s="375"/>
      <c r="B80" s="375"/>
      <c r="C80" s="375"/>
      <c r="D80" s="376" t="s">
        <v>2126</v>
      </c>
      <c r="E80" s="375"/>
      <c r="F80" s="375"/>
      <c r="G80" s="358"/>
      <c r="H80" s="375"/>
      <c r="I80" s="375"/>
      <c r="J80" s="375"/>
      <c r="K80" s="375"/>
      <c r="L80" s="375"/>
    </row>
    <row r="81" spans="1:61">
      <c r="A81" s="369" t="s">
        <v>600</v>
      </c>
      <c r="B81" s="369"/>
      <c r="C81" s="369" t="s">
        <v>2125</v>
      </c>
      <c r="D81" s="369" t="s">
        <v>2124</v>
      </c>
      <c r="E81" s="369" t="s">
        <v>2085</v>
      </c>
      <c r="F81" s="370">
        <v>1</v>
      </c>
      <c r="G81" s="355">
        <v>0</v>
      </c>
      <c r="H81" s="370">
        <f t="shared" ref="H81:H107" si="98">F81*AN81</f>
        <v>0</v>
      </c>
      <c r="I81" s="370">
        <f t="shared" ref="I81:I107" si="99">F81*AO81</f>
        <v>0</v>
      </c>
      <c r="J81" s="370">
        <f t="shared" ref="J81:J107" si="100">F81*G81</f>
        <v>0</v>
      </c>
      <c r="K81" s="370">
        <v>2.5999999999999999E-2</v>
      </c>
      <c r="L81" s="370">
        <f t="shared" ref="L81:L107" si="101">F81*K81</f>
        <v>2.5999999999999999E-2</v>
      </c>
      <c r="Y81" s="195">
        <f t="shared" ref="Y81:Y107" si="102">IF(AP81="5",BI81,0)</f>
        <v>0</v>
      </c>
      <c r="AA81" s="195">
        <f t="shared" ref="AA81:AA107" si="103">IF(AP81="1",BG81,0)</f>
        <v>0</v>
      </c>
      <c r="AB81" s="195">
        <f t="shared" ref="AB81:AB107" si="104">IF(AP81="1",BH81,0)</f>
        <v>0</v>
      </c>
      <c r="AC81" s="195">
        <f t="shared" ref="AC81:AC107" si="105">IF(AP81="7",BG81,0)</f>
        <v>0</v>
      </c>
      <c r="AD81" s="195">
        <f t="shared" ref="AD81:AD107" si="106">IF(AP81="7",BH81,0)</f>
        <v>0</v>
      </c>
      <c r="AE81" s="195">
        <f t="shared" ref="AE81:AE107" si="107">IF(AP81="2",BG81,0)</f>
        <v>0</v>
      </c>
      <c r="AF81" s="195">
        <f t="shared" ref="AF81:AF107" si="108">IF(AP81="2",BH81,0)</f>
        <v>0</v>
      </c>
      <c r="AG81" s="195">
        <f t="shared" ref="AG81:AG107" si="109">IF(AP81="0",BI81,0)</f>
        <v>0</v>
      </c>
      <c r="AH81" s="196"/>
      <c r="AI81" s="194">
        <f t="shared" ref="AI81:AI107" si="110">IF(AM81=0,J81,0)</f>
        <v>0</v>
      </c>
      <c r="AJ81" s="194">
        <f t="shared" ref="AJ81:AJ107" si="111">IF(AM81=15,J81,0)</f>
        <v>0</v>
      </c>
      <c r="AK81" s="194">
        <f t="shared" ref="AK81:AK107" si="112">IF(AM81=21,J81,0)</f>
        <v>0</v>
      </c>
      <c r="AM81" s="195">
        <v>21</v>
      </c>
      <c r="AN81" s="195">
        <f>G81*0.865666244802025</f>
        <v>0</v>
      </c>
      <c r="AO81" s="195">
        <f>G81*(1-0.865666244802025)</f>
        <v>0</v>
      </c>
      <c r="AP81" s="198" t="s">
        <v>255</v>
      </c>
      <c r="AU81" s="195">
        <f t="shared" ref="AU81:AU107" si="113">AV81+AW81</f>
        <v>0</v>
      </c>
      <c r="AV81" s="195">
        <f t="shared" ref="AV81:AV107" si="114">F81*AN81</f>
        <v>0</v>
      </c>
      <c r="AW81" s="195">
        <f t="shared" ref="AW81:AW107" si="115">F81*AO81</f>
        <v>0</v>
      </c>
      <c r="AX81" s="197" t="s">
        <v>2074</v>
      </c>
      <c r="AY81" s="197" t="s">
        <v>2073</v>
      </c>
      <c r="AZ81" s="196" t="s">
        <v>2067</v>
      </c>
      <c r="BB81" s="195">
        <f t="shared" ref="BB81:BB107" si="116">AV81+AW81</f>
        <v>0</v>
      </c>
      <c r="BC81" s="195">
        <f t="shared" ref="BC81:BC107" si="117">G81/(100-BD81)*100</f>
        <v>0</v>
      </c>
      <c r="BD81" s="195">
        <v>0</v>
      </c>
      <c r="BE81" s="195">
        <f t="shared" ref="BE81:BE107" si="118">L81</f>
        <v>2.5999999999999999E-2</v>
      </c>
      <c r="BG81" s="194">
        <f t="shared" ref="BG81:BG107" si="119">F81*AN81</f>
        <v>0</v>
      </c>
      <c r="BH81" s="194">
        <f t="shared" ref="BH81:BH107" si="120">F81*AO81</f>
        <v>0</v>
      </c>
      <c r="BI81" s="194">
        <f t="shared" ref="BI81:BI107" si="121">F81*G81</f>
        <v>0</v>
      </c>
    </row>
    <row r="82" spans="1:61">
      <c r="A82" s="373" t="s">
        <v>606</v>
      </c>
      <c r="B82" s="373"/>
      <c r="C82" s="373" t="s">
        <v>2123</v>
      </c>
      <c r="D82" s="373" t="s">
        <v>2122</v>
      </c>
      <c r="E82" s="373" t="s">
        <v>291</v>
      </c>
      <c r="F82" s="374">
        <v>1</v>
      </c>
      <c r="G82" s="357">
        <v>0</v>
      </c>
      <c r="H82" s="374">
        <f t="shared" si="98"/>
        <v>0</v>
      </c>
      <c r="I82" s="374">
        <f t="shared" si="99"/>
        <v>0</v>
      </c>
      <c r="J82" s="374">
        <f t="shared" si="100"/>
        <v>0</v>
      </c>
      <c r="K82" s="374">
        <v>2.0000000000000001E-4</v>
      </c>
      <c r="L82" s="374">
        <f t="shared" si="101"/>
        <v>2.0000000000000001E-4</v>
      </c>
      <c r="Y82" s="195">
        <f t="shared" si="102"/>
        <v>0</v>
      </c>
      <c r="AA82" s="195">
        <f t="shared" si="103"/>
        <v>0</v>
      </c>
      <c r="AB82" s="195">
        <f t="shared" si="104"/>
        <v>0</v>
      </c>
      <c r="AC82" s="195">
        <f t="shared" si="105"/>
        <v>0</v>
      </c>
      <c r="AD82" s="195">
        <f t="shared" si="106"/>
        <v>0</v>
      </c>
      <c r="AE82" s="195">
        <f t="shared" si="107"/>
        <v>0</v>
      </c>
      <c r="AF82" s="195">
        <f t="shared" si="108"/>
        <v>0</v>
      </c>
      <c r="AG82" s="195">
        <f t="shared" si="109"/>
        <v>0</v>
      </c>
      <c r="AH82" s="196"/>
      <c r="AI82" s="200">
        <f t="shared" si="110"/>
        <v>0</v>
      </c>
      <c r="AJ82" s="200">
        <f t="shared" si="111"/>
        <v>0</v>
      </c>
      <c r="AK82" s="200">
        <f t="shared" si="112"/>
        <v>0</v>
      </c>
      <c r="AM82" s="195">
        <v>21</v>
      </c>
      <c r="AN82" s="195">
        <f>G82*1</f>
        <v>0</v>
      </c>
      <c r="AO82" s="195">
        <f>G82*(1-1)</f>
        <v>0</v>
      </c>
      <c r="AP82" s="201" t="s">
        <v>255</v>
      </c>
      <c r="AU82" s="195">
        <f t="shared" si="113"/>
        <v>0</v>
      </c>
      <c r="AV82" s="195">
        <f t="shared" si="114"/>
        <v>0</v>
      </c>
      <c r="AW82" s="195">
        <f t="shared" si="115"/>
        <v>0</v>
      </c>
      <c r="AX82" s="197" t="s">
        <v>2074</v>
      </c>
      <c r="AY82" s="197" t="s">
        <v>2073</v>
      </c>
      <c r="AZ82" s="196" t="s">
        <v>2067</v>
      </c>
      <c r="BB82" s="195">
        <f t="shared" si="116"/>
        <v>0</v>
      </c>
      <c r="BC82" s="195">
        <f t="shared" si="117"/>
        <v>0</v>
      </c>
      <c r="BD82" s="195">
        <v>0</v>
      </c>
      <c r="BE82" s="195">
        <f t="shared" si="118"/>
        <v>2.0000000000000001E-4</v>
      </c>
      <c r="BG82" s="200">
        <f t="shared" si="119"/>
        <v>0</v>
      </c>
      <c r="BH82" s="200">
        <f t="shared" si="120"/>
        <v>0</v>
      </c>
      <c r="BI82" s="200">
        <f t="shared" si="121"/>
        <v>0</v>
      </c>
    </row>
    <row r="83" spans="1:61">
      <c r="A83" s="369" t="s">
        <v>612</v>
      </c>
      <c r="B83" s="369"/>
      <c r="C83" s="369" t="s">
        <v>3494</v>
      </c>
      <c r="D83" s="369" t="s">
        <v>2121</v>
      </c>
      <c r="E83" s="369" t="s">
        <v>2085</v>
      </c>
      <c r="F83" s="370">
        <v>2</v>
      </c>
      <c r="G83" s="355">
        <v>0</v>
      </c>
      <c r="H83" s="370">
        <f t="shared" si="98"/>
        <v>0</v>
      </c>
      <c r="I83" s="370">
        <f t="shared" si="99"/>
        <v>0</v>
      </c>
      <c r="J83" s="370">
        <f t="shared" si="100"/>
        <v>0</v>
      </c>
      <c r="K83" s="370">
        <v>1.9009999999999999E-2</v>
      </c>
      <c r="L83" s="370">
        <f t="shared" si="101"/>
        <v>3.8019999999999998E-2</v>
      </c>
      <c r="Y83" s="195">
        <f t="shared" si="102"/>
        <v>0</v>
      </c>
      <c r="AA83" s="195">
        <f t="shared" si="103"/>
        <v>0</v>
      </c>
      <c r="AB83" s="195">
        <f t="shared" si="104"/>
        <v>0</v>
      </c>
      <c r="AC83" s="195">
        <f t="shared" si="105"/>
        <v>0</v>
      </c>
      <c r="AD83" s="195">
        <f t="shared" si="106"/>
        <v>0</v>
      </c>
      <c r="AE83" s="195">
        <f t="shared" si="107"/>
        <v>0</v>
      </c>
      <c r="AF83" s="195">
        <f t="shared" si="108"/>
        <v>0</v>
      </c>
      <c r="AG83" s="195">
        <f t="shared" si="109"/>
        <v>0</v>
      </c>
      <c r="AH83" s="196"/>
      <c r="AI83" s="194">
        <f t="shared" si="110"/>
        <v>0</v>
      </c>
      <c r="AJ83" s="194">
        <f t="shared" si="111"/>
        <v>0</v>
      </c>
      <c r="AK83" s="194">
        <f t="shared" si="112"/>
        <v>0</v>
      </c>
      <c r="AM83" s="195">
        <v>21</v>
      </c>
      <c r="AN83" s="195">
        <f>G83*0.698739326971371</f>
        <v>0</v>
      </c>
      <c r="AO83" s="195">
        <f>G83*(1-0.698739326971371)</f>
        <v>0</v>
      </c>
      <c r="AP83" s="198" t="s">
        <v>255</v>
      </c>
      <c r="AU83" s="195">
        <f t="shared" si="113"/>
        <v>0</v>
      </c>
      <c r="AV83" s="195">
        <f t="shared" si="114"/>
        <v>0</v>
      </c>
      <c r="AW83" s="195">
        <f t="shared" si="115"/>
        <v>0</v>
      </c>
      <c r="AX83" s="197" t="s">
        <v>2074</v>
      </c>
      <c r="AY83" s="197" t="s">
        <v>2073</v>
      </c>
      <c r="AZ83" s="196" t="s">
        <v>2067</v>
      </c>
      <c r="BB83" s="195">
        <f t="shared" si="116"/>
        <v>0</v>
      </c>
      <c r="BC83" s="195">
        <f t="shared" si="117"/>
        <v>0</v>
      </c>
      <c r="BD83" s="195">
        <v>0</v>
      </c>
      <c r="BE83" s="195">
        <f t="shared" si="118"/>
        <v>3.8019999999999998E-2</v>
      </c>
      <c r="BG83" s="194">
        <f t="shared" si="119"/>
        <v>0</v>
      </c>
      <c r="BH83" s="194">
        <f t="shared" si="120"/>
        <v>0</v>
      </c>
      <c r="BI83" s="194">
        <f t="shared" si="121"/>
        <v>0</v>
      </c>
    </row>
    <row r="84" spans="1:61">
      <c r="A84" s="369" t="s">
        <v>620</v>
      </c>
      <c r="B84" s="369"/>
      <c r="C84" s="369" t="s">
        <v>2120</v>
      </c>
      <c r="D84" s="369" t="s">
        <v>2119</v>
      </c>
      <c r="E84" s="369" t="s">
        <v>2085</v>
      </c>
      <c r="F84" s="370">
        <v>1</v>
      </c>
      <c r="G84" s="355">
        <v>0</v>
      </c>
      <c r="H84" s="370">
        <f t="shared" si="98"/>
        <v>0</v>
      </c>
      <c r="I84" s="370">
        <f t="shared" si="99"/>
        <v>0</v>
      </c>
      <c r="J84" s="370">
        <f t="shared" si="100"/>
        <v>0</v>
      </c>
      <c r="K84" s="370">
        <v>1.41E-3</v>
      </c>
      <c r="L84" s="370">
        <f t="shared" si="101"/>
        <v>1.41E-3</v>
      </c>
      <c r="Y84" s="195">
        <f t="shared" si="102"/>
        <v>0</v>
      </c>
      <c r="AA84" s="195">
        <f t="shared" si="103"/>
        <v>0</v>
      </c>
      <c r="AB84" s="195">
        <f t="shared" si="104"/>
        <v>0</v>
      </c>
      <c r="AC84" s="195">
        <f t="shared" si="105"/>
        <v>0</v>
      </c>
      <c r="AD84" s="195">
        <f t="shared" si="106"/>
        <v>0</v>
      </c>
      <c r="AE84" s="195">
        <f t="shared" si="107"/>
        <v>0</v>
      </c>
      <c r="AF84" s="195">
        <f t="shared" si="108"/>
        <v>0</v>
      </c>
      <c r="AG84" s="195">
        <f t="shared" si="109"/>
        <v>0</v>
      </c>
      <c r="AH84" s="196"/>
      <c r="AI84" s="194">
        <f t="shared" si="110"/>
        <v>0</v>
      </c>
      <c r="AJ84" s="194">
        <f t="shared" si="111"/>
        <v>0</v>
      </c>
      <c r="AK84" s="194">
        <f t="shared" si="112"/>
        <v>0</v>
      </c>
      <c r="AM84" s="195">
        <v>21</v>
      </c>
      <c r="AN84" s="195">
        <f>G84*0.114152382661761</f>
        <v>0</v>
      </c>
      <c r="AO84" s="195">
        <f>G84*(1-0.114152382661761)</f>
        <v>0</v>
      </c>
      <c r="AP84" s="198" t="s">
        <v>255</v>
      </c>
      <c r="AU84" s="195">
        <f t="shared" si="113"/>
        <v>0</v>
      </c>
      <c r="AV84" s="195">
        <f t="shared" si="114"/>
        <v>0</v>
      </c>
      <c r="AW84" s="195">
        <f t="shared" si="115"/>
        <v>0</v>
      </c>
      <c r="AX84" s="197" t="s">
        <v>2074</v>
      </c>
      <c r="AY84" s="197" t="s">
        <v>2073</v>
      </c>
      <c r="AZ84" s="196" t="s">
        <v>2067</v>
      </c>
      <c r="BB84" s="195">
        <f t="shared" si="116"/>
        <v>0</v>
      </c>
      <c r="BC84" s="195">
        <f t="shared" si="117"/>
        <v>0</v>
      </c>
      <c r="BD84" s="195">
        <v>0</v>
      </c>
      <c r="BE84" s="195">
        <f t="shared" si="118"/>
        <v>1.41E-3</v>
      </c>
      <c r="BG84" s="194">
        <f t="shared" si="119"/>
        <v>0</v>
      </c>
      <c r="BH84" s="194">
        <f t="shared" si="120"/>
        <v>0</v>
      </c>
      <c r="BI84" s="194">
        <f t="shared" si="121"/>
        <v>0</v>
      </c>
    </row>
    <row r="85" spans="1:61">
      <c r="A85" s="373" t="s">
        <v>626</v>
      </c>
      <c r="B85" s="373"/>
      <c r="C85" s="373" t="s">
        <v>3495</v>
      </c>
      <c r="D85" s="373" t="s">
        <v>2118</v>
      </c>
      <c r="E85" s="373" t="s">
        <v>291</v>
      </c>
      <c r="F85" s="374">
        <v>1</v>
      </c>
      <c r="G85" s="357">
        <v>0</v>
      </c>
      <c r="H85" s="374">
        <f t="shared" si="98"/>
        <v>0</v>
      </c>
      <c r="I85" s="374">
        <f t="shared" si="99"/>
        <v>0</v>
      </c>
      <c r="J85" s="374">
        <f t="shared" si="100"/>
        <v>0</v>
      </c>
      <c r="K85" s="374">
        <v>7.4000000000000003E-3</v>
      </c>
      <c r="L85" s="374">
        <f t="shared" si="101"/>
        <v>7.4000000000000003E-3</v>
      </c>
      <c r="Y85" s="195">
        <f t="shared" si="102"/>
        <v>0</v>
      </c>
      <c r="AA85" s="195">
        <f t="shared" si="103"/>
        <v>0</v>
      </c>
      <c r="AB85" s="195">
        <f t="shared" si="104"/>
        <v>0</v>
      </c>
      <c r="AC85" s="195">
        <f t="shared" si="105"/>
        <v>0</v>
      </c>
      <c r="AD85" s="195">
        <f t="shared" si="106"/>
        <v>0</v>
      </c>
      <c r="AE85" s="195">
        <f t="shared" si="107"/>
        <v>0</v>
      </c>
      <c r="AF85" s="195">
        <f t="shared" si="108"/>
        <v>0</v>
      </c>
      <c r="AG85" s="195">
        <f t="shared" si="109"/>
        <v>0</v>
      </c>
      <c r="AH85" s="196"/>
      <c r="AI85" s="200">
        <f t="shared" si="110"/>
        <v>0</v>
      </c>
      <c r="AJ85" s="200">
        <f t="shared" si="111"/>
        <v>0</v>
      </c>
      <c r="AK85" s="200">
        <f t="shared" si="112"/>
        <v>0</v>
      </c>
      <c r="AM85" s="195">
        <v>21</v>
      </c>
      <c r="AN85" s="195">
        <f>G85*1</f>
        <v>0</v>
      </c>
      <c r="AO85" s="195">
        <f>G85*(1-1)</f>
        <v>0</v>
      </c>
      <c r="AP85" s="201" t="s">
        <v>255</v>
      </c>
      <c r="AU85" s="195">
        <f t="shared" si="113"/>
        <v>0</v>
      </c>
      <c r="AV85" s="195">
        <f t="shared" si="114"/>
        <v>0</v>
      </c>
      <c r="AW85" s="195">
        <f t="shared" si="115"/>
        <v>0</v>
      </c>
      <c r="AX85" s="197" t="s">
        <v>2074</v>
      </c>
      <c r="AY85" s="197" t="s">
        <v>2073</v>
      </c>
      <c r="AZ85" s="196" t="s">
        <v>2067</v>
      </c>
      <c r="BB85" s="195">
        <f t="shared" si="116"/>
        <v>0</v>
      </c>
      <c r="BC85" s="195">
        <f t="shared" si="117"/>
        <v>0</v>
      </c>
      <c r="BD85" s="195">
        <v>0</v>
      </c>
      <c r="BE85" s="195">
        <f t="shared" si="118"/>
        <v>7.4000000000000003E-3</v>
      </c>
      <c r="BG85" s="200">
        <f t="shared" si="119"/>
        <v>0</v>
      </c>
      <c r="BH85" s="200">
        <f t="shared" si="120"/>
        <v>0</v>
      </c>
      <c r="BI85" s="200">
        <f t="shared" si="121"/>
        <v>0</v>
      </c>
    </row>
    <row r="86" spans="1:61">
      <c r="A86" s="369" t="s">
        <v>630</v>
      </c>
      <c r="B86" s="369"/>
      <c r="C86" s="369" t="s">
        <v>2117</v>
      </c>
      <c r="D86" s="369" t="s">
        <v>2116</v>
      </c>
      <c r="E86" s="369" t="s">
        <v>291</v>
      </c>
      <c r="F86" s="370">
        <v>3</v>
      </c>
      <c r="G86" s="355">
        <v>0</v>
      </c>
      <c r="H86" s="370">
        <f t="shared" si="98"/>
        <v>0</v>
      </c>
      <c r="I86" s="370">
        <f t="shared" si="99"/>
        <v>0</v>
      </c>
      <c r="J86" s="370">
        <f t="shared" si="100"/>
        <v>0</v>
      </c>
      <c r="K86" s="370">
        <v>1.0200000000000001E-3</v>
      </c>
      <c r="L86" s="370">
        <f t="shared" si="101"/>
        <v>3.0600000000000002E-3</v>
      </c>
      <c r="Y86" s="195">
        <f t="shared" si="102"/>
        <v>0</v>
      </c>
      <c r="AA86" s="195">
        <f t="shared" si="103"/>
        <v>0</v>
      </c>
      <c r="AB86" s="195">
        <f t="shared" si="104"/>
        <v>0</v>
      </c>
      <c r="AC86" s="195">
        <f t="shared" si="105"/>
        <v>0</v>
      </c>
      <c r="AD86" s="195">
        <f t="shared" si="106"/>
        <v>0</v>
      </c>
      <c r="AE86" s="195">
        <f t="shared" si="107"/>
        <v>0</v>
      </c>
      <c r="AF86" s="195">
        <f t="shared" si="108"/>
        <v>0</v>
      </c>
      <c r="AG86" s="195">
        <f t="shared" si="109"/>
        <v>0</v>
      </c>
      <c r="AH86" s="196"/>
      <c r="AI86" s="194">
        <f t="shared" si="110"/>
        <v>0</v>
      </c>
      <c r="AJ86" s="194">
        <f t="shared" si="111"/>
        <v>0</v>
      </c>
      <c r="AK86" s="194">
        <f t="shared" si="112"/>
        <v>0</v>
      </c>
      <c r="AM86" s="195">
        <v>21</v>
      </c>
      <c r="AN86" s="195">
        <f>G86*0.905291985779759</f>
        <v>0</v>
      </c>
      <c r="AO86" s="195">
        <f>G86*(1-0.905291985779759)</f>
        <v>0</v>
      </c>
      <c r="AP86" s="198" t="s">
        <v>255</v>
      </c>
      <c r="AU86" s="195">
        <f t="shared" si="113"/>
        <v>0</v>
      </c>
      <c r="AV86" s="195">
        <f t="shared" si="114"/>
        <v>0</v>
      </c>
      <c r="AW86" s="195">
        <f t="shared" si="115"/>
        <v>0</v>
      </c>
      <c r="AX86" s="197" t="s">
        <v>2074</v>
      </c>
      <c r="AY86" s="197" t="s">
        <v>2073</v>
      </c>
      <c r="AZ86" s="196" t="s">
        <v>2067</v>
      </c>
      <c r="BB86" s="195">
        <f t="shared" si="116"/>
        <v>0</v>
      </c>
      <c r="BC86" s="195">
        <f t="shared" si="117"/>
        <v>0</v>
      </c>
      <c r="BD86" s="195">
        <v>0</v>
      </c>
      <c r="BE86" s="195">
        <f t="shared" si="118"/>
        <v>3.0600000000000002E-3</v>
      </c>
      <c r="BG86" s="194">
        <f t="shared" si="119"/>
        <v>0</v>
      </c>
      <c r="BH86" s="194">
        <f t="shared" si="120"/>
        <v>0</v>
      </c>
      <c r="BI86" s="194">
        <f t="shared" si="121"/>
        <v>0</v>
      </c>
    </row>
    <row r="87" spans="1:61">
      <c r="A87" s="369" t="s">
        <v>634</v>
      </c>
      <c r="B87" s="369"/>
      <c r="C87" s="369" t="s">
        <v>2115</v>
      </c>
      <c r="D87" s="369" t="s">
        <v>2114</v>
      </c>
      <c r="E87" s="369" t="s">
        <v>291</v>
      </c>
      <c r="F87" s="370">
        <v>3</v>
      </c>
      <c r="G87" s="355">
        <v>0</v>
      </c>
      <c r="H87" s="370">
        <f t="shared" si="98"/>
        <v>0</v>
      </c>
      <c r="I87" s="370">
        <f t="shared" si="99"/>
        <v>0</v>
      </c>
      <c r="J87" s="370">
        <f t="shared" si="100"/>
        <v>0</v>
      </c>
      <c r="K87" s="370">
        <v>2.0000000000000001E-4</v>
      </c>
      <c r="L87" s="370">
        <f t="shared" si="101"/>
        <v>6.0000000000000006E-4</v>
      </c>
      <c r="Y87" s="195">
        <f t="shared" si="102"/>
        <v>0</v>
      </c>
      <c r="AA87" s="195">
        <f t="shared" si="103"/>
        <v>0</v>
      </c>
      <c r="AB87" s="195">
        <f t="shared" si="104"/>
        <v>0</v>
      </c>
      <c r="AC87" s="195">
        <f t="shared" si="105"/>
        <v>0</v>
      </c>
      <c r="AD87" s="195">
        <f t="shared" si="106"/>
        <v>0</v>
      </c>
      <c r="AE87" s="195">
        <f t="shared" si="107"/>
        <v>0</v>
      </c>
      <c r="AF87" s="195">
        <f t="shared" si="108"/>
        <v>0</v>
      </c>
      <c r="AG87" s="195">
        <f t="shared" si="109"/>
        <v>0</v>
      </c>
      <c r="AH87" s="196"/>
      <c r="AI87" s="194">
        <f t="shared" si="110"/>
        <v>0</v>
      </c>
      <c r="AJ87" s="194">
        <f t="shared" si="111"/>
        <v>0</v>
      </c>
      <c r="AK87" s="194">
        <f t="shared" si="112"/>
        <v>0</v>
      </c>
      <c r="AM87" s="195">
        <v>21</v>
      </c>
      <c r="AN87" s="195">
        <f>G87*0.649215145979752</f>
        <v>0</v>
      </c>
      <c r="AO87" s="195">
        <f>G87*(1-0.649215145979752)</f>
        <v>0</v>
      </c>
      <c r="AP87" s="198" t="s">
        <v>255</v>
      </c>
      <c r="AU87" s="195">
        <f t="shared" si="113"/>
        <v>0</v>
      </c>
      <c r="AV87" s="195">
        <f t="shared" si="114"/>
        <v>0</v>
      </c>
      <c r="AW87" s="195">
        <f t="shared" si="115"/>
        <v>0</v>
      </c>
      <c r="AX87" s="197" t="s">
        <v>2074</v>
      </c>
      <c r="AY87" s="197" t="s">
        <v>2073</v>
      </c>
      <c r="AZ87" s="196" t="s">
        <v>2067</v>
      </c>
      <c r="BB87" s="195">
        <f t="shared" si="116"/>
        <v>0</v>
      </c>
      <c r="BC87" s="195">
        <f t="shared" si="117"/>
        <v>0</v>
      </c>
      <c r="BD87" s="195">
        <v>0</v>
      </c>
      <c r="BE87" s="195">
        <f t="shared" si="118"/>
        <v>6.0000000000000006E-4</v>
      </c>
      <c r="BG87" s="194">
        <f t="shared" si="119"/>
        <v>0</v>
      </c>
      <c r="BH87" s="194">
        <f t="shared" si="120"/>
        <v>0</v>
      </c>
      <c r="BI87" s="194">
        <f t="shared" si="121"/>
        <v>0</v>
      </c>
    </row>
    <row r="88" spans="1:61">
      <c r="A88" s="369" t="s">
        <v>642</v>
      </c>
      <c r="B88" s="369"/>
      <c r="C88" s="369" t="s">
        <v>2113</v>
      </c>
      <c r="D88" s="369" t="s">
        <v>2112</v>
      </c>
      <c r="E88" s="369" t="s">
        <v>291</v>
      </c>
      <c r="F88" s="370">
        <v>8</v>
      </c>
      <c r="G88" s="355">
        <v>0</v>
      </c>
      <c r="H88" s="370">
        <f t="shared" si="98"/>
        <v>0</v>
      </c>
      <c r="I88" s="370">
        <f t="shared" si="99"/>
        <v>0</v>
      </c>
      <c r="J88" s="370">
        <f t="shared" si="100"/>
        <v>0</v>
      </c>
      <c r="K88" s="370">
        <v>2.2000000000000001E-4</v>
      </c>
      <c r="L88" s="370">
        <f t="shared" si="101"/>
        <v>1.7600000000000001E-3</v>
      </c>
      <c r="Y88" s="195">
        <f t="shared" si="102"/>
        <v>0</v>
      </c>
      <c r="AA88" s="195">
        <f t="shared" si="103"/>
        <v>0</v>
      </c>
      <c r="AB88" s="195">
        <f t="shared" si="104"/>
        <v>0</v>
      </c>
      <c r="AC88" s="195">
        <f t="shared" si="105"/>
        <v>0</v>
      </c>
      <c r="AD88" s="195">
        <f t="shared" si="106"/>
        <v>0</v>
      </c>
      <c r="AE88" s="195">
        <f t="shared" si="107"/>
        <v>0</v>
      </c>
      <c r="AF88" s="195">
        <f t="shared" si="108"/>
        <v>0</v>
      </c>
      <c r="AG88" s="195">
        <f t="shared" si="109"/>
        <v>0</v>
      </c>
      <c r="AH88" s="196"/>
      <c r="AI88" s="194">
        <f t="shared" si="110"/>
        <v>0</v>
      </c>
      <c r="AJ88" s="194">
        <f t="shared" si="111"/>
        <v>0</v>
      </c>
      <c r="AK88" s="194">
        <f t="shared" si="112"/>
        <v>0</v>
      </c>
      <c r="AM88" s="195">
        <v>21</v>
      </c>
      <c r="AN88" s="195">
        <f>G88*0.692111198673877</f>
        <v>0</v>
      </c>
      <c r="AO88" s="195">
        <f>G88*(1-0.692111198673877)</f>
        <v>0</v>
      </c>
      <c r="AP88" s="198" t="s">
        <v>255</v>
      </c>
      <c r="AU88" s="195">
        <f t="shared" si="113"/>
        <v>0</v>
      </c>
      <c r="AV88" s="195">
        <f t="shared" si="114"/>
        <v>0</v>
      </c>
      <c r="AW88" s="195">
        <f t="shared" si="115"/>
        <v>0</v>
      </c>
      <c r="AX88" s="197" t="s">
        <v>2074</v>
      </c>
      <c r="AY88" s="197" t="s">
        <v>2073</v>
      </c>
      <c r="AZ88" s="196" t="s">
        <v>2067</v>
      </c>
      <c r="BB88" s="195">
        <f t="shared" si="116"/>
        <v>0</v>
      </c>
      <c r="BC88" s="195">
        <f t="shared" si="117"/>
        <v>0</v>
      </c>
      <c r="BD88" s="195">
        <v>0</v>
      </c>
      <c r="BE88" s="195">
        <f t="shared" si="118"/>
        <v>1.7600000000000001E-3</v>
      </c>
      <c r="BG88" s="194">
        <f t="shared" si="119"/>
        <v>0</v>
      </c>
      <c r="BH88" s="194">
        <f t="shared" si="120"/>
        <v>0</v>
      </c>
      <c r="BI88" s="194">
        <f t="shared" si="121"/>
        <v>0</v>
      </c>
    </row>
    <row r="89" spans="1:61">
      <c r="A89" s="369" t="s">
        <v>648</v>
      </c>
      <c r="B89" s="369"/>
      <c r="C89" s="369" t="s">
        <v>3496</v>
      </c>
      <c r="D89" s="369" t="s">
        <v>2111</v>
      </c>
      <c r="E89" s="369" t="s">
        <v>2085</v>
      </c>
      <c r="F89" s="370">
        <v>1</v>
      </c>
      <c r="G89" s="355">
        <v>0</v>
      </c>
      <c r="H89" s="370">
        <f t="shared" si="98"/>
        <v>0</v>
      </c>
      <c r="I89" s="370">
        <f t="shared" si="99"/>
        <v>0</v>
      </c>
      <c r="J89" s="370">
        <f t="shared" si="100"/>
        <v>0</v>
      </c>
      <c r="K89" s="370">
        <v>1.444E-2</v>
      </c>
      <c r="L89" s="370">
        <f t="shared" si="101"/>
        <v>1.444E-2</v>
      </c>
      <c r="Y89" s="195">
        <f t="shared" si="102"/>
        <v>0</v>
      </c>
      <c r="AA89" s="195">
        <f t="shared" si="103"/>
        <v>0</v>
      </c>
      <c r="AB89" s="195">
        <f t="shared" si="104"/>
        <v>0</v>
      </c>
      <c r="AC89" s="195">
        <f t="shared" si="105"/>
        <v>0</v>
      </c>
      <c r="AD89" s="195">
        <f t="shared" si="106"/>
        <v>0</v>
      </c>
      <c r="AE89" s="195">
        <f t="shared" si="107"/>
        <v>0</v>
      </c>
      <c r="AF89" s="195">
        <f t="shared" si="108"/>
        <v>0</v>
      </c>
      <c r="AG89" s="195">
        <f t="shared" si="109"/>
        <v>0</v>
      </c>
      <c r="AH89" s="196"/>
      <c r="AI89" s="194">
        <f t="shared" si="110"/>
        <v>0</v>
      </c>
      <c r="AJ89" s="194">
        <f t="shared" si="111"/>
        <v>0</v>
      </c>
      <c r="AK89" s="194">
        <f t="shared" si="112"/>
        <v>0</v>
      </c>
      <c r="AM89" s="195">
        <v>21</v>
      </c>
      <c r="AN89" s="195">
        <f>G89*0.884614821591949</f>
        <v>0</v>
      </c>
      <c r="AO89" s="195">
        <f>G89*(1-0.884614821591949)</f>
        <v>0</v>
      </c>
      <c r="AP89" s="198" t="s">
        <v>255</v>
      </c>
      <c r="AU89" s="195">
        <f t="shared" si="113"/>
        <v>0</v>
      </c>
      <c r="AV89" s="195">
        <f t="shared" si="114"/>
        <v>0</v>
      </c>
      <c r="AW89" s="195">
        <f t="shared" si="115"/>
        <v>0</v>
      </c>
      <c r="AX89" s="197" t="s">
        <v>2074</v>
      </c>
      <c r="AY89" s="197" t="s">
        <v>2073</v>
      </c>
      <c r="AZ89" s="196" t="s">
        <v>2067</v>
      </c>
      <c r="BB89" s="195">
        <f t="shared" si="116"/>
        <v>0</v>
      </c>
      <c r="BC89" s="195">
        <f t="shared" si="117"/>
        <v>0</v>
      </c>
      <c r="BD89" s="195">
        <v>0</v>
      </c>
      <c r="BE89" s="195">
        <f t="shared" si="118"/>
        <v>1.444E-2</v>
      </c>
      <c r="BG89" s="194">
        <f t="shared" si="119"/>
        <v>0</v>
      </c>
      <c r="BH89" s="194">
        <f t="shared" si="120"/>
        <v>0</v>
      </c>
      <c r="BI89" s="194">
        <f t="shared" si="121"/>
        <v>0</v>
      </c>
    </row>
    <row r="90" spans="1:61">
      <c r="A90" s="369" t="s">
        <v>655</v>
      </c>
      <c r="B90" s="369"/>
      <c r="C90" s="369" t="s">
        <v>2110</v>
      </c>
      <c r="D90" s="369" t="s">
        <v>2109</v>
      </c>
      <c r="E90" s="369" t="s">
        <v>291</v>
      </c>
      <c r="F90" s="370">
        <v>1</v>
      </c>
      <c r="G90" s="355">
        <v>0</v>
      </c>
      <c r="H90" s="370">
        <f t="shared" si="98"/>
        <v>0</v>
      </c>
      <c r="I90" s="370">
        <f t="shared" si="99"/>
        <v>0</v>
      </c>
      <c r="J90" s="370">
        <f t="shared" si="100"/>
        <v>0</v>
      </c>
      <c r="K90" s="370">
        <v>3.0899999999999999E-3</v>
      </c>
      <c r="L90" s="370">
        <f t="shared" si="101"/>
        <v>3.0899999999999999E-3</v>
      </c>
      <c r="Y90" s="195">
        <f t="shared" si="102"/>
        <v>0</v>
      </c>
      <c r="AA90" s="195">
        <f t="shared" si="103"/>
        <v>0</v>
      </c>
      <c r="AB90" s="195">
        <f t="shared" si="104"/>
        <v>0</v>
      </c>
      <c r="AC90" s="195">
        <f t="shared" si="105"/>
        <v>0</v>
      </c>
      <c r="AD90" s="195">
        <f t="shared" si="106"/>
        <v>0</v>
      </c>
      <c r="AE90" s="195">
        <f t="shared" si="107"/>
        <v>0</v>
      </c>
      <c r="AF90" s="195">
        <f t="shared" si="108"/>
        <v>0</v>
      </c>
      <c r="AG90" s="195">
        <f t="shared" si="109"/>
        <v>0</v>
      </c>
      <c r="AH90" s="196"/>
      <c r="AI90" s="194">
        <f t="shared" si="110"/>
        <v>0</v>
      </c>
      <c r="AJ90" s="194">
        <f t="shared" si="111"/>
        <v>0</v>
      </c>
      <c r="AK90" s="194">
        <f t="shared" si="112"/>
        <v>0</v>
      </c>
      <c r="AM90" s="195">
        <v>21</v>
      </c>
      <c r="AN90" s="195">
        <f>G90*0.328191365227538</f>
        <v>0</v>
      </c>
      <c r="AO90" s="195">
        <f>G90*(1-0.328191365227538)</f>
        <v>0</v>
      </c>
      <c r="AP90" s="198" t="s">
        <v>255</v>
      </c>
      <c r="AU90" s="195">
        <f t="shared" si="113"/>
        <v>0</v>
      </c>
      <c r="AV90" s="195">
        <f t="shared" si="114"/>
        <v>0</v>
      </c>
      <c r="AW90" s="195">
        <f t="shared" si="115"/>
        <v>0</v>
      </c>
      <c r="AX90" s="197" t="s">
        <v>2074</v>
      </c>
      <c r="AY90" s="197" t="s">
        <v>2073</v>
      </c>
      <c r="AZ90" s="196" t="s">
        <v>2067</v>
      </c>
      <c r="BB90" s="195">
        <f t="shared" si="116"/>
        <v>0</v>
      </c>
      <c r="BC90" s="195">
        <f t="shared" si="117"/>
        <v>0</v>
      </c>
      <c r="BD90" s="195">
        <v>0</v>
      </c>
      <c r="BE90" s="195">
        <f t="shared" si="118"/>
        <v>3.0899999999999999E-3</v>
      </c>
      <c r="BG90" s="194">
        <f t="shared" si="119"/>
        <v>0</v>
      </c>
      <c r="BH90" s="194">
        <f t="shared" si="120"/>
        <v>0</v>
      </c>
      <c r="BI90" s="194">
        <f t="shared" si="121"/>
        <v>0</v>
      </c>
    </row>
    <row r="91" spans="1:61">
      <c r="A91" s="373" t="s">
        <v>661</v>
      </c>
      <c r="B91" s="373"/>
      <c r="C91" s="373" t="s">
        <v>3497</v>
      </c>
      <c r="D91" s="373" t="s">
        <v>2108</v>
      </c>
      <c r="E91" s="373" t="s">
        <v>291</v>
      </c>
      <c r="F91" s="374">
        <v>1</v>
      </c>
      <c r="G91" s="357">
        <v>0</v>
      </c>
      <c r="H91" s="374">
        <f t="shared" si="98"/>
        <v>0</v>
      </c>
      <c r="I91" s="374">
        <f t="shared" si="99"/>
        <v>0</v>
      </c>
      <c r="J91" s="374">
        <f t="shared" si="100"/>
        <v>0</v>
      </c>
      <c r="K91" s="374">
        <v>0.01</v>
      </c>
      <c r="L91" s="374">
        <f t="shared" si="101"/>
        <v>0.01</v>
      </c>
      <c r="Y91" s="195">
        <f t="shared" si="102"/>
        <v>0</v>
      </c>
      <c r="AA91" s="195">
        <f t="shared" si="103"/>
        <v>0</v>
      </c>
      <c r="AB91" s="195">
        <f t="shared" si="104"/>
        <v>0</v>
      </c>
      <c r="AC91" s="195">
        <f t="shared" si="105"/>
        <v>0</v>
      </c>
      <c r="AD91" s="195">
        <f t="shared" si="106"/>
        <v>0</v>
      </c>
      <c r="AE91" s="195">
        <f t="shared" si="107"/>
        <v>0</v>
      </c>
      <c r="AF91" s="195">
        <f t="shared" si="108"/>
        <v>0</v>
      </c>
      <c r="AG91" s="195">
        <f t="shared" si="109"/>
        <v>0</v>
      </c>
      <c r="AH91" s="196"/>
      <c r="AI91" s="200">
        <f t="shared" si="110"/>
        <v>0</v>
      </c>
      <c r="AJ91" s="200">
        <f t="shared" si="111"/>
        <v>0</v>
      </c>
      <c r="AK91" s="200">
        <f t="shared" si="112"/>
        <v>0</v>
      </c>
      <c r="AM91" s="195">
        <v>21</v>
      </c>
      <c r="AN91" s="195">
        <f>G91*1</f>
        <v>0</v>
      </c>
      <c r="AO91" s="195">
        <f>G91*(1-1)</f>
        <v>0</v>
      </c>
      <c r="AP91" s="201" t="s">
        <v>255</v>
      </c>
      <c r="AU91" s="195">
        <f t="shared" si="113"/>
        <v>0</v>
      </c>
      <c r="AV91" s="195">
        <f t="shared" si="114"/>
        <v>0</v>
      </c>
      <c r="AW91" s="195">
        <f t="shared" si="115"/>
        <v>0</v>
      </c>
      <c r="AX91" s="197" t="s">
        <v>2074</v>
      </c>
      <c r="AY91" s="197" t="s">
        <v>2073</v>
      </c>
      <c r="AZ91" s="196" t="s">
        <v>2067</v>
      </c>
      <c r="BB91" s="195">
        <f t="shared" si="116"/>
        <v>0</v>
      </c>
      <c r="BC91" s="195">
        <f t="shared" si="117"/>
        <v>0</v>
      </c>
      <c r="BD91" s="195">
        <v>0</v>
      </c>
      <c r="BE91" s="195">
        <f t="shared" si="118"/>
        <v>0.01</v>
      </c>
      <c r="BG91" s="200">
        <f t="shared" si="119"/>
        <v>0</v>
      </c>
      <c r="BH91" s="200">
        <f t="shared" si="120"/>
        <v>0</v>
      </c>
      <c r="BI91" s="200">
        <f t="shared" si="121"/>
        <v>0</v>
      </c>
    </row>
    <row r="92" spans="1:61">
      <c r="A92" s="369" t="s">
        <v>666</v>
      </c>
      <c r="B92" s="369"/>
      <c r="C92" s="369" t="s">
        <v>2107</v>
      </c>
      <c r="D92" s="369" t="s">
        <v>2106</v>
      </c>
      <c r="E92" s="369" t="s">
        <v>291</v>
      </c>
      <c r="F92" s="370">
        <v>1</v>
      </c>
      <c r="G92" s="355">
        <v>0</v>
      </c>
      <c r="H92" s="370">
        <f t="shared" si="98"/>
        <v>0</v>
      </c>
      <c r="I92" s="370">
        <f t="shared" si="99"/>
        <v>0</v>
      </c>
      <c r="J92" s="370">
        <f t="shared" si="100"/>
        <v>0</v>
      </c>
      <c r="K92" s="370">
        <v>8.8000000000000003E-4</v>
      </c>
      <c r="L92" s="370">
        <f t="shared" si="101"/>
        <v>8.8000000000000003E-4</v>
      </c>
      <c r="Y92" s="195">
        <f t="shared" si="102"/>
        <v>0</v>
      </c>
      <c r="AA92" s="195">
        <f t="shared" si="103"/>
        <v>0</v>
      </c>
      <c r="AB92" s="195">
        <f t="shared" si="104"/>
        <v>0</v>
      </c>
      <c r="AC92" s="195">
        <f t="shared" si="105"/>
        <v>0</v>
      </c>
      <c r="AD92" s="195">
        <f t="shared" si="106"/>
        <v>0</v>
      </c>
      <c r="AE92" s="195">
        <f t="shared" si="107"/>
        <v>0</v>
      </c>
      <c r="AF92" s="195">
        <f t="shared" si="108"/>
        <v>0</v>
      </c>
      <c r="AG92" s="195">
        <f t="shared" si="109"/>
        <v>0</v>
      </c>
      <c r="AH92" s="196"/>
      <c r="AI92" s="194">
        <f t="shared" si="110"/>
        <v>0</v>
      </c>
      <c r="AJ92" s="194">
        <f t="shared" si="111"/>
        <v>0</v>
      </c>
      <c r="AK92" s="194">
        <f t="shared" si="112"/>
        <v>0</v>
      </c>
      <c r="AM92" s="195">
        <v>21</v>
      </c>
      <c r="AN92" s="195">
        <f>G92*0.247397881996974</f>
        <v>0</v>
      </c>
      <c r="AO92" s="195">
        <f>G92*(1-0.247397881996974)</f>
        <v>0</v>
      </c>
      <c r="AP92" s="198" t="s">
        <v>255</v>
      </c>
      <c r="AU92" s="195">
        <f t="shared" si="113"/>
        <v>0</v>
      </c>
      <c r="AV92" s="195">
        <f t="shared" si="114"/>
        <v>0</v>
      </c>
      <c r="AW92" s="195">
        <f t="shared" si="115"/>
        <v>0</v>
      </c>
      <c r="AX92" s="197" t="s">
        <v>2074</v>
      </c>
      <c r="AY92" s="197" t="s">
        <v>2073</v>
      </c>
      <c r="AZ92" s="196" t="s">
        <v>2067</v>
      </c>
      <c r="BB92" s="195">
        <f t="shared" si="116"/>
        <v>0</v>
      </c>
      <c r="BC92" s="195">
        <f t="shared" si="117"/>
        <v>0</v>
      </c>
      <c r="BD92" s="195">
        <v>0</v>
      </c>
      <c r="BE92" s="195">
        <f t="shared" si="118"/>
        <v>8.8000000000000003E-4</v>
      </c>
      <c r="BG92" s="194">
        <f t="shared" si="119"/>
        <v>0</v>
      </c>
      <c r="BH92" s="194">
        <f t="shared" si="120"/>
        <v>0</v>
      </c>
      <c r="BI92" s="194">
        <f t="shared" si="121"/>
        <v>0</v>
      </c>
    </row>
    <row r="93" spans="1:61">
      <c r="A93" s="373" t="s">
        <v>670</v>
      </c>
      <c r="B93" s="373"/>
      <c r="C93" s="373" t="s">
        <v>2105</v>
      </c>
      <c r="D93" s="373" t="s">
        <v>2104</v>
      </c>
      <c r="E93" s="373" t="s">
        <v>291</v>
      </c>
      <c r="F93" s="374">
        <v>1</v>
      </c>
      <c r="G93" s="357">
        <v>0</v>
      </c>
      <c r="H93" s="374">
        <f t="shared" si="98"/>
        <v>0</v>
      </c>
      <c r="I93" s="374">
        <f t="shared" si="99"/>
        <v>0</v>
      </c>
      <c r="J93" s="374">
        <f t="shared" si="100"/>
        <v>0</v>
      </c>
      <c r="K93" s="374">
        <v>2.8E-3</v>
      </c>
      <c r="L93" s="374">
        <f t="shared" si="101"/>
        <v>2.8E-3</v>
      </c>
      <c r="Y93" s="195">
        <f t="shared" si="102"/>
        <v>0</v>
      </c>
      <c r="AA93" s="195">
        <f t="shared" si="103"/>
        <v>0</v>
      </c>
      <c r="AB93" s="195">
        <f t="shared" si="104"/>
        <v>0</v>
      </c>
      <c r="AC93" s="195">
        <f t="shared" si="105"/>
        <v>0</v>
      </c>
      <c r="AD93" s="195">
        <f t="shared" si="106"/>
        <v>0</v>
      </c>
      <c r="AE93" s="195">
        <f t="shared" si="107"/>
        <v>0</v>
      </c>
      <c r="AF93" s="195">
        <f t="shared" si="108"/>
        <v>0</v>
      </c>
      <c r="AG93" s="195">
        <f t="shared" si="109"/>
        <v>0</v>
      </c>
      <c r="AH93" s="196"/>
      <c r="AI93" s="200">
        <f t="shared" si="110"/>
        <v>0</v>
      </c>
      <c r="AJ93" s="200">
        <f t="shared" si="111"/>
        <v>0</v>
      </c>
      <c r="AK93" s="200">
        <f t="shared" si="112"/>
        <v>0</v>
      </c>
      <c r="AM93" s="195">
        <v>21</v>
      </c>
      <c r="AN93" s="195">
        <f>G93*1</f>
        <v>0</v>
      </c>
      <c r="AO93" s="195">
        <f>G93*(1-1)</f>
        <v>0</v>
      </c>
      <c r="AP93" s="201" t="s">
        <v>255</v>
      </c>
      <c r="AU93" s="195">
        <f t="shared" si="113"/>
        <v>0</v>
      </c>
      <c r="AV93" s="195">
        <f t="shared" si="114"/>
        <v>0</v>
      </c>
      <c r="AW93" s="195">
        <f t="shared" si="115"/>
        <v>0</v>
      </c>
      <c r="AX93" s="197" t="s">
        <v>2074</v>
      </c>
      <c r="AY93" s="197" t="s">
        <v>2073</v>
      </c>
      <c r="AZ93" s="196" t="s">
        <v>2067</v>
      </c>
      <c r="BB93" s="195">
        <f t="shared" si="116"/>
        <v>0</v>
      </c>
      <c r="BC93" s="195">
        <f t="shared" si="117"/>
        <v>0</v>
      </c>
      <c r="BD93" s="195">
        <v>0</v>
      </c>
      <c r="BE93" s="195">
        <f t="shared" si="118"/>
        <v>2.8E-3</v>
      </c>
      <c r="BG93" s="200">
        <f t="shared" si="119"/>
        <v>0</v>
      </c>
      <c r="BH93" s="200">
        <f t="shared" si="120"/>
        <v>0</v>
      </c>
      <c r="BI93" s="200">
        <f t="shared" si="121"/>
        <v>0</v>
      </c>
    </row>
    <row r="94" spans="1:61">
      <c r="A94" s="369" t="s">
        <v>678</v>
      </c>
      <c r="B94" s="369"/>
      <c r="C94" s="369" t="s">
        <v>2103</v>
      </c>
      <c r="D94" s="369" t="s">
        <v>2102</v>
      </c>
      <c r="E94" s="369" t="s">
        <v>291</v>
      </c>
      <c r="F94" s="370">
        <v>2</v>
      </c>
      <c r="G94" s="355">
        <v>0</v>
      </c>
      <c r="H94" s="370">
        <f t="shared" si="98"/>
        <v>0</v>
      </c>
      <c r="I94" s="370">
        <f t="shared" si="99"/>
        <v>0</v>
      </c>
      <c r="J94" s="370">
        <f t="shared" si="100"/>
        <v>0</v>
      </c>
      <c r="K94" s="370">
        <v>1.2E-4</v>
      </c>
      <c r="L94" s="370">
        <f t="shared" si="101"/>
        <v>2.4000000000000001E-4</v>
      </c>
      <c r="Y94" s="195">
        <f t="shared" si="102"/>
        <v>0</v>
      </c>
      <c r="AA94" s="195">
        <f t="shared" si="103"/>
        <v>0</v>
      </c>
      <c r="AB94" s="195">
        <f t="shared" si="104"/>
        <v>0</v>
      </c>
      <c r="AC94" s="195">
        <f t="shared" si="105"/>
        <v>0</v>
      </c>
      <c r="AD94" s="195">
        <f t="shared" si="106"/>
        <v>0</v>
      </c>
      <c r="AE94" s="195">
        <f t="shared" si="107"/>
        <v>0</v>
      </c>
      <c r="AF94" s="195">
        <f t="shared" si="108"/>
        <v>0</v>
      </c>
      <c r="AG94" s="195">
        <f t="shared" si="109"/>
        <v>0</v>
      </c>
      <c r="AH94" s="196"/>
      <c r="AI94" s="194">
        <f t="shared" si="110"/>
        <v>0</v>
      </c>
      <c r="AJ94" s="194">
        <f t="shared" si="111"/>
        <v>0</v>
      </c>
      <c r="AK94" s="194">
        <f t="shared" si="112"/>
        <v>0</v>
      </c>
      <c r="AM94" s="195">
        <v>21</v>
      </c>
      <c r="AN94" s="195">
        <f>G94*0.228442660469702</f>
        <v>0</v>
      </c>
      <c r="AO94" s="195">
        <f>G94*(1-0.228442660469702)</f>
        <v>0</v>
      </c>
      <c r="AP94" s="198" t="s">
        <v>255</v>
      </c>
      <c r="AU94" s="195">
        <f t="shared" si="113"/>
        <v>0</v>
      </c>
      <c r="AV94" s="195">
        <f t="shared" si="114"/>
        <v>0</v>
      </c>
      <c r="AW94" s="195">
        <f t="shared" si="115"/>
        <v>0</v>
      </c>
      <c r="AX94" s="197" t="s">
        <v>2074</v>
      </c>
      <c r="AY94" s="197" t="s">
        <v>2073</v>
      </c>
      <c r="AZ94" s="196" t="s">
        <v>2067</v>
      </c>
      <c r="BB94" s="195">
        <f t="shared" si="116"/>
        <v>0</v>
      </c>
      <c r="BC94" s="195">
        <f t="shared" si="117"/>
        <v>0</v>
      </c>
      <c r="BD94" s="195">
        <v>0</v>
      </c>
      <c r="BE94" s="195">
        <f t="shared" si="118"/>
        <v>2.4000000000000001E-4</v>
      </c>
      <c r="BG94" s="194">
        <f t="shared" si="119"/>
        <v>0</v>
      </c>
      <c r="BH94" s="194">
        <f t="shared" si="120"/>
        <v>0</v>
      </c>
      <c r="BI94" s="194">
        <f t="shared" si="121"/>
        <v>0</v>
      </c>
    </row>
    <row r="95" spans="1:61">
      <c r="A95" s="373" t="s">
        <v>683</v>
      </c>
      <c r="B95" s="373"/>
      <c r="C95" s="373" t="s">
        <v>2101</v>
      </c>
      <c r="D95" s="373" t="s">
        <v>2100</v>
      </c>
      <c r="E95" s="373" t="s">
        <v>291</v>
      </c>
      <c r="F95" s="374">
        <v>2</v>
      </c>
      <c r="G95" s="357">
        <v>0</v>
      </c>
      <c r="H95" s="374">
        <f t="shared" si="98"/>
        <v>0</v>
      </c>
      <c r="I95" s="374">
        <f t="shared" si="99"/>
        <v>0</v>
      </c>
      <c r="J95" s="374">
        <f t="shared" si="100"/>
        <v>0</v>
      </c>
      <c r="K95" s="374">
        <v>1.1000000000000001E-3</v>
      </c>
      <c r="L95" s="374">
        <f t="shared" si="101"/>
        <v>2.2000000000000001E-3</v>
      </c>
      <c r="Y95" s="195">
        <f t="shared" si="102"/>
        <v>0</v>
      </c>
      <c r="AA95" s="195">
        <f t="shared" si="103"/>
        <v>0</v>
      </c>
      <c r="AB95" s="195">
        <f t="shared" si="104"/>
        <v>0</v>
      </c>
      <c r="AC95" s="195">
        <f t="shared" si="105"/>
        <v>0</v>
      </c>
      <c r="AD95" s="195">
        <f t="shared" si="106"/>
        <v>0</v>
      </c>
      <c r="AE95" s="195">
        <f t="shared" si="107"/>
        <v>0</v>
      </c>
      <c r="AF95" s="195">
        <f t="shared" si="108"/>
        <v>0</v>
      </c>
      <c r="AG95" s="195">
        <f t="shared" si="109"/>
        <v>0</v>
      </c>
      <c r="AH95" s="196"/>
      <c r="AI95" s="200">
        <f t="shared" si="110"/>
        <v>0</v>
      </c>
      <c r="AJ95" s="200">
        <f t="shared" si="111"/>
        <v>0</v>
      </c>
      <c r="AK95" s="200">
        <f t="shared" si="112"/>
        <v>0</v>
      </c>
      <c r="AM95" s="195">
        <v>21</v>
      </c>
      <c r="AN95" s="195">
        <f>G95*1</f>
        <v>0</v>
      </c>
      <c r="AO95" s="195">
        <f>G95*(1-1)</f>
        <v>0</v>
      </c>
      <c r="AP95" s="201" t="s">
        <v>255</v>
      </c>
      <c r="AU95" s="195">
        <f t="shared" si="113"/>
        <v>0</v>
      </c>
      <c r="AV95" s="195">
        <f t="shared" si="114"/>
        <v>0</v>
      </c>
      <c r="AW95" s="195">
        <f t="shared" si="115"/>
        <v>0</v>
      </c>
      <c r="AX95" s="197" t="s">
        <v>2074</v>
      </c>
      <c r="AY95" s="197" t="s">
        <v>2073</v>
      </c>
      <c r="AZ95" s="196" t="s">
        <v>2067</v>
      </c>
      <c r="BB95" s="195">
        <f t="shared" si="116"/>
        <v>0</v>
      </c>
      <c r="BC95" s="195">
        <f t="shared" si="117"/>
        <v>0</v>
      </c>
      <c r="BD95" s="195">
        <v>0</v>
      </c>
      <c r="BE95" s="195">
        <f t="shared" si="118"/>
        <v>2.2000000000000001E-3</v>
      </c>
      <c r="BG95" s="200">
        <f t="shared" si="119"/>
        <v>0</v>
      </c>
      <c r="BH95" s="200">
        <f t="shared" si="120"/>
        <v>0</v>
      </c>
      <c r="BI95" s="200">
        <f t="shared" si="121"/>
        <v>0</v>
      </c>
    </row>
    <row r="96" spans="1:61">
      <c r="A96" s="369" t="s">
        <v>688</v>
      </c>
      <c r="B96" s="369"/>
      <c r="C96" s="369" t="s">
        <v>2099</v>
      </c>
      <c r="D96" s="369" t="s">
        <v>2098</v>
      </c>
      <c r="E96" s="369" t="s">
        <v>2085</v>
      </c>
      <c r="F96" s="370">
        <v>1</v>
      </c>
      <c r="G96" s="355">
        <v>0</v>
      </c>
      <c r="H96" s="370">
        <f t="shared" si="98"/>
        <v>0</v>
      </c>
      <c r="I96" s="370">
        <f t="shared" si="99"/>
        <v>0</v>
      </c>
      <c r="J96" s="370">
        <f t="shared" si="100"/>
        <v>0</v>
      </c>
      <c r="K96" s="370">
        <v>6.2E-4</v>
      </c>
      <c r="L96" s="370">
        <f t="shared" si="101"/>
        <v>6.2E-4</v>
      </c>
      <c r="Y96" s="195">
        <f t="shared" si="102"/>
        <v>0</v>
      </c>
      <c r="AA96" s="195">
        <f t="shared" si="103"/>
        <v>0</v>
      </c>
      <c r="AB96" s="195">
        <f t="shared" si="104"/>
        <v>0</v>
      </c>
      <c r="AC96" s="195">
        <f t="shared" si="105"/>
        <v>0</v>
      </c>
      <c r="AD96" s="195">
        <f t="shared" si="106"/>
        <v>0</v>
      </c>
      <c r="AE96" s="195">
        <f t="shared" si="107"/>
        <v>0</v>
      </c>
      <c r="AF96" s="195">
        <f t="shared" si="108"/>
        <v>0</v>
      </c>
      <c r="AG96" s="195">
        <f t="shared" si="109"/>
        <v>0</v>
      </c>
      <c r="AH96" s="196"/>
      <c r="AI96" s="194">
        <f t="shared" si="110"/>
        <v>0</v>
      </c>
      <c r="AJ96" s="194">
        <f t="shared" si="111"/>
        <v>0</v>
      </c>
      <c r="AK96" s="194">
        <f t="shared" si="112"/>
        <v>0</v>
      </c>
      <c r="AM96" s="195">
        <v>21</v>
      </c>
      <c r="AN96" s="195">
        <f>G96*0.272255319148936</f>
        <v>0</v>
      </c>
      <c r="AO96" s="195">
        <f>G96*(1-0.272255319148936)</f>
        <v>0</v>
      </c>
      <c r="AP96" s="198" t="s">
        <v>255</v>
      </c>
      <c r="AU96" s="195">
        <f t="shared" si="113"/>
        <v>0</v>
      </c>
      <c r="AV96" s="195">
        <f t="shared" si="114"/>
        <v>0</v>
      </c>
      <c r="AW96" s="195">
        <f t="shared" si="115"/>
        <v>0</v>
      </c>
      <c r="AX96" s="197" t="s">
        <v>2074</v>
      </c>
      <c r="AY96" s="197" t="s">
        <v>2073</v>
      </c>
      <c r="AZ96" s="196" t="s">
        <v>2067</v>
      </c>
      <c r="BB96" s="195">
        <f t="shared" si="116"/>
        <v>0</v>
      </c>
      <c r="BC96" s="195">
        <f t="shared" si="117"/>
        <v>0</v>
      </c>
      <c r="BD96" s="195">
        <v>0</v>
      </c>
      <c r="BE96" s="195">
        <f t="shared" si="118"/>
        <v>6.2E-4</v>
      </c>
      <c r="BG96" s="194">
        <f t="shared" si="119"/>
        <v>0</v>
      </c>
      <c r="BH96" s="194">
        <f t="shared" si="120"/>
        <v>0</v>
      </c>
      <c r="BI96" s="194">
        <f t="shared" si="121"/>
        <v>0</v>
      </c>
    </row>
    <row r="97" spans="1:61">
      <c r="A97" s="373" t="s">
        <v>693</v>
      </c>
      <c r="B97" s="373"/>
      <c r="C97" s="373" t="s">
        <v>2097</v>
      </c>
      <c r="D97" s="373" t="s">
        <v>2096</v>
      </c>
      <c r="E97" s="373" t="s">
        <v>291</v>
      </c>
      <c r="F97" s="374">
        <v>1</v>
      </c>
      <c r="G97" s="357">
        <v>0</v>
      </c>
      <c r="H97" s="374">
        <f t="shared" si="98"/>
        <v>0</v>
      </c>
      <c r="I97" s="374">
        <f t="shared" si="99"/>
        <v>0</v>
      </c>
      <c r="J97" s="374">
        <f t="shared" si="100"/>
        <v>0</v>
      </c>
      <c r="K97" s="374">
        <v>0.03</v>
      </c>
      <c r="L97" s="374">
        <f t="shared" si="101"/>
        <v>0.03</v>
      </c>
      <c r="Y97" s="195">
        <f t="shared" si="102"/>
        <v>0</v>
      </c>
      <c r="AA97" s="195">
        <f t="shared" si="103"/>
        <v>0</v>
      </c>
      <c r="AB97" s="195">
        <f t="shared" si="104"/>
        <v>0</v>
      </c>
      <c r="AC97" s="195">
        <f t="shared" si="105"/>
        <v>0</v>
      </c>
      <c r="AD97" s="195">
        <f t="shared" si="106"/>
        <v>0</v>
      </c>
      <c r="AE97" s="195">
        <f t="shared" si="107"/>
        <v>0</v>
      </c>
      <c r="AF97" s="195">
        <f t="shared" si="108"/>
        <v>0</v>
      </c>
      <c r="AG97" s="195">
        <f t="shared" si="109"/>
        <v>0</v>
      </c>
      <c r="AH97" s="196"/>
      <c r="AI97" s="200">
        <f t="shared" si="110"/>
        <v>0</v>
      </c>
      <c r="AJ97" s="200">
        <f t="shared" si="111"/>
        <v>0</v>
      </c>
      <c r="AK97" s="200">
        <f t="shared" si="112"/>
        <v>0</v>
      </c>
      <c r="AM97" s="195">
        <v>21</v>
      </c>
      <c r="AN97" s="195">
        <f>G97*1</f>
        <v>0</v>
      </c>
      <c r="AO97" s="195">
        <f>G97*(1-1)</f>
        <v>0</v>
      </c>
      <c r="AP97" s="201" t="s">
        <v>255</v>
      </c>
      <c r="AU97" s="195">
        <f t="shared" si="113"/>
        <v>0</v>
      </c>
      <c r="AV97" s="195">
        <f t="shared" si="114"/>
        <v>0</v>
      </c>
      <c r="AW97" s="195">
        <f t="shared" si="115"/>
        <v>0</v>
      </c>
      <c r="AX97" s="197" t="s">
        <v>2074</v>
      </c>
      <c r="AY97" s="197" t="s">
        <v>2073</v>
      </c>
      <c r="AZ97" s="196" t="s">
        <v>2067</v>
      </c>
      <c r="BB97" s="195">
        <f t="shared" si="116"/>
        <v>0</v>
      </c>
      <c r="BC97" s="195">
        <f t="shared" si="117"/>
        <v>0</v>
      </c>
      <c r="BD97" s="195">
        <v>0</v>
      </c>
      <c r="BE97" s="195">
        <f t="shared" si="118"/>
        <v>0.03</v>
      </c>
      <c r="BG97" s="200">
        <f t="shared" si="119"/>
        <v>0</v>
      </c>
      <c r="BH97" s="200">
        <f t="shared" si="120"/>
        <v>0</v>
      </c>
      <c r="BI97" s="200">
        <f t="shared" si="121"/>
        <v>0</v>
      </c>
    </row>
    <row r="98" spans="1:61">
      <c r="A98" s="369" t="s">
        <v>697</v>
      </c>
      <c r="B98" s="369"/>
      <c r="C98" s="369" t="s">
        <v>2095</v>
      </c>
      <c r="D98" s="369" t="s">
        <v>2094</v>
      </c>
      <c r="E98" s="369" t="s">
        <v>291</v>
      </c>
      <c r="F98" s="370">
        <v>1</v>
      </c>
      <c r="G98" s="355">
        <v>0</v>
      </c>
      <c r="H98" s="370">
        <f t="shared" si="98"/>
        <v>0</v>
      </c>
      <c r="I98" s="370">
        <f t="shared" si="99"/>
        <v>0</v>
      </c>
      <c r="J98" s="370">
        <f t="shared" si="100"/>
        <v>0</v>
      </c>
      <c r="K98" s="370">
        <v>5.5000000000000003E-4</v>
      </c>
      <c r="L98" s="370">
        <f t="shared" si="101"/>
        <v>5.5000000000000003E-4</v>
      </c>
      <c r="Y98" s="195">
        <f t="shared" si="102"/>
        <v>0</v>
      </c>
      <c r="AA98" s="195">
        <f t="shared" si="103"/>
        <v>0</v>
      </c>
      <c r="AB98" s="195">
        <f t="shared" si="104"/>
        <v>0</v>
      </c>
      <c r="AC98" s="195">
        <f t="shared" si="105"/>
        <v>0</v>
      </c>
      <c r="AD98" s="195">
        <f t="shared" si="106"/>
        <v>0</v>
      </c>
      <c r="AE98" s="195">
        <f t="shared" si="107"/>
        <v>0</v>
      </c>
      <c r="AF98" s="195">
        <f t="shared" si="108"/>
        <v>0</v>
      </c>
      <c r="AG98" s="195">
        <f t="shared" si="109"/>
        <v>0</v>
      </c>
      <c r="AH98" s="196"/>
      <c r="AI98" s="194">
        <f t="shared" si="110"/>
        <v>0</v>
      </c>
      <c r="AJ98" s="194">
        <f t="shared" si="111"/>
        <v>0</v>
      </c>
      <c r="AK98" s="194">
        <f t="shared" si="112"/>
        <v>0</v>
      </c>
      <c r="AM98" s="195">
        <v>21</v>
      </c>
      <c r="AN98" s="195">
        <f>G98*0.926235294117647</f>
        <v>0</v>
      </c>
      <c r="AO98" s="195">
        <f>G98*(1-0.926235294117647)</f>
        <v>0</v>
      </c>
      <c r="AP98" s="198" t="s">
        <v>255</v>
      </c>
      <c r="AU98" s="195">
        <f t="shared" si="113"/>
        <v>0</v>
      </c>
      <c r="AV98" s="195">
        <f t="shared" si="114"/>
        <v>0</v>
      </c>
      <c r="AW98" s="195">
        <f t="shared" si="115"/>
        <v>0</v>
      </c>
      <c r="AX98" s="197" t="s">
        <v>2074</v>
      </c>
      <c r="AY98" s="197" t="s">
        <v>2073</v>
      </c>
      <c r="AZ98" s="196" t="s">
        <v>2067</v>
      </c>
      <c r="BB98" s="195">
        <f t="shared" si="116"/>
        <v>0</v>
      </c>
      <c r="BC98" s="195">
        <f t="shared" si="117"/>
        <v>0</v>
      </c>
      <c r="BD98" s="195">
        <v>0</v>
      </c>
      <c r="BE98" s="195">
        <f t="shared" si="118"/>
        <v>5.5000000000000003E-4</v>
      </c>
      <c r="BG98" s="194">
        <f t="shared" si="119"/>
        <v>0</v>
      </c>
      <c r="BH98" s="194">
        <f t="shared" si="120"/>
        <v>0</v>
      </c>
      <c r="BI98" s="194">
        <f t="shared" si="121"/>
        <v>0</v>
      </c>
    </row>
    <row r="99" spans="1:61">
      <c r="A99" s="369" t="s">
        <v>701</v>
      </c>
      <c r="B99" s="369"/>
      <c r="C99" s="369" t="s">
        <v>2093</v>
      </c>
      <c r="D99" s="369" t="s">
        <v>2092</v>
      </c>
      <c r="E99" s="369" t="s">
        <v>2085</v>
      </c>
      <c r="F99" s="370">
        <v>1</v>
      </c>
      <c r="G99" s="355">
        <v>0</v>
      </c>
      <c r="H99" s="370">
        <f t="shared" si="98"/>
        <v>0</v>
      </c>
      <c r="I99" s="370">
        <f t="shared" si="99"/>
        <v>0</v>
      </c>
      <c r="J99" s="370">
        <f t="shared" si="100"/>
        <v>0</v>
      </c>
      <c r="K99" s="370">
        <v>1.2E-4</v>
      </c>
      <c r="L99" s="370">
        <f t="shared" si="101"/>
        <v>1.2E-4</v>
      </c>
      <c r="Y99" s="195">
        <f t="shared" si="102"/>
        <v>0</v>
      </c>
      <c r="AA99" s="195">
        <f t="shared" si="103"/>
        <v>0</v>
      </c>
      <c r="AB99" s="195">
        <f t="shared" si="104"/>
        <v>0</v>
      </c>
      <c r="AC99" s="195">
        <f t="shared" si="105"/>
        <v>0</v>
      </c>
      <c r="AD99" s="195">
        <f t="shared" si="106"/>
        <v>0</v>
      </c>
      <c r="AE99" s="195">
        <f t="shared" si="107"/>
        <v>0</v>
      </c>
      <c r="AF99" s="195">
        <f t="shared" si="108"/>
        <v>0</v>
      </c>
      <c r="AG99" s="195">
        <f t="shared" si="109"/>
        <v>0</v>
      </c>
      <c r="AH99" s="196"/>
      <c r="AI99" s="194">
        <f t="shared" si="110"/>
        <v>0</v>
      </c>
      <c r="AJ99" s="194">
        <f t="shared" si="111"/>
        <v>0</v>
      </c>
      <c r="AK99" s="194">
        <f t="shared" si="112"/>
        <v>0</v>
      </c>
      <c r="AM99" s="195">
        <v>21</v>
      </c>
      <c r="AN99" s="195">
        <f>G99*0.963389302640487</f>
        <v>0</v>
      </c>
      <c r="AO99" s="195">
        <f>G99*(1-0.963389302640487)</f>
        <v>0</v>
      </c>
      <c r="AP99" s="198" t="s">
        <v>255</v>
      </c>
      <c r="AU99" s="195">
        <f t="shared" si="113"/>
        <v>0</v>
      </c>
      <c r="AV99" s="195">
        <f t="shared" si="114"/>
        <v>0</v>
      </c>
      <c r="AW99" s="195">
        <f t="shared" si="115"/>
        <v>0</v>
      </c>
      <c r="AX99" s="197" t="s">
        <v>2074</v>
      </c>
      <c r="AY99" s="197" t="s">
        <v>2073</v>
      </c>
      <c r="AZ99" s="196" t="s">
        <v>2067</v>
      </c>
      <c r="BB99" s="195">
        <f t="shared" si="116"/>
        <v>0</v>
      </c>
      <c r="BC99" s="195">
        <f t="shared" si="117"/>
        <v>0</v>
      </c>
      <c r="BD99" s="195">
        <v>0</v>
      </c>
      <c r="BE99" s="195">
        <f t="shared" si="118"/>
        <v>1.2E-4</v>
      </c>
      <c r="BG99" s="194">
        <f t="shared" si="119"/>
        <v>0</v>
      </c>
      <c r="BH99" s="194">
        <f t="shared" si="120"/>
        <v>0</v>
      </c>
      <c r="BI99" s="194">
        <f t="shared" si="121"/>
        <v>0</v>
      </c>
    </row>
    <row r="100" spans="1:61">
      <c r="A100" s="373" t="s">
        <v>707</v>
      </c>
      <c r="B100" s="373"/>
      <c r="C100" s="373" t="s">
        <v>2091</v>
      </c>
      <c r="D100" s="373" t="s">
        <v>2090</v>
      </c>
      <c r="E100" s="373" t="s">
        <v>291</v>
      </c>
      <c r="F100" s="374">
        <v>1</v>
      </c>
      <c r="G100" s="357">
        <v>0</v>
      </c>
      <c r="H100" s="374">
        <f t="shared" si="98"/>
        <v>0</v>
      </c>
      <c r="I100" s="374">
        <f t="shared" si="99"/>
        <v>0</v>
      </c>
      <c r="J100" s="374">
        <f t="shared" si="100"/>
        <v>0</v>
      </c>
      <c r="K100" s="374">
        <v>0</v>
      </c>
      <c r="L100" s="374">
        <f t="shared" si="101"/>
        <v>0</v>
      </c>
      <c r="Y100" s="195">
        <f t="shared" si="102"/>
        <v>0</v>
      </c>
      <c r="AA100" s="195">
        <f t="shared" si="103"/>
        <v>0</v>
      </c>
      <c r="AB100" s="195">
        <f t="shared" si="104"/>
        <v>0</v>
      </c>
      <c r="AC100" s="195">
        <f t="shared" si="105"/>
        <v>0</v>
      </c>
      <c r="AD100" s="195">
        <f t="shared" si="106"/>
        <v>0</v>
      </c>
      <c r="AE100" s="195">
        <f t="shared" si="107"/>
        <v>0</v>
      </c>
      <c r="AF100" s="195">
        <f t="shared" si="108"/>
        <v>0</v>
      </c>
      <c r="AG100" s="195">
        <f t="shared" si="109"/>
        <v>0</v>
      </c>
      <c r="AH100" s="196"/>
      <c r="AI100" s="200">
        <f t="shared" si="110"/>
        <v>0</v>
      </c>
      <c r="AJ100" s="200">
        <f t="shared" si="111"/>
        <v>0</v>
      </c>
      <c r="AK100" s="200">
        <f t="shared" si="112"/>
        <v>0</v>
      </c>
      <c r="AM100" s="195">
        <v>21</v>
      </c>
      <c r="AN100" s="195">
        <f>G100*1</f>
        <v>0</v>
      </c>
      <c r="AO100" s="195">
        <f>G100*(1-1)</f>
        <v>0</v>
      </c>
      <c r="AP100" s="201" t="s">
        <v>255</v>
      </c>
      <c r="AU100" s="195">
        <f t="shared" si="113"/>
        <v>0</v>
      </c>
      <c r="AV100" s="195">
        <f t="shared" si="114"/>
        <v>0</v>
      </c>
      <c r="AW100" s="195">
        <f t="shared" si="115"/>
        <v>0</v>
      </c>
      <c r="AX100" s="197" t="s">
        <v>2074</v>
      </c>
      <c r="AY100" s="197" t="s">
        <v>2073</v>
      </c>
      <c r="AZ100" s="196" t="s">
        <v>2067</v>
      </c>
      <c r="BB100" s="195">
        <f t="shared" si="116"/>
        <v>0</v>
      </c>
      <c r="BC100" s="195">
        <f t="shared" si="117"/>
        <v>0</v>
      </c>
      <c r="BD100" s="195">
        <v>0</v>
      </c>
      <c r="BE100" s="195">
        <f t="shared" si="118"/>
        <v>0</v>
      </c>
      <c r="BG100" s="200">
        <f t="shared" si="119"/>
        <v>0</v>
      </c>
      <c r="BH100" s="200">
        <f t="shared" si="120"/>
        <v>0</v>
      </c>
      <c r="BI100" s="200">
        <f t="shared" si="121"/>
        <v>0</v>
      </c>
    </row>
    <row r="101" spans="1:61">
      <c r="A101" s="369" t="s">
        <v>716</v>
      </c>
      <c r="B101" s="369"/>
      <c r="C101" s="369" t="s">
        <v>2089</v>
      </c>
      <c r="D101" s="369" t="s">
        <v>2088</v>
      </c>
      <c r="E101" s="369" t="s">
        <v>2085</v>
      </c>
      <c r="F101" s="370">
        <v>12</v>
      </c>
      <c r="G101" s="355">
        <v>0</v>
      </c>
      <c r="H101" s="370">
        <f t="shared" si="98"/>
        <v>0</v>
      </c>
      <c r="I101" s="370">
        <f t="shared" si="99"/>
        <v>0</v>
      </c>
      <c r="J101" s="370">
        <f t="shared" si="100"/>
        <v>0</v>
      </c>
      <c r="K101" s="370">
        <v>2.4000000000000001E-4</v>
      </c>
      <c r="L101" s="370">
        <f t="shared" si="101"/>
        <v>2.8800000000000002E-3</v>
      </c>
      <c r="Y101" s="195">
        <f t="shared" si="102"/>
        <v>0</v>
      </c>
      <c r="AA101" s="195">
        <f t="shared" si="103"/>
        <v>0</v>
      </c>
      <c r="AB101" s="195">
        <f t="shared" si="104"/>
        <v>0</v>
      </c>
      <c r="AC101" s="195">
        <f t="shared" si="105"/>
        <v>0</v>
      </c>
      <c r="AD101" s="195">
        <f t="shared" si="106"/>
        <v>0</v>
      </c>
      <c r="AE101" s="195">
        <f t="shared" si="107"/>
        <v>0</v>
      </c>
      <c r="AF101" s="195">
        <f t="shared" si="108"/>
        <v>0</v>
      </c>
      <c r="AG101" s="195">
        <f t="shared" si="109"/>
        <v>0</v>
      </c>
      <c r="AH101" s="196"/>
      <c r="AI101" s="194">
        <f t="shared" si="110"/>
        <v>0</v>
      </c>
      <c r="AJ101" s="194">
        <f t="shared" si="111"/>
        <v>0</v>
      </c>
      <c r="AK101" s="194">
        <f t="shared" si="112"/>
        <v>0</v>
      </c>
      <c r="AM101" s="195">
        <v>21</v>
      </c>
      <c r="AN101" s="195">
        <f>G101*0.734372093023256</f>
        <v>0</v>
      </c>
      <c r="AO101" s="195">
        <f>G101*(1-0.734372093023256)</f>
        <v>0</v>
      </c>
      <c r="AP101" s="198" t="s">
        <v>255</v>
      </c>
      <c r="AU101" s="195">
        <f t="shared" si="113"/>
        <v>0</v>
      </c>
      <c r="AV101" s="195">
        <f t="shared" si="114"/>
        <v>0</v>
      </c>
      <c r="AW101" s="195">
        <f t="shared" si="115"/>
        <v>0</v>
      </c>
      <c r="AX101" s="197" t="s">
        <v>2074</v>
      </c>
      <c r="AY101" s="197" t="s">
        <v>2073</v>
      </c>
      <c r="AZ101" s="196" t="s">
        <v>2067</v>
      </c>
      <c r="BB101" s="195">
        <f t="shared" si="116"/>
        <v>0</v>
      </c>
      <c r="BC101" s="195">
        <f t="shared" si="117"/>
        <v>0</v>
      </c>
      <c r="BD101" s="195">
        <v>0</v>
      </c>
      <c r="BE101" s="195">
        <f t="shared" si="118"/>
        <v>2.8800000000000002E-3</v>
      </c>
      <c r="BG101" s="194">
        <f t="shared" si="119"/>
        <v>0</v>
      </c>
      <c r="BH101" s="194">
        <f t="shared" si="120"/>
        <v>0</v>
      </c>
      <c r="BI101" s="194">
        <f t="shared" si="121"/>
        <v>0</v>
      </c>
    </row>
    <row r="102" spans="1:61">
      <c r="A102" s="369" t="s">
        <v>722</v>
      </c>
      <c r="B102" s="369"/>
      <c r="C102" s="369" t="s">
        <v>2087</v>
      </c>
      <c r="D102" s="369" t="s">
        <v>2086</v>
      </c>
      <c r="E102" s="369" t="s">
        <v>2085</v>
      </c>
      <c r="F102" s="370">
        <v>35</v>
      </c>
      <c r="G102" s="355">
        <v>0</v>
      </c>
      <c r="H102" s="370">
        <f t="shared" si="98"/>
        <v>0</v>
      </c>
      <c r="I102" s="370">
        <f t="shared" si="99"/>
        <v>0</v>
      </c>
      <c r="J102" s="370">
        <f t="shared" si="100"/>
        <v>0</v>
      </c>
      <c r="K102" s="370">
        <v>2.4000000000000001E-4</v>
      </c>
      <c r="L102" s="370">
        <f t="shared" si="101"/>
        <v>8.3999999999999995E-3</v>
      </c>
      <c r="Y102" s="195">
        <f t="shared" si="102"/>
        <v>0</v>
      </c>
      <c r="AA102" s="195">
        <f t="shared" si="103"/>
        <v>0</v>
      </c>
      <c r="AB102" s="195">
        <f t="shared" si="104"/>
        <v>0</v>
      </c>
      <c r="AC102" s="195">
        <f t="shared" si="105"/>
        <v>0</v>
      </c>
      <c r="AD102" s="195">
        <f t="shared" si="106"/>
        <v>0</v>
      </c>
      <c r="AE102" s="195">
        <f t="shared" si="107"/>
        <v>0</v>
      </c>
      <c r="AF102" s="195">
        <f t="shared" si="108"/>
        <v>0</v>
      </c>
      <c r="AG102" s="195">
        <f t="shared" si="109"/>
        <v>0</v>
      </c>
      <c r="AH102" s="196"/>
      <c r="AI102" s="194">
        <f t="shared" si="110"/>
        <v>0</v>
      </c>
      <c r="AJ102" s="194">
        <f t="shared" si="111"/>
        <v>0</v>
      </c>
      <c r="AK102" s="194">
        <f t="shared" si="112"/>
        <v>0</v>
      </c>
      <c r="AM102" s="195">
        <v>21</v>
      </c>
      <c r="AN102" s="195">
        <f>G102*0.802387543252595</f>
        <v>0</v>
      </c>
      <c r="AO102" s="195">
        <f>G102*(1-0.802387543252595)</f>
        <v>0</v>
      </c>
      <c r="AP102" s="198" t="s">
        <v>255</v>
      </c>
      <c r="AU102" s="195">
        <f t="shared" si="113"/>
        <v>0</v>
      </c>
      <c r="AV102" s="195">
        <f t="shared" si="114"/>
        <v>0</v>
      </c>
      <c r="AW102" s="195">
        <f t="shared" si="115"/>
        <v>0</v>
      </c>
      <c r="AX102" s="197" t="s">
        <v>2074</v>
      </c>
      <c r="AY102" s="197" t="s">
        <v>2073</v>
      </c>
      <c r="AZ102" s="196" t="s">
        <v>2067</v>
      </c>
      <c r="BB102" s="195">
        <f t="shared" si="116"/>
        <v>0</v>
      </c>
      <c r="BC102" s="195">
        <f t="shared" si="117"/>
        <v>0</v>
      </c>
      <c r="BD102" s="195">
        <v>0</v>
      </c>
      <c r="BE102" s="195">
        <f t="shared" si="118"/>
        <v>8.3999999999999995E-3</v>
      </c>
      <c r="BG102" s="194">
        <f t="shared" si="119"/>
        <v>0</v>
      </c>
      <c r="BH102" s="194">
        <f t="shared" si="120"/>
        <v>0</v>
      </c>
      <c r="BI102" s="194">
        <f t="shared" si="121"/>
        <v>0</v>
      </c>
    </row>
    <row r="103" spans="1:61">
      <c r="A103" s="369" t="s">
        <v>727</v>
      </c>
      <c r="B103" s="369"/>
      <c r="C103" s="369" t="s">
        <v>2084</v>
      </c>
      <c r="D103" s="369" t="s">
        <v>2083</v>
      </c>
      <c r="E103" s="369" t="s">
        <v>291</v>
      </c>
      <c r="F103" s="370">
        <v>1</v>
      </c>
      <c r="G103" s="355">
        <v>0</v>
      </c>
      <c r="H103" s="370">
        <f t="shared" si="98"/>
        <v>0</v>
      </c>
      <c r="I103" s="370">
        <f t="shared" si="99"/>
        <v>0</v>
      </c>
      <c r="J103" s="370">
        <f t="shared" si="100"/>
        <v>0</v>
      </c>
      <c r="K103" s="370">
        <v>1.3999999999999999E-4</v>
      </c>
      <c r="L103" s="370">
        <f t="shared" si="101"/>
        <v>1.3999999999999999E-4</v>
      </c>
      <c r="Y103" s="195">
        <f t="shared" si="102"/>
        <v>0</v>
      </c>
      <c r="AA103" s="195">
        <f t="shared" si="103"/>
        <v>0</v>
      </c>
      <c r="AB103" s="195">
        <f t="shared" si="104"/>
        <v>0</v>
      </c>
      <c r="AC103" s="195">
        <f t="shared" si="105"/>
        <v>0</v>
      </c>
      <c r="AD103" s="195">
        <f t="shared" si="106"/>
        <v>0</v>
      </c>
      <c r="AE103" s="195">
        <f t="shared" si="107"/>
        <v>0</v>
      </c>
      <c r="AF103" s="195">
        <f t="shared" si="108"/>
        <v>0</v>
      </c>
      <c r="AG103" s="195">
        <f t="shared" si="109"/>
        <v>0</v>
      </c>
      <c r="AH103" s="196"/>
      <c r="AI103" s="194">
        <f t="shared" si="110"/>
        <v>0</v>
      </c>
      <c r="AJ103" s="194">
        <f t="shared" si="111"/>
        <v>0</v>
      </c>
      <c r="AK103" s="194">
        <f t="shared" si="112"/>
        <v>0</v>
      </c>
      <c r="AM103" s="195">
        <v>21</v>
      </c>
      <c r="AN103" s="195">
        <f>G103*0.217385286178974</f>
        <v>0</v>
      </c>
      <c r="AO103" s="195">
        <f>G103*(1-0.217385286178974)</f>
        <v>0</v>
      </c>
      <c r="AP103" s="198" t="s">
        <v>255</v>
      </c>
      <c r="AU103" s="195">
        <f t="shared" si="113"/>
        <v>0</v>
      </c>
      <c r="AV103" s="195">
        <f t="shared" si="114"/>
        <v>0</v>
      </c>
      <c r="AW103" s="195">
        <f t="shared" si="115"/>
        <v>0</v>
      </c>
      <c r="AX103" s="197" t="s">
        <v>2074</v>
      </c>
      <c r="AY103" s="197" t="s">
        <v>2073</v>
      </c>
      <c r="AZ103" s="196" t="s">
        <v>2067</v>
      </c>
      <c r="BB103" s="195">
        <f t="shared" si="116"/>
        <v>0</v>
      </c>
      <c r="BC103" s="195">
        <f t="shared" si="117"/>
        <v>0</v>
      </c>
      <c r="BD103" s="195">
        <v>0</v>
      </c>
      <c r="BE103" s="195">
        <f t="shared" si="118"/>
        <v>1.3999999999999999E-4</v>
      </c>
      <c r="BG103" s="194">
        <f t="shared" si="119"/>
        <v>0</v>
      </c>
      <c r="BH103" s="194">
        <f t="shared" si="120"/>
        <v>0</v>
      </c>
      <c r="BI103" s="194">
        <f t="shared" si="121"/>
        <v>0</v>
      </c>
    </row>
    <row r="104" spans="1:61">
      <c r="A104" s="373" t="s">
        <v>738</v>
      </c>
      <c r="B104" s="373"/>
      <c r="C104" s="373" t="s">
        <v>2082</v>
      </c>
      <c r="D104" s="373" t="s">
        <v>2081</v>
      </c>
      <c r="E104" s="373" t="s">
        <v>291</v>
      </c>
      <c r="F104" s="374">
        <v>1</v>
      </c>
      <c r="G104" s="357">
        <v>0</v>
      </c>
      <c r="H104" s="374">
        <f t="shared" si="98"/>
        <v>0</v>
      </c>
      <c r="I104" s="374">
        <f t="shared" si="99"/>
        <v>0</v>
      </c>
      <c r="J104" s="374">
        <f t="shared" si="100"/>
        <v>0</v>
      </c>
      <c r="K104" s="374">
        <v>2.3000000000000001E-4</v>
      </c>
      <c r="L104" s="374">
        <f t="shared" si="101"/>
        <v>2.3000000000000001E-4</v>
      </c>
      <c r="Y104" s="195">
        <f t="shared" si="102"/>
        <v>0</v>
      </c>
      <c r="AA104" s="195">
        <f t="shared" si="103"/>
        <v>0</v>
      </c>
      <c r="AB104" s="195">
        <f t="shared" si="104"/>
        <v>0</v>
      </c>
      <c r="AC104" s="195">
        <f t="shared" si="105"/>
        <v>0</v>
      </c>
      <c r="AD104" s="195">
        <f t="shared" si="106"/>
        <v>0</v>
      </c>
      <c r="AE104" s="195">
        <f t="shared" si="107"/>
        <v>0</v>
      </c>
      <c r="AF104" s="195">
        <f t="shared" si="108"/>
        <v>0</v>
      </c>
      <c r="AG104" s="195">
        <f t="shared" si="109"/>
        <v>0</v>
      </c>
      <c r="AH104" s="196"/>
      <c r="AI104" s="200">
        <f t="shared" si="110"/>
        <v>0</v>
      </c>
      <c r="AJ104" s="200">
        <f t="shared" si="111"/>
        <v>0</v>
      </c>
      <c r="AK104" s="200">
        <f t="shared" si="112"/>
        <v>0</v>
      </c>
      <c r="AM104" s="195">
        <v>21</v>
      </c>
      <c r="AN104" s="195">
        <f>G104*1</f>
        <v>0</v>
      </c>
      <c r="AO104" s="195">
        <f>G104*(1-1)</f>
        <v>0</v>
      </c>
      <c r="AP104" s="201" t="s">
        <v>255</v>
      </c>
      <c r="AU104" s="195">
        <f t="shared" si="113"/>
        <v>0</v>
      </c>
      <c r="AV104" s="195">
        <f t="shared" si="114"/>
        <v>0</v>
      </c>
      <c r="AW104" s="195">
        <f t="shared" si="115"/>
        <v>0</v>
      </c>
      <c r="AX104" s="197" t="s">
        <v>2074</v>
      </c>
      <c r="AY104" s="197" t="s">
        <v>2073</v>
      </c>
      <c r="AZ104" s="196" t="s">
        <v>2067</v>
      </c>
      <c r="BB104" s="195">
        <f t="shared" si="116"/>
        <v>0</v>
      </c>
      <c r="BC104" s="195">
        <f t="shared" si="117"/>
        <v>0</v>
      </c>
      <c r="BD104" s="195">
        <v>0</v>
      </c>
      <c r="BE104" s="195">
        <f t="shared" si="118"/>
        <v>2.3000000000000001E-4</v>
      </c>
      <c r="BG104" s="200">
        <f t="shared" si="119"/>
        <v>0</v>
      </c>
      <c r="BH104" s="200">
        <f t="shared" si="120"/>
        <v>0</v>
      </c>
      <c r="BI104" s="200">
        <f t="shared" si="121"/>
        <v>0</v>
      </c>
    </row>
    <row r="105" spans="1:61">
      <c r="A105" s="369" t="s">
        <v>743</v>
      </c>
      <c r="B105" s="369"/>
      <c r="C105" s="369" t="s">
        <v>2080</v>
      </c>
      <c r="D105" s="369" t="s">
        <v>2079</v>
      </c>
      <c r="E105" s="369" t="s">
        <v>291</v>
      </c>
      <c r="F105" s="370">
        <v>6</v>
      </c>
      <c r="G105" s="355">
        <v>0</v>
      </c>
      <c r="H105" s="370">
        <f t="shared" si="98"/>
        <v>0</v>
      </c>
      <c r="I105" s="370">
        <f t="shared" si="99"/>
        <v>0</v>
      </c>
      <c r="J105" s="370">
        <f t="shared" si="100"/>
        <v>0</v>
      </c>
      <c r="K105" s="370">
        <v>1.3999999999999999E-4</v>
      </c>
      <c r="L105" s="370">
        <f t="shared" si="101"/>
        <v>8.3999999999999993E-4</v>
      </c>
      <c r="Y105" s="195">
        <f t="shared" si="102"/>
        <v>0</v>
      </c>
      <c r="AA105" s="195">
        <f t="shared" si="103"/>
        <v>0</v>
      </c>
      <c r="AB105" s="195">
        <f t="shared" si="104"/>
        <v>0</v>
      </c>
      <c r="AC105" s="195">
        <f t="shared" si="105"/>
        <v>0</v>
      </c>
      <c r="AD105" s="195">
        <f t="shared" si="106"/>
        <v>0</v>
      </c>
      <c r="AE105" s="195">
        <f t="shared" si="107"/>
        <v>0</v>
      </c>
      <c r="AF105" s="195">
        <f t="shared" si="108"/>
        <v>0</v>
      </c>
      <c r="AG105" s="195">
        <f t="shared" si="109"/>
        <v>0</v>
      </c>
      <c r="AH105" s="196"/>
      <c r="AI105" s="194">
        <f t="shared" si="110"/>
        <v>0</v>
      </c>
      <c r="AJ105" s="194">
        <f t="shared" si="111"/>
        <v>0</v>
      </c>
      <c r="AK105" s="194">
        <f t="shared" si="112"/>
        <v>0</v>
      </c>
      <c r="AM105" s="195">
        <v>21</v>
      </c>
      <c r="AN105" s="195">
        <f>G105*0.827560459617538</f>
        <v>0</v>
      </c>
      <c r="AO105" s="195">
        <f>G105*(1-0.827560459617538)</f>
        <v>0</v>
      </c>
      <c r="AP105" s="198" t="s">
        <v>255</v>
      </c>
      <c r="AU105" s="195">
        <f t="shared" si="113"/>
        <v>0</v>
      </c>
      <c r="AV105" s="195">
        <f t="shared" si="114"/>
        <v>0</v>
      </c>
      <c r="AW105" s="195">
        <f t="shared" si="115"/>
        <v>0</v>
      </c>
      <c r="AX105" s="197" t="s">
        <v>2074</v>
      </c>
      <c r="AY105" s="197" t="s">
        <v>2073</v>
      </c>
      <c r="AZ105" s="196" t="s">
        <v>2067</v>
      </c>
      <c r="BB105" s="195">
        <f t="shared" si="116"/>
        <v>0</v>
      </c>
      <c r="BC105" s="195">
        <f t="shared" si="117"/>
        <v>0</v>
      </c>
      <c r="BD105" s="195">
        <v>0</v>
      </c>
      <c r="BE105" s="195">
        <f t="shared" si="118"/>
        <v>8.3999999999999993E-4</v>
      </c>
      <c r="BG105" s="194">
        <f t="shared" si="119"/>
        <v>0</v>
      </c>
      <c r="BH105" s="194">
        <f t="shared" si="120"/>
        <v>0</v>
      </c>
      <c r="BI105" s="194">
        <f t="shared" si="121"/>
        <v>0</v>
      </c>
    </row>
    <row r="106" spans="1:61">
      <c r="A106" s="369" t="s">
        <v>749</v>
      </c>
      <c r="B106" s="369"/>
      <c r="C106" s="369" t="s">
        <v>2078</v>
      </c>
      <c r="D106" s="369" t="s">
        <v>2077</v>
      </c>
      <c r="E106" s="369" t="s">
        <v>291</v>
      </c>
      <c r="F106" s="370">
        <v>7</v>
      </c>
      <c r="G106" s="355">
        <v>0</v>
      </c>
      <c r="H106" s="370">
        <f t="shared" si="98"/>
        <v>0</v>
      </c>
      <c r="I106" s="370">
        <f t="shared" si="99"/>
        <v>0</v>
      </c>
      <c r="J106" s="370">
        <f t="shared" si="100"/>
        <v>0</v>
      </c>
      <c r="K106" s="370">
        <v>6.9999999999999999E-4</v>
      </c>
      <c r="L106" s="370">
        <f t="shared" si="101"/>
        <v>4.8999999999999998E-3</v>
      </c>
      <c r="Y106" s="195">
        <f t="shared" si="102"/>
        <v>0</v>
      </c>
      <c r="AA106" s="195">
        <f t="shared" si="103"/>
        <v>0</v>
      </c>
      <c r="AB106" s="195">
        <f t="shared" si="104"/>
        <v>0</v>
      </c>
      <c r="AC106" s="195">
        <f t="shared" si="105"/>
        <v>0</v>
      </c>
      <c r="AD106" s="195">
        <f t="shared" si="106"/>
        <v>0</v>
      </c>
      <c r="AE106" s="195">
        <f t="shared" si="107"/>
        <v>0</v>
      </c>
      <c r="AF106" s="195">
        <f t="shared" si="108"/>
        <v>0</v>
      </c>
      <c r="AG106" s="195">
        <f t="shared" si="109"/>
        <v>0</v>
      </c>
      <c r="AH106" s="196"/>
      <c r="AI106" s="194">
        <f t="shared" si="110"/>
        <v>0</v>
      </c>
      <c r="AJ106" s="194">
        <f t="shared" si="111"/>
        <v>0</v>
      </c>
      <c r="AK106" s="194">
        <f t="shared" si="112"/>
        <v>0</v>
      </c>
      <c r="AM106" s="195">
        <v>21</v>
      </c>
      <c r="AN106" s="195">
        <f>G106*0.404125874125874</f>
        <v>0</v>
      </c>
      <c r="AO106" s="195">
        <f>G106*(1-0.404125874125874)</f>
        <v>0</v>
      </c>
      <c r="AP106" s="198" t="s">
        <v>255</v>
      </c>
      <c r="AU106" s="195">
        <f t="shared" si="113"/>
        <v>0</v>
      </c>
      <c r="AV106" s="195">
        <f t="shared" si="114"/>
        <v>0</v>
      </c>
      <c r="AW106" s="195">
        <f t="shared" si="115"/>
        <v>0</v>
      </c>
      <c r="AX106" s="197" t="s">
        <v>2074</v>
      </c>
      <c r="AY106" s="197" t="s">
        <v>2073</v>
      </c>
      <c r="AZ106" s="196" t="s">
        <v>2067</v>
      </c>
      <c r="BB106" s="195">
        <f t="shared" si="116"/>
        <v>0</v>
      </c>
      <c r="BC106" s="195">
        <f t="shared" si="117"/>
        <v>0</v>
      </c>
      <c r="BD106" s="195">
        <v>0</v>
      </c>
      <c r="BE106" s="195">
        <f t="shared" si="118"/>
        <v>4.8999999999999998E-3</v>
      </c>
      <c r="BG106" s="194">
        <f t="shared" si="119"/>
        <v>0</v>
      </c>
      <c r="BH106" s="194">
        <f t="shared" si="120"/>
        <v>0</v>
      </c>
      <c r="BI106" s="194">
        <f t="shared" si="121"/>
        <v>0</v>
      </c>
    </row>
    <row r="107" spans="1:61">
      <c r="A107" s="369" t="s">
        <v>754</v>
      </c>
      <c r="B107" s="369"/>
      <c r="C107" s="369" t="s">
        <v>2076</v>
      </c>
      <c r="D107" s="369" t="s">
        <v>2075</v>
      </c>
      <c r="E107" s="369" t="s">
        <v>273</v>
      </c>
      <c r="F107" s="370">
        <v>0.40500000000000003</v>
      </c>
      <c r="G107" s="355">
        <v>0</v>
      </c>
      <c r="H107" s="370">
        <f t="shared" si="98"/>
        <v>0</v>
      </c>
      <c r="I107" s="370">
        <f t="shared" si="99"/>
        <v>0</v>
      </c>
      <c r="J107" s="370">
        <f t="shared" si="100"/>
        <v>0</v>
      </c>
      <c r="K107" s="370">
        <v>0</v>
      </c>
      <c r="L107" s="370">
        <f t="shared" si="101"/>
        <v>0</v>
      </c>
      <c r="Y107" s="195">
        <f t="shared" si="102"/>
        <v>0</v>
      </c>
      <c r="AA107" s="195">
        <f t="shared" si="103"/>
        <v>0</v>
      </c>
      <c r="AB107" s="195">
        <f t="shared" si="104"/>
        <v>0</v>
      </c>
      <c r="AC107" s="195">
        <f t="shared" si="105"/>
        <v>0</v>
      </c>
      <c r="AD107" s="195">
        <f t="shared" si="106"/>
        <v>0</v>
      </c>
      <c r="AE107" s="195">
        <f t="shared" si="107"/>
        <v>0</v>
      </c>
      <c r="AF107" s="195">
        <f t="shared" si="108"/>
        <v>0</v>
      </c>
      <c r="AG107" s="195">
        <f t="shared" si="109"/>
        <v>0</v>
      </c>
      <c r="AH107" s="196"/>
      <c r="AI107" s="194">
        <f t="shared" si="110"/>
        <v>0</v>
      </c>
      <c r="AJ107" s="194">
        <f t="shared" si="111"/>
        <v>0</v>
      </c>
      <c r="AK107" s="194">
        <f t="shared" si="112"/>
        <v>0</v>
      </c>
      <c r="AM107" s="195">
        <v>21</v>
      </c>
      <c r="AN107" s="195">
        <f>G107*0</f>
        <v>0</v>
      </c>
      <c r="AO107" s="195">
        <f>G107*(1-0)</f>
        <v>0</v>
      </c>
      <c r="AP107" s="198" t="s">
        <v>255</v>
      </c>
      <c r="AU107" s="195">
        <f t="shared" si="113"/>
        <v>0</v>
      </c>
      <c r="AV107" s="195">
        <f t="shared" si="114"/>
        <v>0</v>
      </c>
      <c r="AW107" s="195">
        <f t="shared" si="115"/>
        <v>0</v>
      </c>
      <c r="AX107" s="197" t="s">
        <v>2074</v>
      </c>
      <c r="AY107" s="197" t="s">
        <v>2073</v>
      </c>
      <c r="AZ107" s="196" t="s">
        <v>2067</v>
      </c>
      <c r="BB107" s="195">
        <f t="shared" si="116"/>
        <v>0</v>
      </c>
      <c r="BC107" s="195">
        <f t="shared" si="117"/>
        <v>0</v>
      </c>
      <c r="BD107" s="195">
        <v>0</v>
      </c>
      <c r="BE107" s="195">
        <f t="shared" si="118"/>
        <v>0</v>
      </c>
      <c r="BG107" s="194">
        <f t="shared" si="119"/>
        <v>0</v>
      </c>
      <c r="BH107" s="194">
        <f t="shared" si="120"/>
        <v>0</v>
      </c>
      <c r="BI107" s="194">
        <f t="shared" si="121"/>
        <v>0</v>
      </c>
    </row>
    <row r="108" spans="1:61">
      <c r="A108" s="371"/>
      <c r="B108" s="372"/>
      <c r="C108" s="372" t="s">
        <v>2072</v>
      </c>
      <c r="D108" s="372" t="s">
        <v>1900</v>
      </c>
      <c r="E108" s="371" t="s">
        <v>27</v>
      </c>
      <c r="F108" s="371" t="s">
        <v>27</v>
      </c>
      <c r="G108" s="356" t="s">
        <v>27</v>
      </c>
      <c r="H108" s="386">
        <f>SUM(H109:H109)</f>
        <v>0</v>
      </c>
      <c r="I108" s="386">
        <f>SUM(I109:I109)</f>
        <v>0</v>
      </c>
      <c r="J108" s="386">
        <f>SUM(J109:J109)</f>
        <v>0</v>
      </c>
      <c r="K108" s="385"/>
      <c r="L108" s="386">
        <f>SUM(L109:L109)</f>
        <v>0</v>
      </c>
      <c r="AH108" s="196"/>
      <c r="AR108" s="199">
        <f>SUM(AI109:AI109)</f>
        <v>0</v>
      </c>
      <c r="AS108" s="199">
        <f>SUM(AJ109:AJ109)</f>
        <v>0</v>
      </c>
      <c r="AT108" s="199">
        <f>SUM(AK109:AK109)</f>
        <v>0</v>
      </c>
    </row>
    <row r="109" spans="1:61">
      <c r="A109" s="377" t="s">
        <v>758</v>
      </c>
      <c r="B109" s="377"/>
      <c r="C109" s="377" t="s">
        <v>2071</v>
      </c>
      <c r="D109" s="377" t="s">
        <v>2070</v>
      </c>
      <c r="E109" s="377" t="s">
        <v>1766</v>
      </c>
      <c r="F109" s="378">
        <v>1</v>
      </c>
      <c r="G109" s="359">
        <v>0</v>
      </c>
      <c r="H109" s="378">
        <f>F109*AN109</f>
        <v>0</v>
      </c>
      <c r="I109" s="378">
        <f>F109*AO109</f>
        <v>0</v>
      </c>
      <c r="J109" s="378">
        <f>F109*G109</f>
        <v>0</v>
      </c>
      <c r="K109" s="378">
        <v>0</v>
      </c>
      <c r="L109" s="378">
        <f>F109*K109</f>
        <v>0</v>
      </c>
      <c r="Y109" s="195">
        <f>IF(AP109="5",BI109,0)</f>
        <v>0</v>
      </c>
      <c r="AA109" s="195">
        <f>IF(AP109="1",BG109,0)</f>
        <v>0</v>
      </c>
      <c r="AB109" s="195">
        <f>IF(AP109="1",BH109,0)</f>
        <v>0</v>
      </c>
      <c r="AC109" s="195">
        <f>IF(AP109="7",BG109,0)</f>
        <v>0</v>
      </c>
      <c r="AD109" s="195">
        <f>IF(AP109="7",BH109,0)</f>
        <v>0</v>
      </c>
      <c r="AE109" s="195">
        <f>IF(AP109="2",BG109,0)</f>
        <v>0</v>
      </c>
      <c r="AF109" s="195">
        <f>IF(AP109="2",BH109,0)</f>
        <v>0</v>
      </c>
      <c r="AG109" s="195">
        <f>IF(AP109="0",BI109,0)</f>
        <v>0</v>
      </c>
      <c r="AH109" s="196"/>
      <c r="AI109" s="194">
        <f>IF(AM109=0,J109,0)</f>
        <v>0</v>
      </c>
      <c r="AJ109" s="194">
        <f>IF(AM109=15,J109,0)</f>
        <v>0</v>
      </c>
      <c r="AK109" s="194">
        <f>IF(AM109=21,J109,0)</f>
        <v>0</v>
      </c>
      <c r="AM109" s="195">
        <v>21</v>
      </c>
      <c r="AN109" s="195">
        <f>G109*0</f>
        <v>0</v>
      </c>
      <c r="AO109" s="195">
        <f>G109*(1-0)</f>
        <v>0</v>
      </c>
      <c r="AP109" s="198" t="s">
        <v>75</v>
      </c>
      <c r="AU109" s="195">
        <f>AV109+AW109</f>
        <v>0</v>
      </c>
      <c r="AV109" s="195">
        <f>F109*AN109</f>
        <v>0</v>
      </c>
      <c r="AW109" s="195">
        <f>F109*AO109</f>
        <v>0</v>
      </c>
      <c r="AX109" s="197" t="s">
        <v>2069</v>
      </c>
      <c r="AY109" s="197" t="s">
        <v>2068</v>
      </c>
      <c r="AZ109" s="196" t="s">
        <v>2067</v>
      </c>
      <c r="BB109" s="195">
        <f>AV109+AW109</f>
        <v>0</v>
      </c>
      <c r="BC109" s="195">
        <f>G109/(100-BD109)*100</f>
        <v>0</v>
      </c>
      <c r="BD109" s="195">
        <v>0</v>
      </c>
      <c r="BE109" s="195">
        <f>L109</f>
        <v>0</v>
      </c>
      <c r="BG109" s="194">
        <f>F109*AN109</f>
        <v>0</v>
      </c>
      <c r="BH109" s="194">
        <f>F109*AO109</f>
        <v>0</v>
      </c>
      <c r="BI109" s="194">
        <f>F109*G109</f>
        <v>0</v>
      </c>
    </row>
    <row r="110" spans="1:61">
      <c r="A110" s="360"/>
      <c r="B110" s="360"/>
      <c r="C110" s="360"/>
      <c r="D110" s="360"/>
      <c r="E110" s="360"/>
      <c r="F110" s="360"/>
      <c r="G110" s="360"/>
      <c r="H110" s="727" t="s">
        <v>2066</v>
      </c>
      <c r="I110" s="728"/>
      <c r="J110" s="415">
        <f>J12+J16+J36+J71+J108</f>
        <v>0</v>
      </c>
      <c r="K110" s="379"/>
      <c r="L110" s="379"/>
    </row>
    <row r="111" spans="1:61" ht="11.25" customHeight="1">
      <c r="A111" s="680"/>
      <c r="B111" s="358"/>
      <c r="C111" s="358"/>
      <c r="D111" s="358"/>
      <c r="E111" s="358"/>
      <c r="F111" s="358"/>
      <c r="G111" s="358"/>
      <c r="H111" s="358"/>
      <c r="I111" s="358"/>
      <c r="J111" s="358"/>
      <c r="K111" s="358"/>
      <c r="L111" s="358"/>
    </row>
    <row r="112" spans="1:61" ht="67.5" customHeight="1">
      <c r="A112" s="729" t="s">
        <v>3469</v>
      </c>
      <c r="B112" s="730"/>
      <c r="C112" s="730"/>
      <c r="D112" s="730"/>
      <c r="E112" s="730"/>
      <c r="F112" s="730"/>
      <c r="G112" s="730"/>
      <c r="H112" s="730"/>
      <c r="I112" s="730"/>
      <c r="J112" s="730"/>
      <c r="K112" s="730"/>
      <c r="L112" s="730"/>
    </row>
    <row r="115" spans="4:4">
      <c r="D115" s="191"/>
    </row>
  </sheetData>
  <sheetProtection password="CAB1" sheet="1" objects="1" scenarios="1"/>
  <mergeCells count="29">
    <mergeCell ref="A1:L1"/>
    <mergeCell ref="A2:C3"/>
    <mergeCell ref="D2:D3"/>
    <mergeCell ref="E2:F3"/>
    <mergeCell ref="G2:G3"/>
    <mergeCell ref="H2:H3"/>
    <mergeCell ref="I2:L3"/>
    <mergeCell ref="I4:L5"/>
    <mergeCell ref="A6:C7"/>
    <mergeCell ref="D6:D7"/>
    <mergeCell ref="E6:F7"/>
    <mergeCell ref="G6:G7"/>
    <mergeCell ref="H6:H7"/>
    <mergeCell ref="I6:L7"/>
    <mergeCell ref="A4:C5"/>
    <mergeCell ref="D4:D5"/>
    <mergeCell ref="E4:F5"/>
    <mergeCell ref="G4:G5"/>
    <mergeCell ref="H4:H5"/>
    <mergeCell ref="H10:J10"/>
    <mergeCell ref="K10:L10"/>
    <mergeCell ref="H110:I110"/>
    <mergeCell ref="A112:L112"/>
    <mergeCell ref="A8:C9"/>
    <mergeCell ref="D8:D9"/>
    <mergeCell ref="E8:F9"/>
    <mergeCell ref="G8:G9"/>
    <mergeCell ref="H8:H9"/>
    <mergeCell ref="I8:L9"/>
  </mergeCells>
  <pageMargins left="0.39400000000000002" right="0.39400000000000002" top="0.59099999999999997" bottom="0.59099999999999997" header="0.5" footer="0.5"/>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M91"/>
  <sheetViews>
    <sheetView showGridLines="0" topLeftCell="A69" workbookViewId="0">
      <selection activeCell="J89" sqref="J8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91</v>
      </c>
    </row>
    <row r="3" spans="1:46" s="1" customFormat="1" ht="6.95" customHeight="1">
      <c r="A3" s="61"/>
      <c r="B3" s="263"/>
      <c r="C3" s="264"/>
      <c r="D3" s="264"/>
      <c r="E3" s="264"/>
      <c r="F3" s="264"/>
      <c r="G3" s="264"/>
      <c r="H3" s="264"/>
      <c r="I3" s="264"/>
      <c r="J3" s="264"/>
      <c r="K3" s="264"/>
      <c r="L3" s="20"/>
      <c r="AT3" s="19" t="s">
        <v>77</v>
      </c>
    </row>
    <row r="4" spans="1:46" s="1" customFormat="1" ht="24.95" customHeight="1">
      <c r="A4" s="61"/>
      <c r="B4" s="265"/>
      <c r="C4" s="61"/>
      <c r="D4" s="266" t="s">
        <v>142</v>
      </c>
      <c r="E4" s="61"/>
      <c r="F4" s="61"/>
      <c r="G4" s="61"/>
      <c r="H4" s="61"/>
      <c r="I4" s="61"/>
      <c r="J4" s="61"/>
      <c r="K4" s="61"/>
      <c r="L4" s="20"/>
      <c r="M4" s="63" t="s">
        <v>11</v>
      </c>
      <c r="AT4" s="19" t="s">
        <v>4</v>
      </c>
    </row>
    <row r="5" spans="1:46" s="1" customFormat="1" ht="6.95" customHeight="1">
      <c r="A5" s="61"/>
      <c r="B5" s="265"/>
      <c r="C5" s="61"/>
      <c r="D5" s="61"/>
      <c r="E5" s="61"/>
      <c r="F5" s="61"/>
      <c r="G5" s="61"/>
      <c r="H5" s="61"/>
      <c r="I5" s="61"/>
      <c r="J5" s="61"/>
      <c r="K5" s="61"/>
      <c r="L5" s="20"/>
    </row>
    <row r="6" spans="1:46" s="1" customFormat="1" ht="12" customHeight="1">
      <c r="A6" s="61"/>
      <c r="B6" s="265"/>
      <c r="C6" s="61"/>
      <c r="D6" s="268" t="s">
        <v>15</v>
      </c>
      <c r="E6" s="61"/>
      <c r="F6" s="61"/>
      <c r="G6" s="61"/>
      <c r="H6" s="61"/>
      <c r="I6" s="61"/>
      <c r="J6" s="61"/>
      <c r="K6" s="61"/>
      <c r="L6" s="20"/>
    </row>
    <row r="7" spans="1:46" s="1" customFormat="1" ht="14.45" customHeight="1">
      <c r="A7" s="61"/>
      <c r="B7" s="265"/>
      <c r="C7" s="61"/>
      <c r="D7" s="61"/>
      <c r="E7" s="722" t="str">
        <f>'Rekapitulace stavby'!K6</f>
        <v>Úpravy gastroprovozu Úřadu vlády ČR v 1.pp Strakovy akademie</v>
      </c>
      <c r="F7" s="723"/>
      <c r="G7" s="723"/>
      <c r="H7" s="723"/>
      <c r="I7" s="61"/>
      <c r="J7" s="61"/>
      <c r="K7" s="61"/>
      <c r="L7" s="20"/>
    </row>
    <row r="8" spans="1:46" s="1" customFormat="1" ht="12" customHeight="1">
      <c r="A8" s="61"/>
      <c r="B8" s="265"/>
      <c r="C8" s="61"/>
      <c r="D8" s="268" t="s">
        <v>151</v>
      </c>
      <c r="E8" s="61"/>
      <c r="F8" s="61"/>
      <c r="G8" s="61"/>
      <c r="H8" s="61"/>
      <c r="I8" s="61"/>
      <c r="J8" s="61"/>
      <c r="K8" s="61"/>
      <c r="L8" s="20"/>
    </row>
    <row r="9" spans="1:46" s="2" customFormat="1" ht="14.45" customHeight="1">
      <c r="A9" s="271"/>
      <c r="B9" s="270"/>
      <c r="C9" s="271"/>
      <c r="D9" s="271"/>
      <c r="E9" s="722" t="s">
        <v>1759</v>
      </c>
      <c r="F9" s="721"/>
      <c r="G9" s="721"/>
      <c r="H9" s="721"/>
      <c r="I9" s="271"/>
      <c r="J9" s="271"/>
      <c r="K9" s="271"/>
      <c r="L9" s="64"/>
      <c r="S9" s="23"/>
      <c r="T9" s="23"/>
      <c r="U9" s="23"/>
      <c r="V9" s="23"/>
      <c r="W9" s="23"/>
      <c r="X9" s="23"/>
      <c r="Y9" s="23"/>
      <c r="Z9" s="23"/>
      <c r="AA9" s="23"/>
      <c r="AB9" s="23"/>
      <c r="AC9" s="23"/>
      <c r="AD9" s="23"/>
      <c r="AE9" s="23"/>
    </row>
    <row r="10" spans="1:46" s="2" customFormat="1" ht="12" customHeight="1">
      <c r="A10" s="271"/>
      <c r="B10" s="270"/>
      <c r="C10" s="271"/>
      <c r="D10" s="268" t="s">
        <v>157</v>
      </c>
      <c r="E10" s="271"/>
      <c r="F10" s="271"/>
      <c r="G10" s="271"/>
      <c r="H10" s="271"/>
      <c r="I10" s="271"/>
      <c r="J10" s="271"/>
      <c r="K10" s="271"/>
      <c r="L10" s="64"/>
      <c r="S10" s="23"/>
      <c r="T10" s="23"/>
      <c r="U10" s="23"/>
      <c r="V10" s="23"/>
      <c r="W10" s="23"/>
      <c r="X10" s="23"/>
      <c r="Y10" s="23"/>
      <c r="Z10" s="23"/>
      <c r="AA10" s="23"/>
      <c r="AB10" s="23"/>
      <c r="AC10" s="23"/>
      <c r="AD10" s="23"/>
      <c r="AE10" s="23"/>
    </row>
    <row r="11" spans="1:46" s="2" customFormat="1" ht="14.45" customHeight="1">
      <c r="A11" s="271"/>
      <c r="B11" s="270"/>
      <c r="C11" s="271"/>
      <c r="D11" s="271"/>
      <c r="E11" s="689" t="s">
        <v>1768</v>
      </c>
      <c r="F11" s="721"/>
      <c r="G11" s="721"/>
      <c r="H11" s="721"/>
      <c r="I11" s="271"/>
      <c r="J11" s="271"/>
      <c r="K11" s="271"/>
      <c r="L11" s="64"/>
      <c r="S11" s="23"/>
      <c r="T11" s="23"/>
      <c r="U11" s="23"/>
      <c r="V11" s="23"/>
      <c r="W11" s="23"/>
      <c r="X11" s="23"/>
      <c r="Y11" s="23"/>
      <c r="Z11" s="23"/>
      <c r="AA11" s="23"/>
      <c r="AB11" s="23"/>
      <c r="AC11" s="23"/>
      <c r="AD11" s="23"/>
      <c r="AE11" s="23"/>
    </row>
    <row r="12" spans="1:46" s="2" customFormat="1">
      <c r="A12" s="271"/>
      <c r="B12" s="270"/>
      <c r="C12" s="271"/>
      <c r="D12" s="271"/>
      <c r="E12" s="271"/>
      <c r="F12" s="271"/>
      <c r="G12" s="271"/>
      <c r="H12" s="271"/>
      <c r="I12" s="271"/>
      <c r="J12" s="271"/>
      <c r="K12" s="271"/>
      <c r="L12" s="64"/>
      <c r="S12" s="23"/>
      <c r="T12" s="23"/>
      <c r="U12" s="23"/>
      <c r="V12" s="23"/>
      <c r="W12" s="23"/>
      <c r="X12" s="23"/>
      <c r="Y12" s="23"/>
      <c r="Z12" s="23"/>
      <c r="AA12" s="23"/>
      <c r="AB12" s="23"/>
      <c r="AC12" s="23"/>
      <c r="AD12" s="23"/>
      <c r="AE12" s="23"/>
    </row>
    <row r="13" spans="1:46" s="2" customFormat="1" ht="12" customHeight="1">
      <c r="A13" s="271"/>
      <c r="B13" s="270"/>
      <c r="C13" s="271"/>
      <c r="D13" s="268" t="s">
        <v>17</v>
      </c>
      <c r="E13" s="271"/>
      <c r="F13" s="273" t="s">
        <v>3</v>
      </c>
      <c r="G13" s="271"/>
      <c r="H13" s="271"/>
      <c r="I13" s="268" t="s">
        <v>18</v>
      </c>
      <c r="J13" s="273" t="s">
        <v>3</v>
      </c>
      <c r="K13" s="271"/>
      <c r="L13" s="64"/>
      <c r="S13" s="23"/>
      <c r="T13" s="23"/>
      <c r="U13" s="23"/>
      <c r="V13" s="23"/>
      <c r="W13" s="23"/>
      <c r="X13" s="23"/>
      <c r="Y13" s="23"/>
      <c r="Z13" s="23"/>
      <c r="AA13" s="23"/>
      <c r="AB13" s="23"/>
      <c r="AC13" s="23"/>
      <c r="AD13" s="23"/>
      <c r="AE13" s="23"/>
    </row>
    <row r="14" spans="1:46" s="2" customFormat="1" ht="12" customHeight="1">
      <c r="A14" s="271"/>
      <c r="B14" s="270"/>
      <c r="C14" s="271"/>
      <c r="D14" s="268" t="s">
        <v>19</v>
      </c>
      <c r="E14" s="271"/>
      <c r="F14" s="273" t="s">
        <v>27</v>
      </c>
      <c r="G14" s="271"/>
      <c r="H14" s="271"/>
      <c r="I14" s="268" t="s">
        <v>21</v>
      </c>
      <c r="J14" s="387">
        <f>'Rekapitulace stavby'!AN8</f>
        <v>44077</v>
      </c>
      <c r="K14" s="271"/>
      <c r="L14" s="64"/>
      <c r="S14" s="23"/>
      <c r="T14" s="23"/>
      <c r="U14" s="23"/>
      <c r="V14" s="23"/>
      <c r="W14" s="23"/>
      <c r="X14" s="23"/>
      <c r="Y14" s="23"/>
      <c r="Z14" s="23"/>
      <c r="AA14" s="23"/>
      <c r="AB14" s="23"/>
      <c r="AC14" s="23"/>
      <c r="AD14" s="23"/>
      <c r="AE14" s="23"/>
    </row>
    <row r="15" spans="1:46" s="2" customFormat="1" ht="10.9" customHeight="1">
      <c r="A15" s="271"/>
      <c r="B15" s="270"/>
      <c r="C15" s="271"/>
      <c r="D15" s="271"/>
      <c r="E15" s="271"/>
      <c r="F15" s="271"/>
      <c r="G15" s="271"/>
      <c r="H15" s="271"/>
      <c r="I15" s="271"/>
      <c r="J15" s="271"/>
      <c r="K15" s="271"/>
      <c r="L15" s="64"/>
      <c r="S15" s="23"/>
      <c r="T15" s="23"/>
      <c r="U15" s="23"/>
      <c r="V15" s="23"/>
      <c r="W15" s="23"/>
      <c r="X15" s="23"/>
      <c r="Y15" s="23"/>
      <c r="Z15" s="23"/>
      <c r="AA15" s="23"/>
      <c r="AB15" s="23"/>
      <c r="AC15" s="23"/>
      <c r="AD15" s="23"/>
      <c r="AE15" s="23"/>
    </row>
    <row r="16" spans="1:46" s="2" customFormat="1" ht="12" customHeight="1">
      <c r="A16" s="271"/>
      <c r="B16" s="270"/>
      <c r="C16" s="271"/>
      <c r="D16" s="268" t="s">
        <v>22</v>
      </c>
      <c r="E16" s="271"/>
      <c r="F16" s="271"/>
      <c r="G16" s="271"/>
      <c r="H16" s="271"/>
      <c r="I16" s="268" t="s">
        <v>23</v>
      </c>
      <c r="J16" s="273" t="s">
        <v>3</v>
      </c>
      <c r="K16" s="271"/>
      <c r="L16" s="64"/>
      <c r="S16" s="23"/>
      <c r="T16" s="23"/>
      <c r="U16" s="23"/>
      <c r="V16" s="23"/>
      <c r="W16" s="23"/>
      <c r="X16" s="23"/>
      <c r="Y16" s="23"/>
      <c r="Z16" s="23"/>
      <c r="AA16" s="23"/>
      <c r="AB16" s="23"/>
      <c r="AC16" s="23"/>
      <c r="AD16" s="23"/>
      <c r="AE16" s="23"/>
    </row>
    <row r="17" spans="1:31" s="2" customFormat="1" ht="18" customHeight="1">
      <c r="A17" s="271"/>
      <c r="B17" s="270"/>
      <c r="C17" s="271"/>
      <c r="D17" s="271"/>
      <c r="E17" s="273" t="s">
        <v>24</v>
      </c>
      <c r="F17" s="271"/>
      <c r="G17" s="271"/>
      <c r="H17" s="271"/>
      <c r="I17" s="268" t="s">
        <v>25</v>
      </c>
      <c r="J17" s="273" t="s">
        <v>3</v>
      </c>
      <c r="K17" s="271"/>
      <c r="L17" s="64"/>
      <c r="S17" s="23"/>
      <c r="T17" s="23"/>
      <c r="U17" s="23"/>
      <c r="V17" s="23"/>
      <c r="W17" s="23"/>
      <c r="X17" s="23"/>
      <c r="Y17" s="23"/>
      <c r="Z17" s="23"/>
      <c r="AA17" s="23"/>
      <c r="AB17" s="23"/>
      <c r="AC17" s="23"/>
      <c r="AD17" s="23"/>
      <c r="AE17" s="23"/>
    </row>
    <row r="18" spans="1:31" s="2" customFormat="1" ht="6.95" customHeight="1">
      <c r="A18" s="271"/>
      <c r="B18" s="270"/>
      <c r="C18" s="271"/>
      <c r="D18" s="271"/>
      <c r="E18" s="271"/>
      <c r="F18" s="271"/>
      <c r="G18" s="271"/>
      <c r="H18" s="271"/>
      <c r="I18" s="271"/>
      <c r="J18" s="271"/>
      <c r="K18" s="271"/>
      <c r="L18" s="64"/>
      <c r="S18" s="23"/>
      <c r="T18" s="23"/>
      <c r="U18" s="23"/>
      <c r="V18" s="23"/>
      <c r="W18" s="23"/>
      <c r="X18" s="23"/>
      <c r="Y18" s="23"/>
      <c r="Z18" s="23"/>
      <c r="AA18" s="23"/>
      <c r="AB18" s="23"/>
      <c r="AC18" s="23"/>
      <c r="AD18" s="23"/>
      <c r="AE18" s="23"/>
    </row>
    <row r="19" spans="1:31" s="2" customFormat="1" ht="12" customHeight="1">
      <c r="A19" s="271"/>
      <c r="B19" s="270"/>
      <c r="C19" s="271"/>
      <c r="D19" s="268" t="s">
        <v>26</v>
      </c>
      <c r="E19" s="271"/>
      <c r="F19" s="271"/>
      <c r="G19" s="271"/>
      <c r="H19" s="271"/>
      <c r="I19" s="268" t="s">
        <v>23</v>
      </c>
      <c r="J19" s="273" t="str">
        <f>'Rekapitulace stavby'!AN13</f>
        <v/>
      </c>
      <c r="K19" s="271"/>
      <c r="L19" s="64"/>
      <c r="S19" s="23"/>
      <c r="T19" s="23"/>
      <c r="U19" s="23"/>
      <c r="V19" s="23"/>
      <c r="W19" s="23"/>
      <c r="X19" s="23"/>
      <c r="Y19" s="23"/>
      <c r="Z19" s="23"/>
      <c r="AA19" s="23"/>
      <c r="AB19" s="23"/>
      <c r="AC19" s="23"/>
      <c r="AD19" s="23"/>
      <c r="AE19" s="23"/>
    </row>
    <row r="20" spans="1:31" s="2" customFormat="1" ht="18" customHeight="1">
      <c r="A20" s="271"/>
      <c r="B20" s="270"/>
      <c r="C20" s="271"/>
      <c r="D20" s="271"/>
      <c r="E20" s="714" t="str">
        <f>'Rekapitulace stavby'!E14</f>
        <v xml:space="preserve"> </v>
      </c>
      <c r="F20" s="714"/>
      <c r="G20" s="714"/>
      <c r="H20" s="714"/>
      <c r="I20" s="268" t="s">
        <v>25</v>
      </c>
      <c r="J20" s="273" t="str">
        <f>'Rekapitulace stavby'!AN14</f>
        <v/>
      </c>
      <c r="K20" s="271"/>
      <c r="L20" s="64"/>
      <c r="S20" s="23"/>
      <c r="T20" s="23"/>
      <c r="U20" s="23"/>
      <c r="V20" s="23"/>
      <c r="W20" s="23"/>
      <c r="X20" s="23"/>
      <c r="Y20" s="23"/>
      <c r="Z20" s="23"/>
      <c r="AA20" s="23"/>
      <c r="AB20" s="23"/>
      <c r="AC20" s="23"/>
      <c r="AD20" s="23"/>
      <c r="AE20" s="23"/>
    </row>
    <row r="21" spans="1:31" s="2" customFormat="1" ht="6.95" customHeight="1">
      <c r="A21" s="271"/>
      <c r="B21" s="270"/>
      <c r="C21" s="271"/>
      <c r="D21" s="271"/>
      <c r="E21" s="271"/>
      <c r="F21" s="271"/>
      <c r="G21" s="271"/>
      <c r="H21" s="271"/>
      <c r="I21" s="271"/>
      <c r="J21" s="271"/>
      <c r="K21" s="271"/>
      <c r="L21" s="64"/>
      <c r="S21" s="23"/>
      <c r="T21" s="23"/>
      <c r="U21" s="23"/>
      <c r="V21" s="23"/>
      <c r="W21" s="23"/>
      <c r="X21" s="23"/>
      <c r="Y21" s="23"/>
      <c r="Z21" s="23"/>
      <c r="AA21" s="23"/>
      <c r="AB21" s="23"/>
      <c r="AC21" s="23"/>
      <c r="AD21" s="23"/>
      <c r="AE21" s="23"/>
    </row>
    <row r="22" spans="1:31" s="2" customFormat="1" ht="12" customHeight="1">
      <c r="A22" s="271"/>
      <c r="B22" s="270"/>
      <c r="C22" s="271"/>
      <c r="D22" s="268" t="s">
        <v>28</v>
      </c>
      <c r="E22" s="271"/>
      <c r="F22" s="271"/>
      <c r="G22" s="271"/>
      <c r="H22" s="271"/>
      <c r="I22" s="268" t="s">
        <v>23</v>
      </c>
      <c r="J22" s="273" t="s">
        <v>3</v>
      </c>
      <c r="K22" s="271"/>
      <c r="L22" s="64"/>
      <c r="S22" s="23"/>
      <c r="T22" s="23"/>
      <c r="U22" s="23"/>
      <c r="V22" s="23"/>
      <c r="W22" s="23"/>
      <c r="X22" s="23"/>
      <c r="Y22" s="23"/>
      <c r="Z22" s="23"/>
      <c r="AA22" s="23"/>
      <c r="AB22" s="23"/>
      <c r="AC22" s="23"/>
      <c r="AD22" s="23"/>
      <c r="AE22" s="23"/>
    </row>
    <row r="23" spans="1:31" s="2" customFormat="1" ht="18" customHeight="1">
      <c r="A23" s="271"/>
      <c r="B23" s="270"/>
      <c r="C23" s="271"/>
      <c r="D23" s="271"/>
      <c r="E23" s="273" t="s">
        <v>29</v>
      </c>
      <c r="F23" s="271"/>
      <c r="G23" s="271"/>
      <c r="H23" s="271"/>
      <c r="I23" s="268" t="s">
        <v>25</v>
      </c>
      <c r="J23" s="273" t="s">
        <v>3</v>
      </c>
      <c r="K23" s="271"/>
      <c r="L23" s="64"/>
      <c r="S23" s="23"/>
      <c r="T23" s="23"/>
      <c r="U23" s="23"/>
      <c r="V23" s="23"/>
      <c r="W23" s="23"/>
      <c r="X23" s="23"/>
      <c r="Y23" s="23"/>
      <c r="Z23" s="23"/>
      <c r="AA23" s="23"/>
      <c r="AB23" s="23"/>
      <c r="AC23" s="23"/>
      <c r="AD23" s="23"/>
      <c r="AE23" s="23"/>
    </row>
    <row r="24" spans="1:31" s="2" customFormat="1" ht="6.95" customHeight="1">
      <c r="A24" s="271"/>
      <c r="B24" s="270"/>
      <c r="C24" s="271"/>
      <c r="D24" s="271"/>
      <c r="E24" s="271"/>
      <c r="F24" s="271"/>
      <c r="G24" s="271"/>
      <c r="H24" s="271"/>
      <c r="I24" s="271"/>
      <c r="J24" s="271"/>
      <c r="K24" s="271"/>
      <c r="L24" s="64"/>
      <c r="S24" s="23"/>
      <c r="T24" s="23"/>
      <c r="U24" s="23"/>
      <c r="V24" s="23"/>
      <c r="W24" s="23"/>
      <c r="X24" s="23"/>
      <c r="Y24" s="23"/>
      <c r="Z24" s="23"/>
      <c r="AA24" s="23"/>
      <c r="AB24" s="23"/>
      <c r="AC24" s="23"/>
      <c r="AD24" s="23"/>
      <c r="AE24" s="23"/>
    </row>
    <row r="25" spans="1:31" s="2" customFormat="1" ht="12" customHeight="1">
      <c r="A25" s="271"/>
      <c r="B25" s="270"/>
      <c r="C25" s="271"/>
      <c r="D25" s="268" t="s">
        <v>31</v>
      </c>
      <c r="E25" s="271"/>
      <c r="F25" s="271"/>
      <c r="G25" s="271"/>
      <c r="H25" s="271"/>
      <c r="I25" s="268" t="s">
        <v>23</v>
      </c>
      <c r="J25" s="273" t="s">
        <v>3</v>
      </c>
      <c r="K25" s="271"/>
      <c r="L25" s="64"/>
      <c r="S25" s="23"/>
      <c r="T25" s="23"/>
      <c r="U25" s="23"/>
      <c r="V25" s="23"/>
      <c r="W25" s="23"/>
      <c r="X25" s="23"/>
      <c r="Y25" s="23"/>
      <c r="Z25" s="23"/>
      <c r="AA25" s="23"/>
      <c r="AB25" s="23"/>
      <c r="AC25" s="23"/>
      <c r="AD25" s="23"/>
      <c r="AE25" s="23"/>
    </row>
    <row r="26" spans="1:31" s="2" customFormat="1" ht="18" customHeight="1">
      <c r="A26" s="271"/>
      <c r="B26" s="270"/>
      <c r="C26" s="271"/>
      <c r="D26" s="271"/>
      <c r="E26" s="273" t="s">
        <v>29</v>
      </c>
      <c r="F26" s="271"/>
      <c r="G26" s="271"/>
      <c r="H26" s="271"/>
      <c r="I26" s="268" t="s">
        <v>25</v>
      </c>
      <c r="J26" s="273" t="s">
        <v>3</v>
      </c>
      <c r="K26" s="271"/>
      <c r="L26" s="64"/>
      <c r="S26" s="23"/>
      <c r="T26" s="23"/>
      <c r="U26" s="23"/>
      <c r="V26" s="23"/>
      <c r="W26" s="23"/>
      <c r="X26" s="23"/>
      <c r="Y26" s="23"/>
      <c r="Z26" s="23"/>
      <c r="AA26" s="23"/>
      <c r="AB26" s="23"/>
      <c r="AC26" s="23"/>
      <c r="AD26" s="23"/>
      <c r="AE26" s="23"/>
    </row>
    <row r="27" spans="1:31" s="2" customFormat="1" ht="6.95" customHeight="1">
      <c r="A27" s="271"/>
      <c r="B27" s="270"/>
      <c r="C27" s="271"/>
      <c r="D27" s="271"/>
      <c r="E27" s="271"/>
      <c r="F27" s="271"/>
      <c r="G27" s="271"/>
      <c r="H27" s="271"/>
      <c r="I27" s="271"/>
      <c r="J27" s="271"/>
      <c r="K27" s="271"/>
      <c r="L27" s="64"/>
      <c r="S27" s="23"/>
      <c r="T27" s="23"/>
      <c r="U27" s="23"/>
      <c r="V27" s="23"/>
      <c r="W27" s="23"/>
      <c r="X27" s="23"/>
      <c r="Y27" s="23"/>
      <c r="Z27" s="23"/>
      <c r="AA27" s="23"/>
      <c r="AB27" s="23"/>
      <c r="AC27" s="23"/>
      <c r="AD27" s="23"/>
      <c r="AE27" s="23"/>
    </row>
    <row r="28" spans="1:31" s="2" customFormat="1" ht="12" customHeight="1">
      <c r="A28" s="271"/>
      <c r="B28" s="270"/>
      <c r="C28" s="271"/>
      <c r="D28" s="268" t="s">
        <v>32</v>
      </c>
      <c r="E28" s="271"/>
      <c r="F28" s="271"/>
      <c r="G28" s="271"/>
      <c r="H28" s="271"/>
      <c r="I28" s="271"/>
      <c r="J28" s="271"/>
      <c r="K28" s="271"/>
      <c r="L28" s="64"/>
      <c r="S28" s="23"/>
      <c r="T28" s="23"/>
      <c r="U28" s="23"/>
      <c r="V28" s="23"/>
      <c r="W28" s="23"/>
      <c r="X28" s="23"/>
      <c r="Y28" s="23"/>
      <c r="Z28" s="23"/>
      <c r="AA28" s="23"/>
      <c r="AB28" s="23"/>
      <c r="AC28" s="23"/>
      <c r="AD28" s="23"/>
      <c r="AE28" s="23"/>
    </row>
    <row r="29" spans="1:31" s="8" customFormat="1" ht="14.45" customHeight="1">
      <c r="A29" s="274"/>
      <c r="B29" s="275"/>
      <c r="C29" s="274"/>
      <c r="D29" s="274"/>
      <c r="E29" s="707" t="s">
        <v>3</v>
      </c>
      <c r="F29" s="707"/>
      <c r="G29" s="707"/>
      <c r="H29" s="707"/>
      <c r="I29" s="274"/>
      <c r="J29" s="274"/>
      <c r="K29" s="274"/>
      <c r="L29" s="66"/>
      <c r="S29" s="65"/>
      <c r="T29" s="65"/>
      <c r="U29" s="65"/>
      <c r="V29" s="65"/>
      <c r="W29" s="65"/>
      <c r="X29" s="65"/>
      <c r="Y29" s="65"/>
      <c r="Z29" s="65"/>
      <c r="AA29" s="65"/>
      <c r="AB29" s="65"/>
      <c r="AC29" s="65"/>
      <c r="AD29" s="65"/>
      <c r="AE29" s="65"/>
    </row>
    <row r="30" spans="1:31" s="2" customFormat="1" ht="6.95" customHeight="1">
      <c r="A30" s="271"/>
      <c r="B30" s="270"/>
      <c r="C30" s="271"/>
      <c r="D30" s="271"/>
      <c r="E30" s="271"/>
      <c r="F30" s="271"/>
      <c r="G30" s="271"/>
      <c r="H30" s="271"/>
      <c r="I30" s="271"/>
      <c r="J30" s="271"/>
      <c r="K30" s="271"/>
      <c r="L30" s="64"/>
      <c r="S30" s="23"/>
      <c r="T30" s="23"/>
      <c r="U30" s="23"/>
      <c r="V30" s="23"/>
      <c r="W30" s="23"/>
      <c r="X30" s="23"/>
      <c r="Y30" s="23"/>
      <c r="Z30" s="23"/>
      <c r="AA30" s="23"/>
      <c r="AB30" s="23"/>
      <c r="AC30" s="23"/>
      <c r="AD30" s="23"/>
      <c r="AE30" s="23"/>
    </row>
    <row r="31" spans="1:31" s="2" customFormat="1" ht="6.95" customHeight="1">
      <c r="A31" s="271"/>
      <c r="B31" s="270"/>
      <c r="C31" s="271"/>
      <c r="D31" s="276"/>
      <c r="E31" s="276"/>
      <c r="F31" s="276"/>
      <c r="G31" s="276"/>
      <c r="H31" s="276"/>
      <c r="I31" s="276"/>
      <c r="J31" s="276"/>
      <c r="K31" s="276"/>
      <c r="L31" s="64"/>
      <c r="S31" s="23"/>
      <c r="T31" s="23"/>
      <c r="U31" s="23"/>
      <c r="V31" s="23"/>
      <c r="W31" s="23"/>
      <c r="X31" s="23"/>
      <c r="Y31" s="23"/>
      <c r="Z31" s="23"/>
      <c r="AA31" s="23"/>
      <c r="AB31" s="23"/>
      <c r="AC31" s="23"/>
      <c r="AD31" s="23"/>
      <c r="AE31" s="23"/>
    </row>
    <row r="32" spans="1:31" s="2" customFormat="1" ht="25.35" customHeight="1">
      <c r="A32" s="271"/>
      <c r="B32" s="270"/>
      <c r="C32" s="271"/>
      <c r="D32" s="277" t="s">
        <v>34</v>
      </c>
      <c r="E32" s="271"/>
      <c r="F32" s="271"/>
      <c r="G32" s="271"/>
      <c r="H32" s="271"/>
      <c r="I32" s="271"/>
      <c r="J32" s="388">
        <f>ROUND(J87, 2)</f>
        <v>0</v>
      </c>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14.45" customHeight="1">
      <c r="A34" s="271"/>
      <c r="B34" s="270"/>
      <c r="C34" s="271"/>
      <c r="D34" s="271"/>
      <c r="E34" s="271"/>
      <c r="F34" s="278" t="s">
        <v>36</v>
      </c>
      <c r="G34" s="271"/>
      <c r="H34" s="271"/>
      <c r="I34" s="278" t="s">
        <v>35</v>
      </c>
      <c r="J34" s="278" t="s">
        <v>37</v>
      </c>
      <c r="K34" s="271"/>
      <c r="L34" s="64"/>
      <c r="S34" s="23"/>
      <c r="T34" s="23"/>
      <c r="U34" s="23"/>
      <c r="V34" s="23"/>
      <c r="W34" s="23"/>
      <c r="X34" s="23"/>
      <c r="Y34" s="23"/>
      <c r="Z34" s="23"/>
      <c r="AA34" s="23"/>
      <c r="AB34" s="23"/>
      <c r="AC34" s="23"/>
      <c r="AD34" s="23"/>
      <c r="AE34" s="23"/>
    </row>
    <row r="35" spans="1:31" s="2" customFormat="1" ht="14.45" customHeight="1">
      <c r="A35" s="271"/>
      <c r="B35" s="270"/>
      <c r="C35" s="271"/>
      <c r="D35" s="279" t="s">
        <v>38</v>
      </c>
      <c r="E35" s="268" t="s">
        <v>39</v>
      </c>
      <c r="F35" s="280">
        <f>ROUND((SUM(BE87:BE90)),  2)</f>
        <v>0</v>
      </c>
      <c r="G35" s="271"/>
      <c r="H35" s="271"/>
      <c r="I35" s="389">
        <v>0.21</v>
      </c>
      <c r="J35" s="280">
        <f>ROUND(((SUM(BE87:BE90))*I35),  2)</f>
        <v>0</v>
      </c>
      <c r="K35" s="271"/>
      <c r="L35" s="64"/>
      <c r="S35" s="23"/>
      <c r="T35" s="23"/>
      <c r="U35" s="23"/>
      <c r="V35" s="23"/>
      <c r="W35" s="23"/>
      <c r="X35" s="23"/>
      <c r="Y35" s="23"/>
      <c r="Z35" s="23"/>
      <c r="AA35" s="23"/>
      <c r="AB35" s="23"/>
      <c r="AC35" s="23"/>
      <c r="AD35" s="23"/>
      <c r="AE35" s="23"/>
    </row>
    <row r="36" spans="1:31" s="2" customFormat="1" ht="14.45" customHeight="1">
      <c r="A36" s="271"/>
      <c r="B36" s="270"/>
      <c r="C36" s="271"/>
      <c r="D36" s="271"/>
      <c r="E36" s="268" t="s">
        <v>40</v>
      </c>
      <c r="F36" s="280">
        <f>ROUND((SUM(BF87:BF90)),  2)</f>
        <v>0</v>
      </c>
      <c r="G36" s="271"/>
      <c r="H36" s="271"/>
      <c r="I36" s="389">
        <v>0.15</v>
      </c>
      <c r="J36" s="280">
        <f>ROUND(((SUM(BF87:BF90))*I36),  2)</f>
        <v>0</v>
      </c>
      <c r="K36" s="271"/>
      <c r="L36" s="64"/>
      <c r="S36" s="23"/>
      <c r="T36" s="23"/>
      <c r="U36" s="23"/>
      <c r="V36" s="23"/>
      <c r="W36" s="23"/>
      <c r="X36" s="23"/>
      <c r="Y36" s="23"/>
      <c r="Z36" s="23"/>
      <c r="AA36" s="23"/>
      <c r="AB36" s="23"/>
      <c r="AC36" s="23"/>
      <c r="AD36" s="23"/>
      <c r="AE36" s="23"/>
    </row>
    <row r="37" spans="1:31" s="2" customFormat="1" ht="14.45" hidden="1" customHeight="1">
      <c r="A37" s="271"/>
      <c r="B37" s="270"/>
      <c r="C37" s="271"/>
      <c r="D37" s="271"/>
      <c r="E37" s="268" t="s">
        <v>41</v>
      </c>
      <c r="F37" s="280">
        <f>ROUND((SUM(BG87:BG90)),  2)</f>
        <v>0</v>
      </c>
      <c r="G37" s="271"/>
      <c r="H37" s="271"/>
      <c r="I37" s="389">
        <v>0.21</v>
      </c>
      <c r="J37" s="280">
        <f>0</f>
        <v>0</v>
      </c>
      <c r="K37" s="271"/>
      <c r="L37" s="64"/>
      <c r="S37" s="23"/>
      <c r="T37" s="23"/>
      <c r="U37" s="23"/>
      <c r="V37" s="23"/>
      <c r="W37" s="23"/>
      <c r="X37" s="23"/>
      <c r="Y37" s="23"/>
      <c r="Z37" s="23"/>
      <c r="AA37" s="23"/>
      <c r="AB37" s="23"/>
      <c r="AC37" s="23"/>
      <c r="AD37" s="23"/>
      <c r="AE37" s="23"/>
    </row>
    <row r="38" spans="1:31" s="2" customFormat="1" ht="14.45" hidden="1" customHeight="1">
      <c r="A38" s="271"/>
      <c r="B38" s="270"/>
      <c r="C38" s="271"/>
      <c r="D38" s="271"/>
      <c r="E38" s="268" t="s">
        <v>42</v>
      </c>
      <c r="F38" s="280">
        <f>ROUND((SUM(BH87:BH90)),  2)</f>
        <v>0</v>
      </c>
      <c r="G38" s="271"/>
      <c r="H38" s="271"/>
      <c r="I38" s="389">
        <v>0.15</v>
      </c>
      <c r="J38" s="280">
        <f>0</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43</v>
      </c>
      <c r="F39" s="280">
        <f>ROUND((SUM(BI87:BI90)),  2)</f>
        <v>0</v>
      </c>
      <c r="G39" s="271"/>
      <c r="H39" s="271"/>
      <c r="I39" s="389">
        <v>0</v>
      </c>
      <c r="J39" s="280">
        <f>0</f>
        <v>0</v>
      </c>
      <c r="K39" s="271"/>
      <c r="L39" s="64"/>
      <c r="S39" s="23"/>
      <c r="T39" s="23"/>
      <c r="U39" s="23"/>
      <c r="V39" s="23"/>
      <c r="W39" s="23"/>
      <c r="X39" s="23"/>
      <c r="Y39" s="23"/>
      <c r="Z39" s="23"/>
      <c r="AA39" s="23"/>
      <c r="AB39" s="23"/>
      <c r="AC39" s="23"/>
      <c r="AD39" s="23"/>
      <c r="AE39" s="23"/>
    </row>
    <row r="40" spans="1:31" s="2" customFormat="1" ht="6.95" customHeight="1">
      <c r="A40" s="271"/>
      <c r="B40" s="270"/>
      <c r="C40" s="271"/>
      <c r="D40" s="271"/>
      <c r="E40" s="271"/>
      <c r="F40" s="271"/>
      <c r="G40" s="271"/>
      <c r="H40" s="271"/>
      <c r="I40" s="271"/>
      <c r="J40" s="271"/>
      <c r="K40" s="271"/>
      <c r="L40" s="64"/>
      <c r="S40" s="23"/>
      <c r="T40" s="23"/>
      <c r="U40" s="23"/>
      <c r="V40" s="23"/>
      <c r="W40" s="23"/>
      <c r="X40" s="23"/>
      <c r="Y40" s="23"/>
      <c r="Z40" s="23"/>
      <c r="AA40" s="23"/>
      <c r="AB40" s="23"/>
      <c r="AC40" s="23"/>
      <c r="AD40" s="23"/>
      <c r="AE40" s="23"/>
    </row>
    <row r="41" spans="1:31" s="2" customFormat="1" ht="25.35" customHeight="1">
      <c r="A41" s="271"/>
      <c r="B41" s="270"/>
      <c r="C41" s="281"/>
      <c r="D41" s="282" t="s">
        <v>44</v>
      </c>
      <c r="E41" s="283"/>
      <c r="F41" s="283"/>
      <c r="G41" s="284" t="s">
        <v>45</v>
      </c>
      <c r="H41" s="285" t="s">
        <v>46</v>
      </c>
      <c r="I41" s="283"/>
      <c r="J41" s="390">
        <f>SUM(J32:J39)</f>
        <v>0</v>
      </c>
      <c r="K41" s="339"/>
      <c r="L41" s="64"/>
      <c r="S41" s="23"/>
      <c r="T41" s="23"/>
      <c r="U41" s="23"/>
      <c r="V41" s="23"/>
      <c r="W41" s="23"/>
      <c r="X41" s="23"/>
      <c r="Y41" s="23"/>
      <c r="Z41" s="23"/>
      <c r="AA41" s="23"/>
      <c r="AB41" s="23"/>
      <c r="AC41" s="23"/>
      <c r="AD41" s="23"/>
      <c r="AE41" s="23"/>
    </row>
    <row r="42" spans="1:31" s="2" customFormat="1" ht="14.45" customHeight="1">
      <c r="A42" s="271"/>
      <c r="B42" s="286"/>
      <c r="C42" s="287"/>
      <c r="D42" s="287"/>
      <c r="E42" s="287"/>
      <c r="F42" s="287"/>
      <c r="G42" s="287"/>
      <c r="H42" s="287"/>
      <c r="I42" s="287"/>
      <c r="J42" s="287"/>
      <c r="K42" s="287"/>
      <c r="L42" s="64"/>
      <c r="S42" s="23"/>
      <c r="T42" s="23"/>
      <c r="U42" s="23"/>
      <c r="V42" s="23"/>
      <c r="W42" s="23"/>
      <c r="X42" s="23"/>
      <c r="Y42" s="23"/>
      <c r="Z42" s="23"/>
      <c r="AA42" s="23"/>
      <c r="AB42" s="23"/>
      <c r="AC42" s="23"/>
      <c r="AD42" s="23"/>
      <c r="AE42" s="23"/>
    </row>
    <row r="43" spans="1:31">
      <c r="A43" s="61"/>
      <c r="B43" s="61"/>
      <c r="C43" s="61"/>
      <c r="D43" s="61"/>
      <c r="E43" s="61"/>
      <c r="F43" s="61"/>
      <c r="G43" s="61"/>
      <c r="H43" s="61"/>
      <c r="I43" s="61"/>
      <c r="J43" s="61"/>
      <c r="K43" s="61"/>
    </row>
    <row r="44" spans="1:31">
      <c r="A44" s="61"/>
      <c r="B44" s="61"/>
      <c r="C44" s="61"/>
      <c r="D44" s="61"/>
      <c r="E44" s="61"/>
      <c r="F44" s="61"/>
      <c r="G44" s="61"/>
      <c r="H44" s="61"/>
      <c r="I44" s="61"/>
      <c r="J44" s="61"/>
      <c r="K44" s="61"/>
    </row>
    <row r="45" spans="1:31">
      <c r="A45" s="61"/>
      <c r="B45" s="61"/>
      <c r="C45" s="61"/>
      <c r="D45" s="61"/>
      <c r="E45" s="61"/>
      <c r="F45" s="61"/>
      <c r="G45" s="61"/>
      <c r="H45" s="61"/>
      <c r="I45" s="61"/>
      <c r="J45" s="61"/>
      <c r="K45" s="61"/>
    </row>
    <row r="46" spans="1:31" s="2" customFormat="1" ht="6.95" customHeight="1">
      <c r="A46" s="271"/>
      <c r="B46" s="288"/>
      <c r="C46" s="289"/>
      <c r="D46" s="289"/>
      <c r="E46" s="289"/>
      <c r="F46" s="289"/>
      <c r="G46" s="289"/>
      <c r="H46" s="289"/>
      <c r="I46" s="289"/>
      <c r="J46" s="289"/>
      <c r="K46" s="289"/>
      <c r="L46" s="64"/>
      <c r="S46" s="23"/>
      <c r="T46" s="23"/>
      <c r="U46" s="23"/>
      <c r="V46" s="23"/>
      <c r="W46" s="23"/>
      <c r="X46" s="23"/>
      <c r="Y46" s="23"/>
      <c r="Z46" s="23"/>
      <c r="AA46" s="23"/>
      <c r="AB46" s="23"/>
      <c r="AC46" s="23"/>
      <c r="AD46" s="23"/>
      <c r="AE46" s="23"/>
    </row>
    <row r="47" spans="1:31" s="2" customFormat="1" ht="24.95" customHeight="1">
      <c r="A47" s="271"/>
      <c r="B47" s="270"/>
      <c r="C47" s="266" t="s">
        <v>167</v>
      </c>
      <c r="D47" s="271"/>
      <c r="E47" s="271"/>
      <c r="F47" s="271"/>
      <c r="G47" s="271"/>
      <c r="H47" s="271"/>
      <c r="I47" s="271"/>
      <c r="J47" s="271"/>
      <c r="K47" s="271"/>
      <c r="L47" s="64"/>
      <c r="S47" s="23"/>
      <c r="T47" s="23"/>
      <c r="U47" s="23"/>
      <c r="V47" s="23"/>
      <c r="W47" s="23"/>
      <c r="X47" s="23"/>
      <c r="Y47" s="23"/>
      <c r="Z47" s="23"/>
      <c r="AA47" s="23"/>
      <c r="AB47" s="23"/>
      <c r="AC47" s="23"/>
      <c r="AD47" s="23"/>
      <c r="AE47" s="23"/>
    </row>
    <row r="48" spans="1:31" s="2" customFormat="1" ht="6.95" customHeight="1">
      <c r="A48" s="271"/>
      <c r="B48" s="270"/>
      <c r="C48" s="271"/>
      <c r="D48" s="271"/>
      <c r="E48" s="271"/>
      <c r="F48" s="271"/>
      <c r="G48" s="271"/>
      <c r="H48" s="271"/>
      <c r="I48" s="271"/>
      <c r="J48" s="271"/>
      <c r="K48" s="271"/>
      <c r="L48" s="64"/>
      <c r="S48" s="23"/>
      <c r="T48" s="23"/>
      <c r="U48" s="23"/>
      <c r="V48" s="23"/>
      <c r="W48" s="23"/>
      <c r="X48" s="23"/>
      <c r="Y48" s="23"/>
      <c r="Z48" s="23"/>
      <c r="AA48" s="23"/>
      <c r="AB48" s="23"/>
      <c r="AC48" s="23"/>
      <c r="AD48" s="23"/>
      <c r="AE48" s="23"/>
    </row>
    <row r="49" spans="1:47" s="2" customFormat="1" ht="12" customHeight="1">
      <c r="A49" s="271"/>
      <c r="B49" s="270"/>
      <c r="C49" s="268" t="s">
        <v>15</v>
      </c>
      <c r="D49" s="271"/>
      <c r="E49" s="271"/>
      <c r="F49" s="271"/>
      <c r="G49" s="271"/>
      <c r="H49" s="271"/>
      <c r="I49" s="271"/>
      <c r="J49" s="271"/>
      <c r="K49" s="271"/>
      <c r="L49" s="64"/>
      <c r="S49" s="23"/>
      <c r="T49" s="23"/>
      <c r="U49" s="23"/>
      <c r="V49" s="23"/>
      <c r="W49" s="23"/>
      <c r="X49" s="23"/>
      <c r="Y49" s="23"/>
      <c r="Z49" s="23"/>
      <c r="AA49" s="23"/>
      <c r="AB49" s="23"/>
      <c r="AC49" s="23"/>
      <c r="AD49" s="23"/>
      <c r="AE49" s="23"/>
    </row>
    <row r="50" spans="1:47" s="2" customFormat="1" ht="14.45" customHeight="1">
      <c r="A50" s="271"/>
      <c r="B50" s="270"/>
      <c r="C50" s="271"/>
      <c r="D50" s="271"/>
      <c r="E50" s="722" t="str">
        <f>E7</f>
        <v>Úpravy gastroprovozu Úřadu vlády ČR v 1.pp Strakovy akademie</v>
      </c>
      <c r="F50" s="723"/>
      <c r="G50" s="723"/>
      <c r="H50" s="723"/>
      <c r="I50" s="271"/>
      <c r="J50" s="271"/>
      <c r="K50" s="271"/>
      <c r="L50" s="64"/>
      <c r="S50" s="23"/>
      <c r="T50" s="23"/>
      <c r="U50" s="23"/>
      <c r="V50" s="23"/>
      <c r="W50" s="23"/>
      <c r="X50" s="23"/>
      <c r="Y50" s="23"/>
      <c r="Z50" s="23"/>
      <c r="AA50" s="23"/>
      <c r="AB50" s="23"/>
      <c r="AC50" s="23"/>
      <c r="AD50" s="23"/>
      <c r="AE50" s="23"/>
    </row>
    <row r="51" spans="1:47" s="1" customFormat="1" ht="12" customHeight="1">
      <c r="A51" s="61"/>
      <c r="B51" s="265"/>
      <c r="C51" s="268" t="s">
        <v>151</v>
      </c>
      <c r="D51" s="61"/>
      <c r="E51" s="61"/>
      <c r="F51" s="61"/>
      <c r="G51" s="61"/>
      <c r="H51" s="61"/>
      <c r="I51" s="61"/>
      <c r="J51" s="61"/>
      <c r="K51" s="61"/>
      <c r="L51" s="20"/>
    </row>
    <row r="52" spans="1:47" s="2" customFormat="1" ht="14.45" customHeight="1">
      <c r="A52" s="271"/>
      <c r="B52" s="270"/>
      <c r="C52" s="271"/>
      <c r="D52" s="271"/>
      <c r="E52" s="722" t="s">
        <v>1759</v>
      </c>
      <c r="F52" s="721"/>
      <c r="G52" s="721"/>
      <c r="H52" s="721"/>
      <c r="I52" s="271"/>
      <c r="J52" s="271"/>
      <c r="K52" s="271"/>
      <c r="L52" s="64"/>
      <c r="S52" s="23"/>
      <c r="T52" s="23"/>
      <c r="U52" s="23"/>
      <c r="V52" s="23"/>
      <c r="W52" s="23"/>
      <c r="X52" s="23"/>
      <c r="Y52" s="23"/>
      <c r="Z52" s="23"/>
      <c r="AA52" s="23"/>
      <c r="AB52" s="23"/>
      <c r="AC52" s="23"/>
      <c r="AD52" s="23"/>
      <c r="AE52" s="23"/>
    </row>
    <row r="53" spans="1:47" s="2" customFormat="1" ht="12" customHeight="1">
      <c r="A53" s="271"/>
      <c r="B53" s="270"/>
      <c r="C53" s="268" t="s">
        <v>157</v>
      </c>
      <c r="D53" s="271"/>
      <c r="E53" s="271"/>
      <c r="F53" s="271"/>
      <c r="G53" s="271"/>
      <c r="H53" s="271"/>
      <c r="I53" s="271"/>
      <c r="J53" s="271"/>
      <c r="K53" s="271"/>
      <c r="L53" s="64"/>
      <c r="S53" s="23"/>
      <c r="T53" s="23"/>
      <c r="U53" s="23"/>
      <c r="V53" s="23"/>
      <c r="W53" s="23"/>
      <c r="X53" s="23"/>
      <c r="Y53" s="23"/>
      <c r="Z53" s="23"/>
      <c r="AA53" s="23"/>
      <c r="AB53" s="23"/>
      <c r="AC53" s="23"/>
      <c r="AD53" s="23"/>
      <c r="AE53" s="23"/>
    </row>
    <row r="54" spans="1:47" s="2" customFormat="1" ht="14.45" customHeight="1">
      <c r="A54" s="271"/>
      <c r="B54" s="270"/>
      <c r="C54" s="271"/>
      <c r="D54" s="271"/>
      <c r="E54" s="689" t="str">
        <f>E11</f>
        <v>D.1.4.02 - Soupis prací - Vytápění</v>
      </c>
      <c r="F54" s="721"/>
      <c r="G54" s="721"/>
      <c r="H54" s="721"/>
      <c r="I54" s="271"/>
      <c r="J54" s="271"/>
      <c r="K54" s="271"/>
      <c r="L54" s="64"/>
      <c r="S54" s="23"/>
      <c r="T54" s="23"/>
      <c r="U54" s="23"/>
      <c r="V54" s="23"/>
      <c r="W54" s="23"/>
      <c r="X54" s="23"/>
      <c r="Y54" s="23"/>
      <c r="Z54" s="23"/>
      <c r="AA54" s="23"/>
      <c r="AB54" s="23"/>
      <c r="AC54" s="23"/>
      <c r="AD54" s="23"/>
      <c r="AE54" s="23"/>
    </row>
    <row r="55" spans="1:47" s="2" customFormat="1" ht="6.95" customHeight="1">
      <c r="A55" s="271"/>
      <c r="B55" s="270"/>
      <c r="C55" s="271"/>
      <c r="D55" s="271"/>
      <c r="E55" s="271"/>
      <c r="F55" s="271"/>
      <c r="G55" s="271"/>
      <c r="H55" s="271"/>
      <c r="I55" s="271"/>
      <c r="J55" s="271"/>
      <c r="K55" s="271"/>
      <c r="L55" s="64"/>
      <c r="S55" s="23"/>
      <c r="T55" s="23"/>
      <c r="U55" s="23"/>
      <c r="V55" s="23"/>
      <c r="W55" s="23"/>
      <c r="X55" s="23"/>
      <c r="Y55" s="23"/>
      <c r="Z55" s="23"/>
      <c r="AA55" s="23"/>
      <c r="AB55" s="23"/>
      <c r="AC55" s="23"/>
      <c r="AD55" s="23"/>
      <c r="AE55" s="23"/>
    </row>
    <row r="56" spans="1:47" s="2" customFormat="1" ht="12" customHeight="1">
      <c r="A56" s="271"/>
      <c r="B56" s="270"/>
      <c r="C56" s="268" t="s">
        <v>19</v>
      </c>
      <c r="D56" s="271"/>
      <c r="E56" s="271"/>
      <c r="F56" s="273" t="str">
        <f>F14</f>
        <v xml:space="preserve"> </v>
      </c>
      <c r="G56" s="271"/>
      <c r="H56" s="271"/>
      <c r="I56" s="268" t="s">
        <v>21</v>
      </c>
      <c r="J56" s="387">
        <f>IF(J14="","",J14)</f>
        <v>44077</v>
      </c>
      <c r="K56" s="271"/>
      <c r="L56" s="64"/>
      <c r="S56" s="23"/>
      <c r="T56" s="23"/>
      <c r="U56" s="23"/>
      <c r="V56" s="23"/>
      <c r="W56" s="23"/>
      <c r="X56" s="23"/>
      <c r="Y56" s="23"/>
      <c r="Z56" s="23"/>
      <c r="AA56" s="23"/>
      <c r="AB56" s="23"/>
      <c r="AC56" s="23"/>
      <c r="AD56" s="23"/>
      <c r="AE56" s="23"/>
    </row>
    <row r="57" spans="1:47" s="2" customFormat="1" ht="6.95" customHeight="1">
      <c r="A57" s="271"/>
      <c r="B57" s="270"/>
      <c r="C57" s="271"/>
      <c r="D57" s="271"/>
      <c r="E57" s="271"/>
      <c r="F57" s="271"/>
      <c r="G57" s="271"/>
      <c r="H57" s="271"/>
      <c r="I57" s="271"/>
      <c r="J57" s="271"/>
      <c r="K57" s="271"/>
      <c r="L57" s="64"/>
      <c r="S57" s="23"/>
      <c r="T57" s="23"/>
      <c r="U57" s="23"/>
      <c r="V57" s="23"/>
      <c r="W57" s="23"/>
      <c r="X57" s="23"/>
      <c r="Y57" s="23"/>
      <c r="Z57" s="23"/>
      <c r="AA57" s="23"/>
      <c r="AB57" s="23"/>
      <c r="AC57" s="23"/>
      <c r="AD57" s="23"/>
      <c r="AE57" s="23"/>
    </row>
    <row r="58" spans="1:47" s="2" customFormat="1" ht="26.45" customHeight="1">
      <c r="A58" s="271"/>
      <c r="B58" s="270"/>
      <c r="C58" s="268" t="s">
        <v>22</v>
      </c>
      <c r="D58" s="271"/>
      <c r="E58" s="271"/>
      <c r="F58" s="273" t="str">
        <f>E17</f>
        <v xml:space="preserve">Úřad vlády České republiky </v>
      </c>
      <c r="G58" s="271"/>
      <c r="H58" s="271"/>
      <c r="I58" s="268" t="s">
        <v>28</v>
      </c>
      <c r="J58" s="391" t="str">
        <f>E23</f>
        <v>Ateliér Simona Group</v>
      </c>
      <c r="K58" s="271"/>
      <c r="L58" s="64"/>
      <c r="S58" s="23"/>
      <c r="T58" s="23"/>
      <c r="U58" s="23"/>
      <c r="V58" s="23"/>
      <c r="W58" s="23"/>
      <c r="X58" s="23"/>
      <c r="Y58" s="23"/>
      <c r="Z58" s="23"/>
      <c r="AA58" s="23"/>
      <c r="AB58" s="23"/>
      <c r="AC58" s="23"/>
      <c r="AD58" s="23"/>
      <c r="AE58" s="23"/>
    </row>
    <row r="59" spans="1:47" s="2" customFormat="1" ht="26.45" customHeight="1">
      <c r="A59" s="271"/>
      <c r="B59" s="270"/>
      <c r="C59" s="268" t="s">
        <v>26</v>
      </c>
      <c r="D59" s="271"/>
      <c r="E59" s="271"/>
      <c r="F59" s="273" t="str">
        <f>IF(E20="","",E20)</f>
        <v xml:space="preserve"> </v>
      </c>
      <c r="G59" s="271"/>
      <c r="H59" s="271"/>
      <c r="I59" s="268" t="s">
        <v>31</v>
      </c>
      <c r="J59" s="391" t="str">
        <f>E26</f>
        <v>Ateliér Simona Group</v>
      </c>
      <c r="K59" s="271"/>
      <c r="L59" s="64"/>
      <c r="S59" s="23"/>
      <c r="T59" s="23"/>
      <c r="U59" s="23"/>
      <c r="V59" s="23"/>
      <c r="W59" s="23"/>
      <c r="X59" s="23"/>
      <c r="Y59" s="23"/>
      <c r="Z59" s="23"/>
      <c r="AA59" s="23"/>
      <c r="AB59" s="23"/>
      <c r="AC59" s="23"/>
      <c r="AD59" s="23"/>
      <c r="AE59" s="23"/>
    </row>
    <row r="60" spans="1:47" s="2" customFormat="1" ht="10.35" customHeight="1">
      <c r="A60" s="271"/>
      <c r="B60" s="270"/>
      <c r="C60" s="271"/>
      <c r="D60" s="271"/>
      <c r="E60" s="271"/>
      <c r="F60" s="271"/>
      <c r="G60" s="271"/>
      <c r="H60" s="271"/>
      <c r="I60" s="271"/>
      <c r="J60" s="271"/>
      <c r="K60" s="271"/>
      <c r="L60" s="64"/>
      <c r="S60" s="23"/>
      <c r="T60" s="23"/>
      <c r="U60" s="23"/>
      <c r="V60" s="23"/>
      <c r="W60" s="23"/>
      <c r="X60" s="23"/>
      <c r="Y60" s="23"/>
      <c r="Z60" s="23"/>
      <c r="AA60" s="23"/>
      <c r="AB60" s="23"/>
      <c r="AC60" s="23"/>
      <c r="AD60" s="23"/>
      <c r="AE60" s="23"/>
    </row>
    <row r="61" spans="1:47" s="2" customFormat="1" ht="29.25" customHeight="1">
      <c r="A61" s="271"/>
      <c r="B61" s="270"/>
      <c r="C61" s="290" t="s">
        <v>168</v>
      </c>
      <c r="D61" s="281"/>
      <c r="E61" s="281"/>
      <c r="F61" s="281"/>
      <c r="G61" s="281"/>
      <c r="H61" s="281"/>
      <c r="I61" s="281"/>
      <c r="J61" s="392" t="s">
        <v>169</v>
      </c>
      <c r="K61" s="281"/>
      <c r="L61" s="64"/>
      <c r="S61" s="23"/>
      <c r="T61" s="23"/>
      <c r="U61" s="23"/>
      <c r="V61" s="23"/>
      <c r="W61" s="23"/>
      <c r="X61" s="23"/>
      <c r="Y61" s="23"/>
      <c r="Z61" s="23"/>
      <c r="AA61" s="23"/>
      <c r="AB61" s="23"/>
      <c r="AC61" s="23"/>
      <c r="AD61" s="23"/>
      <c r="AE61" s="23"/>
    </row>
    <row r="62" spans="1:47" s="2" customFormat="1" ht="10.35" customHeight="1">
      <c r="A62" s="271"/>
      <c r="B62" s="270"/>
      <c r="C62" s="271"/>
      <c r="D62" s="271"/>
      <c r="E62" s="271"/>
      <c r="F62" s="271"/>
      <c r="G62" s="271"/>
      <c r="H62" s="271"/>
      <c r="I62" s="271"/>
      <c r="J62" s="271"/>
      <c r="K62" s="271"/>
      <c r="L62" s="64"/>
      <c r="S62" s="23"/>
      <c r="T62" s="23"/>
      <c r="U62" s="23"/>
      <c r="V62" s="23"/>
      <c r="W62" s="23"/>
      <c r="X62" s="23"/>
      <c r="Y62" s="23"/>
      <c r="Z62" s="23"/>
      <c r="AA62" s="23"/>
      <c r="AB62" s="23"/>
      <c r="AC62" s="23"/>
      <c r="AD62" s="23"/>
      <c r="AE62" s="23"/>
    </row>
    <row r="63" spans="1:47" s="2" customFormat="1" ht="22.9" customHeight="1">
      <c r="A63" s="271"/>
      <c r="B63" s="270"/>
      <c r="C63" s="291" t="s">
        <v>66</v>
      </c>
      <c r="D63" s="271"/>
      <c r="E63" s="271"/>
      <c r="F63" s="271"/>
      <c r="G63" s="271"/>
      <c r="H63" s="271"/>
      <c r="I63" s="271"/>
      <c r="J63" s="388">
        <f>J87</f>
        <v>0</v>
      </c>
      <c r="K63" s="271"/>
      <c r="L63" s="64"/>
      <c r="S63" s="23"/>
      <c r="T63" s="23"/>
      <c r="U63" s="23"/>
      <c r="V63" s="23"/>
      <c r="W63" s="23"/>
      <c r="X63" s="23"/>
      <c r="Y63" s="23"/>
      <c r="Z63" s="23"/>
      <c r="AA63" s="23"/>
      <c r="AB63" s="23"/>
      <c r="AC63" s="23"/>
      <c r="AD63" s="23"/>
      <c r="AE63" s="23"/>
      <c r="AU63" s="19" t="s">
        <v>170</v>
      </c>
    </row>
    <row r="64" spans="1:47" s="9" customFormat="1" ht="24.95" customHeight="1">
      <c r="A64" s="292"/>
      <c r="B64" s="293"/>
      <c r="C64" s="292"/>
      <c r="D64" s="294" t="s">
        <v>1761</v>
      </c>
      <c r="E64" s="295"/>
      <c r="F64" s="295"/>
      <c r="G64" s="295"/>
      <c r="H64" s="295"/>
      <c r="I64" s="295"/>
      <c r="J64" s="393">
        <f>J88</f>
        <v>0</v>
      </c>
      <c r="K64" s="292"/>
      <c r="L64" s="67"/>
    </row>
    <row r="65" spans="1:31" s="10" customFormat="1" ht="19.899999999999999" customHeight="1">
      <c r="A65" s="246"/>
      <c r="B65" s="296"/>
      <c r="C65" s="246"/>
      <c r="D65" s="297" t="s">
        <v>1769</v>
      </c>
      <c r="E65" s="298"/>
      <c r="F65" s="298"/>
      <c r="G65" s="298"/>
      <c r="H65" s="298"/>
      <c r="I65" s="298"/>
      <c r="J65" s="394">
        <f>J89</f>
        <v>0</v>
      </c>
      <c r="K65" s="246"/>
      <c r="L65" s="68"/>
    </row>
    <row r="66" spans="1:31" s="2" customFormat="1" ht="21.75" customHeight="1">
      <c r="A66" s="271"/>
      <c r="B66" s="270"/>
      <c r="C66" s="271"/>
      <c r="D66" s="271"/>
      <c r="E66" s="271"/>
      <c r="F66" s="271"/>
      <c r="G66" s="271"/>
      <c r="H66" s="271"/>
      <c r="I66" s="271"/>
      <c r="J66" s="271"/>
      <c r="K66" s="271"/>
      <c r="L66" s="64"/>
      <c r="S66" s="23"/>
      <c r="T66" s="23"/>
      <c r="U66" s="23"/>
      <c r="V66" s="23"/>
      <c r="W66" s="23"/>
      <c r="X66" s="23"/>
      <c r="Y66" s="23"/>
      <c r="Z66" s="23"/>
      <c r="AA66" s="23"/>
      <c r="AB66" s="23"/>
      <c r="AC66" s="23"/>
      <c r="AD66" s="23"/>
      <c r="AE66" s="23"/>
    </row>
    <row r="67" spans="1:31" s="2" customFormat="1" ht="6.95" customHeight="1">
      <c r="A67" s="271"/>
      <c r="B67" s="286"/>
      <c r="C67" s="287"/>
      <c r="D67" s="287"/>
      <c r="E67" s="287"/>
      <c r="F67" s="287"/>
      <c r="G67" s="287"/>
      <c r="H67" s="287"/>
      <c r="I67" s="287"/>
      <c r="J67" s="287"/>
      <c r="K67" s="287"/>
      <c r="L67" s="64"/>
      <c r="S67" s="23"/>
      <c r="T67" s="23"/>
      <c r="U67" s="23"/>
      <c r="V67" s="23"/>
      <c r="W67" s="23"/>
      <c r="X67" s="23"/>
      <c r="Y67" s="23"/>
      <c r="Z67" s="23"/>
      <c r="AA67" s="23"/>
      <c r="AB67" s="23"/>
      <c r="AC67" s="23"/>
      <c r="AD67" s="23"/>
      <c r="AE67" s="23"/>
    </row>
    <row r="68" spans="1:31">
      <c r="A68" s="61"/>
      <c r="B68" s="61"/>
      <c r="C68" s="61"/>
      <c r="D68" s="61"/>
      <c r="E68" s="61"/>
      <c r="F68" s="61"/>
      <c r="G68" s="61"/>
      <c r="H68" s="61"/>
      <c r="I68" s="61"/>
      <c r="J68" s="61"/>
      <c r="K68" s="61"/>
    </row>
    <row r="69" spans="1:31">
      <c r="A69" s="61"/>
      <c r="B69" s="61"/>
      <c r="C69" s="61"/>
      <c r="D69" s="61"/>
      <c r="E69" s="61"/>
      <c r="F69" s="61"/>
      <c r="G69" s="61"/>
      <c r="H69" s="61"/>
      <c r="I69" s="61"/>
      <c r="J69" s="61"/>
      <c r="K69" s="61"/>
    </row>
    <row r="70" spans="1:31">
      <c r="A70" s="61"/>
      <c r="B70" s="61"/>
      <c r="C70" s="61"/>
      <c r="D70" s="61"/>
      <c r="E70" s="61"/>
      <c r="F70" s="61"/>
      <c r="G70" s="61"/>
      <c r="H70" s="61"/>
      <c r="I70" s="61"/>
      <c r="J70" s="61"/>
      <c r="K70" s="61"/>
    </row>
    <row r="71" spans="1:31" s="2" customFormat="1" ht="6.95" customHeight="1">
      <c r="A71" s="271"/>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31" s="2" customFormat="1" ht="24.95" customHeight="1">
      <c r="A72" s="271"/>
      <c r="B72" s="270"/>
      <c r="C72" s="266" t="s">
        <v>201</v>
      </c>
      <c r="D72" s="271"/>
      <c r="E72" s="271"/>
      <c r="F72" s="271"/>
      <c r="G72" s="271"/>
      <c r="H72" s="271"/>
      <c r="I72" s="271"/>
      <c r="J72" s="271"/>
      <c r="K72" s="271"/>
      <c r="L72" s="64"/>
      <c r="S72" s="23"/>
      <c r="T72" s="23"/>
      <c r="U72" s="23"/>
      <c r="V72" s="23"/>
      <c r="W72" s="23"/>
      <c r="X72" s="23"/>
      <c r="Y72" s="23"/>
      <c r="Z72" s="23"/>
      <c r="AA72" s="23"/>
      <c r="AB72" s="23"/>
      <c r="AC72" s="23"/>
      <c r="AD72" s="23"/>
      <c r="AE72" s="23"/>
    </row>
    <row r="73" spans="1:31" s="2" customFormat="1" ht="6.95" customHeight="1">
      <c r="A73" s="271"/>
      <c r="B73" s="270"/>
      <c r="C73" s="271"/>
      <c r="D73" s="271"/>
      <c r="E73" s="271"/>
      <c r="F73" s="271"/>
      <c r="G73" s="271"/>
      <c r="H73" s="271"/>
      <c r="I73" s="271"/>
      <c r="J73" s="271"/>
      <c r="K73" s="271"/>
      <c r="L73" s="64"/>
      <c r="S73" s="23"/>
      <c r="T73" s="23"/>
      <c r="U73" s="23"/>
      <c r="V73" s="23"/>
      <c r="W73" s="23"/>
      <c r="X73" s="23"/>
      <c r="Y73" s="23"/>
      <c r="Z73" s="23"/>
      <c r="AA73" s="23"/>
      <c r="AB73" s="23"/>
      <c r="AC73" s="23"/>
      <c r="AD73" s="23"/>
      <c r="AE73" s="23"/>
    </row>
    <row r="74" spans="1:31" s="2" customFormat="1" ht="12" customHeight="1">
      <c r="A74" s="271"/>
      <c r="B74" s="270"/>
      <c r="C74" s="268" t="s">
        <v>15</v>
      </c>
      <c r="D74" s="271"/>
      <c r="E74" s="271"/>
      <c r="F74" s="271"/>
      <c r="G74" s="271"/>
      <c r="H74" s="271"/>
      <c r="I74" s="271"/>
      <c r="J74" s="271"/>
      <c r="K74" s="271"/>
      <c r="L74" s="64"/>
      <c r="S74" s="23"/>
      <c r="T74" s="23"/>
      <c r="U74" s="23"/>
      <c r="V74" s="23"/>
      <c r="W74" s="23"/>
      <c r="X74" s="23"/>
      <c r="Y74" s="23"/>
      <c r="Z74" s="23"/>
      <c r="AA74" s="23"/>
      <c r="AB74" s="23"/>
      <c r="AC74" s="23"/>
      <c r="AD74" s="23"/>
      <c r="AE74" s="23"/>
    </row>
    <row r="75" spans="1:31" s="2" customFormat="1" ht="14.45" customHeight="1">
      <c r="A75" s="271"/>
      <c r="B75" s="270"/>
      <c r="C75" s="271"/>
      <c r="D75" s="271"/>
      <c r="E75" s="722" t="str">
        <f>E7</f>
        <v>Úpravy gastroprovozu Úřadu vlády ČR v 1.pp Strakovy akademie</v>
      </c>
      <c r="F75" s="723"/>
      <c r="G75" s="723"/>
      <c r="H75" s="723"/>
      <c r="I75" s="271"/>
      <c r="J75" s="271"/>
      <c r="K75" s="271"/>
      <c r="L75" s="64"/>
      <c r="S75" s="23"/>
      <c r="T75" s="23"/>
      <c r="U75" s="23"/>
      <c r="V75" s="23"/>
      <c r="W75" s="23"/>
      <c r="X75" s="23"/>
      <c r="Y75" s="23"/>
      <c r="Z75" s="23"/>
      <c r="AA75" s="23"/>
      <c r="AB75" s="23"/>
      <c r="AC75" s="23"/>
      <c r="AD75" s="23"/>
      <c r="AE75" s="23"/>
    </row>
    <row r="76" spans="1:31" s="1" customFormat="1" ht="12" customHeight="1">
      <c r="A76" s="61"/>
      <c r="B76" s="265"/>
      <c r="C76" s="268" t="s">
        <v>151</v>
      </c>
      <c r="D76" s="61"/>
      <c r="E76" s="61"/>
      <c r="F76" s="61"/>
      <c r="G76" s="61"/>
      <c r="H76" s="61"/>
      <c r="I76" s="61"/>
      <c r="J76" s="61"/>
      <c r="K76" s="61"/>
      <c r="L76" s="20"/>
    </row>
    <row r="77" spans="1:31" s="2" customFormat="1" ht="14.45" customHeight="1">
      <c r="A77" s="271"/>
      <c r="B77" s="270"/>
      <c r="C77" s="271"/>
      <c r="D77" s="271"/>
      <c r="E77" s="722" t="s">
        <v>1759</v>
      </c>
      <c r="F77" s="721"/>
      <c r="G77" s="721"/>
      <c r="H77" s="721"/>
      <c r="I77" s="271"/>
      <c r="J77" s="271"/>
      <c r="K77" s="271"/>
      <c r="L77" s="64"/>
      <c r="S77" s="23"/>
      <c r="T77" s="23"/>
      <c r="U77" s="23"/>
      <c r="V77" s="23"/>
      <c r="W77" s="23"/>
      <c r="X77" s="23"/>
      <c r="Y77" s="23"/>
      <c r="Z77" s="23"/>
      <c r="AA77" s="23"/>
      <c r="AB77" s="23"/>
      <c r="AC77" s="23"/>
      <c r="AD77" s="23"/>
      <c r="AE77" s="23"/>
    </row>
    <row r="78" spans="1:31" s="2" customFormat="1" ht="12" customHeight="1">
      <c r="A78" s="271"/>
      <c r="B78" s="270"/>
      <c r="C78" s="268" t="s">
        <v>157</v>
      </c>
      <c r="D78" s="271"/>
      <c r="E78" s="271"/>
      <c r="F78" s="271"/>
      <c r="G78" s="271"/>
      <c r="H78" s="271"/>
      <c r="I78" s="271"/>
      <c r="J78" s="271"/>
      <c r="K78" s="271"/>
      <c r="L78" s="64"/>
      <c r="S78" s="23"/>
      <c r="T78" s="23"/>
      <c r="U78" s="23"/>
      <c r="V78" s="23"/>
      <c r="W78" s="23"/>
      <c r="X78" s="23"/>
      <c r="Y78" s="23"/>
      <c r="Z78" s="23"/>
      <c r="AA78" s="23"/>
      <c r="AB78" s="23"/>
      <c r="AC78" s="23"/>
      <c r="AD78" s="23"/>
      <c r="AE78" s="23"/>
    </row>
    <row r="79" spans="1:31" s="2" customFormat="1" ht="14.45" customHeight="1">
      <c r="A79" s="271"/>
      <c r="B79" s="270"/>
      <c r="C79" s="271"/>
      <c r="D79" s="271"/>
      <c r="E79" s="689" t="str">
        <f>E11</f>
        <v>D.1.4.02 - Soupis prací - Vytápění</v>
      </c>
      <c r="F79" s="721"/>
      <c r="G79" s="721"/>
      <c r="H79" s="721"/>
      <c r="I79" s="271"/>
      <c r="J79" s="271"/>
      <c r="K79" s="271"/>
      <c r="L79" s="64"/>
      <c r="S79" s="23"/>
      <c r="T79" s="23"/>
      <c r="U79" s="23"/>
      <c r="V79" s="23"/>
      <c r="W79" s="23"/>
      <c r="X79" s="23"/>
      <c r="Y79" s="23"/>
      <c r="Z79" s="23"/>
      <c r="AA79" s="23"/>
      <c r="AB79" s="23"/>
      <c r="AC79" s="23"/>
      <c r="AD79" s="23"/>
      <c r="AE79" s="23"/>
    </row>
    <row r="80" spans="1:31" s="2" customFormat="1" ht="6.95" customHeight="1">
      <c r="A80" s="271"/>
      <c r="B80" s="270"/>
      <c r="C80" s="271"/>
      <c r="D80" s="271"/>
      <c r="E80" s="271"/>
      <c r="F80" s="271"/>
      <c r="G80" s="271"/>
      <c r="H80" s="271"/>
      <c r="I80" s="271"/>
      <c r="J80" s="271"/>
      <c r="K80" s="271"/>
      <c r="L80" s="64"/>
      <c r="S80" s="23"/>
      <c r="T80" s="23"/>
      <c r="U80" s="23"/>
      <c r="V80" s="23"/>
      <c r="W80" s="23"/>
      <c r="X80" s="23"/>
      <c r="Y80" s="23"/>
      <c r="Z80" s="23"/>
      <c r="AA80" s="23"/>
      <c r="AB80" s="23"/>
      <c r="AC80" s="23"/>
      <c r="AD80" s="23"/>
      <c r="AE80" s="23"/>
    </row>
    <row r="81" spans="1:65" s="2" customFormat="1" ht="12" customHeight="1">
      <c r="A81" s="271"/>
      <c r="B81" s="270"/>
      <c r="C81" s="268" t="s">
        <v>19</v>
      </c>
      <c r="D81" s="271"/>
      <c r="E81" s="271"/>
      <c r="F81" s="273" t="str">
        <f>F14</f>
        <v xml:space="preserve"> </v>
      </c>
      <c r="G81" s="271"/>
      <c r="H81" s="271"/>
      <c r="I81" s="268" t="s">
        <v>21</v>
      </c>
      <c r="J81" s="387">
        <f>IF(J14="","",J14)</f>
        <v>44077</v>
      </c>
      <c r="K81" s="271"/>
      <c r="L81" s="64"/>
      <c r="S81" s="23"/>
      <c r="T81" s="23"/>
      <c r="U81" s="23"/>
      <c r="V81" s="23"/>
      <c r="W81" s="23"/>
      <c r="X81" s="23"/>
      <c r="Y81" s="23"/>
      <c r="Z81" s="23"/>
      <c r="AA81" s="23"/>
      <c r="AB81" s="23"/>
      <c r="AC81" s="23"/>
      <c r="AD81" s="23"/>
      <c r="AE81" s="23"/>
    </row>
    <row r="82" spans="1:65" s="2" customFormat="1" ht="6.95" customHeight="1">
      <c r="A82" s="271"/>
      <c r="B82" s="270"/>
      <c r="C82" s="271"/>
      <c r="D82" s="271"/>
      <c r="E82" s="271"/>
      <c r="F82" s="271"/>
      <c r="G82" s="271"/>
      <c r="H82" s="271"/>
      <c r="I82" s="271"/>
      <c r="J82" s="271"/>
      <c r="K82" s="271"/>
      <c r="L82" s="64"/>
      <c r="S82" s="23"/>
      <c r="T82" s="23"/>
      <c r="U82" s="23"/>
      <c r="V82" s="23"/>
      <c r="W82" s="23"/>
      <c r="X82" s="23"/>
      <c r="Y82" s="23"/>
      <c r="Z82" s="23"/>
      <c r="AA82" s="23"/>
      <c r="AB82" s="23"/>
      <c r="AC82" s="23"/>
      <c r="AD82" s="23"/>
      <c r="AE82" s="23"/>
    </row>
    <row r="83" spans="1:65" s="2" customFormat="1" ht="26.45" customHeight="1">
      <c r="A83" s="271"/>
      <c r="B83" s="270"/>
      <c r="C83" s="268" t="s">
        <v>22</v>
      </c>
      <c r="D83" s="271"/>
      <c r="E83" s="271"/>
      <c r="F83" s="273" t="str">
        <f>E17</f>
        <v xml:space="preserve">Úřad vlády České republiky </v>
      </c>
      <c r="G83" s="271"/>
      <c r="H83" s="271"/>
      <c r="I83" s="268" t="s">
        <v>28</v>
      </c>
      <c r="J83" s="391" t="str">
        <f>E23</f>
        <v>Ateliér Simona Group</v>
      </c>
      <c r="K83" s="271"/>
      <c r="L83" s="64"/>
      <c r="S83" s="23"/>
      <c r="T83" s="23"/>
      <c r="U83" s="23"/>
      <c r="V83" s="23"/>
      <c r="W83" s="23"/>
      <c r="X83" s="23"/>
      <c r="Y83" s="23"/>
      <c r="Z83" s="23"/>
      <c r="AA83" s="23"/>
      <c r="AB83" s="23"/>
      <c r="AC83" s="23"/>
      <c r="AD83" s="23"/>
      <c r="AE83" s="23"/>
    </row>
    <row r="84" spans="1:65" s="2" customFormat="1" ht="26.45" customHeight="1">
      <c r="A84" s="271"/>
      <c r="B84" s="270"/>
      <c r="C84" s="268" t="s">
        <v>26</v>
      </c>
      <c r="D84" s="271"/>
      <c r="E84" s="271"/>
      <c r="F84" s="273" t="str">
        <f>IF(E20="","",E20)</f>
        <v xml:space="preserve"> </v>
      </c>
      <c r="G84" s="271"/>
      <c r="H84" s="271"/>
      <c r="I84" s="268" t="s">
        <v>31</v>
      </c>
      <c r="J84" s="391" t="str">
        <f>E26</f>
        <v>Ateliér Simona Group</v>
      </c>
      <c r="K84" s="271"/>
      <c r="L84" s="64"/>
      <c r="S84" s="23"/>
      <c r="T84" s="23"/>
      <c r="U84" s="23"/>
      <c r="V84" s="23"/>
      <c r="W84" s="23"/>
      <c r="X84" s="23"/>
      <c r="Y84" s="23"/>
      <c r="Z84" s="23"/>
      <c r="AA84" s="23"/>
      <c r="AB84" s="23"/>
      <c r="AC84" s="23"/>
      <c r="AD84" s="23"/>
      <c r="AE84" s="23"/>
    </row>
    <row r="85" spans="1:65" s="2" customFormat="1" ht="10.35" customHeight="1">
      <c r="A85" s="271"/>
      <c r="B85" s="270"/>
      <c r="C85" s="271"/>
      <c r="D85" s="271"/>
      <c r="E85" s="271"/>
      <c r="F85" s="271"/>
      <c r="G85" s="271"/>
      <c r="H85" s="271"/>
      <c r="I85" s="271"/>
      <c r="J85" s="271"/>
      <c r="K85" s="271"/>
      <c r="L85" s="64"/>
      <c r="S85" s="23"/>
      <c r="T85" s="23"/>
      <c r="U85" s="23"/>
      <c r="V85" s="23"/>
      <c r="W85" s="23"/>
      <c r="X85" s="23"/>
      <c r="Y85" s="23"/>
      <c r="Z85" s="23"/>
      <c r="AA85" s="23"/>
      <c r="AB85" s="23"/>
      <c r="AC85" s="23"/>
      <c r="AD85" s="23"/>
      <c r="AE85" s="23"/>
    </row>
    <row r="86" spans="1:65" s="11" customFormat="1" ht="29.25" customHeight="1">
      <c r="A86" s="299"/>
      <c r="B86" s="300"/>
      <c r="C86" s="301" t="s">
        <v>202</v>
      </c>
      <c r="D86" s="302" t="s">
        <v>53</v>
      </c>
      <c r="E86" s="302" t="s">
        <v>49</v>
      </c>
      <c r="F86" s="302" t="s">
        <v>50</v>
      </c>
      <c r="G86" s="302" t="s">
        <v>203</v>
      </c>
      <c r="H86" s="302" t="s">
        <v>204</v>
      </c>
      <c r="I86" s="302" t="s">
        <v>205</v>
      </c>
      <c r="J86" s="302" t="s">
        <v>169</v>
      </c>
      <c r="K86" s="340" t="s">
        <v>206</v>
      </c>
      <c r="L86" s="70"/>
      <c r="M86" s="34" t="s">
        <v>3</v>
      </c>
      <c r="N86" s="35" t="s">
        <v>38</v>
      </c>
      <c r="O86" s="35" t="s">
        <v>207</v>
      </c>
      <c r="P86" s="35" t="s">
        <v>208</v>
      </c>
      <c r="Q86" s="35" t="s">
        <v>209</v>
      </c>
      <c r="R86" s="35" t="s">
        <v>210</v>
      </c>
      <c r="S86" s="35" t="s">
        <v>211</v>
      </c>
      <c r="T86" s="36" t="s">
        <v>212</v>
      </c>
      <c r="U86" s="69"/>
      <c r="V86" s="69"/>
      <c r="W86" s="69"/>
      <c r="X86" s="69"/>
      <c r="Y86" s="69"/>
      <c r="Z86" s="69"/>
      <c r="AA86" s="69"/>
      <c r="AB86" s="69"/>
      <c r="AC86" s="69"/>
      <c r="AD86" s="69"/>
      <c r="AE86" s="69"/>
    </row>
    <row r="87" spans="1:65" s="2" customFormat="1" ht="22.9" customHeight="1">
      <c r="A87" s="271"/>
      <c r="B87" s="270"/>
      <c r="C87" s="243" t="s">
        <v>213</v>
      </c>
      <c r="D87" s="271"/>
      <c r="E87" s="271"/>
      <c r="F87" s="271"/>
      <c r="G87" s="271"/>
      <c r="H87" s="271"/>
      <c r="I87" s="271"/>
      <c r="J87" s="410">
        <f>BK87</f>
        <v>0</v>
      </c>
      <c r="K87" s="271"/>
      <c r="L87" s="24"/>
      <c r="M87" s="37"/>
      <c r="N87" s="30"/>
      <c r="O87" s="38"/>
      <c r="P87" s="71">
        <f>P88</f>
        <v>0</v>
      </c>
      <c r="Q87" s="38"/>
      <c r="R87" s="71">
        <f>R88</f>
        <v>0</v>
      </c>
      <c r="S87" s="38"/>
      <c r="T87" s="72">
        <f>T88</f>
        <v>0</v>
      </c>
      <c r="U87" s="23"/>
      <c r="V87" s="23"/>
      <c r="W87" s="23"/>
      <c r="X87" s="23"/>
      <c r="Y87" s="23"/>
      <c r="Z87" s="23"/>
      <c r="AA87" s="23"/>
      <c r="AB87" s="23"/>
      <c r="AC87" s="23"/>
      <c r="AD87" s="23"/>
      <c r="AE87" s="23"/>
      <c r="AT87" s="19" t="s">
        <v>67</v>
      </c>
      <c r="AU87" s="19" t="s">
        <v>170</v>
      </c>
      <c r="BK87" s="73">
        <f>BK88</f>
        <v>0</v>
      </c>
    </row>
    <row r="88" spans="1:65" s="12" customFormat="1" ht="25.9" customHeight="1">
      <c r="A88" s="303"/>
      <c r="B88" s="304"/>
      <c r="C88" s="303"/>
      <c r="D88" s="305" t="s">
        <v>67</v>
      </c>
      <c r="E88" s="306" t="s">
        <v>895</v>
      </c>
      <c r="F88" s="306" t="s">
        <v>895</v>
      </c>
      <c r="G88" s="303"/>
      <c r="H88" s="303"/>
      <c r="I88" s="303"/>
      <c r="J88" s="411">
        <f>BK88</f>
        <v>0</v>
      </c>
      <c r="K88" s="303"/>
      <c r="L88" s="74"/>
      <c r="M88" s="76"/>
      <c r="N88" s="77"/>
      <c r="O88" s="77"/>
      <c r="P88" s="78">
        <f>P89</f>
        <v>0</v>
      </c>
      <c r="Q88" s="77"/>
      <c r="R88" s="78">
        <f>R89</f>
        <v>0</v>
      </c>
      <c r="S88" s="77"/>
      <c r="T88" s="79">
        <f>T89</f>
        <v>0</v>
      </c>
      <c r="AR88" s="75" t="s">
        <v>77</v>
      </c>
      <c r="AT88" s="80" t="s">
        <v>67</v>
      </c>
      <c r="AU88" s="80" t="s">
        <v>68</v>
      </c>
      <c r="AY88" s="75" t="s">
        <v>216</v>
      </c>
      <c r="BK88" s="81">
        <f>BK89</f>
        <v>0</v>
      </c>
    </row>
    <row r="89" spans="1:65" s="12" customFormat="1" ht="22.9" customHeight="1">
      <c r="A89" s="303"/>
      <c r="B89" s="304"/>
      <c r="C89" s="303"/>
      <c r="D89" s="305" t="s">
        <v>67</v>
      </c>
      <c r="E89" s="307" t="s">
        <v>1770</v>
      </c>
      <c r="F89" s="307" t="s">
        <v>1771</v>
      </c>
      <c r="G89" s="303"/>
      <c r="H89" s="303"/>
      <c r="I89" s="303"/>
      <c r="J89" s="412">
        <f>BK89</f>
        <v>0</v>
      </c>
      <c r="K89" s="303"/>
      <c r="L89" s="74"/>
      <c r="M89" s="76"/>
      <c r="N89" s="77"/>
      <c r="O89" s="77"/>
      <c r="P89" s="78">
        <f>P90</f>
        <v>0</v>
      </c>
      <c r="Q89" s="77"/>
      <c r="R89" s="78">
        <f>R90</f>
        <v>0</v>
      </c>
      <c r="S89" s="77"/>
      <c r="T89" s="79">
        <f>T90</f>
        <v>0</v>
      </c>
      <c r="AR89" s="75" t="s">
        <v>77</v>
      </c>
      <c r="AT89" s="80" t="s">
        <v>67</v>
      </c>
      <c r="AU89" s="80" t="s">
        <v>75</v>
      </c>
      <c r="AY89" s="75" t="s">
        <v>216</v>
      </c>
      <c r="BK89" s="81">
        <f>BK90</f>
        <v>0</v>
      </c>
    </row>
    <row r="90" spans="1:65" s="2" customFormat="1" ht="14.45" customHeight="1">
      <c r="A90" s="271"/>
      <c r="B90" s="270"/>
      <c r="C90" s="308" t="s">
        <v>75</v>
      </c>
      <c r="D90" s="308" t="s">
        <v>218</v>
      </c>
      <c r="E90" s="309" t="s">
        <v>1772</v>
      </c>
      <c r="F90" s="310" t="s">
        <v>2549</v>
      </c>
      <c r="G90" s="311" t="s">
        <v>1766</v>
      </c>
      <c r="H90" s="312">
        <v>1</v>
      </c>
      <c r="I90" s="413">
        <f>UT!J25</f>
        <v>0</v>
      </c>
      <c r="J90" s="413">
        <f>ROUND(I90*H90,2)</f>
        <v>0</v>
      </c>
      <c r="K90" s="310" t="s">
        <v>3</v>
      </c>
      <c r="L90" s="24"/>
      <c r="M90" s="115" t="s">
        <v>3</v>
      </c>
      <c r="N90" s="116" t="s">
        <v>39</v>
      </c>
      <c r="O90" s="117">
        <v>0</v>
      </c>
      <c r="P90" s="117">
        <f>O90*H90</f>
        <v>0</v>
      </c>
      <c r="Q90" s="117">
        <v>0</v>
      </c>
      <c r="R90" s="117">
        <f>Q90*H90</f>
        <v>0</v>
      </c>
      <c r="S90" s="117">
        <v>0</v>
      </c>
      <c r="T90" s="118">
        <f>S90*H90</f>
        <v>0</v>
      </c>
      <c r="U90" s="23"/>
      <c r="V90" s="23"/>
      <c r="W90" s="23"/>
      <c r="X90" s="23"/>
      <c r="Y90" s="23"/>
      <c r="Z90" s="23"/>
      <c r="AA90" s="23"/>
      <c r="AB90" s="23"/>
      <c r="AC90" s="23"/>
      <c r="AD90" s="23"/>
      <c r="AE90" s="23"/>
      <c r="AR90" s="87" t="s">
        <v>305</v>
      </c>
      <c r="AT90" s="87" t="s">
        <v>218</v>
      </c>
      <c r="AU90" s="87" t="s">
        <v>77</v>
      </c>
      <c r="AY90" s="19" t="s">
        <v>216</v>
      </c>
      <c r="BE90" s="88">
        <f>IF(N90="základní",J90,0)</f>
        <v>0</v>
      </c>
      <c r="BF90" s="88">
        <f>IF(N90="snížená",J90,0)</f>
        <v>0</v>
      </c>
      <c r="BG90" s="88">
        <f>IF(N90="zákl. přenesená",J90,0)</f>
        <v>0</v>
      </c>
      <c r="BH90" s="88">
        <f>IF(N90="sníž. přenesená",J90,0)</f>
        <v>0</v>
      </c>
      <c r="BI90" s="88">
        <f>IF(N90="nulová",J90,0)</f>
        <v>0</v>
      </c>
      <c r="BJ90" s="19" t="s">
        <v>75</v>
      </c>
      <c r="BK90" s="88">
        <f>ROUND(I90*H90,2)</f>
        <v>0</v>
      </c>
      <c r="BL90" s="19" t="s">
        <v>305</v>
      </c>
      <c r="BM90" s="87" t="s">
        <v>1773</v>
      </c>
    </row>
    <row r="91" spans="1:65" s="2" customFormat="1" ht="6.95" customHeight="1">
      <c r="A91" s="271"/>
      <c r="B91" s="286"/>
      <c r="C91" s="287"/>
      <c r="D91" s="287"/>
      <c r="E91" s="287"/>
      <c r="F91" s="287"/>
      <c r="G91" s="287"/>
      <c r="H91" s="287"/>
      <c r="I91" s="287"/>
      <c r="J91" s="287"/>
      <c r="K91" s="287"/>
      <c r="L91" s="24"/>
      <c r="M91" s="23"/>
      <c r="O91" s="23"/>
      <c r="P91" s="23"/>
      <c r="Q91" s="23"/>
      <c r="R91" s="23"/>
      <c r="S91" s="23"/>
      <c r="T91" s="23"/>
      <c r="U91" s="23"/>
      <c r="V91" s="23"/>
      <c r="W91" s="23"/>
      <c r="X91" s="23"/>
      <c r="Y91" s="23"/>
      <c r="Z91" s="23"/>
      <c r="AA91" s="23"/>
      <c r="AB91" s="23"/>
      <c r="AC91" s="23"/>
      <c r="AD91" s="23"/>
      <c r="AE91" s="23"/>
    </row>
  </sheetData>
  <sheetProtection password="C971" sheet="1" objects="1" scenarios="1"/>
  <autoFilter ref="C86:K9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G90"/>
  <sheetViews>
    <sheetView workbookViewId="0">
      <pane ySplit="11" topLeftCell="A12" activePane="bottomLeft" state="frozenSplit"/>
      <selection activeCell="J87" sqref="J87"/>
      <selection pane="bottomLeft" activeCell="D14" sqref="D14"/>
    </sheetView>
  </sheetViews>
  <sheetFormatPr defaultColWidth="13.5" defaultRowHeight="12.75"/>
  <cols>
    <col min="1" max="1" width="4.33203125" style="190" customWidth="1"/>
    <col min="2" max="2" width="8.83203125" style="190" customWidth="1"/>
    <col min="3" max="3" width="16.6640625" style="190" customWidth="1"/>
    <col min="4" max="4" width="48.5" style="190" customWidth="1"/>
    <col min="5" max="5" width="5" style="190" customWidth="1"/>
    <col min="6" max="6" width="15" style="190" customWidth="1"/>
    <col min="7" max="7" width="14" style="190" customWidth="1"/>
    <col min="8" max="10" width="16.6640625" style="190" customWidth="1"/>
    <col min="11" max="21" width="13.5" style="190"/>
    <col min="22" max="59" width="14.1640625" style="190" hidden="1" customWidth="1"/>
    <col min="60" max="16384" width="13.5" style="190"/>
  </cols>
  <sheetData>
    <row r="1" spans="1:59" ht="72.95" customHeight="1">
      <c r="A1" s="745" t="s">
        <v>2293</v>
      </c>
      <c r="B1" s="746"/>
      <c r="C1" s="746"/>
      <c r="D1" s="746"/>
      <c r="E1" s="746"/>
      <c r="F1" s="746"/>
      <c r="G1" s="746"/>
      <c r="H1" s="746"/>
      <c r="I1" s="746"/>
      <c r="J1" s="746"/>
    </row>
    <row r="2" spans="1:59">
      <c r="A2" s="739" t="s">
        <v>2292</v>
      </c>
      <c r="B2" s="740"/>
      <c r="C2" s="740"/>
      <c r="D2" s="741" t="s">
        <v>2291</v>
      </c>
      <c r="E2" s="728"/>
      <c r="F2" s="743" t="s">
        <v>2290</v>
      </c>
      <c r="G2" s="740"/>
      <c r="H2" s="743" t="s">
        <v>27</v>
      </c>
      <c r="I2" s="744" t="s">
        <v>2289</v>
      </c>
      <c r="J2" s="744" t="s">
        <v>2324</v>
      </c>
      <c r="K2" s="204"/>
    </row>
    <row r="3" spans="1:59">
      <c r="A3" s="736"/>
      <c r="B3" s="730"/>
      <c r="C3" s="730"/>
      <c r="D3" s="742"/>
      <c r="E3" s="742"/>
      <c r="F3" s="730"/>
      <c r="G3" s="730"/>
      <c r="H3" s="730"/>
      <c r="I3" s="730"/>
      <c r="J3" s="730"/>
      <c r="K3" s="204"/>
    </row>
    <row r="4" spans="1:59">
      <c r="A4" s="731" t="s">
        <v>2287</v>
      </c>
      <c r="B4" s="730"/>
      <c r="C4" s="730"/>
      <c r="D4" s="729" t="s">
        <v>2323</v>
      </c>
      <c r="E4" s="730"/>
      <c r="F4" s="735" t="s">
        <v>2285</v>
      </c>
      <c r="G4" s="730"/>
      <c r="H4" s="735" t="s">
        <v>2280</v>
      </c>
      <c r="I4" s="729" t="s">
        <v>28</v>
      </c>
      <c r="J4" s="729" t="s">
        <v>2275</v>
      </c>
      <c r="K4" s="204"/>
    </row>
    <row r="5" spans="1:59">
      <c r="A5" s="736"/>
      <c r="B5" s="730"/>
      <c r="C5" s="730"/>
      <c r="D5" s="730"/>
      <c r="E5" s="730"/>
      <c r="F5" s="730"/>
      <c r="G5" s="730"/>
      <c r="H5" s="730"/>
      <c r="I5" s="730"/>
      <c r="J5" s="730"/>
      <c r="K5" s="204"/>
    </row>
    <row r="6" spans="1:59">
      <c r="A6" s="731" t="s">
        <v>2283</v>
      </c>
      <c r="B6" s="730"/>
      <c r="C6" s="730"/>
      <c r="D6" s="729" t="s">
        <v>2282</v>
      </c>
      <c r="E6" s="730"/>
      <c r="F6" s="735" t="s">
        <v>2281</v>
      </c>
      <c r="G6" s="730"/>
      <c r="H6" s="735" t="s">
        <v>2280</v>
      </c>
      <c r="I6" s="729" t="s">
        <v>26</v>
      </c>
      <c r="J6" s="734">
        <v>0</v>
      </c>
      <c r="K6" s="204"/>
    </row>
    <row r="7" spans="1:59">
      <c r="A7" s="736"/>
      <c r="B7" s="730"/>
      <c r="C7" s="730"/>
      <c r="D7" s="730"/>
      <c r="E7" s="730"/>
      <c r="F7" s="730"/>
      <c r="G7" s="730"/>
      <c r="H7" s="730"/>
      <c r="I7" s="730"/>
      <c r="J7" s="730"/>
      <c r="K7" s="204"/>
    </row>
    <row r="8" spans="1:59">
      <c r="A8" s="731" t="s">
        <v>2279</v>
      </c>
      <c r="B8" s="730"/>
      <c r="C8" s="730"/>
      <c r="D8" s="734">
        <v>0</v>
      </c>
      <c r="E8" s="730"/>
      <c r="F8" s="735" t="s">
        <v>2278</v>
      </c>
      <c r="G8" s="730"/>
      <c r="H8" s="735" t="s">
        <v>2277</v>
      </c>
      <c r="I8" s="729" t="s">
        <v>2276</v>
      </c>
      <c r="J8" s="729" t="s">
        <v>2275</v>
      </c>
      <c r="K8" s="204"/>
    </row>
    <row r="9" spans="1:59" ht="13.5" thickBot="1">
      <c r="A9" s="732"/>
      <c r="B9" s="733"/>
      <c r="C9" s="733"/>
      <c r="D9" s="733"/>
      <c r="E9" s="733"/>
      <c r="F9" s="733"/>
      <c r="G9" s="733"/>
      <c r="H9" s="733"/>
      <c r="I9" s="733"/>
      <c r="J9" s="733"/>
      <c r="K9" s="204"/>
    </row>
    <row r="10" spans="1:59">
      <c r="A10" s="361" t="s">
        <v>2274</v>
      </c>
      <c r="B10" s="362" t="s">
        <v>2001</v>
      </c>
      <c r="C10" s="362" t="s">
        <v>49</v>
      </c>
      <c r="D10" s="362" t="s">
        <v>2273</v>
      </c>
      <c r="E10" s="362" t="s">
        <v>2272</v>
      </c>
      <c r="F10" s="363" t="s">
        <v>204</v>
      </c>
      <c r="G10" s="416" t="s">
        <v>2265</v>
      </c>
      <c r="H10" s="724" t="s">
        <v>2271</v>
      </c>
      <c r="I10" s="725"/>
      <c r="J10" s="726"/>
      <c r="K10" s="203"/>
    </row>
    <row r="11" spans="1:59" ht="13.5" thickBot="1">
      <c r="A11" s="364" t="s">
        <v>27</v>
      </c>
      <c r="B11" s="365" t="s">
        <v>27</v>
      </c>
      <c r="C11" s="365" t="s">
        <v>27</v>
      </c>
      <c r="D11" s="366" t="s">
        <v>2269</v>
      </c>
      <c r="E11" s="365" t="s">
        <v>27</v>
      </c>
      <c r="F11" s="365" t="s">
        <v>27</v>
      </c>
      <c r="G11" s="417" t="s">
        <v>2268</v>
      </c>
      <c r="H11" s="381" t="s">
        <v>2267</v>
      </c>
      <c r="I11" s="414" t="s">
        <v>2266</v>
      </c>
      <c r="J11" s="382" t="s">
        <v>2264</v>
      </c>
      <c r="K11" s="203"/>
      <c r="W11" s="196" t="s">
        <v>2263</v>
      </c>
      <c r="X11" s="196" t="s">
        <v>2262</v>
      </c>
      <c r="Y11" s="196" t="s">
        <v>2261</v>
      </c>
      <c r="Z11" s="196" t="s">
        <v>2260</v>
      </c>
      <c r="AA11" s="196" t="s">
        <v>2259</v>
      </c>
      <c r="AB11" s="196" t="s">
        <v>2258</v>
      </c>
      <c r="AC11" s="196" t="s">
        <v>2257</v>
      </c>
      <c r="AD11" s="196" t="s">
        <v>2256</v>
      </c>
      <c r="AE11" s="196" t="s">
        <v>2255</v>
      </c>
      <c r="BE11" s="196" t="s">
        <v>2254</v>
      </c>
      <c r="BF11" s="196" t="s">
        <v>2253</v>
      </c>
      <c r="BG11" s="196" t="s">
        <v>2252</v>
      </c>
    </row>
    <row r="12" spans="1:59">
      <c r="A12" s="367"/>
      <c r="B12" s="368"/>
      <c r="C12" s="368" t="s">
        <v>2322</v>
      </c>
      <c r="D12" s="368" t="s">
        <v>2321</v>
      </c>
      <c r="E12" s="367" t="s">
        <v>27</v>
      </c>
      <c r="F12" s="367" t="s">
        <v>27</v>
      </c>
      <c r="G12" s="202" t="s">
        <v>27</v>
      </c>
      <c r="H12" s="384">
        <f>SUM(H13:H14)</f>
        <v>0</v>
      </c>
      <c r="I12" s="384">
        <f>SUM(I13:I14)</f>
        <v>0</v>
      </c>
      <c r="J12" s="384">
        <f>SUM(J13:J14)</f>
        <v>0</v>
      </c>
      <c r="AF12" s="196"/>
      <c r="AP12" s="199">
        <f>SUM(AG13:AG14)</f>
        <v>0</v>
      </c>
      <c r="AQ12" s="199">
        <f>SUM(AH13:AH14)</f>
        <v>0</v>
      </c>
      <c r="AR12" s="199">
        <f>SUM(AI13:AI14)</f>
        <v>0</v>
      </c>
    </row>
    <row r="13" spans="1:59">
      <c r="A13" s="369" t="s">
        <v>75</v>
      </c>
      <c r="B13" s="369"/>
      <c r="C13" s="369" t="s">
        <v>2320</v>
      </c>
      <c r="D13" s="369" t="s">
        <v>2319</v>
      </c>
      <c r="E13" s="369" t="s">
        <v>364</v>
      </c>
      <c r="F13" s="370">
        <v>3</v>
      </c>
      <c r="G13" s="355">
        <v>0</v>
      </c>
      <c r="H13" s="370">
        <f>F13*AL13</f>
        <v>0</v>
      </c>
      <c r="I13" s="370">
        <f>F13*AM13</f>
        <v>0</v>
      </c>
      <c r="J13" s="370">
        <f>F13*G13</f>
        <v>0</v>
      </c>
      <c r="W13" s="195">
        <f>IF(AN13="5",BG13,0)</f>
        <v>0</v>
      </c>
      <c r="Y13" s="195">
        <f>IF(AN13="1",BE13,0)</f>
        <v>0</v>
      </c>
      <c r="Z13" s="195">
        <f>IF(AN13="1",BF13,0)</f>
        <v>0</v>
      </c>
      <c r="AA13" s="195">
        <f>IF(AN13="7",BE13,0)</f>
        <v>0</v>
      </c>
      <c r="AB13" s="195">
        <f>IF(AN13="7",BF13,0)</f>
        <v>0</v>
      </c>
      <c r="AC13" s="195">
        <f>IF(AN13="2",BE13,0)</f>
        <v>0</v>
      </c>
      <c r="AD13" s="195">
        <f>IF(AN13="2",BF13,0)</f>
        <v>0</v>
      </c>
      <c r="AE13" s="195">
        <f>IF(AN13="0",BG13,0)</f>
        <v>0</v>
      </c>
      <c r="AF13" s="196"/>
      <c r="AG13" s="194">
        <f>IF(AK13=0,J13,0)</f>
        <v>0</v>
      </c>
      <c r="AH13" s="194">
        <f>IF(AK13=15,J13,0)</f>
        <v>0</v>
      </c>
      <c r="AI13" s="194">
        <f>IF(AK13=21,J13,0)</f>
        <v>0</v>
      </c>
      <c r="AK13" s="195">
        <v>21</v>
      </c>
      <c r="AL13" s="195">
        <f>G13*0.136178861788618</f>
        <v>0</v>
      </c>
      <c r="AM13" s="195">
        <f>G13*(1-0.136178861788618)</f>
        <v>0</v>
      </c>
      <c r="AN13" s="198" t="s">
        <v>255</v>
      </c>
      <c r="AS13" s="195">
        <f>AT13+AU13</f>
        <v>0</v>
      </c>
      <c r="AT13" s="195">
        <f>F13*AL13</f>
        <v>0</v>
      </c>
      <c r="AU13" s="195">
        <f>F13*AM13</f>
        <v>0</v>
      </c>
      <c r="AV13" s="197" t="s">
        <v>2316</v>
      </c>
      <c r="AW13" s="197" t="s">
        <v>2306</v>
      </c>
      <c r="AX13" s="196" t="s">
        <v>2067</v>
      </c>
      <c r="AZ13" s="195">
        <f>AT13+AU13</f>
        <v>0</v>
      </c>
      <c r="BA13" s="195">
        <f>G13/(100-BB13)*100</f>
        <v>0</v>
      </c>
      <c r="BB13" s="195">
        <v>0</v>
      </c>
      <c r="BC13" s="195" t="e">
        <f>#REF!</f>
        <v>#REF!</v>
      </c>
      <c r="BE13" s="194">
        <f>F13*AL13</f>
        <v>0</v>
      </c>
      <c r="BF13" s="194">
        <f>F13*AM13</f>
        <v>0</v>
      </c>
      <c r="BG13" s="194">
        <f>F13*G13</f>
        <v>0</v>
      </c>
    </row>
    <row r="14" spans="1:59">
      <c r="A14" s="369" t="s">
        <v>77</v>
      </c>
      <c r="B14" s="369"/>
      <c r="C14" s="369" t="s">
        <v>2318</v>
      </c>
      <c r="D14" s="369" t="s">
        <v>2317</v>
      </c>
      <c r="E14" s="369" t="s">
        <v>291</v>
      </c>
      <c r="F14" s="370">
        <v>2</v>
      </c>
      <c r="G14" s="355">
        <v>0</v>
      </c>
      <c r="H14" s="370">
        <f>F14*AL14</f>
        <v>0</v>
      </c>
      <c r="I14" s="370">
        <f>F14*AM14</f>
        <v>0</v>
      </c>
      <c r="J14" s="370">
        <f>F14*G14</f>
        <v>0</v>
      </c>
      <c r="W14" s="195">
        <f>IF(AN14="5",BG14,0)</f>
        <v>0</v>
      </c>
      <c r="Y14" s="195">
        <f>IF(AN14="1",BE14,0)</f>
        <v>0</v>
      </c>
      <c r="Z14" s="195">
        <f>IF(AN14="1",BF14,0)</f>
        <v>0</v>
      </c>
      <c r="AA14" s="195">
        <f>IF(AN14="7",BE14,0)</f>
        <v>0</v>
      </c>
      <c r="AB14" s="195">
        <f>IF(AN14="7",BF14,0)</f>
        <v>0</v>
      </c>
      <c r="AC14" s="195">
        <f>IF(AN14="2",BE14,0)</f>
        <v>0</v>
      </c>
      <c r="AD14" s="195">
        <f>IF(AN14="2",BF14,0)</f>
        <v>0</v>
      </c>
      <c r="AE14" s="195">
        <f>IF(AN14="0",BG14,0)</f>
        <v>0</v>
      </c>
      <c r="AF14" s="196"/>
      <c r="AG14" s="194">
        <f>IF(AK14=0,J14,0)</f>
        <v>0</v>
      </c>
      <c r="AH14" s="194">
        <f>IF(AK14=15,J14,0)</f>
        <v>0</v>
      </c>
      <c r="AI14" s="194">
        <f>IF(AK14=21,J14,0)</f>
        <v>0</v>
      </c>
      <c r="AK14" s="195">
        <v>21</v>
      </c>
      <c r="AL14" s="195">
        <f>G14*0.515921568627451</f>
        <v>0</v>
      </c>
      <c r="AM14" s="195">
        <f>G14*(1-0.515921568627451)</f>
        <v>0</v>
      </c>
      <c r="AN14" s="198" t="s">
        <v>255</v>
      </c>
      <c r="AS14" s="195">
        <f>AT14+AU14</f>
        <v>0</v>
      </c>
      <c r="AT14" s="195">
        <f>F14*AL14</f>
        <v>0</v>
      </c>
      <c r="AU14" s="195">
        <f>F14*AM14</f>
        <v>0</v>
      </c>
      <c r="AV14" s="197" t="s">
        <v>2316</v>
      </c>
      <c r="AW14" s="197" t="s">
        <v>2306</v>
      </c>
      <c r="AX14" s="196" t="s">
        <v>2067</v>
      </c>
      <c r="AZ14" s="195">
        <f>AT14+AU14</f>
        <v>0</v>
      </c>
      <c r="BA14" s="195">
        <f>G14/(100-BB14)*100</f>
        <v>0</v>
      </c>
      <c r="BB14" s="195">
        <v>0</v>
      </c>
      <c r="BC14" s="195" t="e">
        <f>#REF!</f>
        <v>#REF!</v>
      </c>
      <c r="BE14" s="194">
        <f>F14*AL14</f>
        <v>0</v>
      </c>
      <c r="BF14" s="194">
        <f>F14*AM14</f>
        <v>0</v>
      </c>
      <c r="BG14" s="194">
        <f>F14*G14</f>
        <v>0</v>
      </c>
    </row>
    <row r="15" spans="1:59">
      <c r="A15" s="371"/>
      <c r="B15" s="372"/>
      <c r="C15" s="372" t="s">
        <v>2315</v>
      </c>
      <c r="D15" s="372" t="s">
        <v>2314</v>
      </c>
      <c r="E15" s="371" t="s">
        <v>27</v>
      </c>
      <c r="F15" s="371" t="s">
        <v>27</v>
      </c>
      <c r="G15" s="356" t="s">
        <v>27</v>
      </c>
      <c r="H15" s="386">
        <f>SUM(H16:H18)</f>
        <v>0</v>
      </c>
      <c r="I15" s="386">
        <f>SUM(I16:I18)</f>
        <v>0</v>
      </c>
      <c r="J15" s="386">
        <f>SUM(J16:J18)</f>
        <v>0</v>
      </c>
      <c r="AF15" s="196"/>
      <c r="AP15" s="199">
        <f>SUM(AG16:AG18)</f>
        <v>0</v>
      </c>
      <c r="AQ15" s="199">
        <f>SUM(AH16:AH18)</f>
        <v>0</v>
      </c>
      <c r="AR15" s="199">
        <f>SUM(AI16:AI18)</f>
        <v>0</v>
      </c>
    </row>
    <row r="16" spans="1:59">
      <c r="A16" s="369" t="s">
        <v>100</v>
      </c>
      <c r="B16" s="369"/>
      <c r="C16" s="369" t="s">
        <v>2313</v>
      </c>
      <c r="D16" s="369" t="s">
        <v>2312</v>
      </c>
      <c r="E16" s="369" t="s">
        <v>286</v>
      </c>
      <c r="F16" s="370">
        <v>55</v>
      </c>
      <c r="G16" s="355">
        <v>0</v>
      </c>
      <c r="H16" s="370">
        <f>F16*AL16</f>
        <v>0</v>
      </c>
      <c r="I16" s="370">
        <f>F16*AM16</f>
        <v>0</v>
      </c>
      <c r="J16" s="370">
        <f>F16*G16</f>
        <v>0</v>
      </c>
      <c r="W16" s="195">
        <f>IF(AN16="5",BG16,0)</f>
        <v>0</v>
      </c>
      <c r="Y16" s="195">
        <f>IF(AN16="1",BE16,0)</f>
        <v>0</v>
      </c>
      <c r="Z16" s="195">
        <f>IF(AN16="1",BF16,0)</f>
        <v>0</v>
      </c>
      <c r="AA16" s="195">
        <f>IF(AN16="7",BE16,0)</f>
        <v>0</v>
      </c>
      <c r="AB16" s="195">
        <f>IF(AN16="7",BF16,0)</f>
        <v>0</v>
      </c>
      <c r="AC16" s="195">
        <f>IF(AN16="2",BE16,0)</f>
        <v>0</v>
      </c>
      <c r="AD16" s="195">
        <f>IF(AN16="2",BF16,0)</f>
        <v>0</v>
      </c>
      <c r="AE16" s="195">
        <f>IF(AN16="0",BG16,0)</f>
        <v>0</v>
      </c>
      <c r="AF16" s="196"/>
      <c r="AG16" s="194">
        <f>IF(AK16=0,J16,0)</f>
        <v>0</v>
      </c>
      <c r="AH16" s="194">
        <f>IF(AK16=15,J16,0)</f>
        <v>0</v>
      </c>
      <c r="AI16" s="194">
        <f>IF(AK16=21,J16,0)</f>
        <v>0</v>
      </c>
      <c r="AK16" s="195">
        <v>21</v>
      </c>
      <c r="AL16" s="195">
        <f>G16*0</f>
        <v>0</v>
      </c>
      <c r="AM16" s="195">
        <f>G16*(1-0)</f>
        <v>0</v>
      </c>
      <c r="AN16" s="198" t="s">
        <v>255</v>
      </c>
      <c r="AS16" s="195">
        <f>AT16+AU16</f>
        <v>0</v>
      </c>
      <c r="AT16" s="195">
        <f>F16*AL16</f>
        <v>0</v>
      </c>
      <c r="AU16" s="195">
        <f>F16*AM16</f>
        <v>0</v>
      </c>
      <c r="AV16" s="197" t="s">
        <v>2307</v>
      </c>
      <c r="AW16" s="197" t="s">
        <v>2306</v>
      </c>
      <c r="AX16" s="196" t="s">
        <v>2067</v>
      </c>
      <c r="AZ16" s="195">
        <f>AT16+AU16</f>
        <v>0</v>
      </c>
      <c r="BA16" s="195">
        <f>G16/(100-BB16)*100</f>
        <v>0</v>
      </c>
      <c r="BB16" s="195">
        <v>0</v>
      </c>
      <c r="BC16" s="195" t="e">
        <f>#REF!</f>
        <v>#REF!</v>
      </c>
      <c r="BE16" s="194">
        <f>F16*AL16</f>
        <v>0</v>
      </c>
      <c r="BF16" s="194">
        <f>F16*AM16</f>
        <v>0</v>
      </c>
      <c r="BG16" s="194">
        <f>F16*G16</f>
        <v>0</v>
      </c>
    </row>
    <row r="17" spans="1:59">
      <c r="A17" s="369" t="s">
        <v>223</v>
      </c>
      <c r="B17" s="369"/>
      <c r="C17" s="369" t="s">
        <v>2311</v>
      </c>
      <c r="D17" s="369" t="s">
        <v>2310</v>
      </c>
      <c r="E17" s="369" t="s">
        <v>286</v>
      </c>
      <c r="F17" s="370">
        <v>55</v>
      </c>
      <c r="G17" s="355">
        <v>0</v>
      </c>
      <c r="H17" s="370">
        <f>F17*AL17</f>
        <v>0</v>
      </c>
      <c r="I17" s="370">
        <f>F17*AM17</f>
        <v>0</v>
      </c>
      <c r="J17" s="370">
        <f>F17*G17</f>
        <v>0</v>
      </c>
      <c r="W17" s="195">
        <f>IF(AN17="5",BG17,0)</f>
        <v>0</v>
      </c>
      <c r="Y17" s="195">
        <f>IF(AN17="1",BE17,0)</f>
        <v>0</v>
      </c>
      <c r="Z17" s="195">
        <f>IF(AN17="1",BF17,0)</f>
        <v>0</v>
      </c>
      <c r="AA17" s="195">
        <f>IF(AN17="7",BE17,0)</f>
        <v>0</v>
      </c>
      <c r="AB17" s="195">
        <f>IF(AN17="7",BF17,0)</f>
        <v>0</v>
      </c>
      <c r="AC17" s="195">
        <f>IF(AN17="2",BE17,0)</f>
        <v>0</v>
      </c>
      <c r="AD17" s="195">
        <f>IF(AN17="2",BF17,0)</f>
        <v>0</v>
      </c>
      <c r="AE17" s="195">
        <f>IF(AN17="0",BG17,0)</f>
        <v>0</v>
      </c>
      <c r="AF17" s="196"/>
      <c r="AG17" s="194">
        <f>IF(AK17=0,J17,0)</f>
        <v>0</v>
      </c>
      <c r="AH17" s="194">
        <f>IF(AK17=15,J17,0)</f>
        <v>0</v>
      </c>
      <c r="AI17" s="194">
        <f>IF(AK17=21,J17,0)</f>
        <v>0</v>
      </c>
      <c r="AK17" s="195">
        <v>21</v>
      </c>
      <c r="AL17" s="195">
        <f>G17*0.399112627986348</f>
        <v>0</v>
      </c>
      <c r="AM17" s="195">
        <f>G17*(1-0.399112627986348)</f>
        <v>0</v>
      </c>
      <c r="AN17" s="198" t="s">
        <v>255</v>
      </c>
      <c r="AS17" s="195">
        <f>AT17+AU17</f>
        <v>0</v>
      </c>
      <c r="AT17" s="195">
        <f>F17*AL17</f>
        <v>0</v>
      </c>
      <c r="AU17" s="195">
        <f>F17*AM17</f>
        <v>0</v>
      </c>
      <c r="AV17" s="197" t="s">
        <v>2307</v>
      </c>
      <c r="AW17" s="197" t="s">
        <v>2306</v>
      </c>
      <c r="AX17" s="196" t="s">
        <v>2067</v>
      </c>
      <c r="AZ17" s="195">
        <f>AT17+AU17</f>
        <v>0</v>
      </c>
      <c r="BA17" s="195">
        <f>G17/(100-BB17)*100</f>
        <v>0</v>
      </c>
      <c r="BB17" s="195">
        <v>0</v>
      </c>
      <c r="BC17" s="195" t="e">
        <f>#REF!</f>
        <v>#REF!</v>
      </c>
      <c r="BE17" s="194">
        <f>F17*AL17</f>
        <v>0</v>
      </c>
      <c r="BF17" s="194">
        <f>F17*AM17</f>
        <v>0</v>
      </c>
      <c r="BG17" s="194">
        <f>F17*G17</f>
        <v>0</v>
      </c>
    </row>
    <row r="18" spans="1:59">
      <c r="A18" s="369" t="s">
        <v>244</v>
      </c>
      <c r="B18" s="369"/>
      <c r="C18" s="369" t="s">
        <v>2309</v>
      </c>
      <c r="D18" s="369" t="s">
        <v>2308</v>
      </c>
      <c r="E18" s="369" t="s">
        <v>286</v>
      </c>
      <c r="F18" s="370">
        <v>55</v>
      </c>
      <c r="G18" s="355">
        <v>0</v>
      </c>
      <c r="H18" s="370">
        <f>F18*AL18</f>
        <v>0</v>
      </c>
      <c r="I18" s="370">
        <f>F18*AM18</f>
        <v>0</v>
      </c>
      <c r="J18" s="370">
        <f>F18*G18</f>
        <v>0</v>
      </c>
      <c r="W18" s="195">
        <f>IF(AN18="5",BG18,0)</f>
        <v>0</v>
      </c>
      <c r="Y18" s="195">
        <f>IF(AN18="1",BE18,0)</f>
        <v>0</v>
      </c>
      <c r="Z18" s="195">
        <f>IF(AN18="1",BF18,0)</f>
        <v>0</v>
      </c>
      <c r="AA18" s="195">
        <f>IF(AN18="7",BE18,0)</f>
        <v>0</v>
      </c>
      <c r="AB18" s="195">
        <f>IF(AN18="7",BF18,0)</f>
        <v>0</v>
      </c>
      <c r="AC18" s="195">
        <f>IF(AN18="2",BE18,0)</f>
        <v>0</v>
      </c>
      <c r="AD18" s="195">
        <f>IF(AN18="2",BF18,0)</f>
        <v>0</v>
      </c>
      <c r="AE18" s="195">
        <f>IF(AN18="0",BG18,0)</f>
        <v>0</v>
      </c>
      <c r="AF18" s="196"/>
      <c r="AG18" s="194">
        <f>IF(AK18=0,J18,0)</f>
        <v>0</v>
      </c>
      <c r="AH18" s="194">
        <f>IF(AK18=15,J18,0)</f>
        <v>0</v>
      </c>
      <c r="AI18" s="194">
        <f>IF(AK18=21,J18,0)</f>
        <v>0</v>
      </c>
      <c r="AK18" s="195">
        <v>21</v>
      </c>
      <c r="AL18" s="195">
        <f>G18*0</f>
        <v>0</v>
      </c>
      <c r="AM18" s="195">
        <f>G18*(1-0)</f>
        <v>0</v>
      </c>
      <c r="AN18" s="198" t="s">
        <v>255</v>
      </c>
      <c r="AS18" s="195">
        <f>AT18+AU18</f>
        <v>0</v>
      </c>
      <c r="AT18" s="195">
        <f>F18*AL18</f>
        <v>0</v>
      </c>
      <c r="AU18" s="195">
        <f>F18*AM18</f>
        <v>0</v>
      </c>
      <c r="AV18" s="197" t="s">
        <v>2307</v>
      </c>
      <c r="AW18" s="197" t="s">
        <v>2306</v>
      </c>
      <c r="AX18" s="196" t="s">
        <v>2067</v>
      </c>
      <c r="AZ18" s="195">
        <f>AT18+AU18</f>
        <v>0</v>
      </c>
      <c r="BA18" s="195">
        <f>G18/(100-BB18)*100</f>
        <v>0</v>
      </c>
      <c r="BB18" s="195">
        <v>0</v>
      </c>
      <c r="BC18" s="195" t="e">
        <f>#REF!</f>
        <v>#REF!</v>
      </c>
      <c r="BE18" s="194">
        <f>F18*AL18</f>
        <v>0</v>
      </c>
      <c r="BF18" s="194">
        <f>F18*AM18</f>
        <v>0</v>
      </c>
      <c r="BG18" s="194">
        <f>F18*G18</f>
        <v>0</v>
      </c>
    </row>
    <row r="19" spans="1:59">
      <c r="A19" s="371"/>
      <c r="B19" s="372"/>
      <c r="C19" s="372" t="s">
        <v>1594</v>
      </c>
      <c r="D19" s="372" t="s">
        <v>2305</v>
      </c>
      <c r="E19" s="371" t="s">
        <v>27</v>
      </c>
      <c r="F19" s="371" t="s">
        <v>27</v>
      </c>
      <c r="G19" s="356" t="s">
        <v>27</v>
      </c>
      <c r="H19" s="386">
        <f>SUM(H20:H21)</f>
        <v>0</v>
      </c>
      <c r="I19" s="386">
        <f>SUM(I20:I21)</f>
        <v>0</v>
      </c>
      <c r="J19" s="386">
        <f>SUM(J20:J21)</f>
        <v>0</v>
      </c>
      <c r="AF19" s="196"/>
      <c r="AP19" s="199">
        <f>SUM(AG20:AG21)</f>
        <v>0</v>
      </c>
      <c r="AQ19" s="199">
        <f>SUM(AH20:AH21)</f>
        <v>0</v>
      </c>
      <c r="AR19" s="199">
        <f>SUM(AI20:AI21)</f>
        <v>0</v>
      </c>
    </row>
    <row r="20" spans="1:59">
      <c r="A20" s="369" t="s">
        <v>248</v>
      </c>
      <c r="B20" s="369"/>
      <c r="C20" s="369" t="s">
        <v>2304</v>
      </c>
      <c r="D20" s="369" t="s">
        <v>2303</v>
      </c>
      <c r="E20" s="369" t="s">
        <v>364</v>
      </c>
      <c r="F20" s="370">
        <v>30</v>
      </c>
      <c r="G20" s="355">
        <v>0</v>
      </c>
      <c r="H20" s="370">
        <f>F20*AL20</f>
        <v>0</v>
      </c>
      <c r="I20" s="370">
        <f>F20*AM20</f>
        <v>0</v>
      </c>
      <c r="J20" s="370">
        <f>F20*G20</f>
        <v>0</v>
      </c>
      <c r="W20" s="195">
        <f>IF(AN20="5",BG20,0)</f>
        <v>0</v>
      </c>
      <c r="Y20" s="195">
        <f>IF(AN20="1",BE20,0)</f>
        <v>0</v>
      </c>
      <c r="Z20" s="195">
        <f>IF(AN20="1",BF20,0)</f>
        <v>0</v>
      </c>
      <c r="AA20" s="195">
        <f>IF(AN20="7",BE20,0)</f>
        <v>0</v>
      </c>
      <c r="AB20" s="195">
        <f>IF(AN20="7",BF20,0)</f>
        <v>0</v>
      </c>
      <c r="AC20" s="195">
        <f>IF(AN20="2",BE20,0)</f>
        <v>0</v>
      </c>
      <c r="AD20" s="195">
        <f>IF(AN20="2",BF20,0)</f>
        <v>0</v>
      </c>
      <c r="AE20" s="195">
        <f>IF(AN20="0",BG20,0)</f>
        <v>0</v>
      </c>
      <c r="AF20" s="196"/>
      <c r="AG20" s="194">
        <f>IF(AK20=0,J20,0)</f>
        <v>0</v>
      </c>
      <c r="AH20" s="194">
        <f>IF(AK20=15,J20,0)</f>
        <v>0</v>
      </c>
      <c r="AI20" s="194">
        <f>IF(AK20=21,J20,0)</f>
        <v>0</v>
      </c>
      <c r="AK20" s="195">
        <v>21</v>
      </c>
      <c r="AL20" s="195">
        <f>G20*0.222350674373796</f>
        <v>0</v>
      </c>
      <c r="AM20" s="195">
        <f>G20*(1-0.222350674373796)</f>
        <v>0</v>
      </c>
      <c r="AN20" s="198" t="s">
        <v>255</v>
      </c>
      <c r="AS20" s="195">
        <f>AT20+AU20</f>
        <v>0</v>
      </c>
      <c r="AT20" s="195">
        <f>F20*AL20</f>
        <v>0</v>
      </c>
      <c r="AU20" s="195">
        <f>F20*AM20</f>
        <v>0</v>
      </c>
      <c r="AV20" s="197" t="s">
        <v>2300</v>
      </c>
      <c r="AW20" s="197" t="s">
        <v>2299</v>
      </c>
      <c r="AX20" s="196" t="s">
        <v>2067</v>
      </c>
      <c r="AZ20" s="195">
        <f>AT20+AU20</f>
        <v>0</v>
      </c>
      <c r="BA20" s="195">
        <f>G20/(100-BB20)*100</f>
        <v>0</v>
      </c>
      <c r="BB20" s="195">
        <v>0</v>
      </c>
      <c r="BC20" s="195" t="e">
        <f>#REF!</f>
        <v>#REF!</v>
      </c>
      <c r="BE20" s="194">
        <f>F20*AL20</f>
        <v>0</v>
      </c>
      <c r="BF20" s="194">
        <f>F20*AM20</f>
        <v>0</v>
      </c>
      <c r="BG20" s="194">
        <f>F20*G20</f>
        <v>0</v>
      </c>
    </row>
    <row r="21" spans="1:59">
      <c r="A21" s="369" t="s">
        <v>255</v>
      </c>
      <c r="B21" s="369"/>
      <c r="C21" s="369" t="s">
        <v>2302</v>
      </c>
      <c r="D21" s="369" t="s">
        <v>2301</v>
      </c>
      <c r="E21" s="369" t="s">
        <v>286</v>
      </c>
      <c r="F21" s="370">
        <v>55</v>
      </c>
      <c r="G21" s="355">
        <v>0</v>
      </c>
      <c r="H21" s="370">
        <f>F21*AL21</f>
        <v>0</v>
      </c>
      <c r="I21" s="370">
        <f>F21*AM21</f>
        <v>0</v>
      </c>
      <c r="J21" s="370">
        <f>F21*G21</f>
        <v>0</v>
      </c>
      <c r="W21" s="195">
        <f>IF(AN21="5",BG21,0)</f>
        <v>0</v>
      </c>
      <c r="Y21" s="195">
        <f>IF(AN21="1",BE21,0)</f>
        <v>0</v>
      </c>
      <c r="Z21" s="195">
        <f>IF(AN21="1",BF21,0)</f>
        <v>0</v>
      </c>
      <c r="AA21" s="195">
        <f>IF(AN21="7",BE21,0)</f>
        <v>0</v>
      </c>
      <c r="AB21" s="195">
        <f>IF(AN21="7",BF21,0)</f>
        <v>0</v>
      </c>
      <c r="AC21" s="195">
        <f>IF(AN21="2",BE21,0)</f>
        <v>0</v>
      </c>
      <c r="AD21" s="195">
        <f>IF(AN21="2",BF21,0)</f>
        <v>0</v>
      </c>
      <c r="AE21" s="195">
        <f>IF(AN21="0",BG21,0)</f>
        <v>0</v>
      </c>
      <c r="AF21" s="196"/>
      <c r="AG21" s="194">
        <f>IF(AK21=0,J21,0)</f>
        <v>0</v>
      </c>
      <c r="AH21" s="194">
        <f>IF(AK21=15,J21,0)</f>
        <v>0</v>
      </c>
      <c r="AI21" s="194">
        <f>IF(AK21=21,J21,0)</f>
        <v>0</v>
      </c>
      <c r="AK21" s="195">
        <v>21</v>
      </c>
      <c r="AL21" s="195">
        <f>G21*0.409865951742627</f>
        <v>0</v>
      </c>
      <c r="AM21" s="195">
        <f>G21*(1-0.409865951742627)</f>
        <v>0</v>
      </c>
      <c r="AN21" s="198" t="s">
        <v>255</v>
      </c>
      <c r="AS21" s="195">
        <f>AT21+AU21</f>
        <v>0</v>
      </c>
      <c r="AT21" s="195">
        <f>F21*AL21</f>
        <v>0</v>
      </c>
      <c r="AU21" s="195">
        <f>F21*AM21</f>
        <v>0</v>
      </c>
      <c r="AV21" s="197" t="s">
        <v>2300</v>
      </c>
      <c r="AW21" s="197" t="s">
        <v>2299</v>
      </c>
      <c r="AX21" s="196" t="s">
        <v>2067</v>
      </c>
      <c r="AZ21" s="195">
        <f>AT21+AU21</f>
        <v>0</v>
      </c>
      <c r="BA21" s="195">
        <f>G21/(100-BB21)*100</f>
        <v>0</v>
      </c>
      <c r="BB21" s="195">
        <v>0</v>
      </c>
      <c r="BC21" s="195" t="e">
        <f>#REF!</f>
        <v>#REF!</v>
      </c>
      <c r="BE21" s="194">
        <f>F21*AL21</f>
        <v>0</v>
      </c>
      <c r="BF21" s="194">
        <f>F21*AM21</f>
        <v>0</v>
      </c>
      <c r="BG21" s="194">
        <f>F21*G21</f>
        <v>0</v>
      </c>
    </row>
    <row r="22" spans="1:59">
      <c r="A22" s="371"/>
      <c r="B22" s="372"/>
      <c r="C22" s="372" t="s">
        <v>2072</v>
      </c>
      <c r="D22" s="372" t="s">
        <v>1900</v>
      </c>
      <c r="E22" s="371" t="s">
        <v>27</v>
      </c>
      <c r="F22" s="371" t="s">
        <v>27</v>
      </c>
      <c r="G22" s="356" t="s">
        <v>27</v>
      </c>
      <c r="H22" s="386">
        <f>SUM(H23:H24)</f>
        <v>0</v>
      </c>
      <c r="I22" s="386">
        <f>SUM(I23:I24)</f>
        <v>0</v>
      </c>
      <c r="J22" s="386">
        <f>SUM(J23:J24)</f>
        <v>0</v>
      </c>
      <c r="AF22" s="196"/>
      <c r="AP22" s="199">
        <f>SUM(AG23:AG24)</f>
        <v>0</v>
      </c>
      <c r="AQ22" s="199">
        <f>SUM(AH23:AH24)</f>
        <v>0</v>
      </c>
      <c r="AR22" s="199">
        <f>SUM(AI23:AI24)</f>
        <v>0</v>
      </c>
    </row>
    <row r="23" spans="1:59">
      <c r="A23" s="369" t="s">
        <v>260</v>
      </c>
      <c r="B23" s="369"/>
      <c r="C23" s="369" t="s">
        <v>2298</v>
      </c>
      <c r="D23" s="369" t="s">
        <v>2297</v>
      </c>
      <c r="E23" s="369" t="s">
        <v>1766</v>
      </c>
      <c r="F23" s="370">
        <v>1</v>
      </c>
      <c r="G23" s="355">
        <v>0</v>
      </c>
      <c r="H23" s="370">
        <f>F23*AL23</f>
        <v>0</v>
      </c>
      <c r="I23" s="370">
        <f>F23*AM23</f>
        <v>0</v>
      </c>
      <c r="J23" s="370">
        <f>F23*G23</f>
        <v>0</v>
      </c>
      <c r="W23" s="195">
        <f>IF(AN23="5",BG23,0)</f>
        <v>0</v>
      </c>
      <c r="Y23" s="195">
        <f>IF(AN23="1",BE23,0)</f>
        <v>0</v>
      </c>
      <c r="Z23" s="195">
        <f>IF(AN23="1",BF23,0)</f>
        <v>0</v>
      </c>
      <c r="AA23" s="195">
        <f>IF(AN23="7",BE23,0)</f>
        <v>0</v>
      </c>
      <c r="AB23" s="195">
        <f>IF(AN23="7",BF23,0)</f>
        <v>0</v>
      </c>
      <c r="AC23" s="195">
        <f>IF(AN23="2",BE23,0)</f>
        <v>0</v>
      </c>
      <c r="AD23" s="195">
        <f>IF(AN23="2",BF23,0)</f>
        <v>0</v>
      </c>
      <c r="AE23" s="195">
        <f>IF(AN23="0",BG23,0)</f>
        <v>0</v>
      </c>
      <c r="AF23" s="196"/>
      <c r="AG23" s="194">
        <f>IF(AK23=0,J23,0)</f>
        <v>0</v>
      </c>
      <c r="AH23" s="194">
        <f>IF(AK23=15,J23,0)</f>
        <v>0</v>
      </c>
      <c r="AI23" s="194">
        <f>IF(AK23=21,J23,0)</f>
        <v>0</v>
      </c>
      <c r="AK23" s="195">
        <v>21</v>
      </c>
      <c r="AL23" s="195">
        <f>G23*0</f>
        <v>0</v>
      </c>
      <c r="AM23" s="195">
        <f>G23*(1-0)</f>
        <v>0</v>
      </c>
      <c r="AN23" s="198" t="s">
        <v>75</v>
      </c>
      <c r="AS23" s="195">
        <f>AT23+AU23</f>
        <v>0</v>
      </c>
      <c r="AT23" s="195">
        <f>F23*AL23</f>
        <v>0</v>
      </c>
      <c r="AU23" s="195">
        <f>F23*AM23</f>
        <v>0</v>
      </c>
      <c r="AV23" s="197" t="s">
        <v>2069</v>
      </c>
      <c r="AW23" s="197" t="s">
        <v>2068</v>
      </c>
      <c r="AX23" s="196" t="s">
        <v>2067</v>
      </c>
      <c r="AZ23" s="195">
        <f>AT23+AU23</f>
        <v>0</v>
      </c>
      <c r="BA23" s="195">
        <f>G23/(100-BB23)*100</f>
        <v>0</v>
      </c>
      <c r="BB23" s="195">
        <v>0</v>
      </c>
      <c r="BC23" s="195" t="e">
        <f>#REF!</f>
        <v>#REF!</v>
      </c>
      <c r="BE23" s="194">
        <f>F23*AL23</f>
        <v>0</v>
      </c>
      <c r="BF23" s="194">
        <f>F23*AM23</f>
        <v>0</v>
      </c>
      <c r="BG23" s="194">
        <f>F23*G23</f>
        <v>0</v>
      </c>
    </row>
    <row r="24" spans="1:59">
      <c r="A24" s="377" t="s">
        <v>265</v>
      </c>
      <c r="B24" s="377"/>
      <c r="C24" s="377" t="s">
        <v>2296</v>
      </c>
      <c r="D24" s="377" t="s">
        <v>2295</v>
      </c>
      <c r="E24" s="377" t="s">
        <v>1766</v>
      </c>
      <c r="F24" s="378">
        <v>1</v>
      </c>
      <c r="G24" s="359">
        <v>0</v>
      </c>
      <c r="H24" s="378">
        <f>F24*AL24</f>
        <v>0</v>
      </c>
      <c r="I24" s="378">
        <f>F24*AM24</f>
        <v>0</v>
      </c>
      <c r="J24" s="378">
        <f>F24*G24</f>
        <v>0</v>
      </c>
      <c r="W24" s="195">
        <f>IF(AN24="5",BG24,0)</f>
        <v>0</v>
      </c>
      <c r="Y24" s="195">
        <f>IF(AN24="1",BE24,0)</f>
        <v>0</v>
      </c>
      <c r="Z24" s="195">
        <f>IF(AN24="1",BF24,0)</f>
        <v>0</v>
      </c>
      <c r="AA24" s="195">
        <f>IF(AN24="7",BE24,0)</f>
        <v>0</v>
      </c>
      <c r="AB24" s="195">
        <f>IF(AN24="7",BF24,0)</f>
        <v>0</v>
      </c>
      <c r="AC24" s="195">
        <f>IF(AN24="2",BE24,0)</f>
        <v>0</v>
      </c>
      <c r="AD24" s="195">
        <f>IF(AN24="2",BF24,0)</f>
        <v>0</v>
      </c>
      <c r="AE24" s="195">
        <f>IF(AN24="0",BG24,0)</f>
        <v>0</v>
      </c>
      <c r="AF24" s="196"/>
      <c r="AG24" s="194">
        <f>IF(AK24=0,J24,0)</f>
        <v>0</v>
      </c>
      <c r="AH24" s="194">
        <f>IF(AK24=15,J24,0)</f>
        <v>0</v>
      </c>
      <c r="AI24" s="194">
        <f>IF(AK24=21,J24,0)</f>
        <v>0</v>
      </c>
      <c r="AK24" s="195">
        <v>21</v>
      </c>
      <c r="AL24" s="195">
        <f>G24*0</f>
        <v>0</v>
      </c>
      <c r="AM24" s="195">
        <f>G24*(1-0)</f>
        <v>0</v>
      </c>
      <c r="AN24" s="198" t="s">
        <v>75</v>
      </c>
      <c r="AS24" s="195">
        <f>AT24+AU24</f>
        <v>0</v>
      </c>
      <c r="AT24" s="195">
        <f>F24*AL24</f>
        <v>0</v>
      </c>
      <c r="AU24" s="195">
        <f>F24*AM24</f>
        <v>0</v>
      </c>
      <c r="AV24" s="197" t="s">
        <v>2069</v>
      </c>
      <c r="AW24" s="197" t="s">
        <v>2068</v>
      </c>
      <c r="AX24" s="196" t="s">
        <v>2067</v>
      </c>
      <c r="AZ24" s="195">
        <f>AT24+AU24</f>
        <v>0</v>
      </c>
      <c r="BA24" s="195">
        <f>G24/(100-BB24)*100</f>
        <v>0</v>
      </c>
      <c r="BB24" s="195">
        <v>0</v>
      </c>
      <c r="BC24" s="195" t="e">
        <f>#REF!</f>
        <v>#REF!</v>
      </c>
      <c r="BE24" s="194">
        <f>F24*AL24</f>
        <v>0</v>
      </c>
      <c r="BF24" s="194">
        <f>F24*AM24</f>
        <v>0</v>
      </c>
      <c r="BG24" s="194">
        <f>F24*G24</f>
        <v>0</v>
      </c>
    </row>
    <row r="25" spans="1:59">
      <c r="A25" s="193"/>
      <c r="B25" s="193"/>
      <c r="C25" s="193"/>
      <c r="D25" s="193"/>
      <c r="E25" s="193"/>
      <c r="F25" s="193"/>
      <c r="G25" s="193"/>
      <c r="H25" s="727" t="s">
        <v>2066</v>
      </c>
      <c r="I25" s="728"/>
      <c r="J25" s="415">
        <f>J12+J15+J19+J22</f>
        <v>0</v>
      </c>
    </row>
    <row r="26" spans="1:59" ht="11.25" customHeight="1">
      <c r="A26" s="192" t="s">
        <v>32</v>
      </c>
    </row>
    <row r="27" spans="1:59">
      <c r="A27" s="747"/>
      <c r="B27" s="748"/>
      <c r="C27" s="748"/>
      <c r="D27" s="748"/>
      <c r="E27" s="748"/>
      <c r="F27" s="748"/>
      <c r="G27" s="748"/>
      <c r="H27" s="748"/>
      <c r="I27" s="748"/>
      <c r="J27" s="748"/>
    </row>
    <row r="90" spans="9:9">
      <c r="I90" s="205">
        <f>UT!J25</f>
        <v>0</v>
      </c>
    </row>
  </sheetData>
  <sheetProtection password="C971" sheet="1" objects="1" scenarios="1"/>
  <mergeCells count="28">
    <mergeCell ref="H10:J10"/>
    <mergeCell ref="H25:I25"/>
    <mergeCell ref="A27:J27"/>
    <mergeCell ref="A8:C9"/>
    <mergeCell ref="D8:E9"/>
    <mergeCell ref="F8:G9"/>
    <mergeCell ref="H8:H9"/>
    <mergeCell ref="I8:I9"/>
    <mergeCell ref="J8:J9"/>
    <mergeCell ref="J6:J7"/>
    <mergeCell ref="A4:C5"/>
    <mergeCell ref="D4:E5"/>
    <mergeCell ref="F4:G5"/>
    <mergeCell ref="H4:H5"/>
    <mergeCell ref="I4:I5"/>
    <mergeCell ref="J4:J5"/>
    <mergeCell ref="A6:C7"/>
    <mergeCell ref="D6:E7"/>
    <mergeCell ref="F6:G7"/>
    <mergeCell ref="H6:H7"/>
    <mergeCell ref="I6:I7"/>
    <mergeCell ref="A1:J1"/>
    <mergeCell ref="A2:C3"/>
    <mergeCell ref="D2:E3"/>
    <mergeCell ref="F2:G3"/>
    <mergeCell ref="H2:H3"/>
    <mergeCell ref="I2:I3"/>
    <mergeCell ref="J2:J3"/>
  </mergeCells>
  <pageMargins left="0.39400000000000002" right="0.39400000000000002" top="0.59099999999999997" bottom="0.59099999999999997" header="0.5" footer="0.5"/>
  <pageSetup paperSize="0" fitToHeight="0"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M91"/>
  <sheetViews>
    <sheetView showGridLines="0" topLeftCell="A57" workbookViewId="0">
      <selection activeCell="J90" sqref="J90"/>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94</v>
      </c>
    </row>
    <row r="3" spans="1:46" s="1" customFormat="1" ht="6.95" customHeight="1">
      <c r="A3" s="61"/>
      <c r="B3" s="263"/>
      <c r="C3" s="264"/>
      <c r="D3" s="264"/>
      <c r="E3" s="264"/>
      <c r="F3" s="264"/>
      <c r="G3" s="264"/>
      <c r="H3" s="264"/>
      <c r="I3" s="264"/>
      <c r="J3" s="264"/>
      <c r="K3" s="264"/>
      <c r="L3" s="20"/>
      <c r="AT3" s="19" t="s">
        <v>77</v>
      </c>
    </row>
    <row r="4" spans="1:46" s="1" customFormat="1" ht="24.95" customHeight="1">
      <c r="A4" s="61"/>
      <c r="B4" s="265"/>
      <c r="C4" s="61"/>
      <c r="D4" s="266" t="s">
        <v>142</v>
      </c>
      <c r="E4" s="61"/>
      <c r="F4" s="61"/>
      <c r="G4" s="61"/>
      <c r="H4" s="61"/>
      <c r="I4" s="61"/>
      <c r="J4" s="61"/>
      <c r="K4" s="61"/>
      <c r="L4" s="20"/>
      <c r="M4" s="63" t="s">
        <v>11</v>
      </c>
      <c r="AT4" s="19" t="s">
        <v>4</v>
      </c>
    </row>
    <row r="5" spans="1:46" s="1" customFormat="1" ht="6.95" customHeight="1">
      <c r="A5" s="61"/>
      <c r="B5" s="265"/>
      <c r="C5" s="61"/>
      <c r="D5" s="61"/>
      <c r="E5" s="61"/>
      <c r="F5" s="61"/>
      <c r="G5" s="61"/>
      <c r="H5" s="61"/>
      <c r="I5" s="61"/>
      <c r="J5" s="61"/>
      <c r="K5" s="61"/>
      <c r="L5" s="20"/>
    </row>
    <row r="6" spans="1:46" s="1" customFormat="1" ht="12" customHeight="1">
      <c r="A6" s="61"/>
      <c r="B6" s="265"/>
      <c r="C6" s="61"/>
      <c r="D6" s="268" t="s">
        <v>15</v>
      </c>
      <c r="E6" s="61"/>
      <c r="F6" s="61"/>
      <c r="G6" s="61"/>
      <c r="H6" s="61"/>
      <c r="I6" s="61"/>
      <c r="J6" s="61"/>
      <c r="K6" s="61"/>
      <c r="L6" s="20"/>
    </row>
    <row r="7" spans="1:46" s="1" customFormat="1" ht="14.45" customHeight="1">
      <c r="A7" s="61"/>
      <c r="B7" s="265"/>
      <c r="C7" s="61"/>
      <c r="D7" s="61"/>
      <c r="E7" s="722" t="str">
        <f>'Rekapitulace stavby'!K6</f>
        <v>Úpravy gastroprovozu Úřadu vlády ČR v 1.pp Strakovy akademie</v>
      </c>
      <c r="F7" s="723"/>
      <c r="G7" s="723"/>
      <c r="H7" s="723"/>
      <c r="I7" s="61"/>
      <c r="J7" s="61"/>
      <c r="K7" s="61"/>
      <c r="L7" s="20"/>
    </row>
    <row r="8" spans="1:46" s="1" customFormat="1" ht="12" customHeight="1">
      <c r="A8" s="61"/>
      <c r="B8" s="265"/>
      <c r="C8" s="61"/>
      <c r="D8" s="268" t="s">
        <v>151</v>
      </c>
      <c r="E8" s="61"/>
      <c r="F8" s="61"/>
      <c r="G8" s="61"/>
      <c r="H8" s="61"/>
      <c r="I8" s="61"/>
      <c r="J8" s="61"/>
      <c r="K8" s="61"/>
      <c r="L8" s="20"/>
    </row>
    <row r="9" spans="1:46" s="2" customFormat="1" ht="14.45" customHeight="1">
      <c r="A9" s="271"/>
      <c r="B9" s="270"/>
      <c r="C9" s="271"/>
      <c r="D9" s="271"/>
      <c r="E9" s="722" t="s">
        <v>1759</v>
      </c>
      <c r="F9" s="721"/>
      <c r="G9" s="721"/>
      <c r="H9" s="721"/>
      <c r="I9" s="271"/>
      <c r="J9" s="271"/>
      <c r="K9" s="271"/>
      <c r="L9" s="64"/>
      <c r="S9" s="23"/>
      <c r="T9" s="23"/>
      <c r="U9" s="23"/>
      <c r="V9" s="23"/>
      <c r="W9" s="23"/>
      <c r="X9" s="23"/>
      <c r="Y9" s="23"/>
      <c r="Z9" s="23"/>
      <c r="AA9" s="23"/>
      <c r="AB9" s="23"/>
      <c r="AC9" s="23"/>
      <c r="AD9" s="23"/>
      <c r="AE9" s="23"/>
    </row>
    <row r="10" spans="1:46" s="2" customFormat="1" ht="12" customHeight="1">
      <c r="A10" s="271"/>
      <c r="B10" s="270"/>
      <c r="C10" s="271"/>
      <c r="D10" s="268" t="s">
        <v>157</v>
      </c>
      <c r="E10" s="271"/>
      <c r="F10" s="271"/>
      <c r="G10" s="271"/>
      <c r="H10" s="271"/>
      <c r="I10" s="271"/>
      <c r="J10" s="271"/>
      <c r="K10" s="271"/>
      <c r="L10" s="64"/>
      <c r="S10" s="23"/>
      <c r="T10" s="23"/>
      <c r="U10" s="23"/>
      <c r="V10" s="23"/>
      <c r="W10" s="23"/>
      <c r="X10" s="23"/>
      <c r="Y10" s="23"/>
      <c r="Z10" s="23"/>
      <c r="AA10" s="23"/>
      <c r="AB10" s="23"/>
      <c r="AC10" s="23"/>
      <c r="AD10" s="23"/>
      <c r="AE10" s="23"/>
    </row>
    <row r="11" spans="1:46" s="2" customFormat="1" ht="14.45" customHeight="1">
      <c r="A11" s="271"/>
      <c r="B11" s="270"/>
      <c r="C11" s="271"/>
      <c r="D11" s="271"/>
      <c r="E11" s="689" t="s">
        <v>1774</v>
      </c>
      <c r="F11" s="721"/>
      <c r="G11" s="721"/>
      <c r="H11" s="721"/>
      <c r="I11" s="271"/>
      <c r="J11" s="271"/>
      <c r="K11" s="271"/>
      <c r="L11" s="64"/>
      <c r="S11" s="23"/>
      <c r="T11" s="23"/>
      <c r="U11" s="23"/>
      <c r="V11" s="23"/>
      <c r="W11" s="23"/>
      <c r="X11" s="23"/>
      <c r="Y11" s="23"/>
      <c r="Z11" s="23"/>
      <c r="AA11" s="23"/>
      <c r="AB11" s="23"/>
      <c r="AC11" s="23"/>
      <c r="AD11" s="23"/>
      <c r="AE11" s="23"/>
    </row>
    <row r="12" spans="1:46" s="2" customFormat="1">
      <c r="A12" s="271"/>
      <c r="B12" s="270"/>
      <c r="C12" s="271"/>
      <c r="D12" s="271"/>
      <c r="E12" s="271"/>
      <c r="F12" s="271"/>
      <c r="G12" s="271"/>
      <c r="H12" s="271"/>
      <c r="I12" s="271"/>
      <c r="J12" s="271"/>
      <c r="K12" s="271"/>
      <c r="L12" s="64"/>
      <c r="S12" s="23"/>
      <c r="T12" s="23"/>
      <c r="U12" s="23"/>
      <c r="V12" s="23"/>
      <c r="W12" s="23"/>
      <c r="X12" s="23"/>
      <c r="Y12" s="23"/>
      <c r="Z12" s="23"/>
      <c r="AA12" s="23"/>
      <c r="AB12" s="23"/>
      <c r="AC12" s="23"/>
      <c r="AD12" s="23"/>
      <c r="AE12" s="23"/>
    </row>
    <row r="13" spans="1:46" s="2" customFormat="1" ht="12" customHeight="1">
      <c r="A13" s="271"/>
      <c r="B13" s="270"/>
      <c r="C13" s="271"/>
      <c r="D13" s="268" t="s">
        <v>17</v>
      </c>
      <c r="E13" s="271"/>
      <c r="F13" s="273" t="s">
        <v>3</v>
      </c>
      <c r="G13" s="271"/>
      <c r="H13" s="271"/>
      <c r="I13" s="268" t="s">
        <v>18</v>
      </c>
      <c r="J13" s="273" t="s">
        <v>3</v>
      </c>
      <c r="K13" s="271"/>
      <c r="L13" s="64"/>
      <c r="S13" s="23"/>
      <c r="T13" s="23"/>
      <c r="U13" s="23"/>
      <c r="V13" s="23"/>
      <c r="W13" s="23"/>
      <c r="X13" s="23"/>
      <c r="Y13" s="23"/>
      <c r="Z13" s="23"/>
      <c r="AA13" s="23"/>
      <c r="AB13" s="23"/>
      <c r="AC13" s="23"/>
      <c r="AD13" s="23"/>
      <c r="AE13" s="23"/>
    </row>
    <row r="14" spans="1:46" s="2" customFormat="1" ht="12" customHeight="1">
      <c r="A14" s="271"/>
      <c r="B14" s="270"/>
      <c r="C14" s="271"/>
      <c r="D14" s="268" t="s">
        <v>19</v>
      </c>
      <c r="E14" s="271"/>
      <c r="F14" s="273" t="s">
        <v>27</v>
      </c>
      <c r="G14" s="271"/>
      <c r="H14" s="271"/>
      <c r="I14" s="268" t="s">
        <v>21</v>
      </c>
      <c r="J14" s="387">
        <f>'Rekapitulace stavby'!AN8</f>
        <v>44077</v>
      </c>
      <c r="K14" s="271"/>
      <c r="L14" s="64"/>
      <c r="S14" s="23"/>
      <c r="T14" s="23"/>
      <c r="U14" s="23"/>
      <c r="V14" s="23"/>
      <c r="W14" s="23"/>
      <c r="X14" s="23"/>
      <c r="Y14" s="23"/>
      <c r="Z14" s="23"/>
      <c r="AA14" s="23"/>
      <c r="AB14" s="23"/>
      <c r="AC14" s="23"/>
      <c r="AD14" s="23"/>
      <c r="AE14" s="23"/>
    </row>
    <row r="15" spans="1:46" s="2" customFormat="1" ht="10.9" customHeight="1">
      <c r="A15" s="271"/>
      <c r="B15" s="270"/>
      <c r="C15" s="271"/>
      <c r="D15" s="271"/>
      <c r="E15" s="271"/>
      <c r="F15" s="271"/>
      <c r="G15" s="271"/>
      <c r="H15" s="271"/>
      <c r="I15" s="271"/>
      <c r="J15" s="271"/>
      <c r="K15" s="271"/>
      <c r="L15" s="64"/>
      <c r="S15" s="23"/>
      <c r="T15" s="23"/>
      <c r="U15" s="23"/>
      <c r="V15" s="23"/>
      <c r="W15" s="23"/>
      <c r="X15" s="23"/>
      <c r="Y15" s="23"/>
      <c r="Z15" s="23"/>
      <c r="AA15" s="23"/>
      <c r="AB15" s="23"/>
      <c r="AC15" s="23"/>
      <c r="AD15" s="23"/>
      <c r="AE15" s="23"/>
    </row>
    <row r="16" spans="1:46" s="2" customFormat="1" ht="12" customHeight="1">
      <c r="A16" s="271"/>
      <c r="B16" s="270"/>
      <c r="C16" s="271"/>
      <c r="D16" s="268" t="s">
        <v>22</v>
      </c>
      <c r="E16" s="271"/>
      <c r="F16" s="271"/>
      <c r="G16" s="271"/>
      <c r="H16" s="271"/>
      <c r="I16" s="268" t="s">
        <v>23</v>
      </c>
      <c r="J16" s="273" t="s">
        <v>3</v>
      </c>
      <c r="K16" s="271"/>
      <c r="L16" s="64"/>
      <c r="S16" s="23"/>
      <c r="T16" s="23"/>
      <c r="U16" s="23"/>
      <c r="V16" s="23"/>
      <c r="W16" s="23"/>
      <c r="X16" s="23"/>
      <c r="Y16" s="23"/>
      <c r="Z16" s="23"/>
      <c r="AA16" s="23"/>
      <c r="AB16" s="23"/>
      <c r="AC16" s="23"/>
      <c r="AD16" s="23"/>
      <c r="AE16" s="23"/>
    </row>
    <row r="17" spans="1:31" s="2" customFormat="1" ht="18" customHeight="1">
      <c r="A17" s="271"/>
      <c r="B17" s="270"/>
      <c r="C17" s="271"/>
      <c r="D17" s="271"/>
      <c r="E17" s="273" t="s">
        <v>24</v>
      </c>
      <c r="F17" s="271"/>
      <c r="G17" s="271"/>
      <c r="H17" s="271"/>
      <c r="I17" s="268" t="s">
        <v>25</v>
      </c>
      <c r="J17" s="273" t="s">
        <v>3</v>
      </c>
      <c r="K17" s="271"/>
      <c r="L17" s="64"/>
      <c r="S17" s="23"/>
      <c r="T17" s="23"/>
      <c r="U17" s="23"/>
      <c r="V17" s="23"/>
      <c r="W17" s="23"/>
      <c r="X17" s="23"/>
      <c r="Y17" s="23"/>
      <c r="Z17" s="23"/>
      <c r="AA17" s="23"/>
      <c r="AB17" s="23"/>
      <c r="AC17" s="23"/>
      <c r="AD17" s="23"/>
      <c r="AE17" s="23"/>
    </row>
    <row r="18" spans="1:31" s="2" customFormat="1" ht="6.95" customHeight="1">
      <c r="A18" s="271"/>
      <c r="B18" s="270"/>
      <c r="C18" s="271"/>
      <c r="D18" s="271"/>
      <c r="E18" s="271"/>
      <c r="F18" s="271"/>
      <c r="G18" s="271"/>
      <c r="H18" s="271"/>
      <c r="I18" s="271"/>
      <c r="J18" s="271"/>
      <c r="K18" s="271"/>
      <c r="L18" s="64"/>
      <c r="S18" s="23"/>
      <c r="T18" s="23"/>
      <c r="U18" s="23"/>
      <c r="V18" s="23"/>
      <c r="W18" s="23"/>
      <c r="X18" s="23"/>
      <c r="Y18" s="23"/>
      <c r="Z18" s="23"/>
      <c r="AA18" s="23"/>
      <c r="AB18" s="23"/>
      <c r="AC18" s="23"/>
      <c r="AD18" s="23"/>
      <c r="AE18" s="23"/>
    </row>
    <row r="19" spans="1:31" s="2" customFormat="1" ht="12" customHeight="1">
      <c r="A19" s="271"/>
      <c r="B19" s="270"/>
      <c r="C19" s="271"/>
      <c r="D19" s="268" t="s">
        <v>26</v>
      </c>
      <c r="E19" s="271"/>
      <c r="F19" s="271"/>
      <c r="G19" s="271"/>
      <c r="H19" s="271"/>
      <c r="I19" s="268" t="s">
        <v>23</v>
      </c>
      <c r="J19" s="273" t="str">
        <f>'Rekapitulace stavby'!AN13</f>
        <v/>
      </c>
      <c r="K19" s="271"/>
      <c r="L19" s="64"/>
      <c r="S19" s="23"/>
      <c r="T19" s="23"/>
      <c r="U19" s="23"/>
      <c r="V19" s="23"/>
      <c r="W19" s="23"/>
      <c r="X19" s="23"/>
      <c r="Y19" s="23"/>
      <c r="Z19" s="23"/>
      <c r="AA19" s="23"/>
      <c r="AB19" s="23"/>
      <c r="AC19" s="23"/>
      <c r="AD19" s="23"/>
      <c r="AE19" s="23"/>
    </row>
    <row r="20" spans="1:31" s="2" customFormat="1" ht="18" customHeight="1">
      <c r="A20" s="271"/>
      <c r="B20" s="270"/>
      <c r="C20" s="271"/>
      <c r="D20" s="271"/>
      <c r="E20" s="714" t="str">
        <f>'Rekapitulace stavby'!E14</f>
        <v xml:space="preserve"> </v>
      </c>
      <c r="F20" s="714"/>
      <c r="G20" s="714"/>
      <c r="H20" s="714"/>
      <c r="I20" s="268" t="s">
        <v>25</v>
      </c>
      <c r="J20" s="273" t="str">
        <f>'Rekapitulace stavby'!AN14</f>
        <v/>
      </c>
      <c r="K20" s="271"/>
      <c r="L20" s="64"/>
      <c r="S20" s="23"/>
      <c r="T20" s="23"/>
      <c r="U20" s="23"/>
      <c r="V20" s="23"/>
      <c r="W20" s="23"/>
      <c r="X20" s="23"/>
      <c r="Y20" s="23"/>
      <c r="Z20" s="23"/>
      <c r="AA20" s="23"/>
      <c r="AB20" s="23"/>
      <c r="AC20" s="23"/>
      <c r="AD20" s="23"/>
      <c r="AE20" s="23"/>
    </row>
    <row r="21" spans="1:31" s="2" customFormat="1" ht="6.95" customHeight="1">
      <c r="A21" s="271"/>
      <c r="B21" s="270"/>
      <c r="C21" s="271"/>
      <c r="D21" s="271"/>
      <c r="E21" s="271"/>
      <c r="F21" s="271"/>
      <c r="G21" s="271"/>
      <c r="H21" s="271"/>
      <c r="I21" s="271"/>
      <c r="J21" s="271"/>
      <c r="K21" s="271"/>
      <c r="L21" s="64"/>
      <c r="S21" s="23"/>
      <c r="T21" s="23"/>
      <c r="U21" s="23"/>
      <c r="V21" s="23"/>
      <c r="W21" s="23"/>
      <c r="X21" s="23"/>
      <c r="Y21" s="23"/>
      <c r="Z21" s="23"/>
      <c r="AA21" s="23"/>
      <c r="AB21" s="23"/>
      <c r="AC21" s="23"/>
      <c r="AD21" s="23"/>
      <c r="AE21" s="23"/>
    </row>
    <row r="22" spans="1:31" s="2" customFormat="1" ht="12" customHeight="1">
      <c r="A22" s="271"/>
      <c r="B22" s="270"/>
      <c r="C22" s="271"/>
      <c r="D22" s="268" t="s">
        <v>28</v>
      </c>
      <c r="E22" s="271"/>
      <c r="F22" s="271"/>
      <c r="G22" s="271"/>
      <c r="H22" s="271"/>
      <c r="I22" s="268" t="s">
        <v>23</v>
      </c>
      <c r="J22" s="273" t="s">
        <v>3</v>
      </c>
      <c r="K22" s="271"/>
      <c r="L22" s="64"/>
      <c r="S22" s="23"/>
      <c r="T22" s="23"/>
      <c r="U22" s="23"/>
      <c r="V22" s="23"/>
      <c r="W22" s="23"/>
      <c r="X22" s="23"/>
      <c r="Y22" s="23"/>
      <c r="Z22" s="23"/>
      <c r="AA22" s="23"/>
      <c r="AB22" s="23"/>
      <c r="AC22" s="23"/>
      <c r="AD22" s="23"/>
      <c r="AE22" s="23"/>
    </row>
    <row r="23" spans="1:31" s="2" customFormat="1" ht="18" customHeight="1">
      <c r="A23" s="271"/>
      <c r="B23" s="270"/>
      <c r="C23" s="271"/>
      <c r="D23" s="271"/>
      <c r="E23" s="273" t="s">
        <v>29</v>
      </c>
      <c r="F23" s="271"/>
      <c r="G23" s="271"/>
      <c r="H23" s="271"/>
      <c r="I23" s="268" t="s">
        <v>25</v>
      </c>
      <c r="J23" s="273" t="s">
        <v>3</v>
      </c>
      <c r="K23" s="271"/>
      <c r="L23" s="64"/>
      <c r="S23" s="23"/>
      <c r="T23" s="23"/>
      <c r="U23" s="23"/>
      <c r="V23" s="23"/>
      <c r="W23" s="23"/>
      <c r="X23" s="23"/>
      <c r="Y23" s="23"/>
      <c r="Z23" s="23"/>
      <c r="AA23" s="23"/>
      <c r="AB23" s="23"/>
      <c r="AC23" s="23"/>
      <c r="AD23" s="23"/>
      <c r="AE23" s="23"/>
    </row>
    <row r="24" spans="1:31" s="2" customFormat="1" ht="6.95" customHeight="1">
      <c r="A24" s="271"/>
      <c r="B24" s="270"/>
      <c r="C24" s="271"/>
      <c r="D24" s="271"/>
      <c r="E24" s="271"/>
      <c r="F24" s="271"/>
      <c r="G24" s="271"/>
      <c r="H24" s="271"/>
      <c r="I24" s="271"/>
      <c r="J24" s="271"/>
      <c r="K24" s="271"/>
      <c r="L24" s="64"/>
      <c r="S24" s="23"/>
      <c r="T24" s="23"/>
      <c r="U24" s="23"/>
      <c r="V24" s="23"/>
      <c r="W24" s="23"/>
      <c r="X24" s="23"/>
      <c r="Y24" s="23"/>
      <c r="Z24" s="23"/>
      <c r="AA24" s="23"/>
      <c r="AB24" s="23"/>
      <c r="AC24" s="23"/>
      <c r="AD24" s="23"/>
      <c r="AE24" s="23"/>
    </row>
    <row r="25" spans="1:31" s="2" customFormat="1" ht="12" customHeight="1">
      <c r="A25" s="271"/>
      <c r="B25" s="270"/>
      <c r="C25" s="271"/>
      <c r="D25" s="268" t="s">
        <v>31</v>
      </c>
      <c r="E25" s="271"/>
      <c r="F25" s="271"/>
      <c r="G25" s="271"/>
      <c r="H25" s="271"/>
      <c r="I25" s="268" t="s">
        <v>23</v>
      </c>
      <c r="J25" s="273" t="s">
        <v>3</v>
      </c>
      <c r="K25" s="271"/>
      <c r="L25" s="64"/>
      <c r="S25" s="23"/>
      <c r="T25" s="23"/>
      <c r="U25" s="23"/>
      <c r="V25" s="23"/>
      <c r="W25" s="23"/>
      <c r="X25" s="23"/>
      <c r="Y25" s="23"/>
      <c r="Z25" s="23"/>
      <c r="AA25" s="23"/>
      <c r="AB25" s="23"/>
      <c r="AC25" s="23"/>
      <c r="AD25" s="23"/>
      <c r="AE25" s="23"/>
    </row>
    <row r="26" spans="1:31" s="2" customFormat="1" ht="18" customHeight="1">
      <c r="A26" s="271"/>
      <c r="B26" s="270"/>
      <c r="C26" s="271"/>
      <c r="D26" s="271"/>
      <c r="E26" s="273" t="s">
        <v>29</v>
      </c>
      <c r="F26" s="271"/>
      <c r="G26" s="271"/>
      <c r="H26" s="271"/>
      <c r="I26" s="268" t="s">
        <v>25</v>
      </c>
      <c r="J26" s="273" t="s">
        <v>3</v>
      </c>
      <c r="K26" s="271"/>
      <c r="L26" s="64"/>
      <c r="S26" s="23"/>
      <c r="T26" s="23"/>
      <c r="U26" s="23"/>
      <c r="V26" s="23"/>
      <c r="W26" s="23"/>
      <c r="X26" s="23"/>
      <c r="Y26" s="23"/>
      <c r="Z26" s="23"/>
      <c r="AA26" s="23"/>
      <c r="AB26" s="23"/>
      <c r="AC26" s="23"/>
      <c r="AD26" s="23"/>
      <c r="AE26" s="23"/>
    </row>
    <row r="27" spans="1:31" s="2" customFormat="1" ht="6.95" customHeight="1">
      <c r="A27" s="271"/>
      <c r="B27" s="270"/>
      <c r="C27" s="271"/>
      <c r="D27" s="271"/>
      <c r="E27" s="271"/>
      <c r="F27" s="271"/>
      <c r="G27" s="271"/>
      <c r="H27" s="271"/>
      <c r="I27" s="271"/>
      <c r="J27" s="271"/>
      <c r="K27" s="271"/>
      <c r="L27" s="64"/>
      <c r="S27" s="23"/>
      <c r="T27" s="23"/>
      <c r="U27" s="23"/>
      <c r="V27" s="23"/>
      <c r="W27" s="23"/>
      <c r="X27" s="23"/>
      <c r="Y27" s="23"/>
      <c r="Z27" s="23"/>
      <c r="AA27" s="23"/>
      <c r="AB27" s="23"/>
      <c r="AC27" s="23"/>
      <c r="AD27" s="23"/>
      <c r="AE27" s="23"/>
    </row>
    <row r="28" spans="1:31" s="2" customFormat="1" ht="12" customHeight="1">
      <c r="A28" s="271"/>
      <c r="B28" s="270"/>
      <c r="C28" s="271"/>
      <c r="D28" s="268" t="s">
        <v>32</v>
      </c>
      <c r="E28" s="271"/>
      <c r="F28" s="271"/>
      <c r="G28" s="271"/>
      <c r="H28" s="271"/>
      <c r="I28" s="271"/>
      <c r="J28" s="271"/>
      <c r="K28" s="271"/>
      <c r="L28" s="64"/>
      <c r="S28" s="23"/>
      <c r="T28" s="23"/>
      <c r="U28" s="23"/>
      <c r="V28" s="23"/>
      <c r="W28" s="23"/>
      <c r="X28" s="23"/>
      <c r="Y28" s="23"/>
      <c r="Z28" s="23"/>
      <c r="AA28" s="23"/>
      <c r="AB28" s="23"/>
      <c r="AC28" s="23"/>
      <c r="AD28" s="23"/>
      <c r="AE28" s="23"/>
    </row>
    <row r="29" spans="1:31" s="8" customFormat="1" ht="14.45" customHeight="1">
      <c r="A29" s="274"/>
      <c r="B29" s="275"/>
      <c r="C29" s="274"/>
      <c r="D29" s="274"/>
      <c r="E29" s="707" t="s">
        <v>3</v>
      </c>
      <c r="F29" s="707"/>
      <c r="G29" s="707"/>
      <c r="H29" s="707"/>
      <c r="I29" s="274"/>
      <c r="J29" s="274"/>
      <c r="K29" s="274"/>
      <c r="L29" s="66"/>
      <c r="S29" s="65"/>
      <c r="T29" s="65"/>
      <c r="U29" s="65"/>
      <c r="V29" s="65"/>
      <c r="W29" s="65"/>
      <c r="X29" s="65"/>
      <c r="Y29" s="65"/>
      <c r="Z29" s="65"/>
      <c r="AA29" s="65"/>
      <c r="AB29" s="65"/>
      <c r="AC29" s="65"/>
      <c r="AD29" s="65"/>
      <c r="AE29" s="65"/>
    </row>
    <row r="30" spans="1:31" s="2" customFormat="1" ht="6.95" customHeight="1">
      <c r="A30" s="271"/>
      <c r="B30" s="270"/>
      <c r="C30" s="271"/>
      <c r="D30" s="271"/>
      <c r="E30" s="271"/>
      <c r="F30" s="271"/>
      <c r="G30" s="271"/>
      <c r="H30" s="271"/>
      <c r="I30" s="271"/>
      <c r="J30" s="271"/>
      <c r="K30" s="271"/>
      <c r="L30" s="64"/>
      <c r="S30" s="23"/>
      <c r="T30" s="23"/>
      <c r="U30" s="23"/>
      <c r="V30" s="23"/>
      <c r="W30" s="23"/>
      <c r="X30" s="23"/>
      <c r="Y30" s="23"/>
      <c r="Z30" s="23"/>
      <c r="AA30" s="23"/>
      <c r="AB30" s="23"/>
      <c r="AC30" s="23"/>
      <c r="AD30" s="23"/>
      <c r="AE30" s="23"/>
    </row>
    <row r="31" spans="1:31" s="2" customFormat="1" ht="6.95" customHeight="1">
      <c r="A31" s="271"/>
      <c r="B31" s="270"/>
      <c r="C31" s="271"/>
      <c r="D31" s="276"/>
      <c r="E31" s="276"/>
      <c r="F31" s="276"/>
      <c r="G31" s="276"/>
      <c r="H31" s="276"/>
      <c r="I31" s="276"/>
      <c r="J31" s="276"/>
      <c r="K31" s="276"/>
      <c r="L31" s="64"/>
      <c r="S31" s="23"/>
      <c r="T31" s="23"/>
      <c r="U31" s="23"/>
      <c r="V31" s="23"/>
      <c r="W31" s="23"/>
      <c r="X31" s="23"/>
      <c r="Y31" s="23"/>
      <c r="Z31" s="23"/>
      <c r="AA31" s="23"/>
      <c r="AB31" s="23"/>
      <c r="AC31" s="23"/>
      <c r="AD31" s="23"/>
      <c r="AE31" s="23"/>
    </row>
    <row r="32" spans="1:31" s="2" customFormat="1" ht="25.35" customHeight="1">
      <c r="A32" s="271"/>
      <c r="B32" s="270"/>
      <c r="C32" s="271"/>
      <c r="D32" s="277" t="s">
        <v>34</v>
      </c>
      <c r="E32" s="271"/>
      <c r="F32" s="271"/>
      <c r="G32" s="271"/>
      <c r="H32" s="271"/>
      <c r="I32" s="271"/>
      <c r="J32" s="388">
        <f>ROUND(J87, 2)</f>
        <v>0</v>
      </c>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14.45" customHeight="1">
      <c r="A34" s="271"/>
      <c r="B34" s="270"/>
      <c r="C34" s="271"/>
      <c r="D34" s="271"/>
      <c r="E34" s="271"/>
      <c r="F34" s="278" t="s">
        <v>36</v>
      </c>
      <c r="G34" s="271"/>
      <c r="H34" s="271"/>
      <c r="I34" s="278" t="s">
        <v>35</v>
      </c>
      <c r="J34" s="278" t="s">
        <v>37</v>
      </c>
      <c r="K34" s="271"/>
      <c r="L34" s="64"/>
      <c r="S34" s="23"/>
      <c r="T34" s="23"/>
      <c r="U34" s="23"/>
      <c r="V34" s="23"/>
      <c r="W34" s="23"/>
      <c r="X34" s="23"/>
      <c r="Y34" s="23"/>
      <c r="Z34" s="23"/>
      <c r="AA34" s="23"/>
      <c r="AB34" s="23"/>
      <c r="AC34" s="23"/>
      <c r="AD34" s="23"/>
      <c r="AE34" s="23"/>
    </row>
    <row r="35" spans="1:31" s="2" customFormat="1" ht="14.45" customHeight="1">
      <c r="A35" s="271"/>
      <c r="B35" s="270"/>
      <c r="C35" s="271"/>
      <c r="D35" s="279" t="s">
        <v>38</v>
      </c>
      <c r="E35" s="268" t="s">
        <v>39</v>
      </c>
      <c r="F35" s="280">
        <f>ROUND((SUM(BE87:BE90)),  2)</f>
        <v>0</v>
      </c>
      <c r="G35" s="271"/>
      <c r="H35" s="271"/>
      <c r="I35" s="389">
        <v>0.21</v>
      </c>
      <c r="J35" s="280">
        <f>ROUND(((SUM(BE87:BE90))*I35),  2)</f>
        <v>0</v>
      </c>
      <c r="K35" s="271"/>
      <c r="L35" s="64"/>
      <c r="S35" s="23"/>
      <c r="T35" s="23"/>
      <c r="U35" s="23"/>
      <c r="V35" s="23"/>
      <c r="W35" s="23"/>
      <c r="X35" s="23"/>
      <c r="Y35" s="23"/>
      <c r="Z35" s="23"/>
      <c r="AA35" s="23"/>
      <c r="AB35" s="23"/>
      <c r="AC35" s="23"/>
      <c r="AD35" s="23"/>
      <c r="AE35" s="23"/>
    </row>
    <row r="36" spans="1:31" s="2" customFormat="1" ht="14.45" customHeight="1">
      <c r="A36" s="271"/>
      <c r="B36" s="270"/>
      <c r="C36" s="271"/>
      <c r="D36" s="271"/>
      <c r="E36" s="268" t="s">
        <v>40</v>
      </c>
      <c r="F36" s="280">
        <f>ROUND((SUM(BF87:BF90)),  2)</f>
        <v>0</v>
      </c>
      <c r="G36" s="271"/>
      <c r="H36" s="271"/>
      <c r="I36" s="389">
        <v>0.15</v>
      </c>
      <c r="J36" s="280">
        <f>ROUND(((SUM(BF87:BF90))*I36),  2)</f>
        <v>0</v>
      </c>
      <c r="K36" s="271"/>
      <c r="L36" s="64"/>
      <c r="S36" s="23"/>
      <c r="T36" s="23"/>
      <c r="U36" s="23"/>
      <c r="V36" s="23"/>
      <c r="W36" s="23"/>
      <c r="X36" s="23"/>
      <c r="Y36" s="23"/>
      <c r="Z36" s="23"/>
      <c r="AA36" s="23"/>
      <c r="AB36" s="23"/>
      <c r="AC36" s="23"/>
      <c r="AD36" s="23"/>
      <c r="AE36" s="23"/>
    </row>
    <row r="37" spans="1:31" s="2" customFormat="1" ht="14.45" hidden="1" customHeight="1">
      <c r="A37" s="271"/>
      <c r="B37" s="270"/>
      <c r="C37" s="271"/>
      <c r="D37" s="271"/>
      <c r="E37" s="268" t="s">
        <v>41</v>
      </c>
      <c r="F37" s="280">
        <f>ROUND((SUM(BG87:BG90)),  2)</f>
        <v>0</v>
      </c>
      <c r="G37" s="271"/>
      <c r="H37" s="271"/>
      <c r="I37" s="389">
        <v>0.21</v>
      </c>
      <c r="J37" s="280">
        <f>0</f>
        <v>0</v>
      </c>
      <c r="K37" s="271"/>
      <c r="L37" s="64"/>
      <c r="S37" s="23"/>
      <c r="T37" s="23"/>
      <c r="U37" s="23"/>
      <c r="V37" s="23"/>
      <c r="W37" s="23"/>
      <c r="X37" s="23"/>
      <c r="Y37" s="23"/>
      <c r="Z37" s="23"/>
      <c r="AA37" s="23"/>
      <c r="AB37" s="23"/>
      <c r="AC37" s="23"/>
      <c r="AD37" s="23"/>
      <c r="AE37" s="23"/>
    </row>
    <row r="38" spans="1:31" s="2" customFormat="1" ht="14.45" hidden="1" customHeight="1">
      <c r="A38" s="271"/>
      <c r="B38" s="270"/>
      <c r="C38" s="271"/>
      <c r="D38" s="271"/>
      <c r="E38" s="268" t="s">
        <v>42</v>
      </c>
      <c r="F38" s="280">
        <f>ROUND((SUM(BH87:BH90)),  2)</f>
        <v>0</v>
      </c>
      <c r="G38" s="271"/>
      <c r="H38" s="271"/>
      <c r="I38" s="389">
        <v>0.15</v>
      </c>
      <c r="J38" s="280">
        <f>0</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43</v>
      </c>
      <c r="F39" s="280">
        <f>ROUND((SUM(BI87:BI90)),  2)</f>
        <v>0</v>
      </c>
      <c r="G39" s="271"/>
      <c r="H39" s="271"/>
      <c r="I39" s="389">
        <v>0</v>
      </c>
      <c r="J39" s="280">
        <f>0</f>
        <v>0</v>
      </c>
      <c r="K39" s="271"/>
      <c r="L39" s="64"/>
      <c r="S39" s="23"/>
      <c r="T39" s="23"/>
      <c r="U39" s="23"/>
      <c r="V39" s="23"/>
      <c r="W39" s="23"/>
      <c r="X39" s="23"/>
      <c r="Y39" s="23"/>
      <c r="Z39" s="23"/>
      <c r="AA39" s="23"/>
      <c r="AB39" s="23"/>
      <c r="AC39" s="23"/>
      <c r="AD39" s="23"/>
      <c r="AE39" s="23"/>
    </row>
    <row r="40" spans="1:31" s="2" customFormat="1" ht="6.95" customHeight="1">
      <c r="A40" s="271"/>
      <c r="B40" s="270"/>
      <c r="C40" s="271"/>
      <c r="D40" s="271"/>
      <c r="E40" s="271"/>
      <c r="F40" s="271"/>
      <c r="G40" s="271"/>
      <c r="H40" s="271"/>
      <c r="I40" s="271"/>
      <c r="J40" s="271"/>
      <c r="K40" s="271"/>
      <c r="L40" s="64"/>
      <c r="S40" s="23"/>
      <c r="T40" s="23"/>
      <c r="U40" s="23"/>
      <c r="V40" s="23"/>
      <c r="W40" s="23"/>
      <c r="X40" s="23"/>
      <c r="Y40" s="23"/>
      <c r="Z40" s="23"/>
      <c r="AA40" s="23"/>
      <c r="AB40" s="23"/>
      <c r="AC40" s="23"/>
      <c r="AD40" s="23"/>
      <c r="AE40" s="23"/>
    </row>
    <row r="41" spans="1:31" s="2" customFormat="1" ht="25.35" customHeight="1">
      <c r="A41" s="271"/>
      <c r="B41" s="270"/>
      <c r="C41" s="281"/>
      <c r="D41" s="282" t="s">
        <v>44</v>
      </c>
      <c r="E41" s="283"/>
      <c r="F41" s="283"/>
      <c r="G41" s="284" t="s">
        <v>45</v>
      </c>
      <c r="H41" s="285" t="s">
        <v>46</v>
      </c>
      <c r="I41" s="283"/>
      <c r="J41" s="390">
        <f>SUM(J32:J39)</f>
        <v>0</v>
      </c>
      <c r="K41" s="339"/>
      <c r="L41" s="64"/>
      <c r="S41" s="23"/>
      <c r="T41" s="23"/>
      <c r="U41" s="23"/>
      <c r="V41" s="23"/>
      <c r="W41" s="23"/>
      <c r="X41" s="23"/>
      <c r="Y41" s="23"/>
      <c r="Z41" s="23"/>
      <c r="AA41" s="23"/>
      <c r="AB41" s="23"/>
      <c r="AC41" s="23"/>
      <c r="AD41" s="23"/>
      <c r="AE41" s="23"/>
    </row>
    <row r="42" spans="1:31" s="2" customFormat="1" ht="14.45" customHeight="1">
      <c r="A42" s="271"/>
      <c r="B42" s="286"/>
      <c r="C42" s="287"/>
      <c r="D42" s="287"/>
      <c r="E42" s="287"/>
      <c r="F42" s="287"/>
      <c r="G42" s="287"/>
      <c r="H42" s="287"/>
      <c r="I42" s="287"/>
      <c r="J42" s="287"/>
      <c r="K42" s="287"/>
      <c r="L42" s="64"/>
      <c r="S42" s="23"/>
      <c r="T42" s="23"/>
      <c r="U42" s="23"/>
      <c r="V42" s="23"/>
      <c r="W42" s="23"/>
      <c r="X42" s="23"/>
      <c r="Y42" s="23"/>
      <c r="Z42" s="23"/>
      <c r="AA42" s="23"/>
      <c r="AB42" s="23"/>
      <c r="AC42" s="23"/>
      <c r="AD42" s="23"/>
      <c r="AE42" s="23"/>
    </row>
    <row r="43" spans="1:31">
      <c r="A43" s="61"/>
      <c r="B43" s="61"/>
      <c r="C43" s="61"/>
      <c r="D43" s="61"/>
      <c r="E43" s="61"/>
      <c r="F43" s="61"/>
      <c r="G43" s="61"/>
      <c r="H43" s="61"/>
      <c r="I43" s="61"/>
      <c r="J43" s="61"/>
      <c r="K43" s="61"/>
    </row>
    <row r="44" spans="1:31">
      <c r="A44" s="61"/>
      <c r="B44" s="61"/>
      <c r="C44" s="61"/>
      <c r="D44" s="61"/>
      <c r="E44" s="61"/>
      <c r="F44" s="61"/>
      <c r="G44" s="61"/>
      <c r="H44" s="61"/>
      <c r="I44" s="61"/>
      <c r="J44" s="61"/>
      <c r="K44" s="61"/>
    </row>
    <row r="45" spans="1:31">
      <c r="A45" s="61"/>
      <c r="B45" s="61"/>
      <c r="C45" s="61"/>
      <c r="D45" s="61"/>
      <c r="E45" s="61"/>
      <c r="F45" s="61"/>
      <c r="G45" s="61"/>
      <c r="H45" s="61"/>
      <c r="I45" s="61"/>
      <c r="J45" s="61"/>
      <c r="K45" s="61"/>
    </row>
    <row r="46" spans="1:31" s="2" customFormat="1" ht="6.95" customHeight="1">
      <c r="A46" s="271"/>
      <c r="B46" s="288"/>
      <c r="C46" s="289"/>
      <c r="D46" s="289"/>
      <c r="E46" s="289"/>
      <c r="F46" s="289"/>
      <c r="G46" s="289"/>
      <c r="H46" s="289"/>
      <c r="I46" s="289"/>
      <c r="J46" s="289"/>
      <c r="K46" s="289"/>
      <c r="L46" s="64"/>
      <c r="S46" s="23"/>
      <c r="T46" s="23"/>
      <c r="U46" s="23"/>
      <c r="V46" s="23"/>
      <c r="W46" s="23"/>
      <c r="X46" s="23"/>
      <c r="Y46" s="23"/>
      <c r="Z46" s="23"/>
      <c r="AA46" s="23"/>
      <c r="AB46" s="23"/>
      <c r="AC46" s="23"/>
      <c r="AD46" s="23"/>
      <c r="AE46" s="23"/>
    </row>
    <row r="47" spans="1:31" s="2" customFormat="1" ht="24.95" customHeight="1">
      <c r="A47" s="271"/>
      <c r="B47" s="270"/>
      <c r="C47" s="266" t="s">
        <v>167</v>
      </c>
      <c r="D47" s="271"/>
      <c r="E47" s="271"/>
      <c r="F47" s="271"/>
      <c r="G47" s="271"/>
      <c r="H47" s="271"/>
      <c r="I47" s="271"/>
      <c r="J47" s="271"/>
      <c r="K47" s="271"/>
      <c r="L47" s="64"/>
      <c r="S47" s="23"/>
      <c r="T47" s="23"/>
      <c r="U47" s="23"/>
      <c r="V47" s="23"/>
      <c r="W47" s="23"/>
      <c r="X47" s="23"/>
      <c r="Y47" s="23"/>
      <c r="Z47" s="23"/>
      <c r="AA47" s="23"/>
      <c r="AB47" s="23"/>
      <c r="AC47" s="23"/>
      <c r="AD47" s="23"/>
      <c r="AE47" s="23"/>
    </row>
    <row r="48" spans="1:31" s="2" customFormat="1" ht="6.95" customHeight="1">
      <c r="A48" s="271"/>
      <c r="B48" s="270"/>
      <c r="C48" s="271"/>
      <c r="D48" s="271"/>
      <c r="E48" s="271"/>
      <c r="F48" s="271"/>
      <c r="G48" s="271"/>
      <c r="H48" s="271"/>
      <c r="I48" s="271"/>
      <c r="J48" s="271"/>
      <c r="K48" s="271"/>
      <c r="L48" s="64"/>
      <c r="S48" s="23"/>
      <c r="T48" s="23"/>
      <c r="U48" s="23"/>
      <c r="V48" s="23"/>
      <c r="W48" s="23"/>
      <c r="X48" s="23"/>
      <c r="Y48" s="23"/>
      <c r="Z48" s="23"/>
      <c r="AA48" s="23"/>
      <c r="AB48" s="23"/>
      <c r="AC48" s="23"/>
      <c r="AD48" s="23"/>
      <c r="AE48" s="23"/>
    </row>
    <row r="49" spans="1:47" s="2" customFormat="1" ht="12" customHeight="1">
      <c r="A49" s="271"/>
      <c r="B49" s="270"/>
      <c r="C49" s="268" t="s">
        <v>15</v>
      </c>
      <c r="D49" s="271"/>
      <c r="E49" s="271"/>
      <c r="F49" s="271"/>
      <c r="G49" s="271"/>
      <c r="H49" s="271"/>
      <c r="I49" s="271"/>
      <c r="J49" s="271"/>
      <c r="K49" s="271"/>
      <c r="L49" s="64"/>
      <c r="S49" s="23"/>
      <c r="T49" s="23"/>
      <c r="U49" s="23"/>
      <c r="V49" s="23"/>
      <c r="W49" s="23"/>
      <c r="X49" s="23"/>
      <c r="Y49" s="23"/>
      <c r="Z49" s="23"/>
      <c r="AA49" s="23"/>
      <c r="AB49" s="23"/>
      <c r="AC49" s="23"/>
      <c r="AD49" s="23"/>
      <c r="AE49" s="23"/>
    </row>
    <row r="50" spans="1:47" s="2" customFormat="1" ht="14.45" customHeight="1">
      <c r="A50" s="271"/>
      <c r="B50" s="270"/>
      <c r="C50" s="271"/>
      <c r="D50" s="271"/>
      <c r="E50" s="722" t="str">
        <f>E7</f>
        <v>Úpravy gastroprovozu Úřadu vlády ČR v 1.pp Strakovy akademie</v>
      </c>
      <c r="F50" s="723"/>
      <c r="G50" s="723"/>
      <c r="H50" s="723"/>
      <c r="I50" s="271"/>
      <c r="J50" s="271"/>
      <c r="K50" s="271"/>
      <c r="L50" s="64"/>
      <c r="S50" s="23"/>
      <c r="T50" s="23"/>
      <c r="U50" s="23"/>
      <c r="V50" s="23"/>
      <c r="W50" s="23"/>
      <c r="X50" s="23"/>
      <c r="Y50" s="23"/>
      <c r="Z50" s="23"/>
      <c r="AA50" s="23"/>
      <c r="AB50" s="23"/>
      <c r="AC50" s="23"/>
      <c r="AD50" s="23"/>
      <c r="AE50" s="23"/>
    </row>
    <row r="51" spans="1:47" s="1" customFormat="1" ht="12" customHeight="1">
      <c r="A51" s="61"/>
      <c r="B51" s="265"/>
      <c r="C51" s="268" t="s">
        <v>151</v>
      </c>
      <c r="D51" s="61"/>
      <c r="E51" s="61"/>
      <c r="F51" s="61"/>
      <c r="G51" s="61"/>
      <c r="H51" s="61"/>
      <c r="I51" s="61"/>
      <c r="J51" s="61"/>
      <c r="K51" s="61"/>
      <c r="L51" s="20"/>
    </row>
    <row r="52" spans="1:47" s="2" customFormat="1" ht="14.45" customHeight="1">
      <c r="A52" s="271"/>
      <c r="B52" s="270"/>
      <c r="C52" s="271"/>
      <c r="D52" s="271"/>
      <c r="E52" s="722" t="s">
        <v>1759</v>
      </c>
      <c r="F52" s="721"/>
      <c r="G52" s="721"/>
      <c r="H52" s="721"/>
      <c r="I52" s="271"/>
      <c r="J52" s="271"/>
      <c r="K52" s="271"/>
      <c r="L52" s="64"/>
      <c r="S52" s="23"/>
      <c r="T52" s="23"/>
      <c r="U52" s="23"/>
      <c r="V52" s="23"/>
      <c r="W52" s="23"/>
      <c r="X52" s="23"/>
      <c r="Y52" s="23"/>
      <c r="Z52" s="23"/>
      <c r="AA52" s="23"/>
      <c r="AB52" s="23"/>
      <c r="AC52" s="23"/>
      <c r="AD52" s="23"/>
      <c r="AE52" s="23"/>
    </row>
    <row r="53" spans="1:47" s="2" customFormat="1" ht="12" customHeight="1">
      <c r="A53" s="271"/>
      <c r="B53" s="270"/>
      <c r="C53" s="268" t="s">
        <v>157</v>
      </c>
      <c r="D53" s="271"/>
      <c r="E53" s="271"/>
      <c r="F53" s="271"/>
      <c r="G53" s="271"/>
      <c r="H53" s="271"/>
      <c r="I53" s="271"/>
      <c r="J53" s="271"/>
      <c r="K53" s="271"/>
      <c r="L53" s="64"/>
      <c r="S53" s="23"/>
      <c r="T53" s="23"/>
      <c r="U53" s="23"/>
      <c r="V53" s="23"/>
      <c r="W53" s="23"/>
      <c r="X53" s="23"/>
      <c r="Y53" s="23"/>
      <c r="Z53" s="23"/>
      <c r="AA53" s="23"/>
      <c r="AB53" s="23"/>
      <c r="AC53" s="23"/>
      <c r="AD53" s="23"/>
      <c r="AE53" s="23"/>
    </row>
    <row r="54" spans="1:47" s="2" customFormat="1" ht="14.45" customHeight="1">
      <c r="A54" s="271"/>
      <c r="B54" s="270"/>
      <c r="C54" s="271"/>
      <c r="D54" s="271"/>
      <c r="E54" s="689" t="str">
        <f>E11</f>
        <v>D.1.4.03 - Soupis prací - Elektroinstalace silnoproud</v>
      </c>
      <c r="F54" s="721"/>
      <c r="G54" s="721"/>
      <c r="H54" s="721"/>
      <c r="I54" s="271"/>
      <c r="J54" s="271"/>
      <c r="K54" s="271"/>
      <c r="L54" s="64"/>
      <c r="S54" s="23"/>
      <c r="T54" s="23"/>
      <c r="U54" s="23"/>
      <c r="V54" s="23"/>
      <c r="W54" s="23"/>
      <c r="X54" s="23"/>
      <c r="Y54" s="23"/>
      <c r="Z54" s="23"/>
      <c r="AA54" s="23"/>
      <c r="AB54" s="23"/>
      <c r="AC54" s="23"/>
      <c r="AD54" s="23"/>
      <c r="AE54" s="23"/>
    </row>
    <row r="55" spans="1:47" s="2" customFormat="1" ht="6.95" customHeight="1">
      <c r="A55" s="271"/>
      <c r="B55" s="270"/>
      <c r="C55" s="271"/>
      <c r="D55" s="271"/>
      <c r="E55" s="271"/>
      <c r="F55" s="271"/>
      <c r="G55" s="271"/>
      <c r="H55" s="271"/>
      <c r="I55" s="271"/>
      <c r="J55" s="271"/>
      <c r="K55" s="271"/>
      <c r="L55" s="64"/>
      <c r="S55" s="23"/>
      <c r="T55" s="23"/>
      <c r="U55" s="23"/>
      <c r="V55" s="23"/>
      <c r="W55" s="23"/>
      <c r="X55" s="23"/>
      <c r="Y55" s="23"/>
      <c r="Z55" s="23"/>
      <c r="AA55" s="23"/>
      <c r="AB55" s="23"/>
      <c r="AC55" s="23"/>
      <c r="AD55" s="23"/>
      <c r="AE55" s="23"/>
    </row>
    <row r="56" spans="1:47" s="2" customFormat="1" ht="12" customHeight="1">
      <c r="A56" s="271"/>
      <c r="B56" s="270"/>
      <c r="C56" s="268" t="s">
        <v>19</v>
      </c>
      <c r="D56" s="271"/>
      <c r="E56" s="271"/>
      <c r="F56" s="273" t="str">
        <f>F14</f>
        <v xml:space="preserve"> </v>
      </c>
      <c r="G56" s="271"/>
      <c r="H56" s="271"/>
      <c r="I56" s="268" t="s">
        <v>21</v>
      </c>
      <c r="J56" s="387">
        <f>IF(J14="","",J14)</f>
        <v>44077</v>
      </c>
      <c r="K56" s="271"/>
      <c r="L56" s="64"/>
      <c r="S56" s="23"/>
      <c r="T56" s="23"/>
      <c r="U56" s="23"/>
      <c r="V56" s="23"/>
      <c r="W56" s="23"/>
      <c r="X56" s="23"/>
      <c r="Y56" s="23"/>
      <c r="Z56" s="23"/>
      <c r="AA56" s="23"/>
      <c r="AB56" s="23"/>
      <c r="AC56" s="23"/>
      <c r="AD56" s="23"/>
      <c r="AE56" s="23"/>
    </row>
    <row r="57" spans="1:47" s="2" customFormat="1" ht="6.95" customHeight="1">
      <c r="A57" s="271"/>
      <c r="B57" s="270"/>
      <c r="C57" s="271"/>
      <c r="D57" s="271"/>
      <c r="E57" s="271"/>
      <c r="F57" s="271"/>
      <c r="G57" s="271"/>
      <c r="H57" s="271"/>
      <c r="I57" s="271"/>
      <c r="J57" s="271"/>
      <c r="K57" s="271"/>
      <c r="L57" s="64"/>
      <c r="S57" s="23"/>
      <c r="T57" s="23"/>
      <c r="U57" s="23"/>
      <c r="V57" s="23"/>
      <c r="W57" s="23"/>
      <c r="X57" s="23"/>
      <c r="Y57" s="23"/>
      <c r="Z57" s="23"/>
      <c r="AA57" s="23"/>
      <c r="AB57" s="23"/>
      <c r="AC57" s="23"/>
      <c r="AD57" s="23"/>
      <c r="AE57" s="23"/>
    </row>
    <row r="58" spans="1:47" s="2" customFormat="1" ht="26.45" customHeight="1">
      <c r="A58" s="271"/>
      <c r="B58" s="270"/>
      <c r="C58" s="268" t="s">
        <v>22</v>
      </c>
      <c r="D58" s="271"/>
      <c r="E58" s="271"/>
      <c r="F58" s="273" t="str">
        <f>E17</f>
        <v xml:space="preserve">Úřad vlády České republiky </v>
      </c>
      <c r="G58" s="271"/>
      <c r="H58" s="271"/>
      <c r="I58" s="268" t="s">
        <v>28</v>
      </c>
      <c r="J58" s="391" t="str">
        <f>E23</f>
        <v>Ateliér Simona Group</v>
      </c>
      <c r="K58" s="271"/>
      <c r="L58" s="64"/>
      <c r="S58" s="23"/>
      <c r="T58" s="23"/>
      <c r="U58" s="23"/>
      <c r="V58" s="23"/>
      <c r="W58" s="23"/>
      <c r="X58" s="23"/>
      <c r="Y58" s="23"/>
      <c r="Z58" s="23"/>
      <c r="AA58" s="23"/>
      <c r="AB58" s="23"/>
      <c r="AC58" s="23"/>
      <c r="AD58" s="23"/>
      <c r="AE58" s="23"/>
    </row>
    <row r="59" spans="1:47" s="2" customFormat="1" ht="26.45" customHeight="1">
      <c r="A59" s="271"/>
      <c r="B59" s="270"/>
      <c r="C59" s="268" t="s">
        <v>26</v>
      </c>
      <c r="D59" s="271"/>
      <c r="E59" s="271"/>
      <c r="F59" s="273" t="str">
        <f>IF(E20="","",E20)</f>
        <v xml:space="preserve"> </v>
      </c>
      <c r="G59" s="271"/>
      <c r="H59" s="271"/>
      <c r="I59" s="268" t="s">
        <v>31</v>
      </c>
      <c r="J59" s="391" t="str">
        <f>E26</f>
        <v>Ateliér Simona Group</v>
      </c>
      <c r="K59" s="271"/>
      <c r="L59" s="64"/>
      <c r="S59" s="23"/>
      <c r="T59" s="23"/>
      <c r="U59" s="23"/>
      <c r="V59" s="23"/>
      <c r="W59" s="23"/>
      <c r="X59" s="23"/>
      <c r="Y59" s="23"/>
      <c r="Z59" s="23"/>
      <c r="AA59" s="23"/>
      <c r="AB59" s="23"/>
      <c r="AC59" s="23"/>
      <c r="AD59" s="23"/>
      <c r="AE59" s="23"/>
    </row>
    <row r="60" spans="1:47" s="2" customFormat="1" ht="10.35" customHeight="1">
      <c r="A60" s="271"/>
      <c r="B60" s="270"/>
      <c r="C60" s="271"/>
      <c r="D60" s="271"/>
      <c r="E60" s="271"/>
      <c r="F60" s="271"/>
      <c r="G60" s="271"/>
      <c r="H60" s="271"/>
      <c r="I60" s="271"/>
      <c r="J60" s="271"/>
      <c r="K60" s="271"/>
      <c r="L60" s="64"/>
      <c r="S60" s="23"/>
      <c r="T60" s="23"/>
      <c r="U60" s="23"/>
      <c r="V60" s="23"/>
      <c r="W60" s="23"/>
      <c r="X60" s="23"/>
      <c r="Y60" s="23"/>
      <c r="Z60" s="23"/>
      <c r="AA60" s="23"/>
      <c r="AB60" s="23"/>
      <c r="AC60" s="23"/>
      <c r="AD60" s="23"/>
      <c r="AE60" s="23"/>
    </row>
    <row r="61" spans="1:47" s="2" customFormat="1" ht="29.25" customHeight="1">
      <c r="A61" s="271"/>
      <c r="B61" s="270"/>
      <c r="C61" s="290" t="s">
        <v>168</v>
      </c>
      <c r="D61" s="281"/>
      <c r="E61" s="281"/>
      <c r="F61" s="281"/>
      <c r="G61" s="281"/>
      <c r="H61" s="281"/>
      <c r="I61" s="281"/>
      <c r="J61" s="392" t="s">
        <v>169</v>
      </c>
      <c r="K61" s="281"/>
      <c r="L61" s="64"/>
      <c r="S61" s="23"/>
      <c r="T61" s="23"/>
      <c r="U61" s="23"/>
      <c r="V61" s="23"/>
      <c r="W61" s="23"/>
      <c r="X61" s="23"/>
      <c r="Y61" s="23"/>
      <c r="Z61" s="23"/>
      <c r="AA61" s="23"/>
      <c r="AB61" s="23"/>
      <c r="AC61" s="23"/>
      <c r="AD61" s="23"/>
      <c r="AE61" s="23"/>
    </row>
    <row r="62" spans="1:47" s="2" customFormat="1" ht="10.35" customHeight="1">
      <c r="A62" s="271"/>
      <c r="B62" s="270"/>
      <c r="C62" s="271"/>
      <c r="D62" s="271"/>
      <c r="E62" s="271"/>
      <c r="F62" s="271"/>
      <c r="G62" s="271"/>
      <c r="H62" s="271"/>
      <c r="I62" s="271"/>
      <c r="J62" s="271"/>
      <c r="K62" s="271"/>
      <c r="L62" s="64"/>
      <c r="S62" s="23"/>
      <c r="T62" s="23"/>
      <c r="U62" s="23"/>
      <c r="V62" s="23"/>
      <c r="W62" s="23"/>
      <c r="X62" s="23"/>
      <c r="Y62" s="23"/>
      <c r="Z62" s="23"/>
      <c r="AA62" s="23"/>
      <c r="AB62" s="23"/>
      <c r="AC62" s="23"/>
      <c r="AD62" s="23"/>
      <c r="AE62" s="23"/>
    </row>
    <row r="63" spans="1:47" s="2" customFormat="1" ht="22.9" customHeight="1">
      <c r="A63" s="271"/>
      <c r="B63" s="270"/>
      <c r="C63" s="291" t="s">
        <v>66</v>
      </c>
      <c r="D63" s="271"/>
      <c r="E63" s="271"/>
      <c r="F63" s="271"/>
      <c r="G63" s="271"/>
      <c r="H63" s="271"/>
      <c r="I63" s="271"/>
      <c r="J63" s="388">
        <f>J87</f>
        <v>0</v>
      </c>
      <c r="K63" s="271"/>
      <c r="L63" s="64"/>
      <c r="S63" s="23"/>
      <c r="T63" s="23"/>
      <c r="U63" s="23"/>
      <c r="V63" s="23"/>
      <c r="W63" s="23"/>
      <c r="X63" s="23"/>
      <c r="Y63" s="23"/>
      <c r="Z63" s="23"/>
      <c r="AA63" s="23"/>
      <c r="AB63" s="23"/>
      <c r="AC63" s="23"/>
      <c r="AD63" s="23"/>
      <c r="AE63" s="23"/>
      <c r="AU63" s="19" t="s">
        <v>170</v>
      </c>
    </row>
    <row r="64" spans="1:47" s="9" customFormat="1" ht="24.95" customHeight="1">
      <c r="A64" s="292"/>
      <c r="B64" s="293"/>
      <c r="C64" s="292"/>
      <c r="D64" s="294" t="s">
        <v>181</v>
      </c>
      <c r="E64" s="295"/>
      <c r="F64" s="295"/>
      <c r="G64" s="295"/>
      <c r="H64" s="295"/>
      <c r="I64" s="295"/>
      <c r="J64" s="393">
        <f>J88</f>
        <v>0</v>
      </c>
      <c r="K64" s="292"/>
      <c r="L64" s="67"/>
    </row>
    <row r="65" spans="1:31" s="10" customFormat="1" ht="19.899999999999999" customHeight="1">
      <c r="A65" s="246"/>
      <c r="B65" s="296"/>
      <c r="C65" s="246"/>
      <c r="D65" s="297" t="s">
        <v>184</v>
      </c>
      <c r="E65" s="298"/>
      <c r="F65" s="298"/>
      <c r="G65" s="298"/>
      <c r="H65" s="298"/>
      <c r="I65" s="298"/>
      <c r="J65" s="394">
        <f>J89</f>
        <v>0</v>
      </c>
      <c r="K65" s="246"/>
      <c r="L65" s="68"/>
    </row>
    <row r="66" spans="1:31" s="2" customFormat="1" ht="21.75" customHeight="1">
      <c r="A66" s="271"/>
      <c r="B66" s="270"/>
      <c r="C66" s="271"/>
      <c r="D66" s="271"/>
      <c r="E66" s="271"/>
      <c r="F66" s="271"/>
      <c r="G66" s="271"/>
      <c r="H66" s="271"/>
      <c r="I66" s="271"/>
      <c r="J66" s="271"/>
      <c r="K66" s="271"/>
      <c r="L66" s="64"/>
      <c r="S66" s="23"/>
      <c r="T66" s="23"/>
      <c r="U66" s="23"/>
      <c r="V66" s="23"/>
      <c r="W66" s="23"/>
      <c r="X66" s="23"/>
      <c r="Y66" s="23"/>
      <c r="Z66" s="23"/>
      <c r="AA66" s="23"/>
      <c r="AB66" s="23"/>
      <c r="AC66" s="23"/>
      <c r="AD66" s="23"/>
      <c r="AE66" s="23"/>
    </row>
    <row r="67" spans="1:31" s="2" customFormat="1" ht="6.95" customHeight="1">
      <c r="A67" s="271"/>
      <c r="B67" s="286"/>
      <c r="C67" s="287"/>
      <c r="D67" s="287"/>
      <c r="E67" s="287"/>
      <c r="F67" s="287"/>
      <c r="G67" s="287"/>
      <c r="H67" s="287"/>
      <c r="I67" s="287"/>
      <c r="J67" s="287"/>
      <c r="K67" s="287"/>
      <c r="L67" s="64"/>
      <c r="S67" s="23"/>
      <c r="T67" s="23"/>
      <c r="U67" s="23"/>
      <c r="V67" s="23"/>
      <c r="W67" s="23"/>
      <c r="X67" s="23"/>
      <c r="Y67" s="23"/>
      <c r="Z67" s="23"/>
      <c r="AA67" s="23"/>
      <c r="AB67" s="23"/>
      <c r="AC67" s="23"/>
      <c r="AD67" s="23"/>
      <c r="AE67" s="23"/>
    </row>
    <row r="68" spans="1:31">
      <c r="A68" s="61"/>
      <c r="B68" s="61"/>
      <c r="C68" s="61"/>
      <c r="D68" s="61"/>
      <c r="E68" s="61"/>
      <c r="F68" s="61"/>
      <c r="G68" s="61"/>
      <c r="H68" s="61"/>
      <c r="I68" s="61"/>
      <c r="J68" s="61"/>
      <c r="K68" s="61"/>
    </row>
    <row r="69" spans="1:31">
      <c r="A69" s="61"/>
      <c r="B69" s="61"/>
      <c r="C69" s="61"/>
      <c r="D69" s="61"/>
      <c r="E69" s="61"/>
      <c r="F69" s="61"/>
      <c r="G69" s="61"/>
      <c r="H69" s="61"/>
      <c r="I69" s="61"/>
      <c r="J69" s="61"/>
      <c r="K69" s="61"/>
    </row>
    <row r="70" spans="1:31">
      <c r="A70" s="61"/>
      <c r="B70" s="61"/>
      <c r="C70" s="61"/>
      <c r="D70" s="61"/>
      <c r="E70" s="61"/>
      <c r="F70" s="61"/>
      <c r="G70" s="61"/>
      <c r="H70" s="61"/>
      <c r="I70" s="61"/>
      <c r="J70" s="61"/>
      <c r="K70" s="61"/>
    </row>
    <row r="71" spans="1:31" s="2" customFormat="1" ht="6.95" customHeight="1">
      <c r="A71" s="271"/>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31" s="2" customFormat="1" ht="24.95" customHeight="1">
      <c r="A72" s="271"/>
      <c r="B72" s="270"/>
      <c r="C72" s="266" t="s">
        <v>201</v>
      </c>
      <c r="D72" s="271"/>
      <c r="E72" s="271"/>
      <c r="F72" s="271"/>
      <c r="G72" s="271"/>
      <c r="H72" s="271"/>
      <c r="I72" s="271"/>
      <c r="J72" s="271"/>
      <c r="K72" s="271"/>
      <c r="L72" s="64"/>
      <c r="S72" s="23"/>
      <c r="T72" s="23"/>
      <c r="U72" s="23"/>
      <c r="V72" s="23"/>
      <c r="W72" s="23"/>
      <c r="X72" s="23"/>
      <c r="Y72" s="23"/>
      <c r="Z72" s="23"/>
      <c r="AA72" s="23"/>
      <c r="AB72" s="23"/>
      <c r="AC72" s="23"/>
      <c r="AD72" s="23"/>
      <c r="AE72" s="23"/>
    </row>
    <row r="73" spans="1:31" s="2" customFormat="1" ht="6.95" customHeight="1">
      <c r="A73" s="271"/>
      <c r="B73" s="270"/>
      <c r="C73" s="271"/>
      <c r="D73" s="271"/>
      <c r="E73" s="271"/>
      <c r="F73" s="271"/>
      <c r="G73" s="271"/>
      <c r="H73" s="271"/>
      <c r="I73" s="271"/>
      <c r="J73" s="271"/>
      <c r="K73" s="271"/>
      <c r="L73" s="64"/>
      <c r="S73" s="23"/>
      <c r="T73" s="23"/>
      <c r="U73" s="23"/>
      <c r="V73" s="23"/>
      <c r="W73" s="23"/>
      <c r="X73" s="23"/>
      <c r="Y73" s="23"/>
      <c r="Z73" s="23"/>
      <c r="AA73" s="23"/>
      <c r="AB73" s="23"/>
      <c r="AC73" s="23"/>
      <c r="AD73" s="23"/>
      <c r="AE73" s="23"/>
    </row>
    <row r="74" spans="1:31" s="2" customFormat="1" ht="12" customHeight="1">
      <c r="A74" s="271"/>
      <c r="B74" s="270"/>
      <c r="C74" s="268" t="s">
        <v>15</v>
      </c>
      <c r="D74" s="271"/>
      <c r="E74" s="271"/>
      <c r="F74" s="271"/>
      <c r="G74" s="271"/>
      <c r="H74" s="271"/>
      <c r="I74" s="271"/>
      <c r="J74" s="271"/>
      <c r="K74" s="271"/>
      <c r="L74" s="64"/>
      <c r="S74" s="23"/>
      <c r="T74" s="23"/>
      <c r="U74" s="23"/>
      <c r="V74" s="23"/>
      <c r="W74" s="23"/>
      <c r="X74" s="23"/>
      <c r="Y74" s="23"/>
      <c r="Z74" s="23"/>
      <c r="AA74" s="23"/>
      <c r="AB74" s="23"/>
      <c r="AC74" s="23"/>
      <c r="AD74" s="23"/>
      <c r="AE74" s="23"/>
    </row>
    <row r="75" spans="1:31" s="2" customFormat="1" ht="14.45" customHeight="1">
      <c r="A75" s="271"/>
      <c r="B75" s="270"/>
      <c r="C75" s="271"/>
      <c r="D75" s="271"/>
      <c r="E75" s="722" t="str">
        <f>E7</f>
        <v>Úpravy gastroprovozu Úřadu vlády ČR v 1.pp Strakovy akademie</v>
      </c>
      <c r="F75" s="723"/>
      <c r="G75" s="723"/>
      <c r="H75" s="723"/>
      <c r="I75" s="271"/>
      <c r="J75" s="271"/>
      <c r="K75" s="271"/>
      <c r="L75" s="64"/>
      <c r="S75" s="23"/>
      <c r="T75" s="23"/>
      <c r="U75" s="23"/>
      <c r="V75" s="23"/>
      <c r="W75" s="23"/>
      <c r="X75" s="23"/>
      <c r="Y75" s="23"/>
      <c r="Z75" s="23"/>
      <c r="AA75" s="23"/>
      <c r="AB75" s="23"/>
      <c r="AC75" s="23"/>
      <c r="AD75" s="23"/>
      <c r="AE75" s="23"/>
    </row>
    <row r="76" spans="1:31" s="1" customFormat="1" ht="12" customHeight="1">
      <c r="A76" s="61"/>
      <c r="B76" s="265"/>
      <c r="C76" s="268" t="s">
        <v>151</v>
      </c>
      <c r="D76" s="61"/>
      <c r="E76" s="61"/>
      <c r="F76" s="61"/>
      <c r="G76" s="61"/>
      <c r="H76" s="61"/>
      <c r="I76" s="61"/>
      <c r="J76" s="61"/>
      <c r="K76" s="61"/>
      <c r="L76" s="20"/>
    </row>
    <row r="77" spans="1:31" s="2" customFormat="1" ht="14.45" customHeight="1">
      <c r="A77" s="271"/>
      <c r="B77" s="270"/>
      <c r="C77" s="271"/>
      <c r="D77" s="271"/>
      <c r="E77" s="722" t="s">
        <v>1759</v>
      </c>
      <c r="F77" s="721"/>
      <c r="G77" s="721"/>
      <c r="H77" s="721"/>
      <c r="I77" s="271"/>
      <c r="J77" s="271"/>
      <c r="K77" s="271"/>
      <c r="L77" s="64"/>
      <c r="S77" s="23"/>
      <c r="T77" s="23"/>
      <c r="U77" s="23"/>
      <c r="V77" s="23"/>
      <c r="W77" s="23"/>
      <c r="X77" s="23"/>
      <c r="Y77" s="23"/>
      <c r="Z77" s="23"/>
      <c r="AA77" s="23"/>
      <c r="AB77" s="23"/>
      <c r="AC77" s="23"/>
      <c r="AD77" s="23"/>
      <c r="AE77" s="23"/>
    </row>
    <row r="78" spans="1:31" s="2" customFormat="1" ht="12" customHeight="1">
      <c r="A78" s="271"/>
      <c r="B78" s="270"/>
      <c r="C78" s="268" t="s">
        <v>157</v>
      </c>
      <c r="D78" s="271"/>
      <c r="E78" s="271"/>
      <c r="F78" s="271"/>
      <c r="G78" s="271"/>
      <c r="H78" s="271"/>
      <c r="I78" s="271"/>
      <c r="J78" s="271"/>
      <c r="K78" s="271"/>
      <c r="L78" s="64"/>
      <c r="S78" s="23"/>
      <c r="T78" s="23"/>
      <c r="U78" s="23"/>
      <c r="V78" s="23"/>
      <c r="W78" s="23"/>
      <c r="X78" s="23"/>
      <c r="Y78" s="23"/>
      <c r="Z78" s="23"/>
      <c r="AA78" s="23"/>
      <c r="AB78" s="23"/>
      <c r="AC78" s="23"/>
      <c r="AD78" s="23"/>
      <c r="AE78" s="23"/>
    </row>
    <row r="79" spans="1:31" s="2" customFormat="1" ht="14.45" customHeight="1">
      <c r="A79" s="271"/>
      <c r="B79" s="270"/>
      <c r="C79" s="271"/>
      <c r="D79" s="271"/>
      <c r="E79" s="689" t="str">
        <f>E11</f>
        <v>D.1.4.03 - Soupis prací - Elektroinstalace silnoproud</v>
      </c>
      <c r="F79" s="721"/>
      <c r="G79" s="721"/>
      <c r="H79" s="721"/>
      <c r="I79" s="271"/>
      <c r="J79" s="271"/>
      <c r="K79" s="271"/>
      <c r="L79" s="64"/>
      <c r="S79" s="23"/>
      <c r="T79" s="23"/>
      <c r="U79" s="23"/>
      <c r="V79" s="23"/>
      <c r="W79" s="23"/>
      <c r="X79" s="23"/>
      <c r="Y79" s="23"/>
      <c r="Z79" s="23"/>
      <c r="AA79" s="23"/>
      <c r="AB79" s="23"/>
      <c r="AC79" s="23"/>
      <c r="AD79" s="23"/>
      <c r="AE79" s="23"/>
    </row>
    <row r="80" spans="1:31" s="2" customFormat="1" ht="6.95" customHeight="1">
      <c r="A80" s="271"/>
      <c r="B80" s="270"/>
      <c r="C80" s="271"/>
      <c r="D80" s="271"/>
      <c r="E80" s="271"/>
      <c r="F80" s="271"/>
      <c r="G80" s="271"/>
      <c r="H80" s="271"/>
      <c r="I80" s="271"/>
      <c r="J80" s="271"/>
      <c r="K80" s="271"/>
      <c r="L80" s="64"/>
      <c r="S80" s="23"/>
      <c r="T80" s="23"/>
      <c r="U80" s="23"/>
      <c r="V80" s="23"/>
      <c r="W80" s="23"/>
      <c r="X80" s="23"/>
      <c r="Y80" s="23"/>
      <c r="Z80" s="23"/>
      <c r="AA80" s="23"/>
      <c r="AB80" s="23"/>
      <c r="AC80" s="23"/>
      <c r="AD80" s="23"/>
      <c r="AE80" s="23"/>
    </row>
    <row r="81" spans="1:65" s="2" customFormat="1" ht="12" customHeight="1">
      <c r="A81" s="271"/>
      <c r="B81" s="270"/>
      <c r="C81" s="268" t="s">
        <v>19</v>
      </c>
      <c r="D81" s="271"/>
      <c r="E81" s="271"/>
      <c r="F81" s="273" t="str">
        <f>F14</f>
        <v xml:space="preserve"> </v>
      </c>
      <c r="G81" s="271"/>
      <c r="H81" s="271"/>
      <c r="I81" s="268" t="s">
        <v>21</v>
      </c>
      <c r="J81" s="387">
        <f>IF(J14="","",J14)</f>
        <v>44077</v>
      </c>
      <c r="K81" s="271"/>
      <c r="L81" s="64"/>
      <c r="S81" s="23"/>
      <c r="T81" s="23"/>
      <c r="U81" s="23"/>
      <c r="V81" s="23"/>
      <c r="W81" s="23"/>
      <c r="X81" s="23"/>
      <c r="Y81" s="23"/>
      <c r="Z81" s="23"/>
      <c r="AA81" s="23"/>
      <c r="AB81" s="23"/>
      <c r="AC81" s="23"/>
      <c r="AD81" s="23"/>
      <c r="AE81" s="23"/>
    </row>
    <row r="82" spans="1:65" s="2" customFormat="1" ht="6.95" customHeight="1">
      <c r="A82" s="271"/>
      <c r="B82" s="270"/>
      <c r="C82" s="271"/>
      <c r="D82" s="271"/>
      <c r="E82" s="271"/>
      <c r="F82" s="271"/>
      <c r="G82" s="271"/>
      <c r="H82" s="271"/>
      <c r="I82" s="271"/>
      <c r="J82" s="271"/>
      <c r="K82" s="271"/>
      <c r="L82" s="64"/>
      <c r="S82" s="23"/>
      <c r="T82" s="23"/>
      <c r="U82" s="23"/>
      <c r="V82" s="23"/>
      <c r="W82" s="23"/>
      <c r="X82" s="23"/>
      <c r="Y82" s="23"/>
      <c r="Z82" s="23"/>
      <c r="AA82" s="23"/>
      <c r="AB82" s="23"/>
      <c r="AC82" s="23"/>
      <c r="AD82" s="23"/>
      <c r="AE82" s="23"/>
    </row>
    <row r="83" spans="1:65" s="2" customFormat="1" ht="26.45" customHeight="1">
      <c r="A83" s="271"/>
      <c r="B83" s="270"/>
      <c r="C83" s="268" t="s">
        <v>22</v>
      </c>
      <c r="D83" s="271"/>
      <c r="E83" s="271"/>
      <c r="F83" s="273" t="str">
        <f>E17</f>
        <v xml:space="preserve">Úřad vlády České republiky </v>
      </c>
      <c r="G83" s="271"/>
      <c r="H83" s="271"/>
      <c r="I83" s="268" t="s">
        <v>28</v>
      </c>
      <c r="J83" s="391" t="str">
        <f>E23</f>
        <v>Ateliér Simona Group</v>
      </c>
      <c r="K83" s="271"/>
      <c r="L83" s="64"/>
      <c r="S83" s="23"/>
      <c r="T83" s="23"/>
      <c r="U83" s="23"/>
      <c r="V83" s="23"/>
      <c r="W83" s="23"/>
      <c r="X83" s="23"/>
      <c r="Y83" s="23"/>
      <c r="Z83" s="23"/>
      <c r="AA83" s="23"/>
      <c r="AB83" s="23"/>
      <c r="AC83" s="23"/>
      <c r="AD83" s="23"/>
      <c r="AE83" s="23"/>
    </row>
    <row r="84" spans="1:65" s="2" customFormat="1" ht="26.45" customHeight="1">
      <c r="A84" s="271"/>
      <c r="B84" s="270"/>
      <c r="C84" s="268" t="s">
        <v>26</v>
      </c>
      <c r="D84" s="271"/>
      <c r="E84" s="271"/>
      <c r="F84" s="273" t="str">
        <f>IF(E20="","",E20)</f>
        <v xml:space="preserve"> </v>
      </c>
      <c r="G84" s="271"/>
      <c r="H84" s="271"/>
      <c r="I84" s="268" t="s">
        <v>31</v>
      </c>
      <c r="J84" s="391" t="str">
        <f>E26</f>
        <v>Ateliér Simona Group</v>
      </c>
      <c r="K84" s="271"/>
      <c r="L84" s="64"/>
      <c r="S84" s="23"/>
      <c r="T84" s="23"/>
      <c r="U84" s="23"/>
      <c r="V84" s="23"/>
      <c r="W84" s="23"/>
      <c r="X84" s="23"/>
      <c r="Y84" s="23"/>
      <c r="Z84" s="23"/>
      <c r="AA84" s="23"/>
      <c r="AB84" s="23"/>
      <c r="AC84" s="23"/>
      <c r="AD84" s="23"/>
      <c r="AE84" s="23"/>
    </row>
    <row r="85" spans="1:65" s="2" customFormat="1" ht="10.35" customHeight="1">
      <c r="A85" s="271"/>
      <c r="B85" s="270"/>
      <c r="C85" s="271"/>
      <c r="D85" s="271"/>
      <c r="E85" s="271"/>
      <c r="F85" s="271"/>
      <c r="G85" s="271"/>
      <c r="H85" s="271"/>
      <c r="I85" s="271"/>
      <c r="J85" s="271"/>
      <c r="K85" s="271"/>
      <c r="L85" s="64"/>
      <c r="S85" s="23"/>
      <c r="T85" s="23"/>
      <c r="U85" s="23"/>
      <c r="V85" s="23"/>
      <c r="W85" s="23"/>
      <c r="X85" s="23"/>
      <c r="Y85" s="23"/>
      <c r="Z85" s="23"/>
      <c r="AA85" s="23"/>
      <c r="AB85" s="23"/>
      <c r="AC85" s="23"/>
      <c r="AD85" s="23"/>
      <c r="AE85" s="23"/>
    </row>
    <row r="86" spans="1:65" s="11" customFormat="1" ht="29.25" customHeight="1">
      <c r="A86" s="299"/>
      <c r="B86" s="300"/>
      <c r="C86" s="301" t="s">
        <v>202</v>
      </c>
      <c r="D86" s="302" t="s">
        <v>53</v>
      </c>
      <c r="E86" s="302" t="s">
        <v>49</v>
      </c>
      <c r="F86" s="302" t="s">
        <v>50</v>
      </c>
      <c r="G86" s="302" t="s">
        <v>203</v>
      </c>
      <c r="H86" s="302" t="s">
        <v>204</v>
      </c>
      <c r="I86" s="302" t="s">
        <v>205</v>
      </c>
      <c r="J86" s="302" t="s">
        <v>169</v>
      </c>
      <c r="K86" s="340" t="s">
        <v>206</v>
      </c>
      <c r="L86" s="70"/>
      <c r="M86" s="34" t="s">
        <v>3</v>
      </c>
      <c r="N86" s="35" t="s">
        <v>38</v>
      </c>
      <c r="O86" s="35" t="s">
        <v>207</v>
      </c>
      <c r="P86" s="35" t="s">
        <v>208</v>
      </c>
      <c r="Q86" s="35" t="s">
        <v>209</v>
      </c>
      <c r="R86" s="35" t="s">
        <v>210</v>
      </c>
      <c r="S86" s="35" t="s">
        <v>211</v>
      </c>
      <c r="T86" s="36" t="s">
        <v>212</v>
      </c>
      <c r="U86" s="69"/>
      <c r="V86" s="69"/>
      <c r="W86" s="69"/>
      <c r="X86" s="69"/>
      <c r="Y86" s="69"/>
      <c r="Z86" s="69"/>
      <c r="AA86" s="69"/>
      <c r="AB86" s="69"/>
      <c r="AC86" s="69"/>
      <c r="AD86" s="69"/>
      <c r="AE86" s="69"/>
    </row>
    <row r="87" spans="1:65" s="2" customFormat="1" ht="22.9" customHeight="1">
      <c r="A87" s="271"/>
      <c r="B87" s="270"/>
      <c r="C87" s="243" t="s">
        <v>213</v>
      </c>
      <c r="D87" s="271"/>
      <c r="E87" s="271"/>
      <c r="F87" s="271"/>
      <c r="G87" s="271"/>
      <c r="H87" s="271"/>
      <c r="I87" s="271"/>
      <c r="J87" s="410">
        <f>BK87</f>
        <v>0</v>
      </c>
      <c r="K87" s="271"/>
      <c r="L87" s="24"/>
      <c r="M87" s="37"/>
      <c r="N87" s="30"/>
      <c r="O87" s="38"/>
      <c r="P87" s="71">
        <f>P88</f>
        <v>0</v>
      </c>
      <c r="Q87" s="38"/>
      <c r="R87" s="71">
        <f>R88</f>
        <v>0</v>
      </c>
      <c r="S87" s="38"/>
      <c r="T87" s="72">
        <f>T88</f>
        <v>0</v>
      </c>
      <c r="U87" s="23"/>
      <c r="V87" s="23"/>
      <c r="W87" s="23"/>
      <c r="X87" s="23"/>
      <c r="Y87" s="23"/>
      <c r="Z87" s="23"/>
      <c r="AA87" s="23"/>
      <c r="AB87" s="23"/>
      <c r="AC87" s="23"/>
      <c r="AD87" s="23"/>
      <c r="AE87" s="23"/>
      <c r="AT87" s="19" t="s">
        <v>67</v>
      </c>
      <c r="AU87" s="19" t="s">
        <v>170</v>
      </c>
      <c r="BK87" s="73">
        <f>BK88</f>
        <v>0</v>
      </c>
    </row>
    <row r="88" spans="1:65" s="12" customFormat="1" ht="25.9" customHeight="1">
      <c r="A88" s="303"/>
      <c r="B88" s="304"/>
      <c r="C88" s="303"/>
      <c r="D88" s="305" t="s">
        <v>67</v>
      </c>
      <c r="E88" s="306" t="s">
        <v>895</v>
      </c>
      <c r="F88" s="306" t="s">
        <v>896</v>
      </c>
      <c r="G88" s="303"/>
      <c r="H88" s="303"/>
      <c r="I88" s="303"/>
      <c r="J88" s="411">
        <f>BK88</f>
        <v>0</v>
      </c>
      <c r="K88" s="303"/>
      <c r="L88" s="74"/>
      <c r="M88" s="76"/>
      <c r="N88" s="77"/>
      <c r="O88" s="77"/>
      <c r="P88" s="78">
        <f>P89</f>
        <v>0</v>
      </c>
      <c r="Q88" s="77"/>
      <c r="R88" s="78">
        <f>R89</f>
        <v>0</v>
      </c>
      <c r="S88" s="77"/>
      <c r="T88" s="79">
        <f>T89</f>
        <v>0</v>
      </c>
      <c r="AR88" s="75" t="s">
        <v>77</v>
      </c>
      <c r="AT88" s="80" t="s">
        <v>67</v>
      </c>
      <c r="AU88" s="80" t="s">
        <v>68</v>
      </c>
      <c r="AY88" s="75" t="s">
        <v>216</v>
      </c>
      <c r="BK88" s="81">
        <f>BK89</f>
        <v>0</v>
      </c>
    </row>
    <row r="89" spans="1:65" s="12" customFormat="1" ht="22.9" customHeight="1">
      <c r="A89" s="303"/>
      <c r="B89" s="304"/>
      <c r="C89" s="303"/>
      <c r="D89" s="305" t="s">
        <v>67</v>
      </c>
      <c r="E89" s="307" t="s">
        <v>935</v>
      </c>
      <c r="F89" s="307" t="s">
        <v>936</v>
      </c>
      <c r="G89" s="303"/>
      <c r="H89" s="303"/>
      <c r="I89" s="303"/>
      <c r="J89" s="412">
        <f>BK89</f>
        <v>0</v>
      </c>
      <c r="K89" s="303"/>
      <c r="L89" s="74"/>
      <c r="M89" s="76"/>
      <c r="N89" s="77"/>
      <c r="O89" s="77"/>
      <c r="P89" s="78">
        <f>P90</f>
        <v>0</v>
      </c>
      <c r="Q89" s="77"/>
      <c r="R89" s="78">
        <f>R90</f>
        <v>0</v>
      </c>
      <c r="S89" s="77"/>
      <c r="T89" s="79">
        <f>T90</f>
        <v>0</v>
      </c>
      <c r="AR89" s="75" t="s">
        <v>77</v>
      </c>
      <c r="AT89" s="80" t="s">
        <v>67</v>
      </c>
      <c r="AU89" s="80" t="s">
        <v>75</v>
      </c>
      <c r="AY89" s="75" t="s">
        <v>216</v>
      </c>
      <c r="BK89" s="81">
        <f>BK90</f>
        <v>0</v>
      </c>
    </row>
    <row r="90" spans="1:65" s="2" customFormat="1" ht="14.45" customHeight="1">
      <c r="A90" s="271"/>
      <c r="B90" s="270"/>
      <c r="C90" s="308" t="s">
        <v>75</v>
      </c>
      <c r="D90" s="308" t="s">
        <v>218</v>
      </c>
      <c r="E90" s="309" t="s">
        <v>935</v>
      </c>
      <c r="F90" s="310" t="s">
        <v>2548</v>
      </c>
      <c r="G90" s="311" t="s">
        <v>1766</v>
      </c>
      <c r="H90" s="312">
        <v>1</v>
      </c>
      <c r="I90" s="413">
        <f>ELEKTRO!F90</f>
        <v>0</v>
      </c>
      <c r="J90" s="413">
        <f>ROUND(I90*H90,2)</f>
        <v>0</v>
      </c>
      <c r="K90" s="310" t="s">
        <v>3</v>
      </c>
      <c r="L90" s="24"/>
      <c r="M90" s="115" t="s">
        <v>3</v>
      </c>
      <c r="N90" s="116" t="s">
        <v>39</v>
      </c>
      <c r="O90" s="117">
        <v>0</v>
      </c>
      <c r="P90" s="117">
        <f>O90*H90</f>
        <v>0</v>
      </c>
      <c r="Q90" s="117">
        <v>0</v>
      </c>
      <c r="R90" s="117">
        <f>Q90*H90</f>
        <v>0</v>
      </c>
      <c r="S90" s="117">
        <v>0</v>
      </c>
      <c r="T90" s="118">
        <f>S90*H90</f>
        <v>0</v>
      </c>
      <c r="U90" s="23"/>
      <c r="V90" s="23"/>
      <c r="W90" s="23"/>
      <c r="X90" s="23"/>
      <c r="Y90" s="23"/>
      <c r="Z90" s="23"/>
      <c r="AA90" s="23"/>
      <c r="AB90" s="23"/>
      <c r="AC90" s="23"/>
      <c r="AD90" s="23"/>
      <c r="AE90" s="23"/>
      <c r="AR90" s="87" t="s">
        <v>305</v>
      </c>
      <c r="AT90" s="87" t="s">
        <v>218</v>
      </c>
      <c r="AU90" s="87" t="s">
        <v>77</v>
      </c>
      <c r="AY90" s="19" t="s">
        <v>216</v>
      </c>
      <c r="BE90" s="88">
        <f>IF(N90="základní",J90,0)</f>
        <v>0</v>
      </c>
      <c r="BF90" s="88">
        <f>IF(N90="snížená",J90,0)</f>
        <v>0</v>
      </c>
      <c r="BG90" s="88">
        <f>IF(N90="zákl. přenesená",J90,0)</f>
        <v>0</v>
      </c>
      <c r="BH90" s="88">
        <f>IF(N90="sníž. přenesená",J90,0)</f>
        <v>0</v>
      </c>
      <c r="BI90" s="88">
        <f>IF(N90="nulová",J90,0)</f>
        <v>0</v>
      </c>
      <c r="BJ90" s="19" t="s">
        <v>75</v>
      </c>
      <c r="BK90" s="88">
        <f>ROUND(I90*H90,2)</f>
        <v>0</v>
      </c>
      <c r="BL90" s="19" t="s">
        <v>305</v>
      </c>
      <c r="BM90" s="87" t="s">
        <v>1775</v>
      </c>
    </row>
    <row r="91" spans="1:65" s="2" customFormat="1" ht="6.95" customHeight="1">
      <c r="A91" s="271"/>
      <c r="B91" s="286"/>
      <c r="C91" s="287"/>
      <c r="D91" s="287"/>
      <c r="E91" s="287"/>
      <c r="F91" s="287"/>
      <c r="G91" s="287"/>
      <c r="H91" s="287"/>
      <c r="I91" s="287"/>
      <c r="J91" s="287"/>
      <c r="K91" s="287"/>
      <c r="L91" s="24"/>
      <c r="M91" s="23"/>
      <c r="O91" s="23"/>
      <c r="P91" s="23"/>
      <c r="Q91" s="23"/>
      <c r="R91" s="23"/>
      <c r="S91" s="23"/>
      <c r="T91" s="23"/>
      <c r="U91" s="23"/>
      <c r="V91" s="23"/>
      <c r="W91" s="23"/>
      <c r="X91" s="23"/>
      <c r="Y91" s="23"/>
      <c r="Z91" s="23"/>
      <c r="AA91" s="23"/>
      <c r="AB91" s="23"/>
      <c r="AC91" s="23"/>
      <c r="AD91" s="23"/>
      <c r="AE91" s="23"/>
    </row>
  </sheetData>
  <sheetProtection password="C971" sheet="1" objects="1" scenarios="1"/>
  <autoFilter ref="C86:K9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heetPr>
  <dimension ref="A1:AT5079"/>
  <sheetViews>
    <sheetView workbookViewId="0">
      <selection activeCell="G10" sqref="G10"/>
    </sheetView>
  </sheetViews>
  <sheetFormatPr defaultRowHeight="12.75" outlineLevelRow="1"/>
  <cols>
    <col min="1" max="1" width="1.6640625" style="206" customWidth="1"/>
    <col min="2" max="2" width="4" style="206" customWidth="1"/>
    <col min="3" max="3" width="14.6640625" style="207" customWidth="1"/>
    <col min="4" max="5" width="44.6640625" style="207" customWidth="1"/>
    <col min="6" max="6" width="5.6640625" style="206" customWidth="1"/>
    <col min="7" max="7" width="10.1640625" style="209" customWidth="1"/>
    <col min="8" max="8" width="10.6640625" style="206" customWidth="1"/>
    <col min="9" max="9" width="11.5" style="206" customWidth="1"/>
    <col min="10" max="10" width="45.1640625" style="206" customWidth="1"/>
    <col min="11" max="14" width="9.33203125" style="206"/>
    <col min="15" max="15" width="0" style="206" hidden="1" customWidth="1"/>
    <col min="16" max="16" width="9.33203125" style="206"/>
    <col min="17" max="27" width="0" style="206" hidden="1" customWidth="1"/>
    <col min="28" max="38" width="9.33203125" style="206"/>
    <col min="39" max="39" width="86" style="206" customWidth="1"/>
    <col min="40" max="16384" width="9.33203125" style="206"/>
  </cols>
  <sheetData>
    <row r="1" spans="1:19" ht="15.75" customHeight="1">
      <c r="A1" s="423"/>
      <c r="B1" s="750" t="s">
        <v>2325</v>
      </c>
      <c r="C1" s="750"/>
      <c r="D1" s="750"/>
      <c r="E1" s="750"/>
      <c r="F1" s="750"/>
      <c r="G1" s="750"/>
      <c r="H1" s="750"/>
      <c r="I1" s="750"/>
      <c r="S1" s="206" t="s">
        <v>2326</v>
      </c>
    </row>
    <row r="2" spans="1:19" ht="24.95" customHeight="1">
      <c r="A2" s="423"/>
      <c r="B2" s="467" t="s">
        <v>2327</v>
      </c>
      <c r="C2" s="468"/>
      <c r="D2" s="751" t="s">
        <v>2328</v>
      </c>
      <c r="E2" s="751"/>
      <c r="F2" s="752"/>
      <c r="G2" s="752"/>
      <c r="H2" s="752"/>
      <c r="I2" s="753"/>
      <c r="S2" s="206" t="s">
        <v>74</v>
      </c>
    </row>
    <row r="3" spans="1:19" ht="24.95" customHeight="1">
      <c r="A3" s="423"/>
      <c r="B3" s="467" t="s">
        <v>2329</v>
      </c>
      <c r="C3" s="468" t="s">
        <v>2330</v>
      </c>
      <c r="D3" s="754" t="s">
        <v>2331</v>
      </c>
      <c r="E3" s="751"/>
      <c r="F3" s="752"/>
      <c r="G3" s="752"/>
      <c r="H3" s="752"/>
      <c r="I3" s="753"/>
      <c r="O3" s="207" t="s">
        <v>74</v>
      </c>
      <c r="S3" s="206" t="s">
        <v>2332</v>
      </c>
    </row>
    <row r="4" spans="1:19" ht="24.95" customHeight="1">
      <c r="A4" s="423"/>
      <c r="B4" s="469" t="s">
        <v>2333</v>
      </c>
      <c r="C4" s="470" t="s">
        <v>2334</v>
      </c>
      <c r="D4" s="755" t="s">
        <v>2335</v>
      </c>
      <c r="E4" s="755"/>
      <c r="F4" s="756"/>
      <c r="G4" s="756"/>
      <c r="H4" s="756"/>
      <c r="I4" s="757"/>
      <c r="S4" s="206" t="s">
        <v>2336</v>
      </c>
    </row>
    <row r="5" spans="1:19">
      <c r="A5" s="423"/>
      <c r="B5" s="423"/>
      <c r="C5" s="459"/>
      <c r="D5" s="459"/>
      <c r="E5" s="459"/>
      <c r="F5" s="471"/>
      <c r="G5" s="460"/>
      <c r="H5" s="423"/>
      <c r="I5" s="423"/>
    </row>
    <row r="6" spans="1:19" ht="25.5">
      <c r="A6" s="423"/>
      <c r="B6" s="428" t="s">
        <v>2337</v>
      </c>
      <c r="C6" s="429" t="s">
        <v>2338</v>
      </c>
      <c r="D6" s="429" t="s">
        <v>2339</v>
      </c>
      <c r="E6" s="429" t="s">
        <v>2340</v>
      </c>
      <c r="F6" s="430" t="s">
        <v>203</v>
      </c>
      <c r="G6" s="431" t="s">
        <v>2341</v>
      </c>
      <c r="H6" s="472" t="s">
        <v>2342</v>
      </c>
      <c r="I6" s="461" t="s">
        <v>2343</v>
      </c>
    </row>
    <row r="7" spans="1:19" hidden="1">
      <c r="A7" s="423"/>
      <c r="B7" s="432"/>
      <c r="C7" s="433"/>
      <c r="D7" s="433"/>
      <c r="E7" s="433"/>
      <c r="F7" s="434"/>
      <c r="G7" s="435"/>
      <c r="H7" s="462"/>
      <c r="I7" s="462"/>
    </row>
    <row r="8" spans="1:19">
      <c r="A8" s="423"/>
      <c r="B8" s="436" t="s">
        <v>2344</v>
      </c>
      <c r="C8" s="437"/>
      <c r="D8" s="438" t="s">
        <v>2345</v>
      </c>
      <c r="E8" s="438"/>
      <c r="F8" s="439"/>
      <c r="G8" s="440"/>
      <c r="H8" s="473"/>
      <c r="I8" s="463"/>
      <c r="S8" s="206" t="s">
        <v>2346</v>
      </c>
    </row>
    <row r="9" spans="1:19">
      <c r="A9" s="423"/>
      <c r="B9" s="436"/>
      <c r="C9" s="437"/>
      <c r="D9" s="441" t="s">
        <v>2347</v>
      </c>
      <c r="E9" s="438"/>
      <c r="F9" s="439"/>
      <c r="G9" s="440"/>
      <c r="H9" s="473"/>
      <c r="I9" s="463">
        <f>SUM(I10:I18)</f>
        <v>0</v>
      </c>
    </row>
    <row r="10" spans="1:19">
      <c r="A10" s="418"/>
      <c r="B10" s="442">
        <v>1</v>
      </c>
      <c r="C10" s="443"/>
      <c r="D10" s="444" t="s">
        <v>2348</v>
      </c>
      <c r="E10" s="444"/>
      <c r="F10" s="445" t="s">
        <v>364</v>
      </c>
      <c r="G10" s="446">
        <v>30</v>
      </c>
      <c r="H10" s="420">
        <v>0</v>
      </c>
      <c r="I10" s="464">
        <f>G10*H10</f>
        <v>0</v>
      </c>
    </row>
    <row r="11" spans="1:19" ht="22.5">
      <c r="A11" s="418"/>
      <c r="B11" s="442">
        <v>2</v>
      </c>
      <c r="C11" s="443"/>
      <c r="D11" s="444" t="s">
        <v>2349</v>
      </c>
      <c r="E11" s="444"/>
      <c r="F11" s="445" t="s">
        <v>364</v>
      </c>
      <c r="G11" s="446">
        <v>30</v>
      </c>
      <c r="H11" s="420">
        <v>0</v>
      </c>
      <c r="I11" s="464">
        <f t="shared" ref="I11:I18" si="0">G11*H11</f>
        <v>0</v>
      </c>
    </row>
    <row r="12" spans="1:19">
      <c r="A12" s="418"/>
      <c r="B12" s="442">
        <v>3</v>
      </c>
      <c r="C12" s="443"/>
      <c r="D12" s="444" t="s">
        <v>2350</v>
      </c>
      <c r="E12" s="444"/>
      <c r="F12" s="445" t="s">
        <v>364</v>
      </c>
      <c r="G12" s="446">
        <v>30</v>
      </c>
      <c r="H12" s="420">
        <v>0</v>
      </c>
      <c r="I12" s="464">
        <f t="shared" si="0"/>
        <v>0</v>
      </c>
    </row>
    <row r="13" spans="1:19">
      <c r="A13" s="418"/>
      <c r="B13" s="442">
        <v>4</v>
      </c>
      <c r="C13" s="443"/>
      <c r="D13" s="444" t="s">
        <v>2351</v>
      </c>
      <c r="E13" s="444"/>
      <c r="F13" s="445" t="s">
        <v>364</v>
      </c>
      <c r="G13" s="446">
        <v>30</v>
      </c>
      <c r="H13" s="420">
        <v>0</v>
      </c>
      <c r="I13" s="464">
        <f t="shared" si="0"/>
        <v>0</v>
      </c>
    </row>
    <row r="14" spans="1:19">
      <c r="A14" s="418"/>
      <c r="B14" s="442">
        <v>5</v>
      </c>
      <c r="C14" s="443"/>
      <c r="D14" s="444" t="s">
        <v>2352</v>
      </c>
      <c r="E14" s="444"/>
      <c r="F14" s="445" t="s">
        <v>2353</v>
      </c>
      <c r="G14" s="446">
        <v>1</v>
      </c>
      <c r="H14" s="420">
        <v>0</v>
      </c>
      <c r="I14" s="464">
        <f t="shared" si="0"/>
        <v>0</v>
      </c>
    </row>
    <row r="15" spans="1:19">
      <c r="A15" s="418"/>
      <c r="B15" s="442">
        <v>6</v>
      </c>
      <c r="C15" s="443"/>
      <c r="D15" s="444" t="s">
        <v>2354</v>
      </c>
      <c r="E15" s="444"/>
      <c r="F15" s="445" t="s">
        <v>1766</v>
      </c>
      <c r="G15" s="446">
        <v>1</v>
      </c>
      <c r="H15" s="420">
        <v>0</v>
      </c>
      <c r="I15" s="464">
        <f t="shared" si="0"/>
        <v>0</v>
      </c>
    </row>
    <row r="16" spans="1:19" ht="15" customHeight="1">
      <c r="A16" s="418"/>
      <c r="B16" s="442">
        <v>7</v>
      </c>
      <c r="C16" s="443"/>
      <c r="D16" s="444" t="s">
        <v>2355</v>
      </c>
      <c r="E16" s="444"/>
      <c r="F16" s="445" t="s">
        <v>2353</v>
      </c>
      <c r="G16" s="446">
        <v>200</v>
      </c>
      <c r="H16" s="420">
        <v>0</v>
      </c>
      <c r="I16" s="464">
        <f t="shared" si="0"/>
        <v>0</v>
      </c>
    </row>
    <row r="17" spans="1:46" ht="15" customHeight="1">
      <c r="A17" s="418"/>
      <c r="B17" s="442">
        <v>8</v>
      </c>
      <c r="C17" s="443"/>
      <c r="D17" s="444" t="s">
        <v>2356</v>
      </c>
      <c r="E17" s="444"/>
      <c r="F17" s="445" t="s">
        <v>364</v>
      </c>
      <c r="G17" s="446">
        <v>15</v>
      </c>
      <c r="H17" s="420">
        <v>0</v>
      </c>
      <c r="I17" s="464">
        <f t="shared" si="0"/>
        <v>0</v>
      </c>
    </row>
    <row r="18" spans="1:46" ht="15" customHeight="1">
      <c r="A18" s="418"/>
      <c r="B18" s="442">
        <v>9</v>
      </c>
      <c r="C18" s="443"/>
      <c r="D18" s="444" t="s">
        <v>2357</v>
      </c>
      <c r="E18" s="444"/>
      <c r="F18" s="445" t="s">
        <v>364</v>
      </c>
      <c r="G18" s="446">
        <v>200</v>
      </c>
      <c r="H18" s="420">
        <v>0</v>
      </c>
      <c r="I18" s="464">
        <f t="shared" si="0"/>
        <v>0</v>
      </c>
    </row>
    <row r="19" spans="1:46" ht="15" customHeight="1">
      <c r="A19" s="418"/>
      <c r="B19" s="447"/>
      <c r="C19" s="448"/>
      <c r="D19" s="449"/>
      <c r="E19" s="449"/>
      <c r="F19" s="450"/>
      <c r="G19" s="451"/>
      <c r="H19" s="421"/>
      <c r="I19" s="465"/>
    </row>
    <row r="20" spans="1:46">
      <c r="A20" s="418"/>
      <c r="B20" s="436"/>
      <c r="C20" s="437"/>
      <c r="D20" s="441" t="s">
        <v>2358</v>
      </c>
      <c r="E20" s="438"/>
      <c r="F20" s="439"/>
      <c r="G20" s="440"/>
      <c r="H20" s="419"/>
      <c r="I20" s="463">
        <f>SUM(I21:I63)</f>
        <v>0</v>
      </c>
    </row>
    <row r="21" spans="1:46" outlineLevel="1">
      <c r="A21" s="418"/>
      <c r="B21" s="442">
        <v>1</v>
      </c>
      <c r="C21" s="443"/>
      <c r="D21" s="444" t="s">
        <v>2359</v>
      </c>
      <c r="E21" s="444"/>
      <c r="F21" s="445" t="s">
        <v>2353</v>
      </c>
      <c r="G21" s="446">
        <v>52</v>
      </c>
      <c r="H21" s="420">
        <v>0</v>
      </c>
      <c r="I21" s="464">
        <f>G21*H21</f>
        <v>0</v>
      </c>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row>
    <row r="22" spans="1:46" outlineLevel="1">
      <c r="A22" s="418"/>
      <c r="B22" s="442">
        <v>2</v>
      </c>
      <c r="C22" s="443"/>
      <c r="D22" s="444" t="s">
        <v>2360</v>
      </c>
      <c r="E22" s="444"/>
      <c r="F22" s="445" t="s">
        <v>2353</v>
      </c>
      <c r="G22" s="446">
        <v>24</v>
      </c>
      <c r="H22" s="420">
        <v>0</v>
      </c>
      <c r="I22" s="464">
        <f t="shared" ref="I22:I63" si="1">G22*H22</f>
        <v>0</v>
      </c>
      <c r="J22" s="211"/>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row>
    <row r="23" spans="1:46" outlineLevel="1">
      <c r="A23" s="418"/>
      <c r="B23" s="442">
        <v>3</v>
      </c>
      <c r="C23" s="443"/>
      <c r="D23" s="444" t="s">
        <v>2361</v>
      </c>
      <c r="E23" s="444"/>
      <c r="F23" s="445" t="s">
        <v>2353</v>
      </c>
      <c r="G23" s="446">
        <v>2</v>
      </c>
      <c r="H23" s="420">
        <v>0</v>
      </c>
      <c r="I23" s="464">
        <f t="shared" si="1"/>
        <v>0</v>
      </c>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row>
    <row r="24" spans="1:46" outlineLevel="1">
      <c r="A24" s="418"/>
      <c r="B24" s="442">
        <v>4</v>
      </c>
      <c r="C24" s="443"/>
      <c r="D24" s="444" t="s">
        <v>2362</v>
      </c>
      <c r="E24" s="444"/>
      <c r="F24" s="445" t="s">
        <v>2353</v>
      </c>
      <c r="G24" s="446">
        <v>11</v>
      </c>
      <c r="H24" s="420">
        <v>0</v>
      </c>
      <c r="I24" s="464">
        <f t="shared" si="1"/>
        <v>0</v>
      </c>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row>
    <row r="25" spans="1:46" outlineLevel="1">
      <c r="A25" s="418"/>
      <c r="B25" s="442">
        <v>5</v>
      </c>
      <c r="C25" s="443"/>
      <c r="D25" s="444" t="s">
        <v>2363</v>
      </c>
      <c r="E25" s="444"/>
      <c r="F25" s="445" t="s">
        <v>2353</v>
      </c>
      <c r="G25" s="446">
        <v>4</v>
      </c>
      <c r="H25" s="420">
        <v>0</v>
      </c>
      <c r="I25" s="464">
        <f t="shared" si="1"/>
        <v>0</v>
      </c>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row>
    <row r="26" spans="1:46" outlineLevel="1">
      <c r="A26" s="418"/>
      <c r="B26" s="442">
        <v>6</v>
      </c>
      <c r="C26" s="443"/>
      <c r="D26" s="444" t="s">
        <v>2364</v>
      </c>
      <c r="E26" s="444"/>
      <c r="F26" s="445" t="s">
        <v>2353</v>
      </c>
      <c r="G26" s="446">
        <v>6</v>
      </c>
      <c r="H26" s="420">
        <v>0</v>
      </c>
      <c r="I26" s="464">
        <f t="shared" si="1"/>
        <v>0</v>
      </c>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row>
    <row r="27" spans="1:46" outlineLevel="1">
      <c r="A27" s="418"/>
      <c r="B27" s="442">
        <v>7</v>
      </c>
      <c r="C27" s="443"/>
      <c r="D27" s="444" t="s">
        <v>2365</v>
      </c>
      <c r="E27" s="444"/>
      <c r="F27" s="445" t="s">
        <v>2353</v>
      </c>
      <c r="G27" s="446">
        <v>2</v>
      </c>
      <c r="H27" s="420">
        <v>0</v>
      </c>
      <c r="I27" s="464">
        <f t="shared" si="1"/>
        <v>0</v>
      </c>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row>
    <row r="28" spans="1:46" outlineLevel="1">
      <c r="A28" s="418"/>
      <c r="B28" s="442">
        <v>8</v>
      </c>
      <c r="C28" s="443"/>
      <c r="D28" s="444" t="s">
        <v>2366</v>
      </c>
      <c r="E28" s="444"/>
      <c r="F28" s="445" t="s">
        <v>2353</v>
      </c>
      <c r="G28" s="446">
        <v>2</v>
      </c>
      <c r="H28" s="420">
        <v>0</v>
      </c>
      <c r="I28" s="464">
        <f t="shared" si="1"/>
        <v>0</v>
      </c>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row>
    <row r="29" spans="1:46" outlineLevel="1">
      <c r="A29" s="418"/>
      <c r="B29" s="442">
        <v>9</v>
      </c>
      <c r="C29" s="443"/>
      <c r="D29" s="444" t="s">
        <v>2367</v>
      </c>
      <c r="E29" s="444"/>
      <c r="F29" s="445" t="s">
        <v>2353</v>
      </c>
      <c r="G29" s="446">
        <v>6</v>
      </c>
      <c r="H29" s="420">
        <v>0</v>
      </c>
      <c r="I29" s="464">
        <f t="shared" si="1"/>
        <v>0</v>
      </c>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row>
    <row r="30" spans="1:46" outlineLevel="1">
      <c r="A30" s="418"/>
      <c r="B30" s="442">
        <v>10</v>
      </c>
      <c r="C30" s="443"/>
      <c r="D30" s="444" t="s">
        <v>2368</v>
      </c>
      <c r="E30" s="444"/>
      <c r="F30" s="445" t="s">
        <v>2353</v>
      </c>
      <c r="G30" s="446">
        <v>1</v>
      </c>
      <c r="H30" s="420">
        <v>0</v>
      </c>
      <c r="I30" s="464">
        <f t="shared" si="1"/>
        <v>0</v>
      </c>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row>
    <row r="31" spans="1:46" outlineLevel="1">
      <c r="A31" s="418"/>
      <c r="B31" s="442">
        <v>11</v>
      </c>
      <c r="C31" s="443"/>
      <c r="D31" s="444" t="s">
        <v>2369</v>
      </c>
      <c r="E31" s="444"/>
      <c r="F31" s="445" t="s">
        <v>2353</v>
      </c>
      <c r="G31" s="446">
        <v>150</v>
      </c>
      <c r="H31" s="420">
        <v>0</v>
      </c>
      <c r="I31" s="464">
        <f t="shared" si="1"/>
        <v>0</v>
      </c>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row>
    <row r="32" spans="1:46" outlineLevel="1">
      <c r="A32" s="418"/>
      <c r="B32" s="442">
        <v>12</v>
      </c>
      <c r="C32" s="443"/>
      <c r="D32" s="444" t="s">
        <v>2370</v>
      </c>
      <c r="E32" s="444"/>
      <c r="F32" s="445" t="s">
        <v>2353</v>
      </c>
      <c r="G32" s="446">
        <v>30</v>
      </c>
      <c r="H32" s="420">
        <v>0</v>
      </c>
      <c r="I32" s="464">
        <f t="shared" si="1"/>
        <v>0</v>
      </c>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row>
    <row r="33" spans="1:46" outlineLevel="1">
      <c r="A33" s="418"/>
      <c r="B33" s="442">
        <v>13</v>
      </c>
      <c r="C33" s="443"/>
      <c r="D33" s="444" t="s">
        <v>2371</v>
      </c>
      <c r="E33" s="444"/>
      <c r="F33" s="445" t="s">
        <v>2353</v>
      </c>
      <c r="G33" s="446">
        <v>6</v>
      </c>
      <c r="H33" s="420">
        <v>0</v>
      </c>
      <c r="I33" s="464">
        <f t="shared" si="1"/>
        <v>0</v>
      </c>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row>
    <row r="34" spans="1:46" outlineLevel="1">
      <c r="A34" s="418"/>
      <c r="B34" s="442">
        <v>14</v>
      </c>
      <c r="C34" s="443"/>
      <c r="D34" s="444" t="s">
        <v>2372</v>
      </c>
      <c r="E34" s="444"/>
      <c r="F34" s="445" t="s">
        <v>2353</v>
      </c>
      <c r="G34" s="446">
        <v>7</v>
      </c>
      <c r="H34" s="420">
        <v>0</v>
      </c>
      <c r="I34" s="464">
        <f t="shared" si="1"/>
        <v>0</v>
      </c>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row>
    <row r="35" spans="1:46" outlineLevel="1">
      <c r="A35" s="418"/>
      <c r="B35" s="442">
        <v>15</v>
      </c>
      <c r="C35" s="443"/>
      <c r="D35" s="444" t="s">
        <v>2373</v>
      </c>
      <c r="E35" s="444"/>
      <c r="F35" s="445" t="s">
        <v>2353</v>
      </c>
      <c r="G35" s="446">
        <v>1</v>
      </c>
      <c r="H35" s="420">
        <v>0</v>
      </c>
      <c r="I35" s="464">
        <f t="shared" si="1"/>
        <v>0</v>
      </c>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row>
    <row r="36" spans="1:46" outlineLevel="1">
      <c r="A36" s="418"/>
      <c r="B36" s="442">
        <v>16</v>
      </c>
      <c r="C36" s="443"/>
      <c r="D36" s="444" t="s">
        <v>2374</v>
      </c>
      <c r="E36" s="444"/>
      <c r="F36" s="445" t="s">
        <v>364</v>
      </c>
      <c r="G36" s="446">
        <v>720</v>
      </c>
      <c r="H36" s="420">
        <v>0</v>
      </c>
      <c r="I36" s="464">
        <f t="shared" si="1"/>
        <v>0</v>
      </c>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row>
    <row r="37" spans="1:46" outlineLevel="1">
      <c r="A37" s="418"/>
      <c r="B37" s="442">
        <v>17</v>
      </c>
      <c r="C37" s="443"/>
      <c r="D37" s="444" t="s">
        <v>2375</v>
      </c>
      <c r="E37" s="444"/>
      <c r="F37" s="445" t="s">
        <v>364</v>
      </c>
      <c r="G37" s="446">
        <v>2000</v>
      </c>
      <c r="H37" s="420">
        <v>0</v>
      </c>
      <c r="I37" s="464">
        <f t="shared" si="1"/>
        <v>0</v>
      </c>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row>
    <row r="38" spans="1:46" outlineLevel="1">
      <c r="A38" s="418"/>
      <c r="B38" s="442">
        <v>18</v>
      </c>
      <c r="C38" s="443"/>
      <c r="D38" s="444" t="s">
        <v>2376</v>
      </c>
      <c r="E38" s="444"/>
      <c r="F38" s="445" t="s">
        <v>364</v>
      </c>
      <c r="G38" s="446">
        <v>30</v>
      </c>
      <c r="H38" s="420">
        <v>0</v>
      </c>
      <c r="I38" s="464">
        <f t="shared" si="1"/>
        <v>0</v>
      </c>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row>
    <row r="39" spans="1:46" outlineLevel="1">
      <c r="A39" s="418"/>
      <c r="B39" s="442">
        <v>19</v>
      </c>
      <c r="C39" s="443"/>
      <c r="D39" s="444" t="s">
        <v>2377</v>
      </c>
      <c r="E39" s="444"/>
      <c r="F39" s="445" t="s">
        <v>364</v>
      </c>
      <c r="G39" s="446">
        <v>30</v>
      </c>
      <c r="H39" s="420">
        <v>0</v>
      </c>
      <c r="I39" s="464">
        <f t="shared" si="1"/>
        <v>0</v>
      </c>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row>
    <row r="40" spans="1:46" outlineLevel="1">
      <c r="A40" s="418"/>
      <c r="B40" s="442">
        <v>20</v>
      </c>
      <c r="C40" s="443"/>
      <c r="D40" s="444" t="s">
        <v>2378</v>
      </c>
      <c r="E40" s="444"/>
      <c r="F40" s="445" t="s">
        <v>364</v>
      </c>
      <c r="G40" s="446">
        <v>150</v>
      </c>
      <c r="H40" s="420">
        <v>0</v>
      </c>
      <c r="I40" s="464">
        <f t="shared" si="1"/>
        <v>0</v>
      </c>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row>
    <row r="41" spans="1:46" outlineLevel="1">
      <c r="A41" s="418"/>
      <c r="B41" s="442">
        <v>21</v>
      </c>
      <c r="C41" s="443"/>
      <c r="D41" s="444" t="s">
        <v>2379</v>
      </c>
      <c r="E41" s="444"/>
      <c r="F41" s="445" t="s">
        <v>364</v>
      </c>
      <c r="G41" s="446">
        <v>120</v>
      </c>
      <c r="H41" s="420">
        <v>0</v>
      </c>
      <c r="I41" s="464">
        <f t="shared" si="1"/>
        <v>0</v>
      </c>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row>
    <row r="42" spans="1:46" outlineLevel="1">
      <c r="A42" s="418"/>
      <c r="B42" s="442">
        <v>22</v>
      </c>
      <c r="C42" s="443"/>
      <c r="D42" s="444" t="s">
        <v>2380</v>
      </c>
      <c r="E42" s="444"/>
      <c r="F42" s="445"/>
      <c r="G42" s="446">
        <v>80</v>
      </c>
      <c r="H42" s="420">
        <v>0</v>
      </c>
      <c r="I42" s="464">
        <v>0</v>
      </c>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row>
    <row r="43" spans="1:46" outlineLevel="1">
      <c r="A43" s="418"/>
      <c r="B43" s="442">
        <v>23</v>
      </c>
      <c r="C43" s="443"/>
      <c r="D43" s="444" t="s">
        <v>2381</v>
      </c>
      <c r="E43" s="444"/>
      <c r="F43" s="445" t="s">
        <v>364</v>
      </c>
      <c r="G43" s="446">
        <v>25</v>
      </c>
      <c r="H43" s="420">
        <v>0</v>
      </c>
      <c r="I43" s="464">
        <f t="shared" si="1"/>
        <v>0</v>
      </c>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row>
    <row r="44" spans="1:46" outlineLevel="1">
      <c r="A44" s="418"/>
      <c r="B44" s="442">
        <v>24</v>
      </c>
      <c r="C44" s="443"/>
      <c r="D44" s="444" t="s">
        <v>2382</v>
      </c>
      <c r="E44" s="444"/>
      <c r="F44" s="445" t="s">
        <v>364</v>
      </c>
      <c r="G44" s="446">
        <v>200</v>
      </c>
      <c r="H44" s="420">
        <v>0</v>
      </c>
      <c r="I44" s="464">
        <f t="shared" si="1"/>
        <v>0</v>
      </c>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row>
    <row r="45" spans="1:46" outlineLevel="1">
      <c r="A45" s="418"/>
      <c r="B45" s="442">
        <v>25</v>
      </c>
      <c r="C45" s="443"/>
      <c r="D45" s="444" t="s">
        <v>2383</v>
      </c>
      <c r="E45" s="444"/>
      <c r="F45" s="445" t="s">
        <v>364</v>
      </c>
      <c r="G45" s="446">
        <v>30</v>
      </c>
      <c r="H45" s="420">
        <v>0</v>
      </c>
      <c r="I45" s="464">
        <f t="shared" si="1"/>
        <v>0</v>
      </c>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row>
    <row r="46" spans="1:46" outlineLevel="1">
      <c r="A46" s="418"/>
      <c r="B46" s="442">
        <v>26</v>
      </c>
      <c r="C46" s="443"/>
      <c r="D46" s="444" t="s">
        <v>2384</v>
      </c>
      <c r="E46" s="444"/>
      <c r="F46" s="445" t="s">
        <v>364</v>
      </c>
      <c r="G46" s="446">
        <v>200</v>
      </c>
      <c r="H46" s="420">
        <v>0</v>
      </c>
      <c r="I46" s="464">
        <f t="shared" si="1"/>
        <v>0</v>
      </c>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row>
    <row r="47" spans="1:46" outlineLevel="1">
      <c r="A47" s="418"/>
      <c r="B47" s="442">
        <v>27</v>
      </c>
      <c r="C47" s="443"/>
      <c r="D47" s="444" t="s">
        <v>2385</v>
      </c>
      <c r="E47" s="444"/>
      <c r="F47" s="445" t="s">
        <v>364</v>
      </c>
      <c r="G47" s="446">
        <v>150</v>
      </c>
      <c r="H47" s="420">
        <v>0</v>
      </c>
      <c r="I47" s="464">
        <f t="shared" si="1"/>
        <v>0</v>
      </c>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row>
    <row r="48" spans="1:46" outlineLevel="1">
      <c r="A48" s="418"/>
      <c r="B48" s="442">
        <v>28</v>
      </c>
      <c r="C48" s="443"/>
      <c r="D48" s="444" t="s">
        <v>2386</v>
      </c>
      <c r="E48" s="444"/>
      <c r="F48" s="445" t="s">
        <v>364</v>
      </c>
      <c r="G48" s="446">
        <v>4</v>
      </c>
      <c r="H48" s="420">
        <v>0</v>
      </c>
      <c r="I48" s="464">
        <f t="shared" si="1"/>
        <v>0</v>
      </c>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row>
    <row r="49" spans="1:46" outlineLevel="1">
      <c r="A49" s="418"/>
      <c r="B49" s="442">
        <v>29</v>
      </c>
      <c r="C49" s="443"/>
      <c r="D49" s="444" t="s">
        <v>2387</v>
      </c>
      <c r="E49" s="444"/>
      <c r="F49" s="445" t="s">
        <v>364</v>
      </c>
      <c r="G49" s="446">
        <v>4</v>
      </c>
      <c r="H49" s="420">
        <v>0</v>
      </c>
      <c r="I49" s="464">
        <f t="shared" si="1"/>
        <v>0</v>
      </c>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row>
    <row r="50" spans="1:46" outlineLevel="1">
      <c r="A50" s="418"/>
      <c r="B50" s="442">
        <v>30</v>
      </c>
      <c r="C50" s="443"/>
      <c r="D50" s="444" t="s">
        <v>2388</v>
      </c>
      <c r="E50" s="444"/>
      <c r="F50" s="445" t="s">
        <v>364</v>
      </c>
      <c r="G50" s="446">
        <v>5</v>
      </c>
      <c r="H50" s="420">
        <v>0</v>
      </c>
      <c r="I50" s="464">
        <f t="shared" si="1"/>
        <v>0</v>
      </c>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row>
    <row r="51" spans="1:46" ht="22.5" outlineLevel="1">
      <c r="A51" s="418"/>
      <c r="B51" s="442">
        <v>31</v>
      </c>
      <c r="C51" s="443"/>
      <c r="D51" s="444" t="s">
        <v>2389</v>
      </c>
      <c r="E51" s="444"/>
      <c r="F51" s="445" t="s">
        <v>364</v>
      </c>
      <c r="G51" s="446">
        <v>30</v>
      </c>
      <c r="H51" s="420">
        <v>0</v>
      </c>
      <c r="I51" s="464">
        <f t="shared" si="1"/>
        <v>0</v>
      </c>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row>
    <row r="52" spans="1:46" outlineLevel="1">
      <c r="A52" s="418"/>
      <c r="B52" s="442">
        <v>32</v>
      </c>
      <c r="C52" s="443"/>
      <c r="D52" s="444" t="s">
        <v>2390</v>
      </c>
      <c r="E52" s="444"/>
      <c r="F52" s="445" t="s">
        <v>364</v>
      </c>
      <c r="G52" s="446">
        <v>40</v>
      </c>
      <c r="H52" s="420">
        <v>0</v>
      </c>
      <c r="I52" s="464">
        <f t="shared" si="1"/>
        <v>0</v>
      </c>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row>
    <row r="53" spans="1:46" outlineLevel="1">
      <c r="A53" s="418"/>
      <c r="B53" s="442">
        <v>33</v>
      </c>
      <c r="C53" s="443"/>
      <c r="D53" s="444" t="s">
        <v>2391</v>
      </c>
      <c r="E53" s="444"/>
      <c r="F53" s="445" t="s">
        <v>364</v>
      </c>
      <c r="G53" s="446">
        <v>15</v>
      </c>
      <c r="H53" s="420">
        <v>0</v>
      </c>
      <c r="I53" s="464">
        <f t="shared" si="1"/>
        <v>0</v>
      </c>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row>
    <row r="54" spans="1:46" outlineLevel="1">
      <c r="A54" s="418"/>
      <c r="B54" s="442">
        <v>34</v>
      </c>
      <c r="C54" s="443"/>
      <c r="D54" s="444" t="s">
        <v>2392</v>
      </c>
      <c r="E54" s="444"/>
      <c r="F54" s="445" t="s">
        <v>2353</v>
      </c>
      <c r="G54" s="446">
        <v>300</v>
      </c>
      <c r="H54" s="420">
        <v>0</v>
      </c>
      <c r="I54" s="464">
        <f t="shared" si="1"/>
        <v>0</v>
      </c>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row>
    <row r="55" spans="1:46" outlineLevel="1">
      <c r="A55" s="418"/>
      <c r="B55" s="442">
        <v>35</v>
      </c>
      <c r="C55" s="443"/>
      <c r="D55" s="444" t="s">
        <v>2393</v>
      </c>
      <c r="E55" s="444"/>
      <c r="F55" s="445" t="s">
        <v>2353</v>
      </c>
      <c r="G55" s="446">
        <v>30</v>
      </c>
      <c r="H55" s="420">
        <v>0</v>
      </c>
      <c r="I55" s="464">
        <f t="shared" si="1"/>
        <v>0</v>
      </c>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row>
    <row r="56" spans="1:46" outlineLevel="1">
      <c r="A56" s="418"/>
      <c r="B56" s="442">
        <v>36</v>
      </c>
      <c r="C56" s="443"/>
      <c r="D56" s="444" t="s">
        <v>2394</v>
      </c>
      <c r="E56" s="444"/>
      <c r="F56" s="445" t="s">
        <v>2353</v>
      </c>
      <c r="G56" s="446">
        <v>80</v>
      </c>
      <c r="H56" s="420">
        <v>0</v>
      </c>
      <c r="I56" s="464">
        <f t="shared" si="1"/>
        <v>0</v>
      </c>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row>
    <row r="57" spans="1:46" outlineLevel="1">
      <c r="A57" s="418"/>
      <c r="B57" s="442">
        <v>37</v>
      </c>
      <c r="C57" s="443"/>
      <c r="D57" s="444" t="s">
        <v>2395</v>
      </c>
      <c r="E57" s="444"/>
      <c r="F57" s="445" t="s">
        <v>2353</v>
      </c>
      <c r="G57" s="446">
        <v>20</v>
      </c>
      <c r="H57" s="420">
        <v>0</v>
      </c>
      <c r="I57" s="464">
        <f t="shared" si="1"/>
        <v>0</v>
      </c>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row>
    <row r="58" spans="1:46" outlineLevel="1">
      <c r="A58" s="418"/>
      <c r="B58" s="442">
        <v>38</v>
      </c>
      <c r="C58" s="443"/>
      <c r="D58" s="444" t="s">
        <v>2396</v>
      </c>
      <c r="E58" s="444"/>
      <c r="F58" s="445" t="s">
        <v>2353</v>
      </c>
      <c r="G58" s="446">
        <v>4</v>
      </c>
      <c r="H58" s="420">
        <v>0</v>
      </c>
      <c r="I58" s="464">
        <f t="shared" si="1"/>
        <v>0</v>
      </c>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row>
    <row r="59" spans="1:46" outlineLevel="1">
      <c r="A59" s="418"/>
      <c r="B59" s="442">
        <v>39</v>
      </c>
      <c r="C59" s="443"/>
      <c r="D59" s="444" t="s">
        <v>2397</v>
      </c>
      <c r="E59" s="444"/>
      <c r="F59" s="445" t="s">
        <v>1766</v>
      </c>
      <c r="G59" s="446">
        <v>1</v>
      </c>
      <c r="H59" s="420">
        <v>0</v>
      </c>
      <c r="I59" s="464">
        <f t="shared" si="1"/>
        <v>0</v>
      </c>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row>
    <row r="60" spans="1:46" outlineLevel="1">
      <c r="A60" s="418"/>
      <c r="B60" s="442">
        <v>40</v>
      </c>
      <c r="C60" s="443"/>
      <c r="D60" s="444" t="s">
        <v>2398</v>
      </c>
      <c r="E60" s="444"/>
      <c r="F60" s="445" t="s">
        <v>1766</v>
      </c>
      <c r="G60" s="446">
        <v>1</v>
      </c>
      <c r="H60" s="420">
        <v>0</v>
      </c>
      <c r="I60" s="464">
        <f t="shared" si="1"/>
        <v>0</v>
      </c>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row>
    <row r="61" spans="1:46" ht="22.5" outlineLevel="1">
      <c r="A61" s="418"/>
      <c r="B61" s="442">
        <v>41</v>
      </c>
      <c r="C61" s="443"/>
      <c r="D61" s="444" t="s">
        <v>2399</v>
      </c>
      <c r="E61" s="444"/>
      <c r="F61" s="445" t="s">
        <v>1766</v>
      </c>
      <c r="G61" s="446">
        <v>1</v>
      </c>
      <c r="H61" s="420">
        <v>0</v>
      </c>
      <c r="I61" s="464">
        <f t="shared" si="1"/>
        <v>0</v>
      </c>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row>
    <row r="62" spans="1:46" outlineLevel="1">
      <c r="A62" s="418"/>
      <c r="B62" s="442">
        <v>42</v>
      </c>
      <c r="C62" s="452"/>
      <c r="D62" s="453" t="s">
        <v>2400</v>
      </c>
      <c r="E62" s="444"/>
      <c r="F62" s="445" t="s">
        <v>1766</v>
      </c>
      <c r="G62" s="446">
        <v>1</v>
      </c>
      <c r="H62" s="420">
        <v>0</v>
      </c>
      <c r="I62" s="464">
        <f t="shared" si="1"/>
        <v>0</v>
      </c>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row>
    <row r="63" spans="1:46" outlineLevel="1">
      <c r="A63" s="418"/>
      <c r="B63" s="442">
        <v>43</v>
      </c>
      <c r="C63" s="452"/>
      <c r="D63" s="453" t="s">
        <v>2401</v>
      </c>
      <c r="E63" s="444"/>
      <c r="F63" s="445" t="s">
        <v>2353</v>
      </c>
      <c r="G63" s="446">
        <v>1</v>
      </c>
      <c r="H63" s="420">
        <v>0</v>
      </c>
      <c r="I63" s="464">
        <f t="shared" si="1"/>
        <v>0</v>
      </c>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row>
    <row r="64" spans="1:46" outlineLevel="1">
      <c r="A64" s="418"/>
      <c r="B64" s="447"/>
      <c r="C64" s="448"/>
      <c r="D64" s="449"/>
      <c r="E64" s="449"/>
      <c r="F64" s="450"/>
      <c r="G64" s="451"/>
      <c r="H64" s="421"/>
      <c r="I64" s="465"/>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row>
    <row r="65" spans="1:46" outlineLevel="1">
      <c r="A65" s="418"/>
      <c r="B65" s="436"/>
      <c r="C65" s="437"/>
      <c r="D65" s="441" t="s">
        <v>2402</v>
      </c>
      <c r="E65" s="438"/>
      <c r="F65" s="439"/>
      <c r="G65" s="440"/>
      <c r="H65" s="419"/>
      <c r="I65" s="463">
        <f>SUM(I66:I77)</f>
        <v>0</v>
      </c>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row>
    <row r="66" spans="1:46" outlineLevel="1">
      <c r="A66" s="418"/>
      <c r="B66" s="442">
        <v>1</v>
      </c>
      <c r="C66" s="443"/>
      <c r="D66" s="444" t="s">
        <v>2403</v>
      </c>
      <c r="E66" s="444" t="s">
        <v>2404</v>
      </c>
      <c r="F66" s="445" t="s">
        <v>2353</v>
      </c>
      <c r="G66" s="446">
        <v>31</v>
      </c>
      <c r="H66" s="420">
        <v>0</v>
      </c>
      <c r="I66" s="464">
        <f>G66*H66</f>
        <v>0</v>
      </c>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row>
    <row r="67" spans="1:46" outlineLevel="1">
      <c r="A67" s="418"/>
      <c r="B67" s="442">
        <v>2</v>
      </c>
      <c r="C67" s="443"/>
      <c r="D67" s="444" t="s">
        <v>2405</v>
      </c>
      <c r="E67" s="444" t="s">
        <v>2406</v>
      </c>
      <c r="F67" s="445" t="s">
        <v>2353</v>
      </c>
      <c r="G67" s="446">
        <v>24</v>
      </c>
      <c r="H67" s="420">
        <v>0</v>
      </c>
      <c r="I67" s="464">
        <f t="shared" ref="I67:I77" si="2">G67*H67</f>
        <v>0</v>
      </c>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row>
    <row r="68" spans="1:46" outlineLevel="1">
      <c r="A68" s="418"/>
      <c r="B68" s="442">
        <v>3</v>
      </c>
      <c r="C68" s="443"/>
      <c r="D68" s="444" t="s">
        <v>2407</v>
      </c>
      <c r="E68" s="444" t="s">
        <v>2408</v>
      </c>
      <c r="F68" s="445" t="s">
        <v>2353</v>
      </c>
      <c r="G68" s="446">
        <v>9</v>
      </c>
      <c r="H68" s="420">
        <v>0</v>
      </c>
      <c r="I68" s="464">
        <f t="shared" si="2"/>
        <v>0</v>
      </c>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row>
    <row r="69" spans="1:46" outlineLevel="1">
      <c r="A69" s="418"/>
      <c r="B69" s="442">
        <v>4</v>
      </c>
      <c r="C69" s="443"/>
      <c r="D69" s="444" t="s">
        <v>2409</v>
      </c>
      <c r="E69" s="444" t="s">
        <v>2410</v>
      </c>
      <c r="F69" s="445" t="s">
        <v>2353</v>
      </c>
      <c r="G69" s="446">
        <v>1</v>
      </c>
      <c r="H69" s="420">
        <v>0</v>
      </c>
      <c r="I69" s="464">
        <f t="shared" si="2"/>
        <v>0</v>
      </c>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row>
    <row r="70" spans="1:46" outlineLevel="1">
      <c r="A70" s="418"/>
      <c r="B70" s="442">
        <v>5</v>
      </c>
      <c r="C70" s="443"/>
      <c r="D70" s="444" t="s">
        <v>2411</v>
      </c>
      <c r="E70" s="444" t="s">
        <v>2412</v>
      </c>
      <c r="F70" s="445" t="s">
        <v>2353</v>
      </c>
      <c r="G70" s="446">
        <v>3</v>
      </c>
      <c r="H70" s="420">
        <v>0</v>
      </c>
      <c r="I70" s="464">
        <f t="shared" si="2"/>
        <v>0</v>
      </c>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row>
    <row r="71" spans="1:46" outlineLevel="1">
      <c r="A71" s="418"/>
      <c r="B71" s="442">
        <v>6</v>
      </c>
      <c r="C71" s="443"/>
      <c r="D71" s="444" t="s">
        <v>2413</v>
      </c>
      <c r="E71" s="444" t="s">
        <v>2414</v>
      </c>
      <c r="F71" s="445" t="s">
        <v>364</v>
      </c>
      <c r="G71" s="446">
        <v>5</v>
      </c>
      <c r="H71" s="420">
        <v>0</v>
      </c>
      <c r="I71" s="464">
        <f t="shared" si="2"/>
        <v>0</v>
      </c>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row>
    <row r="72" spans="1:46" outlineLevel="1">
      <c r="A72" s="418"/>
      <c r="B72" s="442">
        <v>7</v>
      </c>
      <c r="C72" s="443"/>
      <c r="D72" s="444" t="s">
        <v>2415</v>
      </c>
      <c r="E72" s="444" t="s">
        <v>2416</v>
      </c>
      <c r="F72" s="445" t="s">
        <v>2353</v>
      </c>
      <c r="G72" s="446">
        <v>5</v>
      </c>
      <c r="H72" s="420">
        <v>0</v>
      </c>
      <c r="I72" s="464">
        <f t="shared" si="2"/>
        <v>0</v>
      </c>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row>
    <row r="73" spans="1:46" outlineLevel="1">
      <c r="A73" s="418"/>
      <c r="B73" s="442">
        <v>8</v>
      </c>
      <c r="C73" s="443"/>
      <c r="D73" s="444" t="s">
        <v>2417</v>
      </c>
      <c r="E73" s="444" t="s">
        <v>2418</v>
      </c>
      <c r="F73" s="445" t="s">
        <v>2353</v>
      </c>
      <c r="G73" s="446">
        <v>4</v>
      </c>
      <c r="H73" s="420">
        <v>0</v>
      </c>
      <c r="I73" s="464">
        <f t="shared" si="2"/>
        <v>0</v>
      </c>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row>
    <row r="74" spans="1:46" outlineLevel="1">
      <c r="A74" s="418"/>
      <c r="B74" s="442">
        <v>9</v>
      </c>
      <c r="C74" s="443"/>
      <c r="D74" s="444" t="s">
        <v>2419</v>
      </c>
      <c r="E74" s="444" t="s">
        <v>2420</v>
      </c>
      <c r="F74" s="445" t="s">
        <v>2353</v>
      </c>
      <c r="G74" s="446">
        <v>2</v>
      </c>
      <c r="H74" s="420">
        <v>0</v>
      </c>
      <c r="I74" s="464">
        <f t="shared" si="2"/>
        <v>0</v>
      </c>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row>
    <row r="75" spans="1:46" outlineLevel="1">
      <c r="A75" s="418"/>
      <c r="B75" s="442">
        <v>10</v>
      </c>
      <c r="C75" s="443"/>
      <c r="D75" s="444" t="s">
        <v>2421</v>
      </c>
      <c r="E75" s="444" t="s">
        <v>2422</v>
      </c>
      <c r="F75" s="445" t="s">
        <v>2353</v>
      </c>
      <c r="G75" s="446">
        <v>4</v>
      </c>
      <c r="H75" s="420">
        <v>0</v>
      </c>
      <c r="I75" s="464">
        <f t="shared" si="2"/>
        <v>0</v>
      </c>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row>
    <row r="76" spans="1:46" outlineLevel="1">
      <c r="A76" s="418"/>
      <c r="B76" s="442">
        <v>11</v>
      </c>
      <c r="C76" s="443"/>
      <c r="D76" s="444" t="s">
        <v>2423</v>
      </c>
      <c r="E76" s="444"/>
      <c r="F76" s="445" t="s">
        <v>2353</v>
      </c>
      <c r="G76" s="446">
        <v>9</v>
      </c>
      <c r="H76" s="420">
        <v>0</v>
      </c>
      <c r="I76" s="464">
        <f t="shared" si="2"/>
        <v>0</v>
      </c>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row>
    <row r="77" spans="1:46" outlineLevel="1">
      <c r="A77" s="418"/>
      <c r="B77" s="442">
        <v>12</v>
      </c>
      <c r="C77" s="443"/>
      <c r="D77" s="444" t="s">
        <v>2424</v>
      </c>
      <c r="E77" s="444"/>
      <c r="F77" s="445" t="s">
        <v>2353</v>
      </c>
      <c r="G77" s="446">
        <v>19</v>
      </c>
      <c r="H77" s="420">
        <v>0</v>
      </c>
      <c r="I77" s="464">
        <f t="shared" si="2"/>
        <v>0</v>
      </c>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row>
    <row r="78" spans="1:46" outlineLevel="1">
      <c r="A78" s="418"/>
      <c r="B78" s="447"/>
      <c r="C78" s="448"/>
      <c r="D78" s="449"/>
      <c r="E78" s="449"/>
      <c r="F78" s="450"/>
      <c r="G78" s="451"/>
      <c r="H78" s="421"/>
      <c r="I78" s="465"/>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row>
    <row r="79" spans="1:46">
      <c r="A79" s="418"/>
      <c r="B79" s="436" t="s">
        <v>2344</v>
      </c>
      <c r="C79" s="437"/>
      <c r="D79" s="438" t="s">
        <v>2425</v>
      </c>
      <c r="E79" s="438"/>
      <c r="F79" s="439"/>
      <c r="G79" s="440"/>
      <c r="H79" s="419"/>
      <c r="I79" s="463">
        <f>SUM(I80:I88)</f>
        <v>0</v>
      </c>
      <c r="S79" s="206" t="s">
        <v>2346</v>
      </c>
    </row>
    <row r="80" spans="1:46" ht="39" customHeight="1" outlineLevel="1">
      <c r="A80" s="418"/>
      <c r="B80" s="454">
        <v>1</v>
      </c>
      <c r="C80" s="455"/>
      <c r="D80" s="456" t="s">
        <v>2426</v>
      </c>
      <c r="E80" s="456" t="s">
        <v>2427</v>
      </c>
      <c r="F80" s="457" t="s">
        <v>933</v>
      </c>
      <c r="G80" s="458">
        <v>30</v>
      </c>
      <c r="H80" s="422">
        <v>0</v>
      </c>
      <c r="I80" s="466">
        <f>G80*H80</f>
        <v>0</v>
      </c>
      <c r="J80" s="210"/>
      <c r="K80" s="210"/>
      <c r="L80" s="210"/>
      <c r="M80" s="210"/>
      <c r="N80" s="210"/>
      <c r="O80" s="210"/>
      <c r="P80" s="210"/>
      <c r="Q80" s="210"/>
      <c r="R80" s="210"/>
      <c r="S80" s="210" t="s">
        <v>2428</v>
      </c>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row>
    <row r="81" spans="1:46" outlineLevel="1">
      <c r="A81" s="418"/>
      <c r="B81" s="454">
        <v>2</v>
      </c>
      <c r="C81" s="455"/>
      <c r="D81" s="456" t="s">
        <v>2429</v>
      </c>
      <c r="E81" s="456"/>
      <c r="F81" s="457" t="s">
        <v>2353</v>
      </c>
      <c r="G81" s="458">
        <v>1</v>
      </c>
      <c r="H81" s="422">
        <v>0</v>
      </c>
      <c r="I81" s="466">
        <f t="shared" ref="I81:I88" si="3">G81*H81</f>
        <v>0</v>
      </c>
      <c r="J81" s="210"/>
      <c r="K81" s="210"/>
      <c r="L81" s="210"/>
      <c r="M81" s="210"/>
      <c r="N81" s="210"/>
      <c r="O81" s="210"/>
      <c r="P81" s="210"/>
      <c r="Q81" s="210"/>
      <c r="R81" s="210"/>
      <c r="S81" s="210" t="s">
        <v>2428</v>
      </c>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row>
    <row r="82" spans="1:46" ht="22.5" outlineLevel="1">
      <c r="A82" s="418"/>
      <c r="B82" s="454">
        <v>3</v>
      </c>
      <c r="C82" s="455"/>
      <c r="D82" s="456" t="s">
        <v>2430</v>
      </c>
      <c r="E82" s="456" t="s">
        <v>2431</v>
      </c>
      <c r="F82" s="457" t="s">
        <v>933</v>
      </c>
      <c r="G82" s="458">
        <v>20</v>
      </c>
      <c r="H82" s="422">
        <v>0</v>
      </c>
      <c r="I82" s="466">
        <f t="shared" si="3"/>
        <v>0</v>
      </c>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row>
    <row r="83" spans="1:46" outlineLevel="1">
      <c r="A83" s="418"/>
      <c r="B83" s="454">
        <v>4</v>
      </c>
      <c r="C83" s="455"/>
      <c r="D83" s="456" t="s">
        <v>2432</v>
      </c>
      <c r="E83" s="456"/>
      <c r="F83" s="457" t="s">
        <v>1766</v>
      </c>
      <c r="G83" s="458">
        <v>1</v>
      </c>
      <c r="H83" s="422">
        <v>0</v>
      </c>
      <c r="I83" s="466">
        <f t="shared" si="3"/>
        <v>0</v>
      </c>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row>
    <row r="84" spans="1:46" ht="22.5" outlineLevel="1">
      <c r="A84" s="418"/>
      <c r="B84" s="454">
        <v>5</v>
      </c>
      <c r="C84" s="455"/>
      <c r="D84" s="456" t="s">
        <v>2433</v>
      </c>
      <c r="E84" s="456"/>
      <c r="F84" s="457" t="s">
        <v>1766</v>
      </c>
      <c r="G84" s="458">
        <v>1</v>
      </c>
      <c r="H84" s="422">
        <v>0</v>
      </c>
      <c r="I84" s="466">
        <f t="shared" si="3"/>
        <v>0</v>
      </c>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row>
    <row r="85" spans="1:46" ht="22.5" outlineLevel="1">
      <c r="A85" s="418"/>
      <c r="B85" s="454">
        <v>6</v>
      </c>
      <c r="C85" s="455"/>
      <c r="D85" s="456" t="s">
        <v>2434</v>
      </c>
      <c r="E85" s="456"/>
      <c r="F85" s="457" t="s">
        <v>1766</v>
      </c>
      <c r="G85" s="458">
        <v>1</v>
      </c>
      <c r="H85" s="422">
        <v>0</v>
      </c>
      <c r="I85" s="466">
        <f t="shared" si="3"/>
        <v>0</v>
      </c>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row>
    <row r="86" spans="1:46" outlineLevel="1">
      <c r="A86" s="418"/>
      <c r="B86" s="454">
        <v>7</v>
      </c>
      <c r="C86" s="455"/>
      <c r="D86" s="456" t="s">
        <v>2435</v>
      </c>
      <c r="E86" s="456" t="s">
        <v>2436</v>
      </c>
      <c r="F86" s="457" t="s">
        <v>1766</v>
      </c>
      <c r="G86" s="458">
        <v>1</v>
      </c>
      <c r="H86" s="422">
        <v>0</v>
      </c>
      <c r="I86" s="466">
        <f t="shared" si="3"/>
        <v>0</v>
      </c>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row>
    <row r="87" spans="1:46" outlineLevel="1">
      <c r="A87" s="418"/>
      <c r="B87" s="454">
        <v>8</v>
      </c>
      <c r="C87" s="455"/>
      <c r="D87" s="456" t="s">
        <v>2437</v>
      </c>
      <c r="E87" s="456"/>
      <c r="F87" s="457" t="s">
        <v>1766</v>
      </c>
      <c r="G87" s="458">
        <v>1</v>
      </c>
      <c r="H87" s="422">
        <v>0</v>
      </c>
      <c r="I87" s="466">
        <f t="shared" si="3"/>
        <v>0</v>
      </c>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row>
    <row r="88" spans="1:46" outlineLevel="1">
      <c r="A88" s="418"/>
      <c r="B88" s="454">
        <v>9</v>
      </c>
      <c r="C88" s="455"/>
      <c r="D88" s="456" t="s">
        <v>2438</v>
      </c>
      <c r="E88" s="456"/>
      <c r="F88" s="457" t="s">
        <v>933</v>
      </c>
      <c r="G88" s="458">
        <v>16</v>
      </c>
      <c r="H88" s="422">
        <v>0</v>
      </c>
      <c r="I88" s="466">
        <f t="shared" si="3"/>
        <v>0</v>
      </c>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row>
    <row r="89" spans="1:46" ht="13.5" outlineLevel="1" thickBot="1">
      <c r="A89" s="418"/>
      <c r="B89" s="423"/>
      <c r="C89" s="459"/>
      <c r="D89" s="459"/>
      <c r="E89" s="459"/>
      <c r="F89" s="423"/>
      <c r="G89" s="460"/>
      <c r="H89" s="418"/>
      <c r="I89" s="423"/>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row>
    <row r="90" spans="1:46" ht="22.5" customHeight="1" outlineLevel="1" thickBot="1">
      <c r="A90" s="423"/>
      <c r="B90" s="424"/>
      <c r="C90" s="425"/>
      <c r="D90" s="426" t="s">
        <v>2439</v>
      </c>
      <c r="E90" s="427"/>
      <c r="F90" s="758">
        <f>I79+I65+I20+I9</f>
        <v>0</v>
      </c>
      <c r="G90" s="758"/>
      <c r="H90" s="758"/>
      <c r="I90" s="759"/>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row>
    <row r="91" spans="1:46" outlineLevel="1">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row>
    <row r="92" spans="1:46" outlineLevel="1">
      <c r="J92" s="210"/>
      <c r="K92" s="210"/>
      <c r="L92" s="210"/>
      <c r="M92" s="210"/>
      <c r="N92" s="210"/>
      <c r="O92" s="210"/>
      <c r="P92" s="210"/>
      <c r="Q92" s="210"/>
      <c r="R92" s="210"/>
      <c r="S92" s="210" t="s">
        <v>2428</v>
      </c>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row>
    <row r="93" spans="1:46" outlineLevel="1">
      <c r="J93" s="210"/>
      <c r="K93" s="210"/>
      <c r="L93" s="210"/>
      <c r="M93" s="210"/>
      <c r="N93" s="210"/>
      <c r="O93" s="210"/>
      <c r="P93" s="210"/>
      <c r="Q93" s="210"/>
      <c r="R93" s="210"/>
      <c r="S93" s="210" t="s">
        <v>2428</v>
      </c>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row>
    <row r="94" spans="1:46" outlineLevel="1">
      <c r="B94" s="212"/>
      <c r="C94" s="213"/>
      <c r="D94" s="214"/>
      <c r="E94" s="214"/>
      <c r="F94" s="215"/>
      <c r="G94" s="216"/>
      <c r="H94" s="217"/>
      <c r="I94" s="217"/>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row>
    <row r="95" spans="1:46" outlineLevel="1">
      <c r="B95" s="212"/>
      <c r="C95" s="213"/>
      <c r="D95" s="214"/>
      <c r="E95" s="214"/>
      <c r="F95" s="215"/>
      <c r="G95" s="216"/>
      <c r="H95" s="217"/>
      <c r="I95" s="217"/>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row>
    <row r="96" spans="1:46" outlineLevel="1">
      <c r="B96" s="212"/>
      <c r="C96" s="213"/>
      <c r="D96" s="214"/>
      <c r="E96" s="214"/>
      <c r="F96" s="215"/>
      <c r="G96" s="216"/>
      <c r="H96" s="217"/>
      <c r="I96" s="217"/>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row>
    <row r="97" spans="2:46" outlineLevel="1">
      <c r="B97" s="212"/>
      <c r="C97" s="213"/>
      <c r="D97" s="214"/>
      <c r="E97" s="214"/>
      <c r="F97" s="215"/>
      <c r="G97" s="216"/>
      <c r="H97" s="217"/>
      <c r="I97" s="217"/>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row>
    <row r="98" spans="2:46" outlineLevel="1">
      <c r="B98" s="212"/>
      <c r="C98" s="213"/>
      <c r="D98" s="760"/>
      <c r="E98" s="760"/>
      <c r="F98" s="761"/>
      <c r="G98" s="761"/>
      <c r="H98" s="761"/>
      <c r="I98" s="761"/>
      <c r="J98" s="210"/>
      <c r="K98" s="210"/>
      <c r="L98" s="210"/>
      <c r="M98" s="210"/>
      <c r="N98" s="210"/>
      <c r="O98" s="210"/>
      <c r="P98" s="210"/>
      <c r="Q98" s="210"/>
      <c r="R98" s="210"/>
      <c r="S98" s="210" t="s">
        <v>2440</v>
      </c>
      <c r="T98" s="210"/>
      <c r="U98" s="210"/>
      <c r="V98" s="210"/>
      <c r="W98" s="210"/>
      <c r="X98" s="210"/>
      <c r="Y98" s="210"/>
      <c r="Z98" s="210"/>
      <c r="AA98" s="210"/>
      <c r="AB98" s="210"/>
      <c r="AC98" s="210"/>
      <c r="AD98" s="210"/>
      <c r="AE98" s="210"/>
      <c r="AF98" s="210"/>
      <c r="AG98" s="210"/>
      <c r="AH98" s="210"/>
      <c r="AI98" s="210"/>
      <c r="AJ98" s="210"/>
      <c r="AK98" s="210"/>
      <c r="AL98" s="210"/>
      <c r="AM98" s="218">
        <f>D98</f>
        <v>0</v>
      </c>
      <c r="AN98" s="210"/>
      <c r="AO98" s="210"/>
      <c r="AP98" s="210"/>
      <c r="AQ98" s="210"/>
      <c r="AR98" s="210"/>
      <c r="AS98" s="210"/>
      <c r="AT98" s="210"/>
    </row>
    <row r="99" spans="2:46" ht="23.25" customHeight="1">
      <c r="B99" s="219"/>
      <c r="C99" s="220"/>
      <c r="D99" s="220"/>
      <c r="E99" s="221"/>
      <c r="F99" s="219"/>
      <c r="G99" s="222"/>
      <c r="H99" s="219"/>
      <c r="I99" s="219"/>
      <c r="Q99" s="206">
        <v>15</v>
      </c>
      <c r="R99" s="206">
        <v>21</v>
      </c>
    </row>
    <row r="100" spans="2:46" ht="17.25" customHeight="1">
      <c r="B100" s="219"/>
      <c r="C100" s="220"/>
      <c r="D100" s="223"/>
      <c r="E100" s="221"/>
      <c r="F100" s="219"/>
      <c r="G100" s="222"/>
      <c r="H100" s="219"/>
      <c r="I100" s="219"/>
      <c r="S100" s="206" t="s">
        <v>2441</v>
      </c>
    </row>
    <row r="101" spans="2:46">
      <c r="B101" s="219"/>
      <c r="C101" s="220"/>
      <c r="D101" s="223"/>
      <c r="E101" s="221"/>
      <c r="F101" s="219"/>
      <c r="G101" s="222"/>
      <c r="H101" s="219"/>
      <c r="I101" s="219"/>
    </row>
    <row r="102" spans="2:46" ht="27.75" customHeight="1">
      <c r="B102" s="219"/>
      <c r="C102" s="220"/>
      <c r="D102" s="220"/>
      <c r="E102" s="221"/>
      <c r="F102" s="219"/>
      <c r="G102" s="222"/>
      <c r="H102" s="219"/>
      <c r="I102" s="219"/>
    </row>
    <row r="103" spans="2:46" ht="21.75" customHeight="1">
      <c r="B103" s="219"/>
      <c r="C103" s="219"/>
      <c r="D103" s="224"/>
      <c r="E103" s="220"/>
      <c r="F103" s="219"/>
      <c r="G103" s="222"/>
      <c r="H103" s="219"/>
      <c r="I103" s="219"/>
    </row>
    <row r="104" spans="2:46" ht="46.5" customHeight="1">
      <c r="B104" s="219"/>
      <c r="C104" s="220"/>
      <c r="D104" s="749"/>
      <c r="E104" s="749"/>
      <c r="F104" s="749"/>
      <c r="G104" s="749"/>
      <c r="H104" s="749"/>
      <c r="I104" s="749"/>
    </row>
    <row r="105" spans="2:46" ht="39.75" customHeight="1">
      <c r="B105" s="219"/>
      <c r="C105" s="219"/>
      <c r="D105" s="224"/>
      <c r="E105" s="220"/>
      <c r="F105" s="219"/>
      <c r="G105" s="222"/>
      <c r="H105" s="219"/>
      <c r="I105" s="219"/>
    </row>
    <row r="106" spans="2:46">
      <c r="B106" s="219"/>
      <c r="C106" s="219"/>
      <c r="D106" s="219"/>
      <c r="E106" s="220"/>
      <c r="F106" s="219"/>
      <c r="G106" s="222"/>
      <c r="H106" s="219"/>
      <c r="I106" s="219"/>
    </row>
    <row r="107" spans="2:46">
      <c r="B107" s="219"/>
      <c r="C107" s="219"/>
      <c r="D107" s="219"/>
      <c r="E107" s="220"/>
      <c r="F107" s="219"/>
      <c r="G107" s="222"/>
      <c r="H107" s="219"/>
      <c r="I107" s="219"/>
    </row>
    <row r="108" spans="2:46">
      <c r="B108" s="219"/>
      <c r="C108" s="220"/>
      <c r="D108" s="220"/>
      <c r="E108" s="220"/>
      <c r="F108" s="219"/>
      <c r="G108" s="222"/>
      <c r="H108" s="219"/>
      <c r="I108" s="219"/>
    </row>
    <row r="109" spans="2:46">
      <c r="B109" s="219"/>
      <c r="C109" s="220"/>
      <c r="D109" s="223"/>
      <c r="E109" s="220"/>
      <c r="F109" s="219"/>
      <c r="G109" s="222"/>
      <c r="H109" s="219"/>
      <c r="I109" s="219"/>
    </row>
    <row r="110" spans="2:46">
      <c r="F110" s="208"/>
    </row>
    <row r="111" spans="2:46" ht="18.75">
      <c r="B111" s="225"/>
      <c r="F111" s="208"/>
    </row>
    <row r="112" spans="2:46">
      <c r="F112" s="208"/>
    </row>
    <row r="113" spans="6:6">
      <c r="F113" s="208"/>
    </row>
    <row r="114" spans="6:6">
      <c r="F114" s="208"/>
    </row>
    <row r="115" spans="6:6">
      <c r="F115" s="208"/>
    </row>
    <row r="116" spans="6:6">
      <c r="F116" s="208"/>
    </row>
    <row r="117" spans="6:6">
      <c r="F117" s="208"/>
    </row>
    <row r="118" spans="6:6">
      <c r="F118" s="208"/>
    </row>
    <row r="119" spans="6:6">
      <c r="F119" s="208"/>
    </row>
    <row r="120" spans="6:6">
      <c r="F120" s="208"/>
    </row>
    <row r="121" spans="6:6">
      <c r="F121" s="208"/>
    </row>
    <row r="122" spans="6:6">
      <c r="F122" s="208"/>
    </row>
    <row r="123" spans="6:6">
      <c r="F123" s="208"/>
    </row>
    <row r="124" spans="6:6">
      <c r="F124" s="208"/>
    </row>
    <row r="125" spans="6:6">
      <c r="F125" s="208"/>
    </row>
    <row r="126" spans="6:6">
      <c r="F126" s="208"/>
    </row>
    <row r="127" spans="6:6">
      <c r="F127" s="208"/>
    </row>
    <row r="128" spans="6:6">
      <c r="F128" s="208"/>
    </row>
    <row r="129" spans="6:6">
      <c r="F129" s="208"/>
    </row>
    <row r="130" spans="6:6">
      <c r="F130" s="208"/>
    </row>
    <row r="131" spans="6:6">
      <c r="F131" s="208"/>
    </row>
    <row r="132" spans="6:6">
      <c r="F132" s="208"/>
    </row>
    <row r="133" spans="6:6">
      <c r="F133" s="208"/>
    </row>
    <row r="134" spans="6:6">
      <c r="F134" s="208"/>
    </row>
    <row r="135" spans="6:6">
      <c r="F135" s="208"/>
    </row>
    <row r="136" spans="6:6">
      <c r="F136" s="208"/>
    </row>
    <row r="137" spans="6:6">
      <c r="F137" s="208"/>
    </row>
    <row r="138" spans="6:6">
      <c r="F138" s="208"/>
    </row>
    <row r="139" spans="6:6">
      <c r="F139" s="208"/>
    </row>
    <row r="140" spans="6:6">
      <c r="F140" s="208"/>
    </row>
    <row r="141" spans="6:6">
      <c r="F141" s="208"/>
    </row>
    <row r="142" spans="6:6">
      <c r="F142" s="208"/>
    </row>
    <row r="143" spans="6:6">
      <c r="F143" s="208"/>
    </row>
    <row r="144" spans="6:6">
      <c r="F144" s="208"/>
    </row>
    <row r="145" spans="6:6">
      <c r="F145" s="208"/>
    </row>
    <row r="146" spans="6:6">
      <c r="F146" s="208"/>
    </row>
    <row r="147" spans="6:6">
      <c r="F147" s="208"/>
    </row>
    <row r="148" spans="6:6">
      <c r="F148" s="208"/>
    </row>
    <row r="149" spans="6:6">
      <c r="F149" s="208"/>
    </row>
    <row r="150" spans="6:6">
      <c r="F150" s="208"/>
    </row>
    <row r="151" spans="6:6">
      <c r="F151" s="208"/>
    </row>
    <row r="152" spans="6:6">
      <c r="F152" s="208"/>
    </row>
    <row r="153" spans="6:6">
      <c r="F153" s="208"/>
    </row>
    <row r="154" spans="6:6">
      <c r="F154" s="208"/>
    </row>
    <row r="155" spans="6:6">
      <c r="F155" s="208"/>
    </row>
    <row r="156" spans="6:6">
      <c r="F156" s="208"/>
    </row>
    <row r="157" spans="6:6">
      <c r="F157" s="208"/>
    </row>
    <row r="158" spans="6:6">
      <c r="F158" s="208"/>
    </row>
    <row r="159" spans="6:6">
      <c r="F159" s="208"/>
    </row>
    <row r="160" spans="6:6">
      <c r="F160" s="208"/>
    </row>
    <row r="161" spans="6:6">
      <c r="F161" s="208"/>
    </row>
    <row r="162" spans="6:6">
      <c r="F162" s="208"/>
    </row>
    <row r="163" spans="6:6">
      <c r="F163" s="208"/>
    </row>
    <row r="164" spans="6:6">
      <c r="F164" s="208"/>
    </row>
    <row r="165" spans="6:6">
      <c r="F165" s="208"/>
    </row>
    <row r="166" spans="6:6">
      <c r="F166" s="208"/>
    </row>
    <row r="167" spans="6:6">
      <c r="F167" s="208"/>
    </row>
    <row r="168" spans="6:6">
      <c r="F168" s="208"/>
    </row>
    <row r="169" spans="6:6">
      <c r="F169" s="208"/>
    </row>
    <row r="170" spans="6:6">
      <c r="F170" s="208"/>
    </row>
    <row r="171" spans="6:6">
      <c r="F171" s="208"/>
    </row>
    <row r="172" spans="6:6">
      <c r="F172" s="208"/>
    </row>
    <row r="173" spans="6:6">
      <c r="F173" s="208"/>
    </row>
    <row r="174" spans="6:6">
      <c r="F174" s="208"/>
    </row>
    <row r="175" spans="6:6">
      <c r="F175" s="208"/>
    </row>
    <row r="176" spans="6:6">
      <c r="F176" s="208"/>
    </row>
    <row r="177" spans="6:6">
      <c r="F177" s="208"/>
    </row>
    <row r="178" spans="6:6">
      <c r="F178" s="208"/>
    </row>
    <row r="179" spans="6:6">
      <c r="F179" s="208"/>
    </row>
    <row r="180" spans="6:6">
      <c r="F180" s="208"/>
    </row>
    <row r="181" spans="6:6">
      <c r="F181" s="208"/>
    </row>
    <row r="182" spans="6:6">
      <c r="F182" s="208"/>
    </row>
    <row r="183" spans="6:6">
      <c r="F183" s="208"/>
    </row>
    <row r="184" spans="6:6">
      <c r="F184" s="208"/>
    </row>
    <row r="185" spans="6:6">
      <c r="F185" s="208"/>
    </row>
    <row r="186" spans="6:6">
      <c r="F186" s="208"/>
    </row>
    <row r="187" spans="6:6">
      <c r="F187" s="208"/>
    </row>
    <row r="188" spans="6:6">
      <c r="F188" s="208"/>
    </row>
    <row r="189" spans="6:6">
      <c r="F189" s="208"/>
    </row>
    <row r="190" spans="6:6">
      <c r="F190" s="208"/>
    </row>
    <row r="191" spans="6:6">
      <c r="F191" s="208"/>
    </row>
    <row r="192" spans="6:6">
      <c r="F192" s="208"/>
    </row>
    <row r="193" spans="6:6">
      <c r="F193" s="208"/>
    </row>
    <row r="194" spans="6:6">
      <c r="F194" s="208"/>
    </row>
    <row r="195" spans="6:6">
      <c r="F195" s="208"/>
    </row>
    <row r="196" spans="6:6">
      <c r="F196" s="208"/>
    </row>
    <row r="197" spans="6:6">
      <c r="F197" s="208"/>
    </row>
    <row r="198" spans="6:6">
      <c r="F198" s="208"/>
    </row>
    <row r="199" spans="6:6">
      <c r="F199" s="208"/>
    </row>
    <row r="200" spans="6:6">
      <c r="F200" s="208"/>
    </row>
    <row r="201" spans="6:6">
      <c r="F201" s="208"/>
    </row>
    <row r="202" spans="6:6">
      <c r="F202" s="208"/>
    </row>
    <row r="203" spans="6:6">
      <c r="F203" s="208"/>
    </row>
    <row r="204" spans="6:6">
      <c r="F204" s="208"/>
    </row>
    <row r="205" spans="6:6">
      <c r="F205" s="208"/>
    </row>
    <row r="206" spans="6:6">
      <c r="F206" s="208"/>
    </row>
    <row r="207" spans="6:6">
      <c r="F207" s="208"/>
    </row>
    <row r="208" spans="6:6">
      <c r="F208" s="208"/>
    </row>
    <row r="209" spans="6:6">
      <c r="F209" s="208"/>
    </row>
    <row r="210" spans="6:6">
      <c r="F210" s="208"/>
    </row>
    <row r="211" spans="6:6">
      <c r="F211" s="208"/>
    </row>
    <row r="212" spans="6:6">
      <c r="F212" s="208"/>
    </row>
    <row r="213" spans="6:6">
      <c r="F213" s="208"/>
    </row>
    <row r="214" spans="6:6">
      <c r="F214" s="208"/>
    </row>
    <row r="215" spans="6:6">
      <c r="F215" s="208"/>
    </row>
    <row r="216" spans="6:6">
      <c r="F216" s="208"/>
    </row>
    <row r="217" spans="6:6">
      <c r="F217" s="208"/>
    </row>
    <row r="218" spans="6:6">
      <c r="F218" s="208"/>
    </row>
    <row r="219" spans="6:6">
      <c r="F219" s="208"/>
    </row>
    <row r="220" spans="6:6">
      <c r="F220" s="208"/>
    </row>
    <row r="221" spans="6:6">
      <c r="F221" s="208"/>
    </row>
    <row r="222" spans="6:6">
      <c r="F222" s="208"/>
    </row>
    <row r="223" spans="6:6">
      <c r="F223" s="208"/>
    </row>
    <row r="224" spans="6:6">
      <c r="F224" s="208"/>
    </row>
    <row r="225" spans="6:6">
      <c r="F225" s="208"/>
    </row>
    <row r="226" spans="6:6">
      <c r="F226" s="208"/>
    </row>
    <row r="227" spans="6:6">
      <c r="F227" s="208"/>
    </row>
    <row r="228" spans="6:6">
      <c r="F228" s="208"/>
    </row>
    <row r="229" spans="6:6">
      <c r="F229" s="208"/>
    </row>
    <row r="230" spans="6:6">
      <c r="F230" s="208"/>
    </row>
    <row r="231" spans="6:6">
      <c r="F231" s="208"/>
    </row>
    <row r="232" spans="6:6">
      <c r="F232" s="208"/>
    </row>
    <row r="233" spans="6:6">
      <c r="F233" s="208"/>
    </row>
    <row r="234" spans="6:6">
      <c r="F234" s="208"/>
    </row>
    <row r="235" spans="6:6">
      <c r="F235" s="208"/>
    </row>
    <row r="236" spans="6:6">
      <c r="F236" s="208"/>
    </row>
    <row r="237" spans="6:6">
      <c r="F237" s="208"/>
    </row>
    <row r="238" spans="6:6">
      <c r="F238" s="208"/>
    </row>
    <row r="239" spans="6:6">
      <c r="F239" s="208"/>
    </row>
    <row r="240" spans="6:6">
      <c r="F240" s="208"/>
    </row>
    <row r="241" spans="6:6">
      <c r="F241" s="208"/>
    </row>
    <row r="242" spans="6:6">
      <c r="F242" s="208"/>
    </row>
    <row r="243" spans="6:6">
      <c r="F243" s="208"/>
    </row>
    <row r="244" spans="6:6">
      <c r="F244" s="208"/>
    </row>
    <row r="245" spans="6:6">
      <c r="F245" s="208"/>
    </row>
    <row r="246" spans="6:6">
      <c r="F246" s="208"/>
    </row>
    <row r="247" spans="6:6">
      <c r="F247" s="208"/>
    </row>
    <row r="248" spans="6:6">
      <c r="F248" s="208"/>
    </row>
    <row r="249" spans="6:6">
      <c r="F249" s="208"/>
    </row>
    <row r="250" spans="6:6">
      <c r="F250" s="208"/>
    </row>
    <row r="251" spans="6:6">
      <c r="F251" s="208"/>
    </row>
    <row r="252" spans="6:6">
      <c r="F252" s="208"/>
    </row>
    <row r="253" spans="6:6">
      <c r="F253" s="208"/>
    </row>
    <row r="254" spans="6:6">
      <c r="F254" s="208"/>
    </row>
    <row r="255" spans="6:6">
      <c r="F255" s="208"/>
    </row>
    <row r="256" spans="6:6">
      <c r="F256" s="208"/>
    </row>
    <row r="257" spans="6:6">
      <c r="F257" s="208"/>
    </row>
    <row r="258" spans="6:6">
      <c r="F258" s="208"/>
    </row>
    <row r="259" spans="6:6">
      <c r="F259" s="208"/>
    </row>
    <row r="260" spans="6:6">
      <c r="F260" s="208"/>
    </row>
    <row r="261" spans="6:6">
      <c r="F261" s="208"/>
    </row>
    <row r="262" spans="6:6">
      <c r="F262" s="208"/>
    </row>
    <row r="263" spans="6:6">
      <c r="F263" s="208"/>
    </row>
    <row r="264" spans="6:6">
      <c r="F264" s="208"/>
    </row>
    <row r="265" spans="6:6">
      <c r="F265" s="208"/>
    </row>
    <row r="266" spans="6:6">
      <c r="F266" s="208"/>
    </row>
    <row r="267" spans="6:6">
      <c r="F267" s="208"/>
    </row>
    <row r="268" spans="6:6">
      <c r="F268" s="208"/>
    </row>
    <row r="269" spans="6:6">
      <c r="F269" s="208"/>
    </row>
    <row r="270" spans="6:6">
      <c r="F270" s="208"/>
    </row>
    <row r="271" spans="6:6">
      <c r="F271" s="208"/>
    </row>
    <row r="272" spans="6:6">
      <c r="F272" s="208"/>
    </row>
    <row r="273" spans="6:6">
      <c r="F273" s="208"/>
    </row>
    <row r="274" spans="6:6">
      <c r="F274" s="208"/>
    </row>
    <row r="275" spans="6:6">
      <c r="F275" s="208"/>
    </row>
    <row r="276" spans="6:6">
      <c r="F276" s="208"/>
    </row>
    <row r="277" spans="6:6">
      <c r="F277" s="208"/>
    </row>
    <row r="278" spans="6:6">
      <c r="F278" s="208"/>
    </row>
    <row r="279" spans="6:6">
      <c r="F279" s="208"/>
    </row>
    <row r="280" spans="6:6">
      <c r="F280" s="208"/>
    </row>
    <row r="281" spans="6:6">
      <c r="F281" s="208"/>
    </row>
    <row r="282" spans="6:6">
      <c r="F282" s="208"/>
    </row>
    <row r="283" spans="6:6">
      <c r="F283" s="208"/>
    </row>
    <row r="284" spans="6:6">
      <c r="F284" s="208"/>
    </row>
    <row r="285" spans="6:6">
      <c r="F285" s="208"/>
    </row>
    <row r="286" spans="6:6">
      <c r="F286" s="208"/>
    </row>
    <row r="287" spans="6:6">
      <c r="F287" s="208"/>
    </row>
    <row r="288" spans="6:6">
      <c r="F288" s="208"/>
    </row>
    <row r="289" spans="6:6">
      <c r="F289" s="208"/>
    </row>
    <row r="290" spans="6:6">
      <c r="F290" s="208"/>
    </row>
    <row r="291" spans="6:6">
      <c r="F291" s="208"/>
    </row>
    <row r="292" spans="6:6">
      <c r="F292" s="208"/>
    </row>
    <row r="293" spans="6:6">
      <c r="F293" s="208"/>
    </row>
    <row r="294" spans="6:6">
      <c r="F294" s="208"/>
    </row>
    <row r="295" spans="6:6">
      <c r="F295" s="208"/>
    </row>
    <row r="296" spans="6:6">
      <c r="F296" s="208"/>
    </row>
    <row r="297" spans="6:6">
      <c r="F297" s="208"/>
    </row>
    <row r="298" spans="6:6">
      <c r="F298" s="208"/>
    </row>
    <row r="299" spans="6:6">
      <c r="F299" s="208"/>
    </row>
    <row r="300" spans="6:6">
      <c r="F300" s="208"/>
    </row>
    <row r="301" spans="6:6">
      <c r="F301" s="208"/>
    </row>
    <row r="302" spans="6:6">
      <c r="F302" s="208"/>
    </row>
    <row r="303" spans="6:6">
      <c r="F303" s="208"/>
    </row>
    <row r="304" spans="6:6">
      <c r="F304" s="208"/>
    </row>
    <row r="305" spans="6:6">
      <c r="F305" s="208"/>
    </row>
    <row r="306" spans="6:6">
      <c r="F306" s="208"/>
    </row>
    <row r="307" spans="6:6">
      <c r="F307" s="208"/>
    </row>
    <row r="308" spans="6:6">
      <c r="F308" s="208"/>
    </row>
    <row r="309" spans="6:6">
      <c r="F309" s="208"/>
    </row>
    <row r="310" spans="6:6">
      <c r="F310" s="208"/>
    </row>
    <row r="311" spans="6:6">
      <c r="F311" s="208"/>
    </row>
    <row r="312" spans="6:6">
      <c r="F312" s="208"/>
    </row>
    <row r="313" spans="6:6">
      <c r="F313" s="208"/>
    </row>
    <row r="314" spans="6:6">
      <c r="F314" s="208"/>
    </row>
    <row r="315" spans="6:6">
      <c r="F315" s="208"/>
    </row>
    <row r="316" spans="6:6">
      <c r="F316" s="208"/>
    </row>
    <row r="317" spans="6:6">
      <c r="F317" s="208"/>
    </row>
    <row r="318" spans="6:6">
      <c r="F318" s="208"/>
    </row>
    <row r="319" spans="6:6">
      <c r="F319" s="208"/>
    </row>
    <row r="320" spans="6:6">
      <c r="F320" s="208"/>
    </row>
    <row r="321" spans="6:6">
      <c r="F321" s="208"/>
    </row>
    <row r="322" spans="6:6">
      <c r="F322" s="208"/>
    </row>
    <row r="323" spans="6:6">
      <c r="F323" s="208"/>
    </row>
    <row r="324" spans="6:6">
      <c r="F324" s="208"/>
    </row>
    <row r="325" spans="6:6">
      <c r="F325" s="208"/>
    </row>
    <row r="326" spans="6:6">
      <c r="F326" s="208"/>
    </row>
    <row r="327" spans="6:6">
      <c r="F327" s="208"/>
    </row>
    <row r="328" spans="6:6">
      <c r="F328" s="208"/>
    </row>
    <row r="329" spans="6:6">
      <c r="F329" s="208"/>
    </row>
    <row r="330" spans="6:6">
      <c r="F330" s="208"/>
    </row>
    <row r="331" spans="6:6">
      <c r="F331" s="208"/>
    </row>
    <row r="332" spans="6:6">
      <c r="F332" s="208"/>
    </row>
    <row r="333" spans="6:6">
      <c r="F333" s="208"/>
    </row>
    <row r="334" spans="6:6">
      <c r="F334" s="208"/>
    </row>
    <row r="335" spans="6:6">
      <c r="F335" s="208"/>
    </row>
    <row r="336" spans="6:6">
      <c r="F336" s="208"/>
    </row>
    <row r="337" spans="6:6">
      <c r="F337" s="208"/>
    </row>
    <row r="338" spans="6:6">
      <c r="F338" s="208"/>
    </row>
    <row r="339" spans="6:6">
      <c r="F339" s="208"/>
    </row>
    <row r="340" spans="6:6">
      <c r="F340" s="208"/>
    </row>
    <row r="341" spans="6:6">
      <c r="F341" s="208"/>
    </row>
    <row r="342" spans="6:6">
      <c r="F342" s="208"/>
    </row>
    <row r="343" spans="6:6">
      <c r="F343" s="208"/>
    </row>
    <row r="344" spans="6:6">
      <c r="F344" s="208"/>
    </row>
    <row r="345" spans="6:6">
      <c r="F345" s="208"/>
    </row>
    <row r="346" spans="6:6">
      <c r="F346" s="208"/>
    </row>
    <row r="347" spans="6:6">
      <c r="F347" s="208"/>
    </row>
    <row r="348" spans="6:6">
      <c r="F348" s="208"/>
    </row>
    <row r="349" spans="6:6">
      <c r="F349" s="208"/>
    </row>
    <row r="350" spans="6:6">
      <c r="F350" s="208"/>
    </row>
    <row r="351" spans="6:6">
      <c r="F351" s="208"/>
    </row>
    <row r="352" spans="6:6">
      <c r="F352" s="208"/>
    </row>
    <row r="353" spans="6:6">
      <c r="F353" s="208"/>
    </row>
    <row r="354" spans="6:6">
      <c r="F354" s="208"/>
    </row>
    <row r="355" spans="6:6">
      <c r="F355" s="208"/>
    </row>
    <row r="356" spans="6:6">
      <c r="F356" s="208"/>
    </row>
    <row r="357" spans="6:6">
      <c r="F357" s="208"/>
    </row>
    <row r="358" spans="6:6">
      <c r="F358" s="208"/>
    </row>
    <row r="359" spans="6:6">
      <c r="F359" s="208"/>
    </row>
    <row r="360" spans="6:6">
      <c r="F360" s="208"/>
    </row>
    <row r="361" spans="6:6">
      <c r="F361" s="208"/>
    </row>
    <row r="362" spans="6:6">
      <c r="F362" s="208"/>
    </row>
    <row r="363" spans="6:6">
      <c r="F363" s="208"/>
    </row>
    <row r="364" spans="6:6">
      <c r="F364" s="208"/>
    </row>
    <row r="365" spans="6:6">
      <c r="F365" s="208"/>
    </row>
    <row r="366" spans="6:6">
      <c r="F366" s="208"/>
    </row>
    <row r="367" spans="6:6">
      <c r="F367" s="208"/>
    </row>
    <row r="368" spans="6:6">
      <c r="F368" s="208"/>
    </row>
    <row r="369" spans="6:6">
      <c r="F369" s="208"/>
    </row>
    <row r="370" spans="6:6">
      <c r="F370" s="208"/>
    </row>
    <row r="371" spans="6:6">
      <c r="F371" s="208"/>
    </row>
    <row r="372" spans="6:6">
      <c r="F372" s="208"/>
    </row>
    <row r="373" spans="6:6">
      <c r="F373" s="208"/>
    </row>
    <row r="374" spans="6:6">
      <c r="F374" s="208"/>
    </row>
    <row r="375" spans="6:6">
      <c r="F375" s="208"/>
    </row>
    <row r="376" spans="6:6">
      <c r="F376" s="208"/>
    </row>
    <row r="377" spans="6:6">
      <c r="F377" s="208"/>
    </row>
    <row r="378" spans="6:6">
      <c r="F378" s="208"/>
    </row>
    <row r="379" spans="6:6">
      <c r="F379" s="208"/>
    </row>
    <row r="380" spans="6:6">
      <c r="F380" s="208"/>
    </row>
    <row r="381" spans="6:6">
      <c r="F381" s="208"/>
    </row>
    <row r="382" spans="6:6">
      <c r="F382" s="208"/>
    </row>
    <row r="383" spans="6:6">
      <c r="F383" s="208"/>
    </row>
    <row r="384" spans="6:6">
      <c r="F384" s="208"/>
    </row>
    <row r="385" spans="6:6">
      <c r="F385" s="208"/>
    </row>
    <row r="386" spans="6:6">
      <c r="F386" s="208"/>
    </row>
    <row r="387" spans="6:6">
      <c r="F387" s="208"/>
    </row>
    <row r="388" spans="6:6">
      <c r="F388" s="208"/>
    </row>
    <row r="389" spans="6:6">
      <c r="F389" s="208"/>
    </row>
    <row r="390" spans="6:6">
      <c r="F390" s="208"/>
    </row>
    <row r="391" spans="6:6">
      <c r="F391" s="208"/>
    </row>
    <row r="392" spans="6:6">
      <c r="F392" s="208"/>
    </row>
    <row r="393" spans="6:6">
      <c r="F393" s="208"/>
    </row>
    <row r="394" spans="6:6">
      <c r="F394" s="208"/>
    </row>
    <row r="395" spans="6:6">
      <c r="F395" s="208"/>
    </row>
    <row r="396" spans="6:6">
      <c r="F396" s="208"/>
    </row>
    <row r="397" spans="6:6">
      <c r="F397" s="208"/>
    </row>
    <row r="398" spans="6:6">
      <c r="F398" s="208"/>
    </row>
    <row r="399" spans="6:6">
      <c r="F399" s="208"/>
    </row>
    <row r="400" spans="6:6">
      <c r="F400" s="208"/>
    </row>
    <row r="401" spans="6:6">
      <c r="F401" s="208"/>
    </row>
    <row r="402" spans="6:6">
      <c r="F402" s="208"/>
    </row>
    <row r="403" spans="6:6">
      <c r="F403" s="208"/>
    </row>
    <row r="404" spans="6:6">
      <c r="F404" s="208"/>
    </row>
    <row r="405" spans="6:6">
      <c r="F405" s="208"/>
    </row>
    <row r="406" spans="6:6">
      <c r="F406" s="208"/>
    </row>
    <row r="407" spans="6:6">
      <c r="F407" s="208"/>
    </row>
    <row r="408" spans="6:6">
      <c r="F408" s="208"/>
    </row>
    <row r="409" spans="6:6">
      <c r="F409" s="208"/>
    </row>
    <row r="410" spans="6:6">
      <c r="F410" s="208"/>
    </row>
    <row r="411" spans="6:6">
      <c r="F411" s="208"/>
    </row>
    <row r="412" spans="6:6">
      <c r="F412" s="208"/>
    </row>
    <row r="413" spans="6:6">
      <c r="F413" s="208"/>
    </row>
    <row r="414" spans="6:6">
      <c r="F414" s="208"/>
    </row>
    <row r="415" spans="6:6">
      <c r="F415" s="208"/>
    </row>
    <row r="416" spans="6:6">
      <c r="F416" s="208"/>
    </row>
    <row r="417" spans="6:6">
      <c r="F417" s="208"/>
    </row>
    <row r="418" spans="6:6">
      <c r="F418" s="208"/>
    </row>
    <row r="419" spans="6:6">
      <c r="F419" s="208"/>
    </row>
    <row r="420" spans="6:6">
      <c r="F420" s="208"/>
    </row>
    <row r="421" spans="6:6">
      <c r="F421" s="208"/>
    </row>
    <row r="422" spans="6:6">
      <c r="F422" s="208"/>
    </row>
    <row r="423" spans="6:6">
      <c r="F423" s="208"/>
    </row>
    <row r="424" spans="6:6">
      <c r="F424" s="208"/>
    </row>
    <row r="425" spans="6:6">
      <c r="F425" s="208"/>
    </row>
    <row r="426" spans="6:6">
      <c r="F426" s="208"/>
    </row>
    <row r="427" spans="6:6">
      <c r="F427" s="208"/>
    </row>
    <row r="428" spans="6:6">
      <c r="F428" s="208"/>
    </row>
    <row r="429" spans="6:6">
      <c r="F429" s="208"/>
    </row>
    <row r="430" spans="6:6">
      <c r="F430" s="208"/>
    </row>
    <row r="431" spans="6:6">
      <c r="F431" s="208"/>
    </row>
    <row r="432" spans="6:6">
      <c r="F432" s="208"/>
    </row>
    <row r="433" spans="6:6">
      <c r="F433" s="208"/>
    </row>
    <row r="434" spans="6:6">
      <c r="F434" s="208"/>
    </row>
    <row r="435" spans="6:6">
      <c r="F435" s="208"/>
    </row>
    <row r="436" spans="6:6">
      <c r="F436" s="208"/>
    </row>
    <row r="437" spans="6:6">
      <c r="F437" s="208"/>
    </row>
    <row r="438" spans="6:6">
      <c r="F438" s="208"/>
    </row>
    <row r="439" spans="6:6">
      <c r="F439" s="208"/>
    </row>
    <row r="440" spans="6:6">
      <c r="F440" s="208"/>
    </row>
    <row r="441" spans="6:6">
      <c r="F441" s="208"/>
    </row>
    <row r="442" spans="6:6">
      <c r="F442" s="208"/>
    </row>
    <row r="443" spans="6:6">
      <c r="F443" s="208"/>
    </row>
    <row r="444" spans="6:6">
      <c r="F444" s="208"/>
    </row>
    <row r="445" spans="6:6">
      <c r="F445" s="208"/>
    </row>
    <row r="446" spans="6:6">
      <c r="F446" s="208"/>
    </row>
    <row r="447" spans="6:6">
      <c r="F447" s="208"/>
    </row>
    <row r="448" spans="6:6">
      <c r="F448" s="208"/>
    </row>
    <row r="449" spans="6:6">
      <c r="F449" s="208"/>
    </row>
    <row r="450" spans="6:6">
      <c r="F450" s="208"/>
    </row>
    <row r="451" spans="6:6">
      <c r="F451" s="208"/>
    </row>
    <row r="452" spans="6:6">
      <c r="F452" s="208"/>
    </row>
    <row r="453" spans="6:6">
      <c r="F453" s="208"/>
    </row>
    <row r="454" spans="6:6">
      <c r="F454" s="208"/>
    </row>
    <row r="455" spans="6:6">
      <c r="F455" s="208"/>
    </row>
    <row r="456" spans="6:6">
      <c r="F456" s="208"/>
    </row>
    <row r="457" spans="6:6">
      <c r="F457" s="208"/>
    </row>
    <row r="458" spans="6:6">
      <c r="F458" s="208"/>
    </row>
    <row r="459" spans="6:6">
      <c r="F459" s="208"/>
    </row>
    <row r="460" spans="6:6">
      <c r="F460" s="208"/>
    </row>
    <row r="461" spans="6:6">
      <c r="F461" s="208"/>
    </row>
    <row r="462" spans="6:6">
      <c r="F462" s="208"/>
    </row>
    <row r="463" spans="6:6">
      <c r="F463" s="208"/>
    </row>
    <row r="464" spans="6:6">
      <c r="F464" s="208"/>
    </row>
    <row r="465" spans="6:6">
      <c r="F465" s="208"/>
    </row>
    <row r="466" spans="6:6">
      <c r="F466" s="208"/>
    </row>
    <row r="467" spans="6:6">
      <c r="F467" s="208"/>
    </row>
    <row r="468" spans="6:6">
      <c r="F468" s="208"/>
    </row>
    <row r="469" spans="6:6">
      <c r="F469" s="208"/>
    </row>
    <row r="470" spans="6:6">
      <c r="F470" s="208"/>
    </row>
    <row r="471" spans="6:6">
      <c r="F471" s="208"/>
    </row>
    <row r="472" spans="6:6">
      <c r="F472" s="208"/>
    </row>
    <row r="473" spans="6:6">
      <c r="F473" s="208"/>
    </row>
    <row r="474" spans="6:6">
      <c r="F474" s="208"/>
    </row>
    <row r="475" spans="6:6">
      <c r="F475" s="208"/>
    </row>
    <row r="476" spans="6:6">
      <c r="F476" s="208"/>
    </row>
    <row r="477" spans="6:6">
      <c r="F477" s="208"/>
    </row>
    <row r="478" spans="6:6">
      <c r="F478" s="208"/>
    </row>
    <row r="479" spans="6:6">
      <c r="F479" s="208"/>
    </row>
    <row r="480" spans="6:6">
      <c r="F480" s="208"/>
    </row>
    <row r="481" spans="6:6">
      <c r="F481" s="208"/>
    </row>
    <row r="482" spans="6:6">
      <c r="F482" s="208"/>
    </row>
    <row r="483" spans="6:6">
      <c r="F483" s="208"/>
    </row>
    <row r="484" spans="6:6">
      <c r="F484" s="208"/>
    </row>
    <row r="485" spans="6:6">
      <c r="F485" s="208"/>
    </row>
    <row r="486" spans="6:6">
      <c r="F486" s="208"/>
    </row>
    <row r="487" spans="6:6">
      <c r="F487" s="208"/>
    </row>
    <row r="488" spans="6:6">
      <c r="F488" s="208"/>
    </row>
    <row r="489" spans="6:6">
      <c r="F489" s="208"/>
    </row>
    <row r="490" spans="6:6">
      <c r="F490" s="208"/>
    </row>
    <row r="491" spans="6:6">
      <c r="F491" s="208"/>
    </row>
    <row r="492" spans="6:6">
      <c r="F492" s="208"/>
    </row>
    <row r="493" spans="6:6">
      <c r="F493" s="208"/>
    </row>
    <row r="494" spans="6:6">
      <c r="F494" s="208"/>
    </row>
    <row r="495" spans="6:6">
      <c r="F495" s="208"/>
    </row>
    <row r="496" spans="6:6">
      <c r="F496" s="208"/>
    </row>
    <row r="497" spans="6:6">
      <c r="F497" s="208"/>
    </row>
    <row r="498" spans="6:6">
      <c r="F498" s="208"/>
    </row>
    <row r="499" spans="6:6">
      <c r="F499" s="208"/>
    </row>
    <row r="500" spans="6:6">
      <c r="F500" s="208"/>
    </row>
    <row r="501" spans="6:6">
      <c r="F501" s="208"/>
    </row>
    <row r="502" spans="6:6">
      <c r="F502" s="208"/>
    </row>
    <row r="503" spans="6:6">
      <c r="F503" s="208"/>
    </row>
    <row r="504" spans="6:6">
      <c r="F504" s="208"/>
    </row>
    <row r="505" spans="6:6">
      <c r="F505" s="208"/>
    </row>
    <row r="506" spans="6:6">
      <c r="F506" s="208"/>
    </row>
    <row r="507" spans="6:6">
      <c r="F507" s="208"/>
    </row>
    <row r="508" spans="6:6">
      <c r="F508" s="208"/>
    </row>
    <row r="509" spans="6:6">
      <c r="F509" s="208"/>
    </row>
    <row r="510" spans="6:6">
      <c r="F510" s="208"/>
    </row>
    <row r="511" spans="6:6">
      <c r="F511" s="208"/>
    </row>
    <row r="512" spans="6:6">
      <c r="F512" s="208"/>
    </row>
    <row r="513" spans="6:6">
      <c r="F513" s="208"/>
    </row>
    <row r="514" spans="6:6">
      <c r="F514" s="208"/>
    </row>
    <row r="515" spans="6:6">
      <c r="F515" s="208"/>
    </row>
    <row r="516" spans="6:6">
      <c r="F516" s="208"/>
    </row>
    <row r="517" spans="6:6">
      <c r="F517" s="208"/>
    </row>
    <row r="518" spans="6:6">
      <c r="F518" s="208"/>
    </row>
    <row r="519" spans="6:6">
      <c r="F519" s="208"/>
    </row>
    <row r="520" spans="6:6">
      <c r="F520" s="208"/>
    </row>
    <row r="521" spans="6:6">
      <c r="F521" s="208"/>
    </row>
    <row r="522" spans="6:6">
      <c r="F522" s="208"/>
    </row>
    <row r="523" spans="6:6">
      <c r="F523" s="208"/>
    </row>
    <row r="524" spans="6:6">
      <c r="F524" s="208"/>
    </row>
    <row r="525" spans="6:6">
      <c r="F525" s="208"/>
    </row>
    <row r="526" spans="6:6">
      <c r="F526" s="208"/>
    </row>
    <row r="527" spans="6:6">
      <c r="F527" s="208"/>
    </row>
    <row r="528" spans="6:6">
      <c r="F528" s="208"/>
    </row>
    <row r="529" spans="6:6">
      <c r="F529" s="208"/>
    </row>
    <row r="530" spans="6:6">
      <c r="F530" s="208"/>
    </row>
    <row r="531" spans="6:6">
      <c r="F531" s="208"/>
    </row>
    <row r="532" spans="6:6">
      <c r="F532" s="208"/>
    </row>
    <row r="533" spans="6:6">
      <c r="F533" s="208"/>
    </row>
    <row r="534" spans="6:6">
      <c r="F534" s="208"/>
    </row>
    <row r="535" spans="6:6">
      <c r="F535" s="208"/>
    </row>
    <row r="536" spans="6:6">
      <c r="F536" s="208"/>
    </row>
    <row r="537" spans="6:6">
      <c r="F537" s="208"/>
    </row>
    <row r="538" spans="6:6">
      <c r="F538" s="208"/>
    </row>
    <row r="539" spans="6:6">
      <c r="F539" s="208"/>
    </row>
    <row r="540" spans="6:6">
      <c r="F540" s="208"/>
    </row>
    <row r="541" spans="6:6">
      <c r="F541" s="208"/>
    </row>
    <row r="542" spans="6:6">
      <c r="F542" s="208"/>
    </row>
    <row r="543" spans="6:6">
      <c r="F543" s="208"/>
    </row>
    <row r="544" spans="6:6">
      <c r="F544" s="208"/>
    </row>
    <row r="545" spans="6:6">
      <c r="F545" s="208"/>
    </row>
    <row r="546" spans="6:6">
      <c r="F546" s="208"/>
    </row>
    <row r="547" spans="6:6">
      <c r="F547" s="208"/>
    </row>
    <row r="548" spans="6:6">
      <c r="F548" s="208"/>
    </row>
    <row r="549" spans="6:6">
      <c r="F549" s="208"/>
    </row>
    <row r="550" spans="6:6">
      <c r="F550" s="208"/>
    </row>
    <row r="551" spans="6:6">
      <c r="F551" s="208"/>
    </row>
    <row r="552" spans="6:6">
      <c r="F552" s="208"/>
    </row>
    <row r="553" spans="6:6">
      <c r="F553" s="208"/>
    </row>
    <row r="554" spans="6:6">
      <c r="F554" s="208"/>
    </row>
    <row r="555" spans="6:6">
      <c r="F555" s="208"/>
    </row>
    <row r="556" spans="6:6">
      <c r="F556" s="208"/>
    </row>
    <row r="557" spans="6:6">
      <c r="F557" s="208"/>
    </row>
    <row r="558" spans="6:6">
      <c r="F558" s="208"/>
    </row>
    <row r="559" spans="6:6">
      <c r="F559" s="208"/>
    </row>
    <row r="560" spans="6:6">
      <c r="F560" s="208"/>
    </row>
    <row r="561" spans="6:6">
      <c r="F561" s="208"/>
    </row>
    <row r="562" spans="6:6">
      <c r="F562" s="208"/>
    </row>
    <row r="563" spans="6:6">
      <c r="F563" s="208"/>
    </row>
    <row r="564" spans="6:6">
      <c r="F564" s="208"/>
    </row>
    <row r="565" spans="6:6">
      <c r="F565" s="208"/>
    </row>
    <row r="566" spans="6:6">
      <c r="F566" s="208"/>
    </row>
    <row r="567" spans="6:6">
      <c r="F567" s="208"/>
    </row>
    <row r="568" spans="6:6">
      <c r="F568" s="208"/>
    </row>
    <row r="569" spans="6:6">
      <c r="F569" s="208"/>
    </row>
    <row r="570" spans="6:6">
      <c r="F570" s="208"/>
    </row>
    <row r="571" spans="6:6">
      <c r="F571" s="208"/>
    </row>
    <row r="572" spans="6:6">
      <c r="F572" s="208"/>
    </row>
    <row r="573" spans="6:6">
      <c r="F573" s="208"/>
    </row>
    <row r="574" spans="6:6">
      <c r="F574" s="208"/>
    </row>
    <row r="575" spans="6:6">
      <c r="F575" s="208"/>
    </row>
    <row r="576" spans="6:6">
      <c r="F576" s="208"/>
    </row>
    <row r="577" spans="6:6">
      <c r="F577" s="208"/>
    </row>
    <row r="578" spans="6:6">
      <c r="F578" s="208"/>
    </row>
    <row r="579" spans="6:6">
      <c r="F579" s="208"/>
    </row>
    <row r="580" spans="6:6">
      <c r="F580" s="208"/>
    </row>
    <row r="581" spans="6:6">
      <c r="F581" s="208"/>
    </row>
    <row r="582" spans="6:6">
      <c r="F582" s="208"/>
    </row>
    <row r="583" spans="6:6">
      <c r="F583" s="208"/>
    </row>
    <row r="584" spans="6:6">
      <c r="F584" s="208"/>
    </row>
    <row r="585" spans="6:6">
      <c r="F585" s="208"/>
    </row>
    <row r="586" spans="6:6">
      <c r="F586" s="208"/>
    </row>
    <row r="587" spans="6:6">
      <c r="F587" s="208"/>
    </row>
    <row r="588" spans="6:6">
      <c r="F588" s="208"/>
    </row>
    <row r="589" spans="6:6">
      <c r="F589" s="208"/>
    </row>
    <row r="590" spans="6:6">
      <c r="F590" s="208"/>
    </row>
    <row r="591" spans="6:6">
      <c r="F591" s="208"/>
    </row>
    <row r="592" spans="6:6">
      <c r="F592" s="208"/>
    </row>
    <row r="593" spans="6:6">
      <c r="F593" s="208"/>
    </row>
    <row r="594" spans="6:6">
      <c r="F594" s="208"/>
    </row>
    <row r="595" spans="6:6">
      <c r="F595" s="208"/>
    </row>
    <row r="596" spans="6:6">
      <c r="F596" s="208"/>
    </row>
    <row r="597" spans="6:6">
      <c r="F597" s="208"/>
    </row>
    <row r="598" spans="6:6">
      <c r="F598" s="208"/>
    </row>
    <row r="599" spans="6:6">
      <c r="F599" s="208"/>
    </row>
    <row r="600" spans="6:6">
      <c r="F600" s="208"/>
    </row>
    <row r="601" spans="6:6">
      <c r="F601" s="208"/>
    </row>
    <row r="602" spans="6:6">
      <c r="F602" s="208"/>
    </row>
    <row r="603" spans="6:6">
      <c r="F603" s="208"/>
    </row>
    <row r="604" spans="6:6">
      <c r="F604" s="208"/>
    </row>
    <row r="605" spans="6:6">
      <c r="F605" s="208"/>
    </row>
    <row r="606" spans="6:6">
      <c r="F606" s="208"/>
    </row>
    <row r="607" spans="6:6">
      <c r="F607" s="208"/>
    </row>
    <row r="608" spans="6:6">
      <c r="F608" s="208"/>
    </row>
    <row r="609" spans="6:6">
      <c r="F609" s="208"/>
    </row>
    <row r="610" spans="6:6">
      <c r="F610" s="208"/>
    </row>
    <row r="611" spans="6:6">
      <c r="F611" s="208"/>
    </row>
    <row r="612" spans="6:6">
      <c r="F612" s="208"/>
    </row>
    <row r="613" spans="6:6">
      <c r="F613" s="208"/>
    </row>
    <row r="614" spans="6:6">
      <c r="F614" s="208"/>
    </row>
    <row r="615" spans="6:6">
      <c r="F615" s="208"/>
    </row>
    <row r="616" spans="6:6">
      <c r="F616" s="208"/>
    </row>
    <row r="617" spans="6:6">
      <c r="F617" s="208"/>
    </row>
    <row r="618" spans="6:6">
      <c r="F618" s="208"/>
    </row>
    <row r="619" spans="6:6">
      <c r="F619" s="208"/>
    </row>
    <row r="620" spans="6:6">
      <c r="F620" s="208"/>
    </row>
    <row r="621" spans="6:6">
      <c r="F621" s="208"/>
    </row>
    <row r="622" spans="6:6">
      <c r="F622" s="208"/>
    </row>
    <row r="623" spans="6:6">
      <c r="F623" s="208"/>
    </row>
    <row r="624" spans="6:6">
      <c r="F624" s="208"/>
    </row>
    <row r="625" spans="6:6">
      <c r="F625" s="208"/>
    </row>
    <row r="626" spans="6:6">
      <c r="F626" s="208"/>
    </row>
    <row r="627" spans="6:6">
      <c r="F627" s="208"/>
    </row>
    <row r="628" spans="6:6">
      <c r="F628" s="208"/>
    </row>
    <row r="629" spans="6:6">
      <c r="F629" s="208"/>
    </row>
    <row r="630" spans="6:6">
      <c r="F630" s="208"/>
    </row>
    <row r="631" spans="6:6">
      <c r="F631" s="208"/>
    </row>
    <row r="632" spans="6:6">
      <c r="F632" s="208"/>
    </row>
    <row r="633" spans="6:6">
      <c r="F633" s="208"/>
    </row>
    <row r="634" spans="6:6">
      <c r="F634" s="208"/>
    </row>
    <row r="635" spans="6:6">
      <c r="F635" s="208"/>
    </row>
    <row r="636" spans="6:6">
      <c r="F636" s="208"/>
    </row>
    <row r="637" spans="6:6">
      <c r="F637" s="208"/>
    </row>
    <row r="638" spans="6:6">
      <c r="F638" s="208"/>
    </row>
    <row r="639" spans="6:6">
      <c r="F639" s="208"/>
    </row>
    <row r="640" spans="6:6">
      <c r="F640" s="208"/>
    </row>
    <row r="641" spans="6:6">
      <c r="F641" s="208"/>
    </row>
    <row r="642" spans="6:6">
      <c r="F642" s="208"/>
    </row>
    <row r="643" spans="6:6">
      <c r="F643" s="208"/>
    </row>
    <row r="644" spans="6:6">
      <c r="F644" s="208"/>
    </row>
    <row r="645" spans="6:6">
      <c r="F645" s="208"/>
    </row>
    <row r="646" spans="6:6">
      <c r="F646" s="208"/>
    </row>
    <row r="647" spans="6:6">
      <c r="F647" s="208"/>
    </row>
    <row r="648" spans="6:6">
      <c r="F648" s="208"/>
    </row>
    <row r="649" spans="6:6">
      <c r="F649" s="208"/>
    </row>
    <row r="650" spans="6:6">
      <c r="F650" s="208"/>
    </row>
    <row r="651" spans="6:6">
      <c r="F651" s="208"/>
    </row>
    <row r="652" spans="6:6">
      <c r="F652" s="208"/>
    </row>
    <row r="653" spans="6:6">
      <c r="F653" s="208"/>
    </row>
    <row r="654" spans="6:6">
      <c r="F654" s="208"/>
    </row>
    <row r="655" spans="6:6">
      <c r="F655" s="208"/>
    </row>
    <row r="656" spans="6:6">
      <c r="F656" s="208"/>
    </row>
    <row r="657" spans="6:6">
      <c r="F657" s="208"/>
    </row>
    <row r="658" spans="6:6">
      <c r="F658" s="208"/>
    </row>
    <row r="659" spans="6:6">
      <c r="F659" s="208"/>
    </row>
    <row r="660" spans="6:6">
      <c r="F660" s="208"/>
    </row>
    <row r="661" spans="6:6">
      <c r="F661" s="208"/>
    </row>
    <row r="662" spans="6:6">
      <c r="F662" s="208"/>
    </row>
    <row r="663" spans="6:6">
      <c r="F663" s="208"/>
    </row>
    <row r="664" spans="6:6">
      <c r="F664" s="208"/>
    </row>
    <row r="665" spans="6:6">
      <c r="F665" s="208"/>
    </row>
    <row r="666" spans="6:6">
      <c r="F666" s="208"/>
    </row>
    <row r="667" spans="6:6">
      <c r="F667" s="208"/>
    </row>
    <row r="668" spans="6:6">
      <c r="F668" s="208"/>
    </row>
    <row r="669" spans="6:6">
      <c r="F669" s="208"/>
    </row>
    <row r="670" spans="6:6">
      <c r="F670" s="208"/>
    </row>
    <row r="671" spans="6:6">
      <c r="F671" s="208"/>
    </row>
    <row r="672" spans="6:6">
      <c r="F672" s="208"/>
    </row>
    <row r="673" spans="6:6">
      <c r="F673" s="208"/>
    </row>
    <row r="674" spans="6:6">
      <c r="F674" s="208"/>
    </row>
    <row r="675" spans="6:6">
      <c r="F675" s="208"/>
    </row>
    <row r="676" spans="6:6">
      <c r="F676" s="208"/>
    </row>
    <row r="677" spans="6:6">
      <c r="F677" s="208"/>
    </row>
    <row r="678" spans="6:6">
      <c r="F678" s="208"/>
    </row>
    <row r="679" spans="6:6">
      <c r="F679" s="208"/>
    </row>
    <row r="680" spans="6:6">
      <c r="F680" s="208"/>
    </row>
    <row r="681" spans="6:6">
      <c r="F681" s="208"/>
    </row>
    <row r="682" spans="6:6">
      <c r="F682" s="208"/>
    </row>
    <row r="683" spans="6:6">
      <c r="F683" s="208"/>
    </row>
    <row r="684" spans="6:6">
      <c r="F684" s="208"/>
    </row>
    <row r="685" spans="6:6">
      <c r="F685" s="208"/>
    </row>
    <row r="686" spans="6:6">
      <c r="F686" s="208"/>
    </row>
    <row r="687" spans="6:6">
      <c r="F687" s="208"/>
    </row>
    <row r="688" spans="6:6">
      <c r="F688" s="208"/>
    </row>
    <row r="689" spans="6:6">
      <c r="F689" s="208"/>
    </row>
    <row r="690" spans="6:6">
      <c r="F690" s="208"/>
    </row>
    <row r="691" spans="6:6">
      <c r="F691" s="208"/>
    </row>
    <row r="692" spans="6:6">
      <c r="F692" s="208"/>
    </row>
    <row r="693" spans="6:6">
      <c r="F693" s="208"/>
    </row>
    <row r="694" spans="6:6">
      <c r="F694" s="208"/>
    </row>
    <row r="695" spans="6:6">
      <c r="F695" s="208"/>
    </row>
    <row r="696" spans="6:6">
      <c r="F696" s="208"/>
    </row>
    <row r="697" spans="6:6">
      <c r="F697" s="208"/>
    </row>
    <row r="698" spans="6:6">
      <c r="F698" s="208"/>
    </row>
    <row r="699" spans="6:6">
      <c r="F699" s="208"/>
    </row>
    <row r="700" spans="6:6">
      <c r="F700" s="208"/>
    </row>
    <row r="701" spans="6:6">
      <c r="F701" s="208"/>
    </row>
    <row r="702" spans="6:6">
      <c r="F702" s="208"/>
    </row>
    <row r="703" spans="6:6">
      <c r="F703" s="208"/>
    </row>
    <row r="704" spans="6:6">
      <c r="F704" s="208"/>
    </row>
    <row r="705" spans="6:6">
      <c r="F705" s="208"/>
    </row>
    <row r="706" spans="6:6">
      <c r="F706" s="208"/>
    </row>
    <row r="707" spans="6:6">
      <c r="F707" s="208"/>
    </row>
    <row r="708" spans="6:6">
      <c r="F708" s="208"/>
    </row>
    <row r="709" spans="6:6">
      <c r="F709" s="208"/>
    </row>
    <row r="710" spans="6:6">
      <c r="F710" s="208"/>
    </row>
    <row r="711" spans="6:6">
      <c r="F711" s="208"/>
    </row>
    <row r="712" spans="6:6">
      <c r="F712" s="208"/>
    </row>
    <row r="713" spans="6:6">
      <c r="F713" s="208"/>
    </row>
    <row r="714" spans="6:6">
      <c r="F714" s="208"/>
    </row>
    <row r="715" spans="6:6">
      <c r="F715" s="208"/>
    </row>
    <row r="716" spans="6:6">
      <c r="F716" s="208"/>
    </row>
    <row r="717" spans="6:6">
      <c r="F717" s="208"/>
    </row>
    <row r="718" spans="6:6">
      <c r="F718" s="208"/>
    </row>
    <row r="719" spans="6:6">
      <c r="F719" s="208"/>
    </row>
    <row r="720" spans="6:6">
      <c r="F720" s="208"/>
    </row>
    <row r="721" spans="6:6">
      <c r="F721" s="208"/>
    </row>
    <row r="722" spans="6:6">
      <c r="F722" s="208"/>
    </row>
    <row r="723" spans="6:6">
      <c r="F723" s="208"/>
    </row>
    <row r="724" spans="6:6">
      <c r="F724" s="208"/>
    </row>
    <row r="725" spans="6:6">
      <c r="F725" s="208"/>
    </row>
    <row r="726" spans="6:6">
      <c r="F726" s="208"/>
    </row>
    <row r="727" spans="6:6">
      <c r="F727" s="208"/>
    </row>
    <row r="728" spans="6:6">
      <c r="F728" s="208"/>
    </row>
    <row r="729" spans="6:6">
      <c r="F729" s="208"/>
    </row>
    <row r="730" spans="6:6">
      <c r="F730" s="208"/>
    </row>
    <row r="731" spans="6:6">
      <c r="F731" s="208"/>
    </row>
    <row r="732" spans="6:6">
      <c r="F732" s="208"/>
    </row>
    <row r="733" spans="6:6">
      <c r="F733" s="208"/>
    </row>
    <row r="734" spans="6:6">
      <c r="F734" s="208"/>
    </row>
    <row r="735" spans="6:6">
      <c r="F735" s="208"/>
    </row>
    <row r="736" spans="6:6">
      <c r="F736" s="208"/>
    </row>
    <row r="737" spans="6:6">
      <c r="F737" s="208"/>
    </row>
    <row r="738" spans="6:6">
      <c r="F738" s="208"/>
    </row>
    <row r="739" spans="6:6">
      <c r="F739" s="208"/>
    </row>
    <row r="740" spans="6:6">
      <c r="F740" s="208"/>
    </row>
    <row r="741" spans="6:6">
      <c r="F741" s="208"/>
    </row>
    <row r="742" spans="6:6">
      <c r="F742" s="208"/>
    </row>
    <row r="743" spans="6:6">
      <c r="F743" s="208"/>
    </row>
    <row r="744" spans="6:6">
      <c r="F744" s="208"/>
    </row>
    <row r="745" spans="6:6">
      <c r="F745" s="208"/>
    </row>
    <row r="746" spans="6:6">
      <c r="F746" s="208"/>
    </row>
    <row r="747" spans="6:6">
      <c r="F747" s="208"/>
    </row>
    <row r="748" spans="6:6">
      <c r="F748" s="208"/>
    </row>
    <row r="749" spans="6:6">
      <c r="F749" s="208"/>
    </row>
    <row r="750" spans="6:6">
      <c r="F750" s="208"/>
    </row>
    <row r="751" spans="6:6">
      <c r="F751" s="208"/>
    </row>
    <row r="752" spans="6:6">
      <c r="F752" s="208"/>
    </row>
    <row r="753" spans="6:6">
      <c r="F753" s="208"/>
    </row>
    <row r="754" spans="6:6">
      <c r="F754" s="208"/>
    </row>
    <row r="755" spans="6:6">
      <c r="F755" s="208"/>
    </row>
    <row r="756" spans="6:6">
      <c r="F756" s="208"/>
    </row>
    <row r="757" spans="6:6">
      <c r="F757" s="208"/>
    </row>
    <row r="758" spans="6:6">
      <c r="F758" s="208"/>
    </row>
    <row r="759" spans="6:6">
      <c r="F759" s="208"/>
    </row>
    <row r="760" spans="6:6">
      <c r="F760" s="208"/>
    </row>
    <row r="761" spans="6:6">
      <c r="F761" s="208"/>
    </row>
    <row r="762" spans="6:6">
      <c r="F762" s="208"/>
    </row>
    <row r="763" spans="6:6">
      <c r="F763" s="208"/>
    </row>
    <row r="764" spans="6:6">
      <c r="F764" s="208"/>
    </row>
    <row r="765" spans="6:6">
      <c r="F765" s="208"/>
    </row>
    <row r="766" spans="6:6">
      <c r="F766" s="208"/>
    </row>
    <row r="767" spans="6:6">
      <c r="F767" s="208"/>
    </row>
    <row r="768" spans="6:6">
      <c r="F768" s="208"/>
    </row>
    <row r="769" spans="6:6">
      <c r="F769" s="208"/>
    </row>
    <row r="770" spans="6:6">
      <c r="F770" s="208"/>
    </row>
    <row r="771" spans="6:6">
      <c r="F771" s="208"/>
    </row>
    <row r="772" spans="6:6">
      <c r="F772" s="208"/>
    </row>
    <row r="773" spans="6:6">
      <c r="F773" s="208"/>
    </row>
    <row r="774" spans="6:6">
      <c r="F774" s="208"/>
    </row>
    <row r="775" spans="6:6">
      <c r="F775" s="208"/>
    </row>
    <row r="776" spans="6:6">
      <c r="F776" s="208"/>
    </row>
    <row r="777" spans="6:6">
      <c r="F777" s="208"/>
    </row>
    <row r="778" spans="6:6">
      <c r="F778" s="208"/>
    </row>
    <row r="779" spans="6:6">
      <c r="F779" s="208"/>
    </row>
    <row r="780" spans="6:6">
      <c r="F780" s="208"/>
    </row>
    <row r="781" spans="6:6">
      <c r="F781" s="208"/>
    </row>
    <row r="782" spans="6:6">
      <c r="F782" s="208"/>
    </row>
    <row r="783" spans="6:6">
      <c r="F783" s="208"/>
    </row>
    <row r="784" spans="6:6">
      <c r="F784" s="208"/>
    </row>
    <row r="785" spans="6:6">
      <c r="F785" s="208"/>
    </row>
    <row r="786" spans="6:6">
      <c r="F786" s="208"/>
    </row>
    <row r="787" spans="6:6">
      <c r="F787" s="208"/>
    </row>
    <row r="788" spans="6:6">
      <c r="F788" s="208"/>
    </row>
    <row r="789" spans="6:6">
      <c r="F789" s="208"/>
    </row>
    <row r="790" spans="6:6">
      <c r="F790" s="208"/>
    </row>
    <row r="791" spans="6:6">
      <c r="F791" s="208"/>
    </row>
    <row r="792" spans="6:6">
      <c r="F792" s="208"/>
    </row>
    <row r="793" spans="6:6">
      <c r="F793" s="208"/>
    </row>
    <row r="794" spans="6:6">
      <c r="F794" s="208"/>
    </row>
    <row r="795" spans="6:6">
      <c r="F795" s="208"/>
    </row>
    <row r="796" spans="6:6">
      <c r="F796" s="208"/>
    </row>
    <row r="797" spans="6:6">
      <c r="F797" s="208"/>
    </row>
    <row r="798" spans="6:6">
      <c r="F798" s="208"/>
    </row>
    <row r="799" spans="6:6">
      <c r="F799" s="208"/>
    </row>
    <row r="800" spans="6:6">
      <c r="F800" s="208"/>
    </row>
    <row r="801" spans="6:6">
      <c r="F801" s="208"/>
    </row>
    <row r="802" spans="6:6">
      <c r="F802" s="208"/>
    </row>
    <row r="803" spans="6:6">
      <c r="F803" s="208"/>
    </row>
    <row r="804" spans="6:6">
      <c r="F804" s="208"/>
    </row>
    <row r="805" spans="6:6">
      <c r="F805" s="208"/>
    </row>
    <row r="806" spans="6:6">
      <c r="F806" s="208"/>
    </row>
    <row r="807" spans="6:6">
      <c r="F807" s="208"/>
    </row>
    <row r="808" spans="6:6">
      <c r="F808" s="208"/>
    </row>
    <row r="809" spans="6:6">
      <c r="F809" s="208"/>
    </row>
    <row r="810" spans="6:6">
      <c r="F810" s="208"/>
    </row>
    <row r="811" spans="6:6">
      <c r="F811" s="208"/>
    </row>
    <row r="812" spans="6:6">
      <c r="F812" s="208"/>
    </row>
    <row r="813" spans="6:6">
      <c r="F813" s="208"/>
    </row>
    <row r="814" spans="6:6">
      <c r="F814" s="208"/>
    </row>
    <row r="815" spans="6:6">
      <c r="F815" s="208"/>
    </row>
    <row r="816" spans="6:6">
      <c r="F816" s="208"/>
    </row>
    <row r="817" spans="6:6">
      <c r="F817" s="208"/>
    </row>
    <row r="818" spans="6:6">
      <c r="F818" s="208"/>
    </row>
    <row r="819" spans="6:6">
      <c r="F819" s="208"/>
    </row>
    <row r="820" spans="6:6">
      <c r="F820" s="208"/>
    </row>
    <row r="821" spans="6:6">
      <c r="F821" s="208"/>
    </row>
    <row r="822" spans="6:6">
      <c r="F822" s="208"/>
    </row>
    <row r="823" spans="6:6">
      <c r="F823" s="208"/>
    </row>
    <row r="824" spans="6:6">
      <c r="F824" s="208"/>
    </row>
    <row r="825" spans="6:6">
      <c r="F825" s="208"/>
    </row>
    <row r="826" spans="6:6">
      <c r="F826" s="208"/>
    </row>
    <row r="827" spans="6:6">
      <c r="F827" s="208"/>
    </row>
    <row r="828" spans="6:6">
      <c r="F828" s="208"/>
    </row>
    <row r="829" spans="6:6">
      <c r="F829" s="208"/>
    </row>
    <row r="830" spans="6:6">
      <c r="F830" s="208"/>
    </row>
    <row r="831" spans="6:6">
      <c r="F831" s="208"/>
    </row>
    <row r="832" spans="6:6">
      <c r="F832" s="208"/>
    </row>
    <row r="833" spans="6:6">
      <c r="F833" s="208"/>
    </row>
    <row r="834" spans="6:6">
      <c r="F834" s="208"/>
    </row>
    <row r="835" spans="6:6">
      <c r="F835" s="208"/>
    </row>
    <row r="836" spans="6:6">
      <c r="F836" s="208"/>
    </row>
    <row r="837" spans="6:6">
      <c r="F837" s="208"/>
    </row>
    <row r="838" spans="6:6">
      <c r="F838" s="208"/>
    </row>
    <row r="839" spans="6:6">
      <c r="F839" s="208"/>
    </row>
    <row r="840" spans="6:6">
      <c r="F840" s="208"/>
    </row>
    <row r="841" spans="6:6">
      <c r="F841" s="208"/>
    </row>
    <row r="842" spans="6:6">
      <c r="F842" s="208"/>
    </row>
    <row r="843" spans="6:6">
      <c r="F843" s="208"/>
    </row>
    <row r="844" spans="6:6">
      <c r="F844" s="208"/>
    </row>
    <row r="845" spans="6:6">
      <c r="F845" s="208"/>
    </row>
    <row r="846" spans="6:6">
      <c r="F846" s="208"/>
    </row>
    <row r="847" spans="6:6">
      <c r="F847" s="208"/>
    </row>
    <row r="848" spans="6:6">
      <c r="F848" s="208"/>
    </row>
    <row r="849" spans="6:6">
      <c r="F849" s="208"/>
    </row>
    <row r="850" spans="6:6">
      <c r="F850" s="208"/>
    </row>
    <row r="851" spans="6:6">
      <c r="F851" s="208"/>
    </row>
    <row r="852" spans="6:6">
      <c r="F852" s="208"/>
    </row>
    <row r="853" spans="6:6">
      <c r="F853" s="208"/>
    </row>
    <row r="854" spans="6:6">
      <c r="F854" s="208"/>
    </row>
    <row r="855" spans="6:6">
      <c r="F855" s="208"/>
    </row>
    <row r="856" spans="6:6">
      <c r="F856" s="208"/>
    </row>
    <row r="857" spans="6:6">
      <c r="F857" s="208"/>
    </row>
    <row r="858" spans="6:6">
      <c r="F858" s="208"/>
    </row>
    <row r="859" spans="6:6">
      <c r="F859" s="208"/>
    </row>
    <row r="860" spans="6:6">
      <c r="F860" s="208"/>
    </row>
    <row r="861" spans="6:6">
      <c r="F861" s="208"/>
    </row>
    <row r="862" spans="6:6">
      <c r="F862" s="208"/>
    </row>
    <row r="863" spans="6:6">
      <c r="F863" s="208"/>
    </row>
    <row r="864" spans="6:6">
      <c r="F864" s="208"/>
    </row>
    <row r="865" spans="6:6">
      <c r="F865" s="208"/>
    </row>
    <row r="866" spans="6:6">
      <c r="F866" s="208"/>
    </row>
    <row r="867" spans="6:6">
      <c r="F867" s="208"/>
    </row>
    <row r="868" spans="6:6">
      <c r="F868" s="208"/>
    </row>
    <row r="869" spans="6:6">
      <c r="F869" s="208"/>
    </row>
    <row r="870" spans="6:6">
      <c r="F870" s="208"/>
    </row>
    <row r="871" spans="6:6">
      <c r="F871" s="208"/>
    </row>
    <row r="872" spans="6:6">
      <c r="F872" s="208"/>
    </row>
    <row r="873" spans="6:6">
      <c r="F873" s="208"/>
    </row>
    <row r="874" spans="6:6">
      <c r="F874" s="208"/>
    </row>
    <row r="875" spans="6:6">
      <c r="F875" s="208"/>
    </row>
    <row r="876" spans="6:6">
      <c r="F876" s="208"/>
    </row>
    <row r="877" spans="6:6">
      <c r="F877" s="208"/>
    </row>
    <row r="878" spans="6:6">
      <c r="F878" s="208"/>
    </row>
    <row r="879" spans="6:6">
      <c r="F879" s="208"/>
    </row>
    <row r="880" spans="6:6">
      <c r="F880" s="208"/>
    </row>
    <row r="881" spans="6:6">
      <c r="F881" s="208"/>
    </row>
    <row r="882" spans="6:6">
      <c r="F882" s="208"/>
    </row>
    <row r="883" spans="6:6">
      <c r="F883" s="208"/>
    </row>
    <row r="884" spans="6:6">
      <c r="F884" s="208"/>
    </row>
    <row r="885" spans="6:6">
      <c r="F885" s="208"/>
    </row>
    <row r="886" spans="6:6">
      <c r="F886" s="208"/>
    </row>
    <row r="887" spans="6:6">
      <c r="F887" s="208"/>
    </row>
    <row r="888" spans="6:6">
      <c r="F888" s="208"/>
    </row>
    <row r="889" spans="6:6">
      <c r="F889" s="208"/>
    </row>
    <row r="890" spans="6:6">
      <c r="F890" s="208"/>
    </row>
    <row r="891" spans="6:6">
      <c r="F891" s="208"/>
    </row>
    <row r="892" spans="6:6">
      <c r="F892" s="208"/>
    </row>
    <row r="893" spans="6:6">
      <c r="F893" s="208"/>
    </row>
    <row r="894" spans="6:6">
      <c r="F894" s="208"/>
    </row>
    <row r="895" spans="6:6">
      <c r="F895" s="208"/>
    </row>
    <row r="896" spans="6:6">
      <c r="F896" s="208"/>
    </row>
    <row r="897" spans="6:6">
      <c r="F897" s="208"/>
    </row>
    <row r="898" spans="6:6">
      <c r="F898" s="208"/>
    </row>
    <row r="899" spans="6:6">
      <c r="F899" s="208"/>
    </row>
    <row r="900" spans="6:6">
      <c r="F900" s="208"/>
    </row>
    <row r="901" spans="6:6">
      <c r="F901" s="208"/>
    </row>
    <row r="902" spans="6:6">
      <c r="F902" s="208"/>
    </row>
    <row r="903" spans="6:6">
      <c r="F903" s="208"/>
    </row>
    <row r="904" spans="6:6">
      <c r="F904" s="208"/>
    </row>
    <row r="905" spans="6:6">
      <c r="F905" s="208"/>
    </row>
    <row r="906" spans="6:6">
      <c r="F906" s="208"/>
    </row>
    <row r="907" spans="6:6">
      <c r="F907" s="208"/>
    </row>
    <row r="908" spans="6:6">
      <c r="F908" s="208"/>
    </row>
    <row r="909" spans="6:6">
      <c r="F909" s="208"/>
    </row>
    <row r="910" spans="6:6">
      <c r="F910" s="208"/>
    </row>
    <row r="911" spans="6:6">
      <c r="F911" s="208"/>
    </row>
    <row r="912" spans="6:6">
      <c r="F912" s="208"/>
    </row>
    <row r="913" spans="6:6">
      <c r="F913" s="208"/>
    </row>
    <row r="914" spans="6:6">
      <c r="F914" s="208"/>
    </row>
    <row r="915" spans="6:6">
      <c r="F915" s="208"/>
    </row>
    <row r="916" spans="6:6">
      <c r="F916" s="208"/>
    </row>
    <row r="917" spans="6:6">
      <c r="F917" s="208"/>
    </row>
    <row r="918" spans="6:6">
      <c r="F918" s="208"/>
    </row>
    <row r="919" spans="6:6">
      <c r="F919" s="208"/>
    </row>
    <row r="920" spans="6:6">
      <c r="F920" s="208"/>
    </row>
    <row r="921" spans="6:6">
      <c r="F921" s="208"/>
    </row>
    <row r="922" spans="6:6">
      <c r="F922" s="208"/>
    </row>
    <row r="923" spans="6:6">
      <c r="F923" s="208"/>
    </row>
    <row r="924" spans="6:6">
      <c r="F924" s="208"/>
    </row>
    <row r="925" spans="6:6">
      <c r="F925" s="208"/>
    </row>
    <row r="926" spans="6:6">
      <c r="F926" s="208"/>
    </row>
    <row r="927" spans="6:6">
      <c r="F927" s="208"/>
    </row>
    <row r="928" spans="6:6">
      <c r="F928" s="208"/>
    </row>
    <row r="929" spans="6:6">
      <c r="F929" s="208"/>
    </row>
    <row r="930" spans="6:6">
      <c r="F930" s="208"/>
    </row>
    <row r="931" spans="6:6">
      <c r="F931" s="208"/>
    </row>
    <row r="932" spans="6:6">
      <c r="F932" s="208"/>
    </row>
    <row r="933" spans="6:6">
      <c r="F933" s="208"/>
    </row>
    <row r="934" spans="6:6">
      <c r="F934" s="208"/>
    </row>
    <row r="935" spans="6:6">
      <c r="F935" s="208"/>
    </row>
    <row r="936" spans="6:6">
      <c r="F936" s="208"/>
    </row>
    <row r="937" spans="6:6">
      <c r="F937" s="208"/>
    </row>
    <row r="938" spans="6:6">
      <c r="F938" s="208"/>
    </row>
    <row r="939" spans="6:6">
      <c r="F939" s="208"/>
    </row>
    <row r="940" spans="6:6">
      <c r="F940" s="208"/>
    </row>
    <row r="941" spans="6:6">
      <c r="F941" s="208"/>
    </row>
    <row r="942" spans="6:6">
      <c r="F942" s="208"/>
    </row>
    <row r="943" spans="6:6">
      <c r="F943" s="208"/>
    </row>
    <row r="944" spans="6:6">
      <c r="F944" s="208"/>
    </row>
    <row r="945" spans="6:6">
      <c r="F945" s="208"/>
    </row>
    <row r="946" spans="6:6">
      <c r="F946" s="208"/>
    </row>
    <row r="947" spans="6:6">
      <c r="F947" s="208"/>
    </row>
    <row r="948" spans="6:6">
      <c r="F948" s="208"/>
    </row>
    <row r="949" spans="6:6">
      <c r="F949" s="208"/>
    </row>
    <row r="950" spans="6:6">
      <c r="F950" s="208"/>
    </row>
    <row r="951" spans="6:6">
      <c r="F951" s="208"/>
    </row>
    <row r="952" spans="6:6">
      <c r="F952" s="208"/>
    </row>
    <row r="953" spans="6:6">
      <c r="F953" s="208"/>
    </row>
    <row r="954" spans="6:6">
      <c r="F954" s="208"/>
    </row>
    <row r="955" spans="6:6">
      <c r="F955" s="208"/>
    </row>
    <row r="956" spans="6:6">
      <c r="F956" s="208"/>
    </row>
    <row r="957" spans="6:6">
      <c r="F957" s="208"/>
    </row>
    <row r="958" spans="6:6">
      <c r="F958" s="208"/>
    </row>
    <row r="959" spans="6:6">
      <c r="F959" s="208"/>
    </row>
    <row r="960" spans="6:6">
      <c r="F960" s="208"/>
    </row>
    <row r="961" spans="6:6">
      <c r="F961" s="208"/>
    </row>
    <row r="962" spans="6:6">
      <c r="F962" s="208"/>
    </row>
    <row r="963" spans="6:6">
      <c r="F963" s="208"/>
    </row>
    <row r="964" spans="6:6">
      <c r="F964" s="208"/>
    </row>
    <row r="965" spans="6:6">
      <c r="F965" s="208"/>
    </row>
    <row r="966" spans="6:6">
      <c r="F966" s="208"/>
    </row>
    <row r="967" spans="6:6">
      <c r="F967" s="208"/>
    </row>
    <row r="968" spans="6:6">
      <c r="F968" s="208"/>
    </row>
    <row r="969" spans="6:6">
      <c r="F969" s="208"/>
    </row>
    <row r="970" spans="6:6">
      <c r="F970" s="208"/>
    </row>
    <row r="971" spans="6:6">
      <c r="F971" s="208"/>
    </row>
    <row r="972" spans="6:6">
      <c r="F972" s="208"/>
    </row>
    <row r="973" spans="6:6">
      <c r="F973" s="208"/>
    </row>
    <row r="974" spans="6:6">
      <c r="F974" s="208"/>
    </row>
    <row r="975" spans="6:6">
      <c r="F975" s="208"/>
    </row>
    <row r="976" spans="6:6">
      <c r="F976" s="208"/>
    </row>
    <row r="977" spans="6:6">
      <c r="F977" s="208"/>
    </row>
    <row r="978" spans="6:6">
      <c r="F978" s="208"/>
    </row>
    <row r="979" spans="6:6">
      <c r="F979" s="208"/>
    </row>
    <row r="980" spans="6:6">
      <c r="F980" s="208"/>
    </row>
    <row r="981" spans="6:6">
      <c r="F981" s="208"/>
    </row>
    <row r="982" spans="6:6">
      <c r="F982" s="208"/>
    </row>
    <row r="983" spans="6:6">
      <c r="F983" s="208"/>
    </row>
    <row r="984" spans="6:6">
      <c r="F984" s="208"/>
    </row>
    <row r="985" spans="6:6">
      <c r="F985" s="208"/>
    </row>
    <row r="986" spans="6:6">
      <c r="F986" s="208"/>
    </row>
    <row r="987" spans="6:6">
      <c r="F987" s="208"/>
    </row>
    <row r="988" spans="6:6">
      <c r="F988" s="208"/>
    </row>
    <row r="989" spans="6:6">
      <c r="F989" s="208"/>
    </row>
    <row r="990" spans="6:6">
      <c r="F990" s="208"/>
    </row>
    <row r="991" spans="6:6">
      <c r="F991" s="208"/>
    </row>
    <row r="992" spans="6:6">
      <c r="F992" s="208"/>
    </row>
    <row r="993" spans="6:6">
      <c r="F993" s="208"/>
    </row>
    <row r="994" spans="6:6">
      <c r="F994" s="208"/>
    </row>
    <row r="995" spans="6:6">
      <c r="F995" s="208"/>
    </row>
    <row r="996" spans="6:6">
      <c r="F996" s="208"/>
    </row>
    <row r="997" spans="6:6">
      <c r="F997" s="208"/>
    </row>
    <row r="998" spans="6:6">
      <c r="F998" s="208"/>
    </row>
    <row r="999" spans="6:6">
      <c r="F999" s="208"/>
    </row>
    <row r="1000" spans="6:6">
      <c r="F1000" s="208"/>
    </row>
    <row r="1001" spans="6:6">
      <c r="F1001" s="208"/>
    </row>
    <row r="1002" spans="6:6">
      <c r="F1002" s="208"/>
    </row>
    <row r="1003" spans="6:6">
      <c r="F1003" s="208"/>
    </row>
    <row r="1004" spans="6:6">
      <c r="F1004" s="208"/>
    </row>
    <row r="1005" spans="6:6">
      <c r="F1005" s="208"/>
    </row>
    <row r="1006" spans="6:6">
      <c r="F1006" s="208"/>
    </row>
    <row r="1007" spans="6:6">
      <c r="F1007" s="208"/>
    </row>
    <row r="1008" spans="6:6">
      <c r="F1008" s="208"/>
    </row>
    <row r="1009" spans="6:6">
      <c r="F1009" s="208"/>
    </row>
    <row r="1010" spans="6:6">
      <c r="F1010" s="208"/>
    </row>
    <row r="1011" spans="6:6">
      <c r="F1011" s="208"/>
    </row>
    <row r="1012" spans="6:6">
      <c r="F1012" s="208"/>
    </row>
    <row r="1013" spans="6:6">
      <c r="F1013" s="208"/>
    </row>
    <row r="1014" spans="6:6">
      <c r="F1014" s="208"/>
    </row>
    <row r="1015" spans="6:6">
      <c r="F1015" s="208"/>
    </row>
    <row r="1016" spans="6:6">
      <c r="F1016" s="208"/>
    </row>
    <row r="1017" spans="6:6">
      <c r="F1017" s="208"/>
    </row>
    <row r="1018" spans="6:6">
      <c r="F1018" s="208"/>
    </row>
    <row r="1019" spans="6:6">
      <c r="F1019" s="208"/>
    </row>
    <row r="1020" spans="6:6">
      <c r="F1020" s="208"/>
    </row>
    <row r="1021" spans="6:6">
      <c r="F1021" s="208"/>
    </row>
    <row r="1022" spans="6:6">
      <c r="F1022" s="208"/>
    </row>
    <row r="1023" spans="6:6">
      <c r="F1023" s="208"/>
    </row>
    <row r="1024" spans="6:6">
      <c r="F1024" s="208"/>
    </row>
    <row r="1025" spans="6:6">
      <c r="F1025" s="208"/>
    </row>
    <row r="1026" spans="6:6">
      <c r="F1026" s="208"/>
    </row>
    <row r="1027" spans="6:6">
      <c r="F1027" s="208"/>
    </row>
    <row r="1028" spans="6:6">
      <c r="F1028" s="208"/>
    </row>
    <row r="1029" spans="6:6">
      <c r="F1029" s="208"/>
    </row>
    <row r="1030" spans="6:6">
      <c r="F1030" s="208"/>
    </row>
    <row r="1031" spans="6:6">
      <c r="F1031" s="208"/>
    </row>
    <row r="1032" spans="6:6">
      <c r="F1032" s="208"/>
    </row>
    <row r="1033" spans="6:6">
      <c r="F1033" s="208"/>
    </row>
    <row r="1034" spans="6:6">
      <c r="F1034" s="208"/>
    </row>
    <row r="1035" spans="6:6">
      <c r="F1035" s="208"/>
    </row>
    <row r="1036" spans="6:6">
      <c r="F1036" s="208"/>
    </row>
    <row r="1037" spans="6:6">
      <c r="F1037" s="208"/>
    </row>
    <row r="1038" spans="6:6">
      <c r="F1038" s="208"/>
    </row>
    <row r="1039" spans="6:6">
      <c r="F1039" s="208"/>
    </row>
    <row r="1040" spans="6:6">
      <c r="F1040" s="208"/>
    </row>
    <row r="1041" spans="6:6">
      <c r="F1041" s="208"/>
    </row>
    <row r="1042" spans="6:6">
      <c r="F1042" s="208"/>
    </row>
    <row r="1043" spans="6:6">
      <c r="F1043" s="208"/>
    </row>
    <row r="1044" spans="6:6">
      <c r="F1044" s="208"/>
    </row>
    <row r="1045" spans="6:6">
      <c r="F1045" s="208"/>
    </row>
    <row r="1046" spans="6:6">
      <c r="F1046" s="208"/>
    </row>
    <row r="1047" spans="6:6">
      <c r="F1047" s="208"/>
    </row>
    <row r="1048" spans="6:6">
      <c r="F1048" s="208"/>
    </row>
    <row r="1049" spans="6:6">
      <c r="F1049" s="208"/>
    </row>
    <row r="1050" spans="6:6">
      <c r="F1050" s="208"/>
    </row>
    <row r="1051" spans="6:6">
      <c r="F1051" s="208"/>
    </row>
    <row r="1052" spans="6:6">
      <c r="F1052" s="208"/>
    </row>
    <row r="1053" spans="6:6">
      <c r="F1053" s="208"/>
    </row>
    <row r="1054" spans="6:6">
      <c r="F1054" s="208"/>
    </row>
    <row r="1055" spans="6:6">
      <c r="F1055" s="208"/>
    </row>
    <row r="1056" spans="6:6">
      <c r="F1056" s="208"/>
    </row>
    <row r="1057" spans="6:6">
      <c r="F1057" s="208"/>
    </row>
    <row r="1058" spans="6:6">
      <c r="F1058" s="208"/>
    </row>
    <row r="1059" spans="6:6">
      <c r="F1059" s="208"/>
    </row>
    <row r="1060" spans="6:6">
      <c r="F1060" s="208"/>
    </row>
    <row r="1061" spans="6:6">
      <c r="F1061" s="208"/>
    </row>
    <row r="1062" spans="6:6">
      <c r="F1062" s="208"/>
    </row>
    <row r="1063" spans="6:6">
      <c r="F1063" s="208"/>
    </row>
    <row r="1064" spans="6:6">
      <c r="F1064" s="208"/>
    </row>
    <row r="1065" spans="6:6">
      <c r="F1065" s="208"/>
    </row>
    <row r="1066" spans="6:6">
      <c r="F1066" s="208"/>
    </row>
    <row r="1067" spans="6:6">
      <c r="F1067" s="208"/>
    </row>
    <row r="1068" spans="6:6">
      <c r="F1068" s="208"/>
    </row>
    <row r="1069" spans="6:6">
      <c r="F1069" s="208"/>
    </row>
    <row r="1070" spans="6:6">
      <c r="F1070" s="208"/>
    </row>
    <row r="1071" spans="6:6">
      <c r="F1071" s="208"/>
    </row>
    <row r="1072" spans="6:6">
      <c r="F1072" s="208"/>
    </row>
    <row r="1073" spans="6:6">
      <c r="F1073" s="208"/>
    </row>
    <row r="1074" spans="6:6">
      <c r="F1074" s="208"/>
    </row>
    <row r="1075" spans="6:6">
      <c r="F1075" s="208"/>
    </row>
    <row r="1076" spans="6:6">
      <c r="F1076" s="208"/>
    </row>
    <row r="1077" spans="6:6">
      <c r="F1077" s="208"/>
    </row>
    <row r="1078" spans="6:6">
      <c r="F1078" s="208"/>
    </row>
    <row r="1079" spans="6:6">
      <c r="F1079" s="208"/>
    </row>
    <row r="1080" spans="6:6">
      <c r="F1080" s="208"/>
    </row>
    <row r="1081" spans="6:6">
      <c r="F1081" s="208"/>
    </row>
    <row r="1082" spans="6:6">
      <c r="F1082" s="208"/>
    </row>
    <row r="1083" spans="6:6">
      <c r="F1083" s="208"/>
    </row>
    <row r="1084" spans="6:6">
      <c r="F1084" s="208"/>
    </row>
    <row r="1085" spans="6:6">
      <c r="F1085" s="208"/>
    </row>
    <row r="1086" spans="6:6">
      <c r="F1086" s="208"/>
    </row>
    <row r="1087" spans="6:6">
      <c r="F1087" s="208"/>
    </row>
    <row r="1088" spans="6:6">
      <c r="F1088" s="208"/>
    </row>
    <row r="1089" spans="6:6">
      <c r="F1089" s="208"/>
    </row>
    <row r="1090" spans="6:6">
      <c r="F1090" s="208"/>
    </row>
    <row r="1091" spans="6:6">
      <c r="F1091" s="208"/>
    </row>
    <row r="1092" spans="6:6">
      <c r="F1092" s="208"/>
    </row>
    <row r="1093" spans="6:6">
      <c r="F1093" s="208"/>
    </row>
    <row r="1094" spans="6:6">
      <c r="F1094" s="208"/>
    </row>
    <row r="1095" spans="6:6">
      <c r="F1095" s="208"/>
    </row>
    <row r="1096" spans="6:6">
      <c r="F1096" s="208"/>
    </row>
    <row r="1097" spans="6:6">
      <c r="F1097" s="208"/>
    </row>
    <row r="1098" spans="6:6">
      <c r="F1098" s="208"/>
    </row>
    <row r="1099" spans="6:6">
      <c r="F1099" s="208"/>
    </row>
    <row r="1100" spans="6:6">
      <c r="F1100" s="208"/>
    </row>
    <row r="1101" spans="6:6">
      <c r="F1101" s="208"/>
    </row>
    <row r="1102" spans="6:6">
      <c r="F1102" s="208"/>
    </row>
    <row r="1103" spans="6:6">
      <c r="F1103" s="208"/>
    </row>
    <row r="1104" spans="6:6">
      <c r="F1104" s="208"/>
    </row>
    <row r="1105" spans="6:6">
      <c r="F1105" s="208"/>
    </row>
    <row r="1106" spans="6:6">
      <c r="F1106" s="208"/>
    </row>
    <row r="1107" spans="6:6">
      <c r="F1107" s="208"/>
    </row>
    <row r="1108" spans="6:6">
      <c r="F1108" s="208"/>
    </row>
    <row r="1109" spans="6:6">
      <c r="F1109" s="208"/>
    </row>
    <row r="1110" spans="6:6">
      <c r="F1110" s="208"/>
    </row>
    <row r="1111" spans="6:6">
      <c r="F1111" s="208"/>
    </row>
    <row r="1112" spans="6:6">
      <c r="F1112" s="208"/>
    </row>
    <row r="1113" spans="6:6">
      <c r="F1113" s="208"/>
    </row>
    <row r="1114" spans="6:6">
      <c r="F1114" s="208"/>
    </row>
    <row r="1115" spans="6:6">
      <c r="F1115" s="208"/>
    </row>
    <row r="1116" spans="6:6">
      <c r="F1116" s="208"/>
    </row>
    <row r="1117" spans="6:6">
      <c r="F1117" s="208"/>
    </row>
    <row r="1118" spans="6:6">
      <c r="F1118" s="208"/>
    </row>
    <row r="1119" spans="6:6">
      <c r="F1119" s="208"/>
    </row>
    <row r="1120" spans="6:6">
      <c r="F1120" s="208"/>
    </row>
    <row r="1121" spans="6:6">
      <c r="F1121" s="208"/>
    </row>
    <row r="1122" spans="6:6">
      <c r="F1122" s="208"/>
    </row>
    <row r="1123" spans="6:6">
      <c r="F1123" s="208"/>
    </row>
    <row r="1124" spans="6:6">
      <c r="F1124" s="208"/>
    </row>
    <row r="1125" spans="6:6">
      <c r="F1125" s="208"/>
    </row>
    <row r="1126" spans="6:6">
      <c r="F1126" s="208"/>
    </row>
    <row r="1127" spans="6:6">
      <c r="F1127" s="208"/>
    </row>
    <row r="1128" spans="6:6">
      <c r="F1128" s="208"/>
    </row>
    <row r="1129" spans="6:6">
      <c r="F1129" s="208"/>
    </row>
    <row r="1130" spans="6:6">
      <c r="F1130" s="208"/>
    </row>
    <row r="1131" spans="6:6">
      <c r="F1131" s="208"/>
    </row>
    <row r="1132" spans="6:6">
      <c r="F1132" s="208"/>
    </row>
    <row r="1133" spans="6:6">
      <c r="F1133" s="208"/>
    </row>
    <row r="1134" spans="6:6">
      <c r="F1134" s="208"/>
    </row>
    <row r="1135" spans="6:6">
      <c r="F1135" s="208"/>
    </row>
    <row r="1136" spans="6:6">
      <c r="F1136" s="208"/>
    </row>
    <row r="1137" spans="6:6">
      <c r="F1137" s="208"/>
    </row>
    <row r="1138" spans="6:6">
      <c r="F1138" s="208"/>
    </row>
    <row r="1139" spans="6:6">
      <c r="F1139" s="208"/>
    </row>
    <row r="1140" spans="6:6">
      <c r="F1140" s="208"/>
    </row>
    <row r="1141" spans="6:6">
      <c r="F1141" s="208"/>
    </row>
    <row r="1142" spans="6:6">
      <c r="F1142" s="208"/>
    </row>
    <row r="1143" spans="6:6">
      <c r="F1143" s="208"/>
    </row>
    <row r="1144" spans="6:6">
      <c r="F1144" s="208"/>
    </row>
    <row r="1145" spans="6:6">
      <c r="F1145" s="208"/>
    </row>
    <row r="1146" spans="6:6">
      <c r="F1146" s="208"/>
    </row>
    <row r="1147" spans="6:6">
      <c r="F1147" s="208"/>
    </row>
    <row r="1148" spans="6:6">
      <c r="F1148" s="208"/>
    </row>
    <row r="1149" spans="6:6">
      <c r="F1149" s="208"/>
    </row>
    <row r="1150" spans="6:6">
      <c r="F1150" s="208"/>
    </row>
    <row r="1151" spans="6:6">
      <c r="F1151" s="208"/>
    </row>
    <row r="1152" spans="6:6">
      <c r="F1152" s="208"/>
    </row>
    <row r="1153" spans="6:6">
      <c r="F1153" s="208"/>
    </row>
    <row r="1154" spans="6:6">
      <c r="F1154" s="208"/>
    </row>
    <row r="1155" spans="6:6">
      <c r="F1155" s="208"/>
    </row>
    <row r="1156" spans="6:6">
      <c r="F1156" s="208"/>
    </row>
    <row r="1157" spans="6:6">
      <c r="F1157" s="208"/>
    </row>
    <row r="1158" spans="6:6">
      <c r="F1158" s="208"/>
    </row>
    <row r="1159" spans="6:6">
      <c r="F1159" s="208"/>
    </row>
    <row r="1160" spans="6:6">
      <c r="F1160" s="208"/>
    </row>
    <row r="1161" spans="6:6">
      <c r="F1161" s="208"/>
    </row>
    <row r="1162" spans="6:6">
      <c r="F1162" s="208"/>
    </row>
    <row r="1163" spans="6:6">
      <c r="F1163" s="208"/>
    </row>
    <row r="1164" spans="6:6">
      <c r="F1164" s="208"/>
    </row>
    <row r="1165" spans="6:6">
      <c r="F1165" s="208"/>
    </row>
    <row r="1166" spans="6:6">
      <c r="F1166" s="208"/>
    </row>
    <row r="1167" spans="6:6">
      <c r="F1167" s="208"/>
    </row>
    <row r="1168" spans="6:6">
      <c r="F1168" s="208"/>
    </row>
    <row r="1169" spans="6:6">
      <c r="F1169" s="208"/>
    </row>
    <row r="1170" spans="6:6">
      <c r="F1170" s="208"/>
    </row>
    <row r="1171" spans="6:6">
      <c r="F1171" s="208"/>
    </row>
    <row r="1172" spans="6:6">
      <c r="F1172" s="208"/>
    </row>
    <row r="1173" spans="6:6">
      <c r="F1173" s="208"/>
    </row>
    <row r="1174" spans="6:6">
      <c r="F1174" s="208"/>
    </row>
    <row r="1175" spans="6:6">
      <c r="F1175" s="208"/>
    </row>
    <row r="1176" spans="6:6">
      <c r="F1176" s="208"/>
    </row>
    <row r="1177" spans="6:6">
      <c r="F1177" s="208"/>
    </row>
    <row r="1178" spans="6:6">
      <c r="F1178" s="208"/>
    </row>
    <row r="1179" spans="6:6">
      <c r="F1179" s="208"/>
    </row>
    <row r="1180" spans="6:6">
      <c r="F1180" s="208"/>
    </row>
    <row r="1181" spans="6:6">
      <c r="F1181" s="208"/>
    </row>
    <row r="1182" spans="6:6">
      <c r="F1182" s="208"/>
    </row>
    <row r="1183" spans="6:6">
      <c r="F1183" s="208"/>
    </row>
    <row r="1184" spans="6:6">
      <c r="F1184" s="208"/>
    </row>
    <row r="1185" spans="6:6">
      <c r="F1185" s="208"/>
    </row>
    <row r="1186" spans="6:6">
      <c r="F1186" s="208"/>
    </row>
    <row r="1187" spans="6:6">
      <c r="F1187" s="208"/>
    </row>
    <row r="1188" spans="6:6">
      <c r="F1188" s="208"/>
    </row>
    <row r="1189" spans="6:6">
      <c r="F1189" s="208"/>
    </row>
    <row r="1190" spans="6:6">
      <c r="F1190" s="208"/>
    </row>
    <row r="1191" spans="6:6">
      <c r="F1191" s="208"/>
    </row>
    <row r="1192" spans="6:6">
      <c r="F1192" s="208"/>
    </row>
    <row r="1193" spans="6:6">
      <c r="F1193" s="208"/>
    </row>
    <row r="1194" spans="6:6">
      <c r="F1194" s="208"/>
    </row>
    <row r="1195" spans="6:6">
      <c r="F1195" s="208"/>
    </row>
    <row r="1196" spans="6:6">
      <c r="F1196" s="208"/>
    </row>
    <row r="1197" spans="6:6">
      <c r="F1197" s="208"/>
    </row>
    <row r="1198" spans="6:6">
      <c r="F1198" s="208"/>
    </row>
    <row r="1199" spans="6:6">
      <c r="F1199" s="208"/>
    </row>
    <row r="1200" spans="6:6">
      <c r="F1200" s="208"/>
    </row>
    <row r="1201" spans="6:6">
      <c r="F1201" s="208"/>
    </row>
    <row r="1202" spans="6:6">
      <c r="F1202" s="208"/>
    </row>
    <row r="1203" spans="6:6">
      <c r="F1203" s="208"/>
    </row>
    <row r="1204" spans="6:6">
      <c r="F1204" s="208"/>
    </row>
    <row r="1205" spans="6:6">
      <c r="F1205" s="208"/>
    </row>
    <row r="1206" spans="6:6">
      <c r="F1206" s="208"/>
    </row>
    <row r="1207" spans="6:6">
      <c r="F1207" s="208"/>
    </row>
    <row r="1208" spans="6:6">
      <c r="F1208" s="208"/>
    </row>
    <row r="1209" spans="6:6">
      <c r="F1209" s="208"/>
    </row>
    <row r="1210" spans="6:6">
      <c r="F1210" s="208"/>
    </row>
    <row r="1211" spans="6:6">
      <c r="F1211" s="208"/>
    </row>
    <row r="1212" spans="6:6">
      <c r="F1212" s="208"/>
    </row>
    <row r="1213" spans="6:6">
      <c r="F1213" s="208"/>
    </row>
    <row r="1214" spans="6:6">
      <c r="F1214" s="208"/>
    </row>
    <row r="1215" spans="6:6">
      <c r="F1215" s="208"/>
    </row>
    <row r="1216" spans="6:6">
      <c r="F1216" s="208"/>
    </row>
    <row r="1217" spans="6:6">
      <c r="F1217" s="208"/>
    </row>
    <row r="1218" spans="6:6">
      <c r="F1218" s="208"/>
    </row>
    <row r="1219" spans="6:6">
      <c r="F1219" s="208"/>
    </row>
    <row r="1220" spans="6:6">
      <c r="F1220" s="208"/>
    </row>
    <row r="1221" spans="6:6">
      <c r="F1221" s="208"/>
    </row>
    <row r="1222" spans="6:6">
      <c r="F1222" s="208"/>
    </row>
    <row r="1223" spans="6:6">
      <c r="F1223" s="208"/>
    </row>
    <row r="1224" spans="6:6">
      <c r="F1224" s="208"/>
    </row>
    <row r="1225" spans="6:6">
      <c r="F1225" s="208"/>
    </row>
    <row r="1226" spans="6:6">
      <c r="F1226" s="208"/>
    </row>
    <row r="1227" spans="6:6">
      <c r="F1227" s="208"/>
    </row>
    <row r="1228" spans="6:6">
      <c r="F1228" s="208"/>
    </row>
    <row r="1229" spans="6:6">
      <c r="F1229" s="208"/>
    </row>
    <row r="1230" spans="6:6">
      <c r="F1230" s="208"/>
    </row>
    <row r="1231" spans="6:6">
      <c r="F1231" s="208"/>
    </row>
    <row r="1232" spans="6:6">
      <c r="F1232" s="208"/>
    </row>
    <row r="1233" spans="6:6">
      <c r="F1233" s="208"/>
    </row>
    <row r="1234" spans="6:6">
      <c r="F1234" s="208"/>
    </row>
    <row r="1235" spans="6:6">
      <c r="F1235" s="208"/>
    </row>
    <row r="1236" spans="6:6">
      <c r="F1236" s="208"/>
    </row>
    <row r="1237" spans="6:6">
      <c r="F1237" s="208"/>
    </row>
    <row r="1238" spans="6:6">
      <c r="F1238" s="208"/>
    </row>
    <row r="1239" spans="6:6">
      <c r="F1239" s="208"/>
    </row>
    <row r="1240" spans="6:6">
      <c r="F1240" s="208"/>
    </row>
    <row r="1241" spans="6:6">
      <c r="F1241" s="208"/>
    </row>
    <row r="1242" spans="6:6">
      <c r="F1242" s="208"/>
    </row>
    <row r="1243" spans="6:6">
      <c r="F1243" s="208"/>
    </row>
    <row r="1244" spans="6:6">
      <c r="F1244" s="208"/>
    </row>
    <row r="1245" spans="6:6">
      <c r="F1245" s="208"/>
    </row>
    <row r="1246" spans="6:6">
      <c r="F1246" s="208"/>
    </row>
    <row r="1247" spans="6:6">
      <c r="F1247" s="208"/>
    </row>
    <row r="1248" spans="6:6">
      <c r="F1248" s="208"/>
    </row>
    <row r="1249" spans="6:6">
      <c r="F1249" s="208"/>
    </row>
    <row r="1250" spans="6:6">
      <c r="F1250" s="208"/>
    </row>
    <row r="1251" spans="6:6">
      <c r="F1251" s="208"/>
    </row>
    <row r="1252" spans="6:6">
      <c r="F1252" s="208"/>
    </row>
    <row r="1253" spans="6:6">
      <c r="F1253" s="208"/>
    </row>
    <row r="1254" spans="6:6">
      <c r="F1254" s="208"/>
    </row>
    <row r="1255" spans="6:6">
      <c r="F1255" s="208"/>
    </row>
    <row r="1256" spans="6:6">
      <c r="F1256" s="208"/>
    </row>
    <row r="1257" spans="6:6">
      <c r="F1257" s="208"/>
    </row>
    <row r="1258" spans="6:6">
      <c r="F1258" s="208"/>
    </row>
    <row r="1259" spans="6:6">
      <c r="F1259" s="208"/>
    </row>
    <row r="1260" spans="6:6">
      <c r="F1260" s="208"/>
    </row>
    <row r="1261" spans="6:6">
      <c r="F1261" s="208"/>
    </row>
    <row r="1262" spans="6:6">
      <c r="F1262" s="208"/>
    </row>
    <row r="1263" spans="6:6">
      <c r="F1263" s="208"/>
    </row>
    <row r="1264" spans="6:6">
      <c r="F1264" s="208"/>
    </row>
    <row r="1265" spans="6:6">
      <c r="F1265" s="208"/>
    </row>
    <row r="1266" spans="6:6">
      <c r="F1266" s="208"/>
    </row>
    <row r="1267" spans="6:6">
      <c r="F1267" s="208"/>
    </row>
    <row r="1268" spans="6:6">
      <c r="F1268" s="208"/>
    </row>
    <row r="1269" spans="6:6">
      <c r="F1269" s="208"/>
    </row>
    <row r="1270" spans="6:6">
      <c r="F1270" s="208"/>
    </row>
    <row r="1271" spans="6:6">
      <c r="F1271" s="208"/>
    </row>
    <row r="1272" spans="6:6">
      <c r="F1272" s="208"/>
    </row>
    <row r="1273" spans="6:6">
      <c r="F1273" s="208"/>
    </row>
    <row r="1274" spans="6:6">
      <c r="F1274" s="208"/>
    </row>
    <row r="1275" spans="6:6">
      <c r="F1275" s="208"/>
    </row>
    <row r="1276" spans="6:6">
      <c r="F1276" s="208"/>
    </row>
    <row r="1277" spans="6:6">
      <c r="F1277" s="208"/>
    </row>
    <row r="1278" spans="6:6">
      <c r="F1278" s="208"/>
    </row>
    <row r="1279" spans="6:6">
      <c r="F1279" s="208"/>
    </row>
    <row r="1280" spans="6:6">
      <c r="F1280" s="208"/>
    </row>
    <row r="1281" spans="6:6">
      <c r="F1281" s="208"/>
    </row>
    <row r="1282" spans="6:6">
      <c r="F1282" s="208"/>
    </row>
    <row r="1283" spans="6:6">
      <c r="F1283" s="208"/>
    </row>
    <row r="1284" spans="6:6">
      <c r="F1284" s="208"/>
    </row>
    <row r="1285" spans="6:6">
      <c r="F1285" s="208"/>
    </row>
    <row r="1286" spans="6:6">
      <c r="F1286" s="208"/>
    </row>
    <row r="1287" spans="6:6">
      <c r="F1287" s="208"/>
    </row>
    <row r="1288" spans="6:6">
      <c r="F1288" s="208"/>
    </row>
    <row r="1289" spans="6:6">
      <c r="F1289" s="208"/>
    </row>
    <row r="1290" spans="6:6">
      <c r="F1290" s="208"/>
    </row>
    <row r="1291" spans="6:6">
      <c r="F1291" s="208"/>
    </row>
    <row r="1292" spans="6:6">
      <c r="F1292" s="208"/>
    </row>
    <row r="1293" spans="6:6">
      <c r="F1293" s="208"/>
    </row>
    <row r="1294" spans="6:6">
      <c r="F1294" s="208"/>
    </row>
    <row r="1295" spans="6:6">
      <c r="F1295" s="208"/>
    </row>
    <row r="1296" spans="6:6">
      <c r="F1296" s="208"/>
    </row>
    <row r="1297" spans="6:6">
      <c r="F1297" s="208"/>
    </row>
    <row r="1298" spans="6:6">
      <c r="F1298" s="208"/>
    </row>
    <row r="1299" spans="6:6">
      <c r="F1299" s="208"/>
    </row>
    <row r="1300" spans="6:6">
      <c r="F1300" s="208"/>
    </row>
    <row r="1301" spans="6:6">
      <c r="F1301" s="208"/>
    </row>
    <row r="1302" spans="6:6">
      <c r="F1302" s="208"/>
    </row>
    <row r="1303" spans="6:6">
      <c r="F1303" s="208"/>
    </row>
    <row r="1304" spans="6:6">
      <c r="F1304" s="208"/>
    </row>
    <row r="1305" spans="6:6">
      <c r="F1305" s="208"/>
    </row>
    <row r="1306" spans="6:6">
      <c r="F1306" s="208"/>
    </row>
    <row r="1307" spans="6:6">
      <c r="F1307" s="208"/>
    </row>
    <row r="1308" spans="6:6">
      <c r="F1308" s="208"/>
    </row>
    <row r="1309" spans="6:6">
      <c r="F1309" s="208"/>
    </row>
    <row r="1310" spans="6:6">
      <c r="F1310" s="208"/>
    </row>
    <row r="1311" spans="6:6">
      <c r="F1311" s="208"/>
    </row>
    <row r="1312" spans="6:6">
      <c r="F1312" s="208"/>
    </row>
    <row r="1313" spans="6:6">
      <c r="F1313" s="208"/>
    </row>
    <row r="1314" spans="6:6">
      <c r="F1314" s="208"/>
    </row>
    <row r="1315" spans="6:6">
      <c r="F1315" s="208"/>
    </row>
    <row r="1316" spans="6:6">
      <c r="F1316" s="208"/>
    </row>
    <row r="1317" spans="6:6">
      <c r="F1317" s="208"/>
    </row>
    <row r="1318" spans="6:6">
      <c r="F1318" s="208"/>
    </row>
    <row r="1319" spans="6:6">
      <c r="F1319" s="208"/>
    </row>
    <row r="1320" spans="6:6">
      <c r="F1320" s="208"/>
    </row>
    <row r="1321" spans="6:6">
      <c r="F1321" s="208"/>
    </row>
    <row r="1322" spans="6:6">
      <c r="F1322" s="208"/>
    </row>
    <row r="1323" spans="6:6">
      <c r="F1323" s="208"/>
    </row>
    <row r="1324" spans="6:6">
      <c r="F1324" s="208"/>
    </row>
    <row r="1325" spans="6:6">
      <c r="F1325" s="208"/>
    </row>
    <row r="1326" spans="6:6">
      <c r="F1326" s="208"/>
    </row>
    <row r="1327" spans="6:6">
      <c r="F1327" s="208"/>
    </row>
    <row r="1328" spans="6:6">
      <c r="F1328" s="208"/>
    </row>
    <row r="1329" spans="6:6">
      <c r="F1329" s="208"/>
    </row>
    <row r="1330" spans="6:6">
      <c r="F1330" s="208"/>
    </row>
    <row r="1331" spans="6:6">
      <c r="F1331" s="208"/>
    </row>
    <row r="1332" spans="6:6">
      <c r="F1332" s="208"/>
    </row>
    <row r="1333" spans="6:6">
      <c r="F1333" s="208"/>
    </row>
    <row r="1334" spans="6:6">
      <c r="F1334" s="208"/>
    </row>
    <row r="1335" spans="6:6">
      <c r="F1335" s="208"/>
    </row>
    <row r="1336" spans="6:6">
      <c r="F1336" s="208"/>
    </row>
    <row r="1337" spans="6:6">
      <c r="F1337" s="208"/>
    </row>
    <row r="1338" spans="6:6">
      <c r="F1338" s="208"/>
    </row>
    <row r="1339" spans="6:6">
      <c r="F1339" s="208"/>
    </row>
    <row r="1340" spans="6:6">
      <c r="F1340" s="208"/>
    </row>
    <row r="1341" spans="6:6">
      <c r="F1341" s="208"/>
    </row>
    <row r="1342" spans="6:6">
      <c r="F1342" s="208"/>
    </row>
    <row r="1343" spans="6:6">
      <c r="F1343" s="208"/>
    </row>
    <row r="1344" spans="6:6">
      <c r="F1344" s="208"/>
    </row>
    <row r="1345" spans="6:6">
      <c r="F1345" s="208"/>
    </row>
    <row r="1346" spans="6:6">
      <c r="F1346" s="208"/>
    </row>
    <row r="1347" spans="6:6">
      <c r="F1347" s="208"/>
    </row>
    <row r="1348" spans="6:6">
      <c r="F1348" s="208"/>
    </row>
    <row r="1349" spans="6:6">
      <c r="F1349" s="208"/>
    </row>
    <row r="1350" spans="6:6">
      <c r="F1350" s="208"/>
    </row>
    <row r="1351" spans="6:6">
      <c r="F1351" s="208"/>
    </row>
    <row r="1352" spans="6:6">
      <c r="F1352" s="208"/>
    </row>
    <row r="1353" spans="6:6">
      <c r="F1353" s="208"/>
    </row>
    <row r="1354" spans="6:6">
      <c r="F1354" s="208"/>
    </row>
    <row r="1355" spans="6:6">
      <c r="F1355" s="208"/>
    </row>
    <row r="1356" spans="6:6">
      <c r="F1356" s="208"/>
    </row>
    <row r="1357" spans="6:6">
      <c r="F1357" s="208"/>
    </row>
    <row r="1358" spans="6:6">
      <c r="F1358" s="208"/>
    </row>
    <row r="1359" spans="6:6">
      <c r="F1359" s="208"/>
    </row>
    <row r="1360" spans="6:6">
      <c r="F1360" s="208"/>
    </row>
    <row r="1361" spans="6:6">
      <c r="F1361" s="208"/>
    </row>
    <row r="1362" spans="6:6">
      <c r="F1362" s="208"/>
    </row>
    <row r="1363" spans="6:6">
      <c r="F1363" s="208"/>
    </row>
    <row r="1364" spans="6:6">
      <c r="F1364" s="208"/>
    </row>
    <row r="1365" spans="6:6">
      <c r="F1365" s="208"/>
    </row>
    <row r="1366" spans="6:6">
      <c r="F1366" s="208"/>
    </row>
    <row r="1367" spans="6:6">
      <c r="F1367" s="208"/>
    </row>
    <row r="1368" spans="6:6">
      <c r="F1368" s="208"/>
    </row>
    <row r="1369" spans="6:6">
      <c r="F1369" s="208"/>
    </row>
    <row r="1370" spans="6:6">
      <c r="F1370" s="208"/>
    </row>
    <row r="1371" spans="6:6">
      <c r="F1371" s="208"/>
    </row>
    <row r="1372" spans="6:6">
      <c r="F1372" s="208"/>
    </row>
    <row r="1373" spans="6:6">
      <c r="F1373" s="208"/>
    </row>
    <row r="1374" spans="6:6">
      <c r="F1374" s="208"/>
    </row>
    <row r="1375" spans="6:6">
      <c r="F1375" s="208"/>
    </row>
    <row r="1376" spans="6:6">
      <c r="F1376" s="208"/>
    </row>
    <row r="1377" spans="6:6">
      <c r="F1377" s="208"/>
    </row>
    <row r="1378" spans="6:6">
      <c r="F1378" s="208"/>
    </row>
    <row r="1379" spans="6:6">
      <c r="F1379" s="208"/>
    </row>
    <row r="1380" spans="6:6">
      <c r="F1380" s="208"/>
    </row>
    <row r="1381" spans="6:6">
      <c r="F1381" s="208"/>
    </row>
    <row r="1382" spans="6:6">
      <c r="F1382" s="208"/>
    </row>
    <row r="1383" spans="6:6">
      <c r="F1383" s="208"/>
    </row>
    <row r="1384" spans="6:6">
      <c r="F1384" s="208"/>
    </row>
    <row r="1385" spans="6:6">
      <c r="F1385" s="208"/>
    </row>
    <row r="1386" spans="6:6">
      <c r="F1386" s="208"/>
    </row>
    <row r="1387" spans="6:6">
      <c r="F1387" s="208"/>
    </row>
    <row r="1388" spans="6:6">
      <c r="F1388" s="208"/>
    </row>
    <row r="1389" spans="6:6">
      <c r="F1389" s="208"/>
    </row>
    <row r="1390" spans="6:6">
      <c r="F1390" s="208"/>
    </row>
    <row r="1391" spans="6:6">
      <c r="F1391" s="208"/>
    </row>
    <row r="1392" spans="6:6">
      <c r="F1392" s="208"/>
    </row>
    <row r="1393" spans="6:6">
      <c r="F1393" s="208"/>
    </row>
    <row r="1394" spans="6:6">
      <c r="F1394" s="208"/>
    </row>
    <row r="1395" spans="6:6">
      <c r="F1395" s="208"/>
    </row>
    <row r="1396" spans="6:6">
      <c r="F1396" s="208"/>
    </row>
    <row r="1397" spans="6:6">
      <c r="F1397" s="208"/>
    </row>
    <row r="1398" spans="6:6">
      <c r="F1398" s="208"/>
    </row>
    <row r="1399" spans="6:6">
      <c r="F1399" s="208"/>
    </row>
    <row r="1400" spans="6:6">
      <c r="F1400" s="208"/>
    </row>
    <row r="1401" spans="6:6">
      <c r="F1401" s="208"/>
    </row>
    <row r="1402" spans="6:6">
      <c r="F1402" s="208"/>
    </row>
    <row r="1403" spans="6:6">
      <c r="F1403" s="208"/>
    </row>
    <row r="1404" spans="6:6">
      <c r="F1404" s="208"/>
    </row>
    <row r="1405" spans="6:6">
      <c r="F1405" s="208"/>
    </row>
    <row r="1406" spans="6:6">
      <c r="F1406" s="208"/>
    </row>
    <row r="1407" spans="6:6">
      <c r="F1407" s="208"/>
    </row>
    <row r="1408" spans="6:6">
      <c r="F1408" s="208"/>
    </row>
    <row r="1409" spans="6:6">
      <c r="F1409" s="208"/>
    </row>
    <row r="1410" spans="6:6">
      <c r="F1410" s="208"/>
    </row>
    <row r="1411" spans="6:6">
      <c r="F1411" s="208"/>
    </row>
    <row r="1412" spans="6:6">
      <c r="F1412" s="208"/>
    </row>
    <row r="1413" spans="6:6">
      <c r="F1413" s="208"/>
    </row>
    <row r="1414" spans="6:6">
      <c r="F1414" s="208"/>
    </row>
    <row r="1415" spans="6:6">
      <c r="F1415" s="208"/>
    </row>
    <row r="1416" spans="6:6">
      <c r="F1416" s="208"/>
    </row>
    <row r="1417" spans="6:6">
      <c r="F1417" s="208"/>
    </row>
    <row r="1418" spans="6:6">
      <c r="F1418" s="208"/>
    </row>
    <row r="1419" spans="6:6">
      <c r="F1419" s="208"/>
    </row>
    <row r="1420" spans="6:6">
      <c r="F1420" s="208"/>
    </row>
    <row r="1421" spans="6:6">
      <c r="F1421" s="208"/>
    </row>
    <row r="1422" spans="6:6">
      <c r="F1422" s="208"/>
    </row>
    <row r="1423" spans="6:6">
      <c r="F1423" s="208"/>
    </row>
    <row r="1424" spans="6:6">
      <c r="F1424" s="208"/>
    </row>
    <row r="1425" spans="6:6">
      <c r="F1425" s="208"/>
    </row>
    <row r="1426" spans="6:6">
      <c r="F1426" s="208"/>
    </row>
    <row r="1427" spans="6:6">
      <c r="F1427" s="208"/>
    </row>
    <row r="1428" spans="6:6">
      <c r="F1428" s="208"/>
    </row>
    <row r="1429" spans="6:6">
      <c r="F1429" s="208"/>
    </row>
    <row r="1430" spans="6:6">
      <c r="F1430" s="208"/>
    </row>
    <row r="1431" spans="6:6">
      <c r="F1431" s="208"/>
    </row>
    <row r="1432" spans="6:6">
      <c r="F1432" s="208"/>
    </row>
    <row r="1433" spans="6:6">
      <c r="F1433" s="208"/>
    </row>
    <row r="1434" spans="6:6">
      <c r="F1434" s="208"/>
    </row>
    <row r="1435" spans="6:6">
      <c r="F1435" s="208"/>
    </row>
    <row r="1436" spans="6:6">
      <c r="F1436" s="208"/>
    </row>
    <row r="1437" spans="6:6">
      <c r="F1437" s="208"/>
    </row>
    <row r="1438" spans="6:6">
      <c r="F1438" s="208"/>
    </row>
    <row r="1439" spans="6:6">
      <c r="F1439" s="208"/>
    </row>
    <row r="1440" spans="6:6">
      <c r="F1440" s="208"/>
    </row>
    <row r="1441" spans="6:6">
      <c r="F1441" s="208"/>
    </row>
    <row r="1442" spans="6:6">
      <c r="F1442" s="208"/>
    </row>
    <row r="1443" spans="6:6">
      <c r="F1443" s="208"/>
    </row>
    <row r="1444" spans="6:6">
      <c r="F1444" s="208"/>
    </row>
    <row r="1445" spans="6:6">
      <c r="F1445" s="208"/>
    </row>
    <row r="1446" spans="6:6">
      <c r="F1446" s="208"/>
    </row>
    <row r="1447" spans="6:6">
      <c r="F1447" s="208"/>
    </row>
    <row r="1448" spans="6:6">
      <c r="F1448" s="208"/>
    </row>
    <row r="1449" spans="6:6">
      <c r="F1449" s="208"/>
    </row>
    <row r="1450" spans="6:6">
      <c r="F1450" s="208"/>
    </row>
    <row r="1451" spans="6:6">
      <c r="F1451" s="208"/>
    </row>
    <row r="1452" spans="6:6">
      <c r="F1452" s="208"/>
    </row>
    <row r="1453" spans="6:6">
      <c r="F1453" s="208"/>
    </row>
    <row r="1454" spans="6:6">
      <c r="F1454" s="208"/>
    </row>
    <row r="1455" spans="6:6">
      <c r="F1455" s="208"/>
    </row>
    <row r="1456" spans="6:6">
      <c r="F1456" s="208"/>
    </row>
    <row r="1457" spans="6:6">
      <c r="F1457" s="208"/>
    </row>
    <row r="1458" spans="6:6">
      <c r="F1458" s="208"/>
    </row>
    <row r="1459" spans="6:6">
      <c r="F1459" s="208"/>
    </row>
    <row r="1460" spans="6:6">
      <c r="F1460" s="208"/>
    </row>
    <row r="1461" spans="6:6">
      <c r="F1461" s="208"/>
    </row>
    <row r="1462" spans="6:6">
      <c r="F1462" s="208"/>
    </row>
    <row r="1463" spans="6:6">
      <c r="F1463" s="208"/>
    </row>
    <row r="1464" spans="6:6">
      <c r="F1464" s="208"/>
    </row>
    <row r="1465" spans="6:6">
      <c r="F1465" s="208"/>
    </row>
    <row r="1466" spans="6:6">
      <c r="F1466" s="208"/>
    </row>
    <row r="1467" spans="6:6">
      <c r="F1467" s="208"/>
    </row>
    <row r="1468" spans="6:6">
      <c r="F1468" s="208"/>
    </row>
    <row r="1469" spans="6:6">
      <c r="F1469" s="208"/>
    </row>
    <row r="1470" spans="6:6">
      <c r="F1470" s="208"/>
    </row>
    <row r="1471" spans="6:6">
      <c r="F1471" s="208"/>
    </row>
    <row r="1472" spans="6:6">
      <c r="F1472" s="208"/>
    </row>
    <row r="1473" spans="6:6">
      <c r="F1473" s="208"/>
    </row>
    <row r="1474" spans="6:6">
      <c r="F1474" s="208"/>
    </row>
    <row r="1475" spans="6:6">
      <c r="F1475" s="208"/>
    </row>
    <row r="1476" spans="6:6">
      <c r="F1476" s="208"/>
    </row>
    <row r="1477" spans="6:6">
      <c r="F1477" s="208"/>
    </row>
    <row r="1478" spans="6:6">
      <c r="F1478" s="208"/>
    </row>
    <row r="1479" spans="6:6">
      <c r="F1479" s="208"/>
    </row>
    <row r="1480" spans="6:6">
      <c r="F1480" s="208"/>
    </row>
    <row r="1481" spans="6:6">
      <c r="F1481" s="208"/>
    </row>
    <row r="1482" spans="6:6">
      <c r="F1482" s="208"/>
    </row>
    <row r="1483" spans="6:6">
      <c r="F1483" s="208"/>
    </row>
    <row r="1484" spans="6:6">
      <c r="F1484" s="208"/>
    </row>
    <row r="1485" spans="6:6">
      <c r="F1485" s="208"/>
    </row>
    <row r="1486" spans="6:6">
      <c r="F1486" s="208"/>
    </row>
    <row r="1487" spans="6:6">
      <c r="F1487" s="208"/>
    </row>
    <row r="1488" spans="6:6">
      <c r="F1488" s="208"/>
    </row>
    <row r="1489" spans="6:6">
      <c r="F1489" s="208"/>
    </row>
    <row r="1490" spans="6:6">
      <c r="F1490" s="208"/>
    </row>
    <row r="1491" spans="6:6">
      <c r="F1491" s="208"/>
    </row>
    <row r="1492" spans="6:6">
      <c r="F1492" s="208"/>
    </row>
    <row r="1493" spans="6:6">
      <c r="F1493" s="208"/>
    </row>
    <row r="1494" spans="6:6">
      <c r="F1494" s="208"/>
    </row>
    <row r="1495" spans="6:6">
      <c r="F1495" s="208"/>
    </row>
    <row r="1496" spans="6:6">
      <c r="F1496" s="208"/>
    </row>
    <row r="1497" spans="6:6">
      <c r="F1497" s="208"/>
    </row>
    <row r="1498" spans="6:6">
      <c r="F1498" s="208"/>
    </row>
    <row r="1499" spans="6:6">
      <c r="F1499" s="208"/>
    </row>
    <row r="1500" spans="6:6">
      <c r="F1500" s="208"/>
    </row>
    <row r="1501" spans="6:6">
      <c r="F1501" s="208"/>
    </row>
    <row r="1502" spans="6:6">
      <c r="F1502" s="208"/>
    </row>
    <row r="1503" spans="6:6">
      <c r="F1503" s="208"/>
    </row>
    <row r="1504" spans="6:6">
      <c r="F1504" s="208"/>
    </row>
    <row r="1505" spans="6:6">
      <c r="F1505" s="208"/>
    </row>
    <row r="1506" spans="6:6">
      <c r="F1506" s="208"/>
    </row>
    <row r="1507" spans="6:6">
      <c r="F1507" s="208"/>
    </row>
    <row r="1508" spans="6:6">
      <c r="F1508" s="208"/>
    </row>
    <row r="1509" spans="6:6">
      <c r="F1509" s="208"/>
    </row>
    <row r="1510" spans="6:6">
      <c r="F1510" s="208"/>
    </row>
    <row r="1511" spans="6:6">
      <c r="F1511" s="208"/>
    </row>
    <row r="1512" spans="6:6">
      <c r="F1512" s="208"/>
    </row>
    <row r="1513" spans="6:6">
      <c r="F1513" s="208"/>
    </row>
    <row r="1514" spans="6:6">
      <c r="F1514" s="208"/>
    </row>
    <row r="1515" spans="6:6">
      <c r="F1515" s="208"/>
    </row>
    <row r="1516" spans="6:6">
      <c r="F1516" s="208"/>
    </row>
    <row r="1517" spans="6:6">
      <c r="F1517" s="208"/>
    </row>
    <row r="1518" spans="6:6">
      <c r="F1518" s="208"/>
    </row>
    <row r="1519" spans="6:6">
      <c r="F1519" s="208"/>
    </row>
    <row r="1520" spans="6:6">
      <c r="F1520" s="208"/>
    </row>
    <row r="1521" spans="6:6">
      <c r="F1521" s="208"/>
    </row>
    <row r="1522" spans="6:6">
      <c r="F1522" s="208"/>
    </row>
    <row r="1523" spans="6:6">
      <c r="F1523" s="208"/>
    </row>
    <row r="1524" spans="6:6">
      <c r="F1524" s="208"/>
    </row>
    <row r="1525" spans="6:6">
      <c r="F1525" s="208"/>
    </row>
    <row r="1526" spans="6:6">
      <c r="F1526" s="208"/>
    </row>
    <row r="1527" spans="6:6">
      <c r="F1527" s="208"/>
    </row>
    <row r="1528" spans="6:6">
      <c r="F1528" s="208"/>
    </row>
    <row r="1529" spans="6:6">
      <c r="F1529" s="208"/>
    </row>
    <row r="1530" spans="6:6">
      <c r="F1530" s="208"/>
    </row>
    <row r="1531" spans="6:6">
      <c r="F1531" s="208"/>
    </row>
    <row r="1532" spans="6:6">
      <c r="F1532" s="208"/>
    </row>
    <row r="1533" spans="6:6">
      <c r="F1533" s="208"/>
    </row>
    <row r="1534" spans="6:6">
      <c r="F1534" s="208"/>
    </row>
    <row r="1535" spans="6:6">
      <c r="F1535" s="208"/>
    </row>
    <row r="1536" spans="6:6">
      <c r="F1536" s="208"/>
    </row>
    <row r="1537" spans="6:6">
      <c r="F1537" s="208"/>
    </row>
    <row r="1538" spans="6:6">
      <c r="F1538" s="208"/>
    </row>
    <row r="1539" spans="6:6">
      <c r="F1539" s="208"/>
    </row>
    <row r="1540" spans="6:6">
      <c r="F1540" s="208"/>
    </row>
    <row r="1541" spans="6:6">
      <c r="F1541" s="208"/>
    </row>
    <row r="1542" spans="6:6">
      <c r="F1542" s="208"/>
    </row>
    <row r="1543" spans="6:6">
      <c r="F1543" s="208"/>
    </row>
    <row r="1544" spans="6:6">
      <c r="F1544" s="208"/>
    </row>
    <row r="1545" spans="6:6">
      <c r="F1545" s="208"/>
    </row>
    <row r="1546" spans="6:6">
      <c r="F1546" s="208"/>
    </row>
    <row r="1547" spans="6:6">
      <c r="F1547" s="208"/>
    </row>
    <row r="1548" spans="6:6">
      <c r="F1548" s="208"/>
    </row>
    <row r="1549" spans="6:6">
      <c r="F1549" s="208"/>
    </row>
    <row r="1550" spans="6:6">
      <c r="F1550" s="208"/>
    </row>
    <row r="1551" spans="6:6">
      <c r="F1551" s="208"/>
    </row>
    <row r="1552" spans="6:6">
      <c r="F1552" s="208"/>
    </row>
    <row r="1553" spans="6:6">
      <c r="F1553" s="208"/>
    </row>
    <row r="1554" spans="6:6">
      <c r="F1554" s="208"/>
    </row>
    <row r="1555" spans="6:6">
      <c r="F1555" s="208"/>
    </row>
    <row r="1556" spans="6:6">
      <c r="F1556" s="208"/>
    </row>
    <row r="1557" spans="6:6">
      <c r="F1557" s="208"/>
    </row>
    <row r="1558" spans="6:6">
      <c r="F1558" s="208"/>
    </row>
    <row r="1559" spans="6:6">
      <c r="F1559" s="208"/>
    </row>
    <row r="1560" spans="6:6">
      <c r="F1560" s="208"/>
    </row>
    <row r="1561" spans="6:6">
      <c r="F1561" s="208"/>
    </row>
    <row r="1562" spans="6:6">
      <c r="F1562" s="208"/>
    </row>
    <row r="1563" spans="6:6">
      <c r="F1563" s="208"/>
    </row>
    <row r="1564" spans="6:6">
      <c r="F1564" s="208"/>
    </row>
    <row r="1565" spans="6:6">
      <c r="F1565" s="208"/>
    </row>
    <row r="1566" spans="6:6">
      <c r="F1566" s="208"/>
    </row>
    <row r="1567" spans="6:6">
      <c r="F1567" s="208"/>
    </row>
    <row r="1568" spans="6:6">
      <c r="F1568" s="208"/>
    </row>
    <row r="1569" spans="6:6">
      <c r="F1569" s="208"/>
    </row>
    <row r="1570" spans="6:6">
      <c r="F1570" s="208"/>
    </row>
    <row r="1571" spans="6:6">
      <c r="F1571" s="208"/>
    </row>
    <row r="1572" spans="6:6">
      <c r="F1572" s="208"/>
    </row>
    <row r="1573" spans="6:6">
      <c r="F1573" s="208"/>
    </row>
    <row r="1574" spans="6:6">
      <c r="F1574" s="208"/>
    </row>
    <row r="1575" spans="6:6">
      <c r="F1575" s="208"/>
    </row>
    <row r="1576" spans="6:6">
      <c r="F1576" s="208"/>
    </row>
    <row r="1577" spans="6:6">
      <c r="F1577" s="208"/>
    </row>
    <row r="1578" spans="6:6">
      <c r="F1578" s="208"/>
    </row>
    <row r="1579" spans="6:6">
      <c r="F1579" s="208"/>
    </row>
    <row r="1580" spans="6:6">
      <c r="F1580" s="208"/>
    </row>
    <row r="1581" spans="6:6">
      <c r="F1581" s="208"/>
    </row>
    <row r="1582" spans="6:6">
      <c r="F1582" s="208"/>
    </row>
    <row r="1583" spans="6:6">
      <c r="F1583" s="208"/>
    </row>
    <row r="1584" spans="6:6">
      <c r="F1584" s="208"/>
    </row>
    <row r="1585" spans="6:6">
      <c r="F1585" s="208"/>
    </row>
    <row r="1586" spans="6:6">
      <c r="F1586" s="208"/>
    </row>
    <row r="1587" spans="6:6">
      <c r="F1587" s="208"/>
    </row>
    <row r="1588" spans="6:6">
      <c r="F1588" s="208"/>
    </row>
    <row r="1589" spans="6:6">
      <c r="F1589" s="208"/>
    </row>
    <row r="1590" spans="6:6">
      <c r="F1590" s="208"/>
    </row>
    <row r="1591" spans="6:6">
      <c r="F1591" s="208"/>
    </row>
    <row r="1592" spans="6:6">
      <c r="F1592" s="208"/>
    </row>
    <row r="1593" spans="6:6">
      <c r="F1593" s="208"/>
    </row>
    <row r="1594" spans="6:6">
      <c r="F1594" s="208"/>
    </row>
    <row r="1595" spans="6:6">
      <c r="F1595" s="208"/>
    </row>
    <row r="1596" spans="6:6">
      <c r="F1596" s="208"/>
    </row>
    <row r="1597" spans="6:6">
      <c r="F1597" s="208"/>
    </row>
    <row r="1598" spans="6:6">
      <c r="F1598" s="208"/>
    </row>
    <row r="1599" spans="6:6">
      <c r="F1599" s="208"/>
    </row>
    <row r="1600" spans="6:6">
      <c r="F1600" s="208"/>
    </row>
    <row r="1601" spans="6:6">
      <c r="F1601" s="208"/>
    </row>
    <row r="1602" spans="6:6">
      <c r="F1602" s="208"/>
    </row>
    <row r="1603" spans="6:6">
      <c r="F1603" s="208"/>
    </row>
    <row r="1604" spans="6:6">
      <c r="F1604" s="208"/>
    </row>
    <row r="1605" spans="6:6">
      <c r="F1605" s="208"/>
    </row>
    <row r="1606" spans="6:6">
      <c r="F1606" s="208"/>
    </row>
    <row r="1607" spans="6:6">
      <c r="F1607" s="208"/>
    </row>
    <row r="1608" spans="6:6">
      <c r="F1608" s="208"/>
    </row>
    <row r="1609" spans="6:6">
      <c r="F1609" s="208"/>
    </row>
    <row r="1610" spans="6:6">
      <c r="F1610" s="208"/>
    </row>
    <row r="1611" spans="6:6">
      <c r="F1611" s="208"/>
    </row>
    <row r="1612" spans="6:6">
      <c r="F1612" s="208"/>
    </row>
    <row r="1613" spans="6:6">
      <c r="F1613" s="208"/>
    </row>
    <row r="1614" spans="6:6">
      <c r="F1614" s="208"/>
    </row>
    <row r="1615" spans="6:6">
      <c r="F1615" s="208"/>
    </row>
    <row r="1616" spans="6:6">
      <c r="F1616" s="208"/>
    </row>
    <row r="1617" spans="6:6">
      <c r="F1617" s="208"/>
    </row>
    <row r="1618" spans="6:6">
      <c r="F1618" s="208"/>
    </row>
    <row r="1619" spans="6:6">
      <c r="F1619" s="208"/>
    </row>
    <row r="1620" spans="6:6">
      <c r="F1620" s="208"/>
    </row>
    <row r="1621" spans="6:6">
      <c r="F1621" s="208"/>
    </row>
    <row r="1622" spans="6:6">
      <c r="F1622" s="208"/>
    </row>
    <row r="1623" spans="6:6">
      <c r="F1623" s="208"/>
    </row>
    <row r="1624" spans="6:6">
      <c r="F1624" s="208"/>
    </row>
    <row r="1625" spans="6:6">
      <c r="F1625" s="208"/>
    </row>
    <row r="1626" spans="6:6">
      <c r="F1626" s="208"/>
    </row>
    <row r="1627" spans="6:6">
      <c r="F1627" s="208"/>
    </row>
    <row r="1628" spans="6:6">
      <c r="F1628" s="208"/>
    </row>
    <row r="1629" spans="6:6">
      <c r="F1629" s="208"/>
    </row>
    <row r="1630" spans="6:6">
      <c r="F1630" s="208"/>
    </row>
    <row r="1631" spans="6:6">
      <c r="F1631" s="208"/>
    </row>
    <row r="1632" spans="6:6">
      <c r="F1632" s="208"/>
    </row>
    <row r="1633" spans="6:6">
      <c r="F1633" s="208"/>
    </row>
    <row r="1634" spans="6:6">
      <c r="F1634" s="208"/>
    </row>
    <row r="1635" spans="6:6">
      <c r="F1635" s="208"/>
    </row>
    <row r="1636" spans="6:6">
      <c r="F1636" s="208"/>
    </row>
    <row r="1637" spans="6:6">
      <c r="F1637" s="208"/>
    </row>
    <row r="1638" spans="6:6">
      <c r="F1638" s="208"/>
    </row>
    <row r="1639" spans="6:6">
      <c r="F1639" s="208"/>
    </row>
    <row r="1640" spans="6:6">
      <c r="F1640" s="208"/>
    </row>
    <row r="1641" spans="6:6">
      <c r="F1641" s="208"/>
    </row>
    <row r="1642" spans="6:6">
      <c r="F1642" s="208"/>
    </row>
    <row r="1643" spans="6:6">
      <c r="F1643" s="208"/>
    </row>
    <row r="1644" spans="6:6">
      <c r="F1644" s="208"/>
    </row>
    <row r="1645" spans="6:6">
      <c r="F1645" s="208"/>
    </row>
    <row r="1646" spans="6:6">
      <c r="F1646" s="208"/>
    </row>
    <row r="1647" spans="6:6">
      <c r="F1647" s="208"/>
    </row>
    <row r="1648" spans="6:6">
      <c r="F1648" s="208"/>
    </row>
    <row r="1649" spans="6:6">
      <c r="F1649" s="208"/>
    </row>
    <row r="1650" spans="6:6">
      <c r="F1650" s="208"/>
    </row>
    <row r="1651" spans="6:6">
      <c r="F1651" s="208"/>
    </row>
    <row r="1652" spans="6:6">
      <c r="F1652" s="208"/>
    </row>
    <row r="1653" spans="6:6">
      <c r="F1653" s="208"/>
    </row>
    <row r="1654" spans="6:6">
      <c r="F1654" s="208"/>
    </row>
    <row r="1655" spans="6:6">
      <c r="F1655" s="208"/>
    </row>
    <row r="1656" spans="6:6">
      <c r="F1656" s="208"/>
    </row>
    <row r="1657" spans="6:6">
      <c r="F1657" s="208"/>
    </row>
    <row r="1658" spans="6:6">
      <c r="F1658" s="208"/>
    </row>
    <row r="1659" spans="6:6">
      <c r="F1659" s="208"/>
    </row>
    <row r="1660" spans="6:6">
      <c r="F1660" s="208"/>
    </row>
    <row r="1661" spans="6:6">
      <c r="F1661" s="208"/>
    </row>
    <row r="1662" spans="6:6">
      <c r="F1662" s="208"/>
    </row>
    <row r="1663" spans="6:6">
      <c r="F1663" s="208"/>
    </row>
    <row r="1664" spans="6:6">
      <c r="F1664" s="208"/>
    </row>
    <row r="1665" spans="6:6">
      <c r="F1665" s="208"/>
    </row>
    <row r="1666" spans="6:6">
      <c r="F1666" s="208"/>
    </row>
    <row r="1667" spans="6:6">
      <c r="F1667" s="208"/>
    </row>
    <row r="1668" spans="6:6">
      <c r="F1668" s="208"/>
    </row>
    <row r="1669" spans="6:6">
      <c r="F1669" s="208"/>
    </row>
    <row r="1670" spans="6:6">
      <c r="F1670" s="208"/>
    </row>
    <row r="1671" spans="6:6">
      <c r="F1671" s="208"/>
    </row>
    <row r="1672" spans="6:6">
      <c r="F1672" s="208"/>
    </row>
    <row r="1673" spans="6:6">
      <c r="F1673" s="208"/>
    </row>
    <row r="1674" spans="6:6">
      <c r="F1674" s="208"/>
    </row>
    <row r="1675" spans="6:6">
      <c r="F1675" s="208"/>
    </row>
    <row r="1676" spans="6:6">
      <c r="F1676" s="208"/>
    </row>
    <row r="1677" spans="6:6">
      <c r="F1677" s="208"/>
    </row>
    <row r="1678" spans="6:6">
      <c r="F1678" s="208"/>
    </row>
    <row r="1679" spans="6:6">
      <c r="F1679" s="208"/>
    </row>
    <row r="1680" spans="6:6">
      <c r="F1680" s="208"/>
    </row>
    <row r="1681" spans="6:6">
      <c r="F1681" s="208"/>
    </row>
    <row r="1682" spans="6:6">
      <c r="F1682" s="208"/>
    </row>
    <row r="1683" spans="6:6">
      <c r="F1683" s="208"/>
    </row>
    <row r="1684" spans="6:6">
      <c r="F1684" s="208"/>
    </row>
    <row r="1685" spans="6:6">
      <c r="F1685" s="208"/>
    </row>
    <row r="1686" spans="6:6">
      <c r="F1686" s="208"/>
    </row>
    <row r="1687" spans="6:6">
      <c r="F1687" s="208"/>
    </row>
    <row r="1688" spans="6:6">
      <c r="F1688" s="208"/>
    </row>
    <row r="1689" spans="6:6">
      <c r="F1689" s="208"/>
    </row>
    <row r="1690" spans="6:6">
      <c r="F1690" s="208"/>
    </row>
    <row r="1691" spans="6:6">
      <c r="F1691" s="208"/>
    </row>
    <row r="1692" spans="6:6">
      <c r="F1692" s="208"/>
    </row>
    <row r="1693" spans="6:6">
      <c r="F1693" s="208"/>
    </row>
    <row r="1694" spans="6:6">
      <c r="F1694" s="208"/>
    </row>
    <row r="1695" spans="6:6">
      <c r="F1695" s="208"/>
    </row>
    <row r="1696" spans="6:6">
      <c r="F1696" s="208"/>
    </row>
    <row r="1697" spans="6:6">
      <c r="F1697" s="208"/>
    </row>
    <row r="1698" spans="6:6">
      <c r="F1698" s="208"/>
    </row>
    <row r="1699" spans="6:6">
      <c r="F1699" s="208"/>
    </row>
    <row r="1700" spans="6:6">
      <c r="F1700" s="208"/>
    </row>
    <row r="1701" spans="6:6">
      <c r="F1701" s="208"/>
    </row>
    <row r="1702" spans="6:6">
      <c r="F1702" s="208"/>
    </row>
    <row r="1703" spans="6:6">
      <c r="F1703" s="208"/>
    </row>
    <row r="1704" spans="6:6">
      <c r="F1704" s="208"/>
    </row>
    <row r="1705" spans="6:6">
      <c r="F1705" s="208"/>
    </row>
    <row r="1706" spans="6:6">
      <c r="F1706" s="208"/>
    </row>
    <row r="1707" spans="6:6">
      <c r="F1707" s="208"/>
    </row>
    <row r="1708" spans="6:6">
      <c r="F1708" s="208"/>
    </row>
    <row r="1709" spans="6:6">
      <c r="F1709" s="208"/>
    </row>
    <row r="1710" spans="6:6">
      <c r="F1710" s="208"/>
    </row>
    <row r="1711" spans="6:6">
      <c r="F1711" s="208"/>
    </row>
    <row r="1712" spans="6:6">
      <c r="F1712" s="208"/>
    </row>
    <row r="1713" spans="6:6">
      <c r="F1713" s="208"/>
    </row>
    <row r="1714" spans="6:6">
      <c r="F1714" s="208"/>
    </row>
    <row r="1715" spans="6:6">
      <c r="F1715" s="208"/>
    </row>
    <row r="1716" spans="6:6">
      <c r="F1716" s="208"/>
    </row>
    <row r="1717" spans="6:6">
      <c r="F1717" s="208"/>
    </row>
    <row r="1718" spans="6:6">
      <c r="F1718" s="208"/>
    </row>
    <row r="1719" spans="6:6">
      <c r="F1719" s="208"/>
    </row>
    <row r="1720" spans="6:6">
      <c r="F1720" s="208"/>
    </row>
    <row r="1721" spans="6:6">
      <c r="F1721" s="208"/>
    </row>
    <row r="1722" spans="6:6">
      <c r="F1722" s="208"/>
    </row>
    <row r="1723" spans="6:6">
      <c r="F1723" s="208"/>
    </row>
    <row r="1724" spans="6:6">
      <c r="F1724" s="208"/>
    </row>
    <row r="1725" spans="6:6">
      <c r="F1725" s="208"/>
    </row>
    <row r="1726" spans="6:6">
      <c r="F1726" s="208"/>
    </row>
    <row r="1727" spans="6:6">
      <c r="F1727" s="208"/>
    </row>
    <row r="1728" spans="6:6">
      <c r="F1728" s="208"/>
    </row>
    <row r="1729" spans="6:6">
      <c r="F1729" s="208"/>
    </row>
    <row r="1730" spans="6:6">
      <c r="F1730" s="208"/>
    </row>
    <row r="1731" spans="6:6">
      <c r="F1731" s="208"/>
    </row>
    <row r="1732" spans="6:6">
      <c r="F1732" s="208"/>
    </row>
    <row r="1733" spans="6:6">
      <c r="F1733" s="208"/>
    </row>
    <row r="1734" spans="6:6">
      <c r="F1734" s="208"/>
    </row>
    <row r="1735" spans="6:6">
      <c r="F1735" s="208"/>
    </row>
    <row r="1736" spans="6:6">
      <c r="F1736" s="208"/>
    </row>
    <row r="1737" spans="6:6">
      <c r="F1737" s="208"/>
    </row>
    <row r="1738" spans="6:6">
      <c r="F1738" s="208"/>
    </row>
    <row r="1739" spans="6:6">
      <c r="F1739" s="208"/>
    </row>
    <row r="1740" spans="6:6">
      <c r="F1740" s="208"/>
    </row>
    <row r="1741" spans="6:6">
      <c r="F1741" s="208"/>
    </row>
    <row r="1742" spans="6:6">
      <c r="F1742" s="208"/>
    </row>
    <row r="1743" spans="6:6">
      <c r="F1743" s="208"/>
    </row>
    <row r="1744" spans="6:6">
      <c r="F1744" s="208"/>
    </row>
    <row r="1745" spans="6:6">
      <c r="F1745" s="208"/>
    </row>
    <row r="1746" spans="6:6">
      <c r="F1746" s="208"/>
    </row>
    <row r="1747" spans="6:6">
      <c r="F1747" s="208"/>
    </row>
    <row r="1748" spans="6:6">
      <c r="F1748" s="208"/>
    </row>
    <row r="1749" spans="6:6">
      <c r="F1749" s="208"/>
    </row>
    <row r="1750" spans="6:6">
      <c r="F1750" s="208"/>
    </row>
    <row r="1751" spans="6:6">
      <c r="F1751" s="208"/>
    </row>
    <row r="1752" spans="6:6">
      <c r="F1752" s="208"/>
    </row>
    <row r="1753" spans="6:6">
      <c r="F1753" s="208"/>
    </row>
    <row r="1754" spans="6:6">
      <c r="F1754" s="208"/>
    </row>
    <row r="1755" spans="6:6">
      <c r="F1755" s="208"/>
    </row>
    <row r="1756" spans="6:6">
      <c r="F1756" s="208"/>
    </row>
    <row r="1757" spans="6:6">
      <c r="F1757" s="208"/>
    </row>
    <row r="1758" spans="6:6">
      <c r="F1758" s="208"/>
    </row>
    <row r="1759" spans="6:6">
      <c r="F1759" s="208"/>
    </row>
    <row r="1760" spans="6:6">
      <c r="F1760" s="208"/>
    </row>
    <row r="1761" spans="6:6">
      <c r="F1761" s="208"/>
    </row>
    <row r="1762" spans="6:6">
      <c r="F1762" s="208"/>
    </row>
    <row r="1763" spans="6:6">
      <c r="F1763" s="208"/>
    </row>
    <row r="1764" spans="6:6">
      <c r="F1764" s="208"/>
    </row>
    <row r="1765" spans="6:6">
      <c r="F1765" s="208"/>
    </row>
    <row r="1766" spans="6:6">
      <c r="F1766" s="208"/>
    </row>
    <row r="1767" spans="6:6">
      <c r="F1767" s="208"/>
    </row>
    <row r="1768" spans="6:6">
      <c r="F1768" s="208"/>
    </row>
    <row r="1769" spans="6:6">
      <c r="F1769" s="208"/>
    </row>
    <row r="1770" spans="6:6">
      <c r="F1770" s="208"/>
    </row>
    <row r="1771" spans="6:6">
      <c r="F1771" s="208"/>
    </row>
    <row r="1772" spans="6:6">
      <c r="F1772" s="208"/>
    </row>
    <row r="1773" spans="6:6">
      <c r="F1773" s="208"/>
    </row>
    <row r="1774" spans="6:6">
      <c r="F1774" s="208"/>
    </row>
    <row r="1775" spans="6:6">
      <c r="F1775" s="208"/>
    </row>
    <row r="1776" spans="6:6">
      <c r="F1776" s="208"/>
    </row>
    <row r="1777" spans="6:6">
      <c r="F1777" s="208"/>
    </row>
    <row r="1778" spans="6:6">
      <c r="F1778" s="208"/>
    </row>
    <row r="1779" spans="6:6">
      <c r="F1779" s="208"/>
    </row>
    <row r="1780" spans="6:6">
      <c r="F1780" s="208"/>
    </row>
    <row r="1781" spans="6:6">
      <c r="F1781" s="208"/>
    </row>
    <row r="1782" spans="6:6">
      <c r="F1782" s="208"/>
    </row>
    <row r="1783" spans="6:6">
      <c r="F1783" s="208"/>
    </row>
    <row r="1784" spans="6:6">
      <c r="F1784" s="208"/>
    </row>
    <row r="1785" spans="6:6">
      <c r="F1785" s="208"/>
    </row>
    <row r="1786" spans="6:6">
      <c r="F1786" s="208"/>
    </row>
    <row r="1787" spans="6:6">
      <c r="F1787" s="208"/>
    </row>
    <row r="1788" spans="6:6">
      <c r="F1788" s="208"/>
    </row>
    <row r="1789" spans="6:6">
      <c r="F1789" s="208"/>
    </row>
    <row r="1790" spans="6:6">
      <c r="F1790" s="208"/>
    </row>
    <row r="1791" spans="6:6">
      <c r="F1791" s="208"/>
    </row>
    <row r="1792" spans="6:6">
      <c r="F1792" s="208"/>
    </row>
    <row r="1793" spans="6:6">
      <c r="F1793" s="208"/>
    </row>
    <row r="1794" spans="6:6">
      <c r="F1794" s="208"/>
    </row>
    <row r="1795" spans="6:6">
      <c r="F1795" s="208"/>
    </row>
    <row r="1796" spans="6:6">
      <c r="F1796" s="208"/>
    </row>
    <row r="1797" spans="6:6">
      <c r="F1797" s="208"/>
    </row>
    <row r="1798" spans="6:6">
      <c r="F1798" s="208"/>
    </row>
    <row r="1799" spans="6:6">
      <c r="F1799" s="208"/>
    </row>
    <row r="1800" spans="6:6">
      <c r="F1800" s="208"/>
    </row>
    <row r="1801" spans="6:6">
      <c r="F1801" s="208"/>
    </row>
    <row r="1802" spans="6:6">
      <c r="F1802" s="208"/>
    </row>
    <row r="1803" spans="6:6">
      <c r="F1803" s="208"/>
    </row>
    <row r="1804" spans="6:6">
      <c r="F1804" s="208"/>
    </row>
    <row r="1805" spans="6:6">
      <c r="F1805" s="208"/>
    </row>
    <row r="1806" spans="6:6">
      <c r="F1806" s="208"/>
    </row>
    <row r="1807" spans="6:6">
      <c r="F1807" s="208"/>
    </row>
    <row r="1808" spans="6:6">
      <c r="F1808" s="208"/>
    </row>
    <row r="1809" spans="6:6">
      <c r="F1809" s="208"/>
    </row>
    <row r="1810" spans="6:6">
      <c r="F1810" s="208"/>
    </row>
    <row r="1811" spans="6:6">
      <c r="F1811" s="208"/>
    </row>
    <row r="1812" spans="6:6">
      <c r="F1812" s="208"/>
    </row>
    <row r="1813" spans="6:6">
      <c r="F1813" s="208"/>
    </row>
    <row r="1814" spans="6:6">
      <c r="F1814" s="208"/>
    </row>
    <row r="1815" spans="6:6">
      <c r="F1815" s="208"/>
    </row>
    <row r="1816" spans="6:6">
      <c r="F1816" s="208"/>
    </row>
    <row r="1817" spans="6:6">
      <c r="F1817" s="208"/>
    </row>
    <row r="1818" spans="6:6">
      <c r="F1818" s="208"/>
    </row>
    <row r="1819" spans="6:6">
      <c r="F1819" s="208"/>
    </row>
    <row r="1820" spans="6:6">
      <c r="F1820" s="208"/>
    </row>
    <row r="1821" spans="6:6">
      <c r="F1821" s="208"/>
    </row>
    <row r="1822" spans="6:6">
      <c r="F1822" s="208"/>
    </row>
    <row r="1823" spans="6:6">
      <c r="F1823" s="208"/>
    </row>
    <row r="1824" spans="6:6">
      <c r="F1824" s="208"/>
    </row>
    <row r="1825" spans="6:6">
      <c r="F1825" s="208"/>
    </row>
    <row r="1826" spans="6:6">
      <c r="F1826" s="208"/>
    </row>
    <row r="1827" spans="6:6">
      <c r="F1827" s="208"/>
    </row>
    <row r="1828" spans="6:6">
      <c r="F1828" s="208"/>
    </row>
    <row r="1829" spans="6:6">
      <c r="F1829" s="208"/>
    </row>
    <row r="1830" spans="6:6">
      <c r="F1830" s="208"/>
    </row>
    <row r="1831" spans="6:6">
      <c r="F1831" s="208"/>
    </row>
    <row r="1832" spans="6:6">
      <c r="F1832" s="208"/>
    </row>
    <row r="1833" spans="6:6">
      <c r="F1833" s="208"/>
    </row>
    <row r="1834" spans="6:6">
      <c r="F1834" s="208"/>
    </row>
    <row r="1835" spans="6:6">
      <c r="F1835" s="208"/>
    </row>
    <row r="1836" spans="6:6">
      <c r="F1836" s="208"/>
    </row>
    <row r="1837" spans="6:6">
      <c r="F1837" s="208"/>
    </row>
    <row r="1838" spans="6:6">
      <c r="F1838" s="208"/>
    </row>
    <row r="1839" spans="6:6">
      <c r="F1839" s="208"/>
    </row>
    <row r="1840" spans="6:6">
      <c r="F1840" s="208"/>
    </row>
    <row r="1841" spans="6:6">
      <c r="F1841" s="208"/>
    </row>
    <row r="1842" spans="6:6">
      <c r="F1842" s="208"/>
    </row>
    <row r="1843" spans="6:6">
      <c r="F1843" s="208"/>
    </row>
    <row r="1844" spans="6:6">
      <c r="F1844" s="208"/>
    </row>
    <row r="1845" spans="6:6">
      <c r="F1845" s="208"/>
    </row>
    <row r="1846" spans="6:6">
      <c r="F1846" s="208"/>
    </row>
    <row r="1847" spans="6:6">
      <c r="F1847" s="208"/>
    </row>
    <row r="1848" spans="6:6">
      <c r="F1848" s="208"/>
    </row>
    <row r="1849" spans="6:6">
      <c r="F1849" s="208"/>
    </row>
    <row r="1850" spans="6:6">
      <c r="F1850" s="208"/>
    </row>
    <row r="1851" spans="6:6">
      <c r="F1851" s="208"/>
    </row>
    <row r="1852" spans="6:6">
      <c r="F1852" s="208"/>
    </row>
    <row r="1853" spans="6:6">
      <c r="F1853" s="208"/>
    </row>
    <row r="1854" spans="6:6">
      <c r="F1854" s="208"/>
    </row>
    <row r="1855" spans="6:6">
      <c r="F1855" s="208"/>
    </row>
    <row r="1856" spans="6:6">
      <c r="F1856" s="208"/>
    </row>
    <row r="1857" spans="6:6">
      <c r="F1857" s="208"/>
    </row>
    <row r="1858" spans="6:6">
      <c r="F1858" s="208"/>
    </row>
    <row r="1859" spans="6:6">
      <c r="F1859" s="208"/>
    </row>
    <row r="1860" spans="6:6">
      <c r="F1860" s="208"/>
    </row>
    <row r="1861" spans="6:6">
      <c r="F1861" s="208"/>
    </row>
    <row r="1862" spans="6:6">
      <c r="F1862" s="208"/>
    </row>
    <row r="1863" spans="6:6">
      <c r="F1863" s="208"/>
    </row>
    <row r="1864" spans="6:6">
      <c r="F1864" s="208"/>
    </row>
    <row r="1865" spans="6:6">
      <c r="F1865" s="208"/>
    </row>
    <row r="1866" spans="6:6">
      <c r="F1866" s="208"/>
    </row>
    <row r="1867" spans="6:6">
      <c r="F1867" s="208"/>
    </row>
    <row r="1868" spans="6:6">
      <c r="F1868" s="208"/>
    </row>
    <row r="1869" spans="6:6">
      <c r="F1869" s="208"/>
    </row>
    <row r="1870" spans="6:6">
      <c r="F1870" s="208"/>
    </row>
    <row r="1871" spans="6:6">
      <c r="F1871" s="208"/>
    </row>
    <row r="1872" spans="6:6">
      <c r="F1872" s="208"/>
    </row>
    <row r="1873" spans="6:6">
      <c r="F1873" s="208"/>
    </row>
    <row r="1874" spans="6:6">
      <c r="F1874" s="208"/>
    </row>
    <row r="1875" spans="6:6">
      <c r="F1875" s="208"/>
    </row>
    <row r="1876" spans="6:6">
      <c r="F1876" s="208"/>
    </row>
    <row r="1877" spans="6:6">
      <c r="F1877" s="208"/>
    </row>
    <row r="1878" spans="6:6">
      <c r="F1878" s="208"/>
    </row>
    <row r="1879" spans="6:6">
      <c r="F1879" s="208"/>
    </row>
    <row r="1880" spans="6:6">
      <c r="F1880" s="208"/>
    </row>
    <row r="1881" spans="6:6">
      <c r="F1881" s="208"/>
    </row>
    <row r="1882" spans="6:6">
      <c r="F1882" s="208"/>
    </row>
    <row r="1883" spans="6:6">
      <c r="F1883" s="208"/>
    </row>
    <row r="1884" spans="6:6">
      <c r="F1884" s="208"/>
    </row>
    <row r="1885" spans="6:6">
      <c r="F1885" s="208"/>
    </row>
    <row r="1886" spans="6:6">
      <c r="F1886" s="208"/>
    </row>
    <row r="1887" spans="6:6">
      <c r="F1887" s="208"/>
    </row>
    <row r="1888" spans="6:6">
      <c r="F1888" s="208"/>
    </row>
    <row r="1889" spans="6:6">
      <c r="F1889" s="208"/>
    </row>
    <row r="1890" spans="6:6">
      <c r="F1890" s="208"/>
    </row>
    <row r="1891" spans="6:6">
      <c r="F1891" s="208"/>
    </row>
    <row r="1892" spans="6:6">
      <c r="F1892" s="208"/>
    </row>
    <row r="1893" spans="6:6">
      <c r="F1893" s="208"/>
    </row>
    <row r="1894" spans="6:6">
      <c r="F1894" s="208"/>
    </row>
    <row r="1895" spans="6:6">
      <c r="F1895" s="208"/>
    </row>
    <row r="1896" spans="6:6">
      <c r="F1896" s="208"/>
    </row>
    <row r="1897" spans="6:6">
      <c r="F1897" s="208"/>
    </row>
    <row r="1898" spans="6:6">
      <c r="F1898" s="208"/>
    </row>
    <row r="1899" spans="6:6">
      <c r="F1899" s="208"/>
    </row>
    <row r="1900" spans="6:6">
      <c r="F1900" s="208"/>
    </row>
    <row r="1901" spans="6:6">
      <c r="F1901" s="208"/>
    </row>
    <row r="1902" spans="6:6">
      <c r="F1902" s="208"/>
    </row>
    <row r="1903" spans="6:6">
      <c r="F1903" s="208"/>
    </row>
    <row r="1904" spans="6:6">
      <c r="F1904" s="208"/>
    </row>
    <row r="1905" spans="6:6">
      <c r="F1905" s="208"/>
    </row>
    <row r="1906" spans="6:6">
      <c r="F1906" s="208"/>
    </row>
    <row r="1907" spans="6:6">
      <c r="F1907" s="208"/>
    </row>
    <row r="1908" spans="6:6">
      <c r="F1908" s="208"/>
    </row>
    <row r="1909" spans="6:6">
      <c r="F1909" s="208"/>
    </row>
    <row r="1910" spans="6:6">
      <c r="F1910" s="208"/>
    </row>
    <row r="1911" spans="6:6">
      <c r="F1911" s="208"/>
    </row>
    <row r="1912" spans="6:6">
      <c r="F1912" s="208"/>
    </row>
    <row r="1913" spans="6:6">
      <c r="F1913" s="208"/>
    </row>
    <row r="1914" spans="6:6">
      <c r="F1914" s="208"/>
    </row>
    <row r="1915" spans="6:6">
      <c r="F1915" s="208"/>
    </row>
    <row r="1916" spans="6:6">
      <c r="F1916" s="208"/>
    </row>
    <row r="1917" spans="6:6">
      <c r="F1917" s="208"/>
    </row>
    <row r="1918" spans="6:6">
      <c r="F1918" s="208"/>
    </row>
    <row r="1919" spans="6:6">
      <c r="F1919" s="208"/>
    </row>
    <row r="1920" spans="6:6">
      <c r="F1920" s="208"/>
    </row>
    <row r="1921" spans="6:6">
      <c r="F1921" s="208"/>
    </row>
    <row r="1922" spans="6:6">
      <c r="F1922" s="208"/>
    </row>
    <row r="1923" spans="6:6">
      <c r="F1923" s="208"/>
    </row>
    <row r="1924" spans="6:6">
      <c r="F1924" s="208"/>
    </row>
    <row r="1925" spans="6:6">
      <c r="F1925" s="208"/>
    </row>
    <row r="1926" spans="6:6">
      <c r="F1926" s="208"/>
    </row>
    <row r="1927" spans="6:6">
      <c r="F1927" s="208"/>
    </row>
    <row r="1928" spans="6:6">
      <c r="F1928" s="208"/>
    </row>
    <row r="1929" spans="6:6">
      <c r="F1929" s="208"/>
    </row>
    <row r="1930" spans="6:6">
      <c r="F1930" s="208"/>
    </row>
    <row r="1931" spans="6:6">
      <c r="F1931" s="208"/>
    </row>
    <row r="1932" spans="6:6">
      <c r="F1932" s="208"/>
    </row>
    <row r="1933" spans="6:6">
      <c r="F1933" s="208"/>
    </row>
    <row r="1934" spans="6:6">
      <c r="F1934" s="208"/>
    </row>
    <row r="1935" spans="6:6">
      <c r="F1935" s="208"/>
    </row>
    <row r="1936" spans="6:6">
      <c r="F1936" s="208"/>
    </row>
    <row r="1937" spans="6:6">
      <c r="F1937" s="208"/>
    </row>
    <row r="1938" spans="6:6">
      <c r="F1938" s="208"/>
    </row>
    <row r="1939" spans="6:6">
      <c r="F1939" s="208"/>
    </row>
    <row r="1940" spans="6:6">
      <c r="F1940" s="208"/>
    </row>
    <row r="1941" spans="6:6">
      <c r="F1941" s="208"/>
    </row>
    <row r="1942" spans="6:6">
      <c r="F1942" s="208"/>
    </row>
    <row r="1943" spans="6:6">
      <c r="F1943" s="208"/>
    </row>
    <row r="1944" spans="6:6">
      <c r="F1944" s="208"/>
    </row>
    <row r="1945" spans="6:6">
      <c r="F1945" s="208"/>
    </row>
    <row r="1946" spans="6:6">
      <c r="F1946" s="208"/>
    </row>
    <row r="1947" spans="6:6">
      <c r="F1947" s="208"/>
    </row>
    <row r="1948" spans="6:6">
      <c r="F1948" s="208"/>
    </row>
    <row r="1949" spans="6:6">
      <c r="F1949" s="208"/>
    </row>
    <row r="1950" spans="6:6">
      <c r="F1950" s="208"/>
    </row>
    <row r="1951" spans="6:6">
      <c r="F1951" s="208"/>
    </row>
    <row r="1952" spans="6:6">
      <c r="F1952" s="208"/>
    </row>
    <row r="1953" spans="6:6">
      <c r="F1953" s="208"/>
    </row>
    <row r="1954" spans="6:6">
      <c r="F1954" s="208"/>
    </row>
    <row r="1955" spans="6:6">
      <c r="F1955" s="208"/>
    </row>
    <row r="1956" spans="6:6">
      <c r="F1956" s="208"/>
    </row>
    <row r="1957" spans="6:6">
      <c r="F1957" s="208"/>
    </row>
    <row r="1958" spans="6:6">
      <c r="F1958" s="208"/>
    </row>
    <row r="1959" spans="6:6">
      <c r="F1959" s="208"/>
    </row>
    <row r="1960" spans="6:6">
      <c r="F1960" s="208"/>
    </row>
    <row r="1961" spans="6:6">
      <c r="F1961" s="208"/>
    </row>
    <row r="1962" spans="6:6">
      <c r="F1962" s="208"/>
    </row>
    <row r="1963" spans="6:6">
      <c r="F1963" s="208"/>
    </row>
    <row r="1964" spans="6:6">
      <c r="F1964" s="208"/>
    </row>
    <row r="1965" spans="6:6">
      <c r="F1965" s="208"/>
    </row>
    <row r="1966" spans="6:6">
      <c r="F1966" s="208"/>
    </row>
    <row r="1967" spans="6:6">
      <c r="F1967" s="208"/>
    </row>
    <row r="1968" spans="6:6">
      <c r="F1968" s="208"/>
    </row>
    <row r="1969" spans="6:6">
      <c r="F1969" s="208"/>
    </row>
    <row r="1970" spans="6:6">
      <c r="F1970" s="208"/>
    </row>
    <row r="1971" spans="6:6">
      <c r="F1971" s="208"/>
    </row>
    <row r="1972" spans="6:6">
      <c r="F1972" s="208"/>
    </row>
    <row r="1973" spans="6:6">
      <c r="F1973" s="208"/>
    </row>
    <row r="1974" spans="6:6">
      <c r="F1974" s="208"/>
    </row>
    <row r="1975" spans="6:6">
      <c r="F1975" s="208"/>
    </row>
    <row r="1976" spans="6:6">
      <c r="F1976" s="208"/>
    </row>
    <row r="1977" spans="6:6">
      <c r="F1977" s="208"/>
    </row>
    <row r="1978" spans="6:6">
      <c r="F1978" s="208"/>
    </row>
    <row r="1979" spans="6:6">
      <c r="F1979" s="208"/>
    </row>
    <row r="1980" spans="6:6">
      <c r="F1980" s="208"/>
    </row>
    <row r="1981" spans="6:6">
      <c r="F1981" s="208"/>
    </row>
    <row r="1982" spans="6:6">
      <c r="F1982" s="208"/>
    </row>
    <row r="1983" spans="6:6">
      <c r="F1983" s="208"/>
    </row>
    <row r="1984" spans="6:6">
      <c r="F1984" s="208"/>
    </row>
    <row r="1985" spans="6:6">
      <c r="F1985" s="208"/>
    </row>
    <row r="1986" spans="6:6">
      <c r="F1986" s="208"/>
    </row>
    <row r="1987" spans="6:6">
      <c r="F1987" s="208"/>
    </row>
    <row r="1988" spans="6:6">
      <c r="F1988" s="208"/>
    </row>
    <row r="1989" spans="6:6">
      <c r="F1989" s="208"/>
    </row>
    <row r="1990" spans="6:6">
      <c r="F1990" s="208"/>
    </row>
    <row r="1991" spans="6:6">
      <c r="F1991" s="208"/>
    </row>
    <row r="1992" spans="6:6">
      <c r="F1992" s="208"/>
    </row>
    <row r="1993" spans="6:6">
      <c r="F1993" s="208"/>
    </row>
    <row r="1994" spans="6:6">
      <c r="F1994" s="208"/>
    </row>
    <row r="1995" spans="6:6">
      <c r="F1995" s="208"/>
    </row>
    <row r="1996" spans="6:6">
      <c r="F1996" s="208"/>
    </row>
    <row r="1997" spans="6:6">
      <c r="F1997" s="208"/>
    </row>
    <row r="1998" spans="6:6">
      <c r="F1998" s="208"/>
    </row>
    <row r="1999" spans="6:6">
      <c r="F1999" s="208"/>
    </row>
    <row r="2000" spans="6:6">
      <c r="F2000" s="208"/>
    </row>
    <row r="2001" spans="6:6">
      <c r="F2001" s="208"/>
    </row>
    <row r="2002" spans="6:6">
      <c r="F2002" s="208"/>
    </row>
    <row r="2003" spans="6:6">
      <c r="F2003" s="208"/>
    </row>
    <row r="2004" spans="6:6">
      <c r="F2004" s="208"/>
    </row>
    <row r="2005" spans="6:6">
      <c r="F2005" s="208"/>
    </row>
    <row r="2006" spans="6:6">
      <c r="F2006" s="208"/>
    </row>
    <row r="2007" spans="6:6">
      <c r="F2007" s="208"/>
    </row>
    <row r="2008" spans="6:6">
      <c r="F2008" s="208"/>
    </row>
    <row r="2009" spans="6:6">
      <c r="F2009" s="208"/>
    </row>
    <row r="2010" spans="6:6">
      <c r="F2010" s="208"/>
    </row>
    <row r="2011" spans="6:6">
      <c r="F2011" s="208"/>
    </row>
    <row r="2012" spans="6:6">
      <c r="F2012" s="208"/>
    </row>
    <row r="2013" spans="6:6">
      <c r="F2013" s="208"/>
    </row>
    <row r="2014" spans="6:6">
      <c r="F2014" s="208"/>
    </row>
    <row r="2015" spans="6:6">
      <c r="F2015" s="208"/>
    </row>
    <row r="2016" spans="6:6">
      <c r="F2016" s="208"/>
    </row>
    <row r="2017" spans="6:6">
      <c r="F2017" s="208"/>
    </row>
    <row r="2018" spans="6:6">
      <c r="F2018" s="208"/>
    </row>
    <row r="2019" spans="6:6">
      <c r="F2019" s="208"/>
    </row>
    <row r="2020" spans="6:6">
      <c r="F2020" s="208"/>
    </row>
    <row r="2021" spans="6:6">
      <c r="F2021" s="208"/>
    </row>
    <row r="2022" spans="6:6">
      <c r="F2022" s="208"/>
    </row>
    <row r="2023" spans="6:6">
      <c r="F2023" s="208"/>
    </row>
    <row r="2024" spans="6:6">
      <c r="F2024" s="208"/>
    </row>
    <row r="2025" spans="6:6">
      <c r="F2025" s="208"/>
    </row>
    <row r="2026" spans="6:6">
      <c r="F2026" s="208"/>
    </row>
    <row r="2027" spans="6:6">
      <c r="F2027" s="208"/>
    </row>
    <row r="2028" spans="6:6">
      <c r="F2028" s="208"/>
    </row>
    <row r="2029" spans="6:6">
      <c r="F2029" s="208"/>
    </row>
    <row r="2030" spans="6:6">
      <c r="F2030" s="208"/>
    </row>
    <row r="2031" spans="6:6">
      <c r="F2031" s="208"/>
    </row>
    <row r="2032" spans="6:6">
      <c r="F2032" s="208"/>
    </row>
    <row r="2033" spans="6:6">
      <c r="F2033" s="208"/>
    </row>
    <row r="2034" spans="6:6">
      <c r="F2034" s="208"/>
    </row>
    <row r="2035" spans="6:6">
      <c r="F2035" s="208"/>
    </row>
    <row r="2036" spans="6:6">
      <c r="F2036" s="208"/>
    </row>
    <row r="2037" spans="6:6">
      <c r="F2037" s="208"/>
    </row>
    <row r="2038" spans="6:6">
      <c r="F2038" s="208"/>
    </row>
    <row r="2039" spans="6:6">
      <c r="F2039" s="208"/>
    </row>
    <row r="2040" spans="6:6">
      <c r="F2040" s="208"/>
    </row>
    <row r="2041" spans="6:6">
      <c r="F2041" s="208"/>
    </row>
    <row r="2042" spans="6:6">
      <c r="F2042" s="208"/>
    </row>
    <row r="2043" spans="6:6">
      <c r="F2043" s="208"/>
    </row>
    <row r="2044" spans="6:6">
      <c r="F2044" s="208"/>
    </row>
    <row r="2045" spans="6:6">
      <c r="F2045" s="208"/>
    </row>
    <row r="2046" spans="6:6">
      <c r="F2046" s="208"/>
    </row>
    <row r="2047" spans="6:6">
      <c r="F2047" s="208"/>
    </row>
    <row r="2048" spans="6:6">
      <c r="F2048" s="208"/>
    </row>
    <row r="2049" spans="6:6">
      <c r="F2049" s="208"/>
    </row>
    <row r="2050" spans="6:6">
      <c r="F2050" s="208"/>
    </row>
    <row r="2051" spans="6:6">
      <c r="F2051" s="208"/>
    </row>
    <row r="2052" spans="6:6">
      <c r="F2052" s="208"/>
    </row>
    <row r="2053" spans="6:6">
      <c r="F2053" s="208"/>
    </row>
    <row r="2054" spans="6:6">
      <c r="F2054" s="208"/>
    </row>
    <row r="2055" spans="6:6">
      <c r="F2055" s="208"/>
    </row>
    <row r="2056" spans="6:6">
      <c r="F2056" s="208"/>
    </row>
    <row r="2057" spans="6:6">
      <c r="F2057" s="208"/>
    </row>
    <row r="2058" spans="6:6">
      <c r="F2058" s="208"/>
    </row>
    <row r="2059" spans="6:6">
      <c r="F2059" s="208"/>
    </row>
    <row r="2060" spans="6:6">
      <c r="F2060" s="208"/>
    </row>
    <row r="2061" spans="6:6">
      <c r="F2061" s="208"/>
    </row>
    <row r="2062" spans="6:6">
      <c r="F2062" s="208"/>
    </row>
    <row r="2063" spans="6:6">
      <c r="F2063" s="208"/>
    </row>
    <row r="2064" spans="6:6">
      <c r="F2064" s="208"/>
    </row>
    <row r="2065" spans="6:6">
      <c r="F2065" s="208"/>
    </row>
    <row r="2066" spans="6:6">
      <c r="F2066" s="208"/>
    </row>
    <row r="2067" spans="6:6">
      <c r="F2067" s="208"/>
    </row>
    <row r="2068" spans="6:6">
      <c r="F2068" s="208"/>
    </row>
    <row r="2069" spans="6:6">
      <c r="F2069" s="208"/>
    </row>
    <row r="2070" spans="6:6">
      <c r="F2070" s="208"/>
    </row>
    <row r="2071" spans="6:6">
      <c r="F2071" s="208"/>
    </row>
    <row r="2072" spans="6:6">
      <c r="F2072" s="208"/>
    </row>
    <row r="2073" spans="6:6">
      <c r="F2073" s="208"/>
    </row>
    <row r="2074" spans="6:6">
      <c r="F2074" s="208"/>
    </row>
    <row r="2075" spans="6:6">
      <c r="F2075" s="208"/>
    </row>
    <row r="2076" spans="6:6">
      <c r="F2076" s="208"/>
    </row>
    <row r="2077" spans="6:6">
      <c r="F2077" s="208"/>
    </row>
    <row r="2078" spans="6:6">
      <c r="F2078" s="208"/>
    </row>
    <row r="2079" spans="6:6">
      <c r="F2079" s="208"/>
    </row>
    <row r="2080" spans="6:6">
      <c r="F2080" s="208"/>
    </row>
    <row r="2081" spans="6:6">
      <c r="F2081" s="208"/>
    </row>
    <row r="2082" spans="6:6">
      <c r="F2082" s="208"/>
    </row>
    <row r="2083" spans="6:6">
      <c r="F2083" s="208"/>
    </row>
    <row r="2084" spans="6:6">
      <c r="F2084" s="208"/>
    </row>
    <row r="2085" spans="6:6">
      <c r="F2085" s="208"/>
    </row>
    <row r="2086" spans="6:6">
      <c r="F2086" s="208"/>
    </row>
    <row r="2087" spans="6:6">
      <c r="F2087" s="208"/>
    </row>
    <row r="2088" spans="6:6">
      <c r="F2088" s="208"/>
    </row>
    <row r="2089" spans="6:6">
      <c r="F2089" s="208"/>
    </row>
    <row r="2090" spans="6:6">
      <c r="F2090" s="208"/>
    </row>
    <row r="2091" spans="6:6">
      <c r="F2091" s="208"/>
    </row>
    <row r="2092" spans="6:6">
      <c r="F2092" s="208"/>
    </row>
    <row r="2093" spans="6:6">
      <c r="F2093" s="208"/>
    </row>
    <row r="2094" spans="6:6">
      <c r="F2094" s="208"/>
    </row>
    <row r="2095" spans="6:6">
      <c r="F2095" s="208"/>
    </row>
    <row r="2096" spans="6:6">
      <c r="F2096" s="208"/>
    </row>
    <row r="2097" spans="6:6">
      <c r="F2097" s="208"/>
    </row>
    <row r="2098" spans="6:6">
      <c r="F2098" s="208"/>
    </row>
    <row r="2099" spans="6:6">
      <c r="F2099" s="208"/>
    </row>
    <row r="2100" spans="6:6">
      <c r="F2100" s="208"/>
    </row>
    <row r="2101" spans="6:6">
      <c r="F2101" s="208"/>
    </row>
    <row r="2102" spans="6:6">
      <c r="F2102" s="208"/>
    </row>
    <row r="2103" spans="6:6">
      <c r="F2103" s="208"/>
    </row>
    <row r="2104" spans="6:6">
      <c r="F2104" s="208"/>
    </row>
    <row r="2105" spans="6:6">
      <c r="F2105" s="208"/>
    </row>
    <row r="2106" spans="6:6">
      <c r="F2106" s="208"/>
    </row>
    <row r="2107" spans="6:6">
      <c r="F2107" s="208"/>
    </row>
    <row r="2108" spans="6:6">
      <c r="F2108" s="208"/>
    </row>
    <row r="2109" spans="6:6">
      <c r="F2109" s="208"/>
    </row>
    <row r="2110" spans="6:6">
      <c r="F2110" s="208"/>
    </row>
    <row r="2111" spans="6:6">
      <c r="F2111" s="208"/>
    </row>
    <row r="2112" spans="6:6">
      <c r="F2112" s="208"/>
    </row>
    <row r="2113" spans="6:6">
      <c r="F2113" s="208"/>
    </row>
    <row r="2114" spans="6:6">
      <c r="F2114" s="208"/>
    </row>
    <row r="2115" spans="6:6">
      <c r="F2115" s="208"/>
    </row>
    <row r="2116" spans="6:6">
      <c r="F2116" s="208"/>
    </row>
    <row r="2117" spans="6:6">
      <c r="F2117" s="208"/>
    </row>
    <row r="2118" spans="6:6">
      <c r="F2118" s="208"/>
    </row>
    <row r="2119" spans="6:6">
      <c r="F2119" s="208"/>
    </row>
    <row r="2120" spans="6:6">
      <c r="F2120" s="208"/>
    </row>
    <row r="2121" spans="6:6">
      <c r="F2121" s="208"/>
    </row>
    <row r="2122" spans="6:6">
      <c r="F2122" s="208"/>
    </row>
    <row r="2123" spans="6:6">
      <c r="F2123" s="208"/>
    </row>
    <row r="2124" spans="6:6">
      <c r="F2124" s="208"/>
    </row>
    <row r="2125" spans="6:6">
      <c r="F2125" s="208"/>
    </row>
    <row r="2126" spans="6:6">
      <c r="F2126" s="208"/>
    </row>
    <row r="2127" spans="6:6">
      <c r="F2127" s="208"/>
    </row>
    <row r="2128" spans="6:6">
      <c r="F2128" s="208"/>
    </row>
    <row r="2129" spans="6:6">
      <c r="F2129" s="208"/>
    </row>
    <row r="2130" spans="6:6">
      <c r="F2130" s="208"/>
    </row>
    <row r="2131" spans="6:6">
      <c r="F2131" s="208"/>
    </row>
    <row r="2132" spans="6:6">
      <c r="F2132" s="208"/>
    </row>
    <row r="2133" spans="6:6">
      <c r="F2133" s="208"/>
    </row>
    <row r="2134" spans="6:6">
      <c r="F2134" s="208"/>
    </row>
    <row r="2135" spans="6:6">
      <c r="F2135" s="208"/>
    </row>
    <row r="2136" spans="6:6">
      <c r="F2136" s="208"/>
    </row>
    <row r="2137" spans="6:6">
      <c r="F2137" s="208"/>
    </row>
    <row r="2138" spans="6:6">
      <c r="F2138" s="208"/>
    </row>
    <row r="2139" spans="6:6">
      <c r="F2139" s="208"/>
    </row>
    <row r="2140" spans="6:6">
      <c r="F2140" s="208"/>
    </row>
    <row r="2141" spans="6:6">
      <c r="F2141" s="208"/>
    </row>
    <row r="2142" spans="6:6">
      <c r="F2142" s="208"/>
    </row>
    <row r="2143" spans="6:6">
      <c r="F2143" s="208"/>
    </row>
    <row r="2144" spans="6:6">
      <c r="F2144" s="208"/>
    </row>
    <row r="2145" spans="6:6">
      <c r="F2145" s="208"/>
    </row>
    <row r="2146" spans="6:6">
      <c r="F2146" s="208"/>
    </row>
    <row r="2147" spans="6:6">
      <c r="F2147" s="208"/>
    </row>
    <row r="2148" spans="6:6">
      <c r="F2148" s="208"/>
    </row>
    <row r="2149" spans="6:6">
      <c r="F2149" s="208"/>
    </row>
    <row r="2150" spans="6:6">
      <c r="F2150" s="208"/>
    </row>
    <row r="2151" spans="6:6">
      <c r="F2151" s="208"/>
    </row>
    <row r="2152" spans="6:6">
      <c r="F2152" s="208"/>
    </row>
    <row r="2153" spans="6:6">
      <c r="F2153" s="208"/>
    </row>
    <row r="2154" spans="6:6">
      <c r="F2154" s="208"/>
    </row>
    <row r="2155" spans="6:6">
      <c r="F2155" s="208"/>
    </row>
    <row r="2156" spans="6:6">
      <c r="F2156" s="208"/>
    </row>
    <row r="2157" spans="6:6">
      <c r="F2157" s="208"/>
    </row>
    <row r="2158" spans="6:6">
      <c r="F2158" s="208"/>
    </row>
    <row r="2159" spans="6:6">
      <c r="F2159" s="208"/>
    </row>
    <row r="2160" spans="6:6">
      <c r="F2160" s="208"/>
    </row>
    <row r="2161" spans="6:6">
      <c r="F2161" s="208"/>
    </row>
    <row r="2162" spans="6:6">
      <c r="F2162" s="208"/>
    </row>
    <row r="2163" spans="6:6">
      <c r="F2163" s="208"/>
    </row>
    <row r="2164" spans="6:6">
      <c r="F2164" s="208"/>
    </row>
    <row r="2165" spans="6:6">
      <c r="F2165" s="208"/>
    </row>
    <row r="2166" spans="6:6">
      <c r="F2166" s="208"/>
    </row>
    <row r="2167" spans="6:6">
      <c r="F2167" s="208"/>
    </row>
    <row r="2168" spans="6:6">
      <c r="F2168" s="208"/>
    </row>
    <row r="2169" spans="6:6">
      <c r="F2169" s="208"/>
    </row>
    <row r="2170" spans="6:6">
      <c r="F2170" s="208"/>
    </row>
    <row r="2171" spans="6:6">
      <c r="F2171" s="208"/>
    </row>
    <row r="2172" spans="6:6">
      <c r="F2172" s="208"/>
    </row>
    <row r="2173" spans="6:6">
      <c r="F2173" s="208"/>
    </row>
    <row r="2174" spans="6:6">
      <c r="F2174" s="208"/>
    </row>
    <row r="2175" spans="6:6">
      <c r="F2175" s="208"/>
    </row>
    <row r="2176" spans="6:6">
      <c r="F2176" s="208"/>
    </row>
    <row r="2177" spans="6:6">
      <c r="F2177" s="208"/>
    </row>
    <row r="2178" spans="6:6">
      <c r="F2178" s="208"/>
    </row>
    <row r="2179" spans="6:6">
      <c r="F2179" s="208"/>
    </row>
    <row r="2180" spans="6:6">
      <c r="F2180" s="208"/>
    </row>
    <row r="2181" spans="6:6">
      <c r="F2181" s="208"/>
    </row>
    <row r="2182" spans="6:6">
      <c r="F2182" s="208"/>
    </row>
    <row r="2183" spans="6:6">
      <c r="F2183" s="208"/>
    </row>
    <row r="2184" spans="6:6">
      <c r="F2184" s="208"/>
    </row>
    <row r="2185" spans="6:6">
      <c r="F2185" s="208"/>
    </row>
    <row r="2186" spans="6:6">
      <c r="F2186" s="208"/>
    </row>
    <row r="2187" spans="6:6">
      <c r="F2187" s="208"/>
    </row>
    <row r="2188" spans="6:6">
      <c r="F2188" s="208"/>
    </row>
    <row r="2189" spans="6:6">
      <c r="F2189" s="208"/>
    </row>
    <row r="2190" spans="6:6">
      <c r="F2190" s="208"/>
    </row>
    <row r="2191" spans="6:6">
      <c r="F2191" s="208"/>
    </row>
    <row r="2192" spans="6:6">
      <c r="F2192" s="208"/>
    </row>
    <row r="2193" spans="6:6">
      <c r="F2193" s="208"/>
    </row>
    <row r="2194" spans="6:6">
      <c r="F2194" s="208"/>
    </row>
    <row r="2195" spans="6:6">
      <c r="F2195" s="208"/>
    </row>
    <row r="2196" spans="6:6">
      <c r="F2196" s="208"/>
    </row>
    <row r="2197" spans="6:6">
      <c r="F2197" s="208"/>
    </row>
    <row r="2198" spans="6:6">
      <c r="F2198" s="208"/>
    </row>
    <row r="2199" spans="6:6">
      <c r="F2199" s="208"/>
    </row>
    <row r="2200" spans="6:6">
      <c r="F2200" s="208"/>
    </row>
    <row r="2201" spans="6:6">
      <c r="F2201" s="208"/>
    </row>
    <row r="2202" spans="6:6">
      <c r="F2202" s="208"/>
    </row>
    <row r="2203" spans="6:6">
      <c r="F2203" s="208"/>
    </row>
    <row r="2204" spans="6:6">
      <c r="F2204" s="208"/>
    </row>
    <row r="2205" spans="6:6">
      <c r="F2205" s="208"/>
    </row>
    <row r="2206" spans="6:6">
      <c r="F2206" s="208"/>
    </row>
    <row r="2207" spans="6:6">
      <c r="F2207" s="208"/>
    </row>
    <row r="2208" spans="6:6">
      <c r="F2208" s="208"/>
    </row>
    <row r="2209" spans="6:6">
      <c r="F2209" s="208"/>
    </row>
    <row r="2210" spans="6:6">
      <c r="F2210" s="208"/>
    </row>
    <row r="2211" spans="6:6">
      <c r="F2211" s="208"/>
    </row>
    <row r="2212" spans="6:6">
      <c r="F2212" s="208"/>
    </row>
    <row r="2213" spans="6:6">
      <c r="F2213" s="208"/>
    </row>
    <row r="2214" spans="6:6">
      <c r="F2214" s="208"/>
    </row>
    <row r="2215" spans="6:6">
      <c r="F2215" s="208"/>
    </row>
    <row r="2216" spans="6:6">
      <c r="F2216" s="208"/>
    </row>
    <row r="2217" spans="6:6">
      <c r="F2217" s="208"/>
    </row>
    <row r="2218" spans="6:6">
      <c r="F2218" s="208"/>
    </row>
    <row r="2219" spans="6:6">
      <c r="F2219" s="208"/>
    </row>
    <row r="2220" spans="6:6">
      <c r="F2220" s="208"/>
    </row>
    <row r="2221" spans="6:6">
      <c r="F2221" s="208"/>
    </row>
    <row r="2222" spans="6:6">
      <c r="F2222" s="208"/>
    </row>
    <row r="2223" spans="6:6">
      <c r="F2223" s="208"/>
    </row>
    <row r="2224" spans="6:6">
      <c r="F2224" s="208"/>
    </row>
    <row r="2225" spans="6:6">
      <c r="F2225" s="208"/>
    </row>
    <row r="2226" spans="6:6">
      <c r="F2226" s="208"/>
    </row>
    <row r="2227" spans="6:6">
      <c r="F2227" s="208"/>
    </row>
    <row r="2228" spans="6:6">
      <c r="F2228" s="208"/>
    </row>
    <row r="2229" spans="6:6">
      <c r="F2229" s="208"/>
    </row>
    <row r="2230" spans="6:6">
      <c r="F2230" s="208"/>
    </row>
    <row r="2231" spans="6:6">
      <c r="F2231" s="208"/>
    </row>
    <row r="2232" spans="6:6">
      <c r="F2232" s="208"/>
    </row>
    <row r="2233" spans="6:6">
      <c r="F2233" s="208"/>
    </row>
    <row r="2234" spans="6:6">
      <c r="F2234" s="208"/>
    </row>
    <row r="2235" spans="6:6">
      <c r="F2235" s="208"/>
    </row>
    <row r="2236" spans="6:6">
      <c r="F2236" s="208"/>
    </row>
    <row r="2237" spans="6:6">
      <c r="F2237" s="208"/>
    </row>
    <row r="2238" spans="6:6">
      <c r="F2238" s="208"/>
    </row>
    <row r="2239" spans="6:6">
      <c r="F2239" s="208"/>
    </row>
    <row r="2240" spans="6:6">
      <c r="F2240" s="208"/>
    </row>
    <row r="2241" spans="6:6">
      <c r="F2241" s="208"/>
    </row>
    <row r="2242" spans="6:6">
      <c r="F2242" s="208"/>
    </row>
    <row r="2243" spans="6:6">
      <c r="F2243" s="208"/>
    </row>
    <row r="2244" spans="6:6">
      <c r="F2244" s="208"/>
    </row>
    <row r="2245" spans="6:6">
      <c r="F2245" s="208"/>
    </row>
    <row r="2246" spans="6:6">
      <c r="F2246" s="208"/>
    </row>
    <row r="2247" spans="6:6">
      <c r="F2247" s="208"/>
    </row>
    <row r="2248" spans="6:6">
      <c r="F2248" s="208"/>
    </row>
    <row r="2249" spans="6:6">
      <c r="F2249" s="208"/>
    </row>
    <row r="2250" spans="6:6">
      <c r="F2250" s="208"/>
    </row>
    <row r="2251" spans="6:6">
      <c r="F2251" s="208"/>
    </row>
    <row r="2252" spans="6:6">
      <c r="F2252" s="208"/>
    </row>
    <row r="2253" spans="6:6">
      <c r="F2253" s="208"/>
    </row>
    <row r="2254" spans="6:6">
      <c r="F2254" s="208"/>
    </row>
    <row r="2255" spans="6:6">
      <c r="F2255" s="208"/>
    </row>
    <row r="2256" spans="6:6">
      <c r="F2256" s="208"/>
    </row>
    <row r="2257" spans="6:6">
      <c r="F2257" s="208"/>
    </row>
    <row r="2258" spans="6:6">
      <c r="F2258" s="208"/>
    </row>
    <row r="2259" spans="6:6">
      <c r="F2259" s="208"/>
    </row>
    <row r="2260" spans="6:6">
      <c r="F2260" s="208"/>
    </row>
    <row r="2261" spans="6:6">
      <c r="F2261" s="208"/>
    </row>
    <row r="2262" spans="6:6">
      <c r="F2262" s="208"/>
    </row>
    <row r="2263" spans="6:6">
      <c r="F2263" s="208"/>
    </row>
    <row r="2264" spans="6:6">
      <c r="F2264" s="208"/>
    </row>
    <row r="2265" spans="6:6">
      <c r="F2265" s="208"/>
    </row>
    <row r="2266" spans="6:6">
      <c r="F2266" s="208"/>
    </row>
    <row r="2267" spans="6:6">
      <c r="F2267" s="208"/>
    </row>
    <row r="2268" spans="6:6">
      <c r="F2268" s="208"/>
    </row>
    <row r="2269" spans="6:6">
      <c r="F2269" s="208"/>
    </row>
    <row r="2270" spans="6:6">
      <c r="F2270" s="208"/>
    </row>
    <row r="2271" spans="6:6">
      <c r="F2271" s="208"/>
    </row>
    <row r="2272" spans="6:6">
      <c r="F2272" s="208"/>
    </row>
    <row r="2273" spans="6:6">
      <c r="F2273" s="208"/>
    </row>
    <row r="2274" spans="6:6">
      <c r="F2274" s="208"/>
    </row>
    <row r="2275" spans="6:6">
      <c r="F2275" s="208"/>
    </row>
    <row r="2276" spans="6:6">
      <c r="F2276" s="208"/>
    </row>
    <row r="2277" spans="6:6">
      <c r="F2277" s="208"/>
    </row>
    <row r="2278" spans="6:6">
      <c r="F2278" s="208"/>
    </row>
    <row r="2279" spans="6:6">
      <c r="F2279" s="208"/>
    </row>
    <row r="2280" spans="6:6">
      <c r="F2280" s="208"/>
    </row>
    <row r="2281" spans="6:6">
      <c r="F2281" s="208"/>
    </row>
    <row r="2282" spans="6:6">
      <c r="F2282" s="208"/>
    </row>
    <row r="2283" spans="6:6">
      <c r="F2283" s="208"/>
    </row>
    <row r="2284" spans="6:6">
      <c r="F2284" s="208"/>
    </row>
    <row r="2285" spans="6:6">
      <c r="F2285" s="208"/>
    </row>
    <row r="2286" spans="6:6">
      <c r="F2286" s="208"/>
    </row>
    <row r="2287" spans="6:6">
      <c r="F2287" s="208"/>
    </row>
    <row r="2288" spans="6:6">
      <c r="F2288" s="208"/>
    </row>
    <row r="2289" spans="6:6">
      <c r="F2289" s="208"/>
    </row>
    <row r="2290" spans="6:6">
      <c r="F2290" s="208"/>
    </row>
    <row r="2291" spans="6:6">
      <c r="F2291" s="208"/>
    </row>
    <row r="2292" spans="6:6">
      <c r="F2292" s="208"/>
    </row>
    <row r="2293" spans="6:6">
      <c r="F2293" s="208"/>
    </row>
    <row r="2294" spans="6:6">
      <c r="F2294" s="208"/>
    </row>
    <row r="2295" spans="6:6">
      <c r="F2295" s="208"/>
    </row>
    <row r="2296" spans="6:6">
      <c r="F2296" s="208"/>
    </row>
    <row r="2297" spans="6:6">
      <c r="F2297" s="208"/>
    </row>
    <row r="2298" spans="6:6">
      <c r="F2298" s="208"/>
    </row>
    <row r="2299" spans="6:6">
      <c r="F2299" s="208"/>
    </row>
    <row r="2300" spans="6:6">
      <c r="F2300" s="208"/>
    </row>
    <row r="2301" spans="6:6">
      <c r="F2301" s="208"/>
    </row>
    <row r="2302" spans="6:6">
      <c r="F2302" s="208"/>
    </row>
    <row r="2303" spans="6:6">
      <c r="F2303" s="208"/>
    </row>
    <row r="2304" spans="6:6">
      <c r="F2304" s="208"/>
    </row>
    <row r="2305" spans="6:6">
      <c r="F2305" s="208"/>
    </row>
    <row r="2306" spans="6:6">
      <c r="F2306" s="208"/>
    </row>
    <row r="2307" spans="6:6">
      <c r="F2307" s="208"/>
    </row>
    <row r="2308" spans="6:6">
      <c r="F2308" s="208"/>
    </row>
    <row r="2309" spans="6:6">
      <c r="F2309" s="208"/>
    </row>
    <row r="2310" spans="6:6">
      <c r="F2310" s="208"/>
    </row>
    <row r="2311" spans="6:6">
      <c r="F2311" s="208"/>
    </row>
    <row r="2312" spans="6:6">
      <c r="F2312" s="208"/>
    </row>
    <row r="2313" spans="6:6">
      <c r="F2313" s="208"/>
    </row>
    <row r="2314" spans="6:6">
      <c r="F2314" s="208"/>
    </row>
    <row r="2315" spans="6:6">
      <c r="F2315" s="208"/>
    </row>
    <row r="2316" spans="6:6">
      <c r="F2316" s="208"/>
    </row>
    <row r="2317" spans="6:6">
      <c r="F2317" s="208"/>
    </row>
    <row r="2318" spans="6:6">
      <c r="F2318" s="208"/>
    </row>
    <row r="2319" spans="6:6">
      <c r="F2319" s="208"/>
    </row>
    <row r="2320" spans="6:6">
      <c r="F2320" s="208"/>
    </row>
    <row r="2321" spans="6:6">
      <c r="F2321" s="208"/>
    </row>
    <row r="2322" spans="6:6">
      <c r="F2322" s="208"/>
    </row>
    <row r="2323" spans="6:6">
      <c r="F2323" s="208"/>
    </row>
    <row r="2324" spans="6:6">
      <c r="F2324" s="208"/>
    </row>
    <row r="2325" spans="6:6">
      <c r="F2325" s="208"/>
    </row>
    <row r="2326" spans="6:6">
      <c r="F2326" s="208"/>
    </row>
    <row r="2327" spans="6:6">
      <c r="F2327" s="208"/>
    </row>
    <row r="2328" spans="6:6">
      <c r="F2328" s="208"/>
    </row>
    <row r="2329" spans="6:6">
      <c r="F2329" s="208"/>
    </row>
    <row r="2330" spans="6:6">
      <c r="F2330" s="208"/>
    </row>
    <row r="2331" spans="6:6">
      <c r="F2331" s="208"/>
    </row>
    <row r="2332" spans="6:6">
      <c r="F2332" s="208"/>
    </row>
    <row r="2333" spans="6:6">
      <c r="F2333" s="208"/>
    </row>
    <row r="2334" spans="6:6">
      <c r="F2334" s="208"/>
    </row>
    <row r="2335" spans="6:6">
      <c r="F2335" s="208"/>
    </row>
    <row r="2336" spans="6:6">
      <c r="F2336" s="208"/>
    </row>
    <row r="2337" spans="6:6">
      <c r="F2337" s="208"/>
    </row>
    <row r="2338" spans="6:6">
      <c r="F2338" s="208"/>
    </row>
    <row r="2339" spans="6:6">
      <c r="F2339" s="208"/>
    </row>
    <row r="2340" spans="6:6">
      <c r="F2340" s="208"/>
    </row>
    <row r="2341" spans="6:6">
      <c r="F2341" s="208"/>
    </row>
    <row r="2342" spans="6:6">
      <c r="F2342" s="208"/>
    </row>
    <row r="2343" spans="6:6">
      <c r="F2343" s="208"/>
    </row>
    <row r="2344" spans="6:6">
      <c r="F2344" s="208"/>
    </row>
    <row r="2345" spans="6:6">
      <c r="F2345" s="208"/>
    </row>
    <row r="2346" spans="6:6">
      <c r="F2346" s="208"/>
    </row>
    <row r="2347" spans="6:6">
      <c r="F2347" s="208"/>
    </row>
    <row r="2348" spans="6:6">
      <c r="F2348" s="208"/>
    </row>
    <row r="2349" spans="6:6">
      <c r="F2349" s="208"/>
    </row>
    <row r="2350" spans="6:6">
      <c r="F2350" s="208"/>
    </row>
    <row r="2351" spans="6:6">
      <c r="F2351" s="208"/>
    </row>
    <row r="2352" spans="6:6">
      <c r="F2352" s="208"/>
    </row>
    <row r="2353" spans="6:6">
      <c r="F2353" s="208"/>
    </row>
    <row r="2354" spans="6:6">
      <c r="F2354" s="208"/>
    </row>
    <row r="2355" spans="6:6">
      <c r="F2355" s="208"/>
    </row>
    <row r="2356" spans="6:6">
      <c r="F2356" s="208"/>
    </row>
    <row r="2357" spans="6:6">
      <c r="F2357" s="208"/>
    </row>
    <row r="2358" spans="6:6">
      <c r="F2358" s="208"/>
    </row>
    <row r="2359" spans="6:6">
      <c r="F2359" s="208"/>
    </row>
    <row r="2360" spans="6:6">
      <c r="F2360" s="208"/>
    </row>
    <row r="2361" spans="6:6">
      <c r="F2361" s="208"/>
    </row>
    <row r="2362" spans="6:6">
      <c r="F2362" s="208"/>
    </row>
    <row r="2363" spans="6:6">
      <c r="F2363" s="208"/>
    </row>
    <row r="2364" spans="6:6">
      <c r="F2364" s="208"/>
    </row>
    <row r="2365" spans="6:6">
      <c r="F2365" s="208"/>
    </row>
    <row r="2366" spans="6:6">
      <c r="F2366" s="208"/>
    </row>
    <row r="2367" spans="6:6">
      <c r="F2367" s="208"/>
    </row>
    <row r="2368" spans="6:6">
      <c r="F2368" s="208"/>
    </row>
    <row r="2369" spans="6:6">
      <c r="F2369" s="208"/>
    </row>
    <row r="2370" spans="6:6">
      <c r="F2370" s="208"/>
    </row>
    <row r="2371" spans="6:6">
      <c r="F2371" s="208"/>
    </row>
    <row r="2372" spans="6:6">
      <c r="F2372" s="208"/>
    </row>
    <row r="2373" spans="6:6">
      <c r="F2373" s="208"/>
    </row>
    <row r="2374" spans="6:6">
      <c r="F2374" s="208"/>
    </row>
    <row r="2375" spans="6:6">
      <c r="F2375" s="208"/>
    </row>
    <row r="2376" spans="6:6">
      <c r="F2376" s="208"/>
    </row>
    <row r="2377" spans="6:6">
      <c r="F2377" s="208"/>
    </row>
    <row r="2378" spans="6:6">
      <c r="F2378" s="208"/>
    </row>
    <row r="2379" spans="6:6">
      <c r="F2379" s="208"/>
    </row>
    <row r="2380" spans="6:6">
      <c r="F2380" s="208"/>
    </row>
    <row r="2381" spans="6:6">
      <c r="F2381" s="208"/>
    </row>
    <row r="2382" spans="6:6">
      <c r="F2382" s="208"/>
    </row>
    <row r="2383" spans="6:6">
      <c r="F2383" s="208"/>
    </row>
    <row r="2384" spans="6:6">
      <c r="F2384" s="208"/>
    </row>
    <row r="2385" spans="6:6">
      <c r="F2385" s="208"/>
    </row>
    <row r="2386" spans="6:6">
      <c r="F2386" s="208"/>
    </row>
    <row r="2387" spans="6:6">
      <c r="F2387" s="208"/>
    </row>
    <row r="2388" spans="6:6">
      <c r="F2388" s="208"/>
    </row>
    <row r="2389" spans="6:6">
      <c r="F2389" s="208"/>
    </row>
    <row r="2390" spans="6:6">
      <c r="F2390" s="208"/>
    </row>
    <row r="2391" spans="6:6">
      <c r="F2391" s="208"/>
    </row>
    <row r="2392" spans="6:6">
      <c r="F2392" s="208"/>
    </row>
    <row r="2393" spans="6:6">
      <c r="F2393" s="208"/>
    </row>
    <row r="2394" spans="6:6">
      <c r="F2394" s="208"/>
    </row>
    <row r="2395" spans="6:6">
      <c r="F2395" s="208"/>
    </row>
    <row r="2396" spans="6:6">
      <c r="F2396" s="208"/>
    </row>
    <row r="2397" spans="6:6">
      <c r="F2397" s="208"/>
    </row>
    <row r="2398" spans="6:6">
      <c r="F2398" s="208"/>
    </row>
    <row r="2399" spans="6:6">
      <c r="F2399" s="208"/>
    </row>
    <row r="2400" spans="6:6">
      <c r="F2400" s="208"/>
    </row>
    <row r="2401" spans="6:6">
      <c r="F2401" s="208"/>
    </row>
    <row r="2402" spans="6:6">
      <c r="F2402" s="208"/>
    </row>
    <row r="2403" spans="6:6">
      <c r="F2403" s="208"/>
    </row>
    <row r="2404" spans="6:6">
      <c r="F2404" s="208"/>
    </row>
    <row r="2405" spans="6:6">
      <c r="F2405" s="208"/>
    </row>
    <row r="2406" spans="6:6">
      <c r="F2406" s="208"/>
    </row>
    <row r="2407" spans="6:6">
      <c r="F2407" s="208"/>
    </row>
    <row r="2408" spans="6:6">
      <c r="F2408" s="208"/>
    </row>
    <row r="2409" spans="6:6">
      <c r="F2409" s="208"/>
    </row>
    <row r="2410" spans="6:6">
      <c r="F2410" s="208"/>
    </row>
    <row r="2411" spans="6:6">
      <c r="F2411" s="208"/>
    </row>
    <row r="2412" spans="6:6">
      <c r="F2412" s="208"/>
    </row>
    <row r="2413" spans="6:6">
      <c r="F2413" s="208"/>
    </row>
    <row r="2414" spans="6:6">
      <c r="F2414" s="208"/>
    </row>
    <row r="2415" spans="6:6">
      <c r="F2415" s="208"/>
    </row>
    <row r="2416" spans="6:6">
      <c r="F2416" s="208"/>
    </row>
    <row r="2417" spans="6:6">
      <c r="F2417" s="208"/>
    </row>
    <row r="2418" spans="6:6">
      <c r="F2418" s="208"/>
    </row>
    <row r="2419" spans="6:6">
      <c r="F2419" s="208"/>
    </row>
    <row r="2420" spans="6:6">
      <c r="F2420" s="208"/>
    </row>
    <row r="2421" spans="6:6">
      <c r="F2421" s="208"/>
    </row>
    <row r="2422" spans="6:6">
      <c r="F2422" s="208"/>
    </row>
    <row r="2423" spans="6:6">
      <c r="F2423" s="208"/>
    </row>
    <row r="2424" spans="6:6">
      <c r="F2424" s="208"/>
    </row>
    <row r="2425" spans="6:6">
      <c r="F2425" s="208"/>
    </row>
    <row r="2426" spans="6:6">
      <c r="F2426" s="208"/>
    </row>
    <row r="2427" spans="6:6">
      <c r="F2427" s="208"/>
    </row>
    <row r="2428" spans="6:6">
      <c r="F2428" s="208"/>
    </row>
    <row r="2429" spans="6:6">
      <c r="F2429" s="208"/>
    </row>
    <row r="2430" spans="6:6">
      <c r="F2430" s="208"/>
    </row>
    <row r="2431" spans="6:6">
      <c r="F2431" s="208"/>
    </row>
    <row r="2432" spans="6:6">
      <c r="F2432" s="208"/>
    </row>
    <row r="2433" spans="6:6">
      <c r="F2433" s="208"/>
    </row>
    <row r="2434" spans="6:6">
      <c r="F2434" s="208"/>
    </row>
    <row r="2435" spans="6:6">
      <c r="F2435" s="208"/>
    </row>
    <row r="2436" spans="6:6">
      <c r="F2436" s="208"/>
    </row>
    <row r="2437" spans="6:6">
      <c r="F2437" s="208"/>
    </row>
    <row r="2438" spans="6:6">
      <c r="F2438" s="208"/>
    </row>
    <row r="2439" spans="6:6">
      <c r="F2439" s="208"/>
    </row>
    <row r="2440" spans="6:6">
      <c r="F2440" s="208"/>
    </row>
    <row r="2441" spans="6:6">
      <c r="F2441" s="208"/>
    </row>
    <row r="2442" spans="6:6">
      <c r="F2442" s="208"/>
    </row>
    <row r="2443" spans="6:6">
      <c r="F2443" s="208"/>
    </row>
    <row r="2444" spans="6:6">
      <c r="F2444" s="208"/>
    </row>
    <row r="2445" spans="6:6">
      <c r="F2445" s="208"/>
    </row>
    <row r="2446" spans="6:6">
      <c r="F2446" s="208"/>
    </row>
    <row r="2447" spans="6:6">
      <c r="F2447" s="208"/>
    </row>
    <row r="2448" spans="6:6">
      <c r="F2448" s="208"/>
    </row>
    <row r="2449" spans="6:6">
      <c r="F2449" s="208"/>
    </row>
    <row r="2450" spans="6:6">
      <c r="F2450" s="208"/>
    </row>
    <row r="2451" spans="6:6">
      <c r="F2451" s="208"/>
    </row>
    <row r="2452" spans="6:6">
      <c r="F2452" s="208"/>
    </row>
    <row r="2453" spans="6:6">
      <c r="F2453" s="208"/>
    </row>
    <row r="2454" spans="6:6">
      <c r="F2454" s="208"/>
    </row>
    <row r="2455" spans="6:6">
      <c r="F2455" s="208"/>
    </row>
    <row r="2456" spans="6:6">
      <c r="F2456" s="208"/>
    </row>
    <row r="2457" spans="6:6">
      <c r="F2457" s="208"/>
    </row>
    <row r="2458" spans="6:6">
      <c r="F2458" s="208"/>
    </row>
    <row r="2459" spans="6:6">
      <c r="F2459" s="208"/>
    </row>
    <row r="2460" spans="6:6">
      <c r="F2460" s="208"/>
    </row>
    <row r="2461" spans="6:6">
      <c r="F2461" s="208"/>
    </row>
    <row r="2462" spans="6:6">
      <c r="F2462" s="208"/>
    </row>
    <row r="2463" spans="6:6">
      <c r="F2463" s="208"/>
    </row>
    <row r="2464" spans="6:6">
      <c r="F2464" s="208"/>
    </row>
    <row r="2465" spans="6:6">
      <c r="F2465" s="208"/>
    </row>
    <row r="2466" spans="6:6">
      <c r="F2466" s="208"/>
    </row>
    <row r="2467" spans="6:6">
      <c r="F2467" s="208"/>
    </row>
    <row r="2468" spans="6:6">
      <c r="F2468" s="208"/>
    </row>
    <row r="2469" spans="6:6">
      <c r="F2469" s="208"/>
    </row>
    <row r="2470" spans="6:6">
      <c r="F2470" s="208"/>
    </row>
    <row r="2471" spans="6:6">
      <c r="F2471" s="208"/>
    </row>
    <row r="2472" spans="6:6">
      <c r="F2472" s="208"/>
    </row>
    <row r="2473" spans="6:6">
      <c r="F2473" s="208"/>
    </row>
    <row r="2474" spans="6:6">
      <c r="F2474" s="208"/>
    </row>
    <row r="2475" spans="6:6">
      <c r="F2475" s="208"/>
    </row>
    <row r="2476" spans="6:6">
      <c r="F2476" s="208"/>
    </row>
    <row r="2477" spans="6:6">
      <c r="F2477" s="208"/>
    </row>
    <row r="2478" spans="6:6">
      <c r="F2478" s="208"/>
    </row>
    <row r="2479" spans="6:6">
      <c r="F2479" s="208"/>
    </row>
    <row r="2480" spans="6:6">
      <c r="F2480" s="208"/>
    </row>
    <row r="2481" spans="6:6">
      <c r="F2481" s="208"/>
    </row>
    <row r="2482" spans="6:6">
      <c r="F2482" s="208"/>
    </row>
    <row r="2483" spans="6:6">
      <c r="F2483" s="208"/>
    </row>
    <row r="2484" spans="6:6">
      <c r="F2484" s="208"/>
    </row>
    <row r="2485" spans="6:6">
      <c r="F2485" s="208"/>
    </row>
    <row r="2486" spans="6:6">
      <c r="F2486" s="208"/>
    </row>
    <row r="2487" spans="6:6">
      <c r="F2487" s="208"/>
    </row>
    <row r="2488" spans="6:6">
      <c r="F2488" s="208"/>
    </row>
    <row r="2489" spans="6:6">
      <c r="F2489" s="208"/>
    </row>
    <row r="2490" spans="6:6">
      <c r="F2490" s="208"/>
    </row>
    <row r="2491" spans="6:6">
      <c r="F2491" s="208"/>
    </row>
    <row r="2492" spans="6:6">
      <c r="F2492" s="208"/>
    </row>
    <row r="2493" spans="6:6">
      <c r="F2493" s="208"/>
    </row>
    <row r="2494" spans="6:6">
      <c r="F2494" s="208"/>
    </row>
    <row r="2495" spans="6:6">
      <c r="F2495" s="208"/>
    </row>
    <row r="2496" spans="6:6">
      <c r="F2496" s="208"/>
    </row>
    <row r="2497" spans="6:6">
      <c r="F2497" s="208"/>
    </row>
    <row r="2498" spans="6:6">
      <c r="F2498" s="208"/>
    </row>
    <row r="2499" spans="6:6">
      <c r="F2499" s="208"/>
    </row>
    <row r="2500" spans="6:6">
      <c r="F2500" s="208"/>
    </row>
    <row r="2501" spans="6:6">
      <c r="F2501" s="208"/>
    </row>
    <row r="2502" spans="6:6">
      <c r="F2502" s="208"/>
    </row>
    <row r="2503" spans="6:6">
      <c r="F2503" s="208"/>
    </row>
    <row r="2504" spans="6:6">
      <c r="F2504" s="208"/>
    </row>
    <row r="2505" spans="6:6">
      <c r="F2505" s="208"/>
    </row>
    <row r="2506" spans="6:6">
      <c r="F2506" s="208"/>
    </row>
    <row r="2507" spans="6:6">
      <c r="F2507" s="208"/>
    </row>
    <row r="2508" spans="6:6">
      <c r="F2508" s="208"/>
    </row>
    <row r="2509" spans="6:6">
      <c r="F2509" s="208"/>
    </row>
    <row r="2510" spans="6:6">
      <c r="F2510" s="208"/>
    </row>
    <row r="2511" spans="6:6">
      <c r="F2511" s="208"/>
    </row>
    <row r="2512" spans="6:6">
      <c r="F2512" s="208"/>
    </row>
    <row r="2513" spans="6:6">
      <c r="F2513" s="208"/>
    </row>
    <row r="2514" spans="6:6">
      <c r="F2514" s="208"/>
    </row>
    <row r="2515" spans="6:6">
      <c r="F2515" s="208"/>
    </row>
    <row r="2516" spans="6:6">
      <c r="F2516" s="208"/>
    </row>
    <row r="2517" spans="6:6">
      <c r="F2517" s="208"/>
    </row>
    <row r="2518" spans="6:6">
      <c r="F2518" s="208"/>
    </row>
    <row r="2519" spans="6:6">
      <c r="F2519" s="208"/>
    </row>
    <row r="2520" spans="6:6">
      <c r="F2520" s="208"/>
    </row>
    <row r="2521" spans="6:6">
      <c r="F2521" s="208"/>
    </row>
    <row r="2522" spans="6:6">
      <c r="F2522" s="208"/>
    </row>
    <row r="2523" spans="6:6">
      <c r="F2523" s="208"/>
    </row>
    <row r="2524" spans="6:6">
      <c r="F2524" s="208"/>
    </row>
    <row r="2525" spans="6:6">
      <c r="F2525" s="208"/>
    </row>
    <row r="2526" spans="6:6">
      <c r="F2526" s="208"/>
    </row>
    <row r="2527" spans="6:6">
      <c r="F2527" s="208"/>
    </row>
    <row r="2528" spans="6:6">
      <c r="F2528" s="208"/>
    </row>
    <row r="2529" spans="6:6">
      <c r="F2529" s="208"/>
    </row>
    <row r="2530" spans="6:6">
      <c r="F2530" s="208"/>
    </row>
    <row r="2531" spans="6:6">
      <c r="F2531" s="208"/>
    </row>
    <row r="2532" spans="6:6">
      <c r="F2532" s="208"/>
    </row>
    <row r="2533" spans="6:6">
      <c r="F2533" s="208"/>
    </row>
    <row r="2534" spans="6:6">
      <c r="F2534" s="208"/>
    </row>
    <row r="2535" spans="6:6">
      <c r="F2535" s="208"/>
    </row>
    <row r="2536" spans="6:6">
      <c r="F2536" s="208"/>
    </row>
    <row r="2537" spans="6:6">
      <c r="F2537" s="208"/>
    </row>
    <row r="2538" spans="6:6">
      <c r="F2538" s="208"/>
    </row>
    <row r="2539" spans="6:6">
      <c r="F2539" s="208"/>
    </row>
    <row r="2540" spans="6:6">
      <c r="F2540" s="208"/>
    </row>
    <row r="2541" spans="6:6">
      <c r="F2541" s="208"/>
    </row>
    <row r="2542" spans="6:6">
      <c r="F2542" s="208"/>
    </row>
    <row r="2543" spans="6:6">
      <c r="F2543" s="208"/>
    </row>
    <row r="2544" spans="6:6">
      <c r="F2544" s="208"/>
    </row>
    <row r="2545" spans="6:6">
      <c r="F2545" s="208"/>
    </row>
    <row r="2546" spans="6:6">
      <c r="F2546" s="208"/>
    </row>
    <row r="2547" spans="6:6">
      <c r="F2547" s="208"/>
    </row>
    <row r="2548" spans="6:6">
      <c r="F2548" s="208"/>
    </row>
    <row r="2549" spans="6:6">
      <c r="F2549" s="208"/>
    </row>
    <row r="2550" spans="6:6">
      <c r="F2550" s="208"/>
    </row>
    <row r="2551" spans="6:6">
      <c r="F2551" s="208"/>
    </row>
    <row r="2552" spans="6:6">
      <c r="F2552" s="208"/>
    </row>
    <row r="2553" spans="6:6">
      <c r="F2553" s="208"/>
    </row>
    <row r="2554" spans="6:6">
      <c r="F2554" s="208"/>
    </row>
    <row r="2555" spans="6:6">
      <c r="F2555" s="208"/>
    </row>
    <row r="2556" spans="6:6">
      <c r="F2556" s="208"/>
    </row>
    <row r="2557" spans="6:6">
      <c r="F2557" s="208"/>
    </row>
    <row r="2558" spans="6:6">
      <c r="F2558" s="208"/>
    </row>
    <row r="2559" spans="6:6">
      <c r="F2559" s="208"/>
    </row>
    <row r="2560" spans="6:6">
      <c r="F2560" s="208"/>
    </row>
    <row r="2561" spans="6:6">
      <c r="F2561" s="208"/>
    </row>
    <row r="2562" spans="6:6">
      <c r="F2562" s="208"/>
    </row>
    <row r="2563" spans="6:6">
      <c r="F2563" s="208"/>
    </row>
    <row r="2564" spans="6:6">
      <c r="F2564" s="208"/>
    </row>
    <row r="2565" spans="6:6">
      <c r="F2565" s="208"/>
    </row>
    <row r="2566" spans="6:6">
      <c r="F2566" s="208"/>
    </row>
    <row r="2567" spans="6:6">
      <c r="F2567" s="208"/>
    </row>
    <row r="2568" spans="6:6">
      <c r="F2568" s="208"/>
    </row>
    <row r="2569" spans="6:6">
      <c r="F2569" s="208"/>
    </row>
    <row r="2570" spans="6:6">
      <c r="F2570" s="208"/>
    </row>
    <row r="2571" spans="6:6">
      <c r="F2571" s="208"/>
    </row>
    <row r="2572" spans="6:6">
      <c r="F2572" s="208"/>
    </row>
    <row r="2573" spans="6:6">
      <c r="F2573" s="208"/>
    </row>
    <row r="2574" spans="6:6">
      <c r="F2574" s="208"/>
    </row>
    <row r="2575" spans="6:6">
      <c r="F2575" s="208"/>
    </row>
    <row r="2576" spans="6:6">
      <c r="F2576" s="208"/>
    </row>
    <row r="2577" spans="6:6">
      <c r="F2577" s="208"/>
    </row>
    <row r="2578" spans="6:6">
      <c r="F2578" s="208"/>
    </row>
    <row r="2579" spans="6:6">
      <c r="F2579" s="208"/>
    </row>
    <row r="2580" spans="6:6">
      <c r="F2580" s="208"/>
    </row>
    <row r="2581" spans="6:6">
      <c r="F2581" s="208"/>
    </row>
    <row r="2582" spans="6:6">
      <c r="F2582" s="208"/>
    </row>
    <row r="2583" spans="6:6">
      <c r="F2583" s="208"/>
    </row>
    <row r="2584" spans="6:6">
      <c r="F2584" s="208"/>
    </row>
    <row r="2585" spans="6:6">
      <c r="F2585" s="208"/>
    </row>
    <row r="2586" spans="6:6">
      <c r="F2586" s="208"/>
    </row>
    <row r="2587" spans="6:6">
      <c r="F2587" s="208"/>
    </row>
    <row r="2588" spans="6:6">
      <c r="F2588" s="208"/>
    </row>
    <row r="2589" spans="6:6">
      <c r="F2589" s="208"/>
    </row>
    <row r="2590" spans="6:6">
      <c r="F2590" s="208"/>
    </row>
    <row r="2591" spans="6:6">
      <c r="F2591" s="208"/>
    </row>
    <row r="2592" spans="6:6">
      <c r="F2592" s="208"/>
    </row>
    <row r="2593" spans="6:6">
      <c r="F2593" s="208"/>
    </row>
    <row r="2594" spans="6:6">
      <c r="F2594" s="208"/>
    </row>
    <row r="2595" spans="6:6">
      <c r="F2595" s="208"/>
    </row>
    <row r="2596" spans="6:6">
      <c r="F2596" s="208"/>
    </row>
    <row r="2597" spans="6:6">
      <c r="F2597" s="208"/>
    </row>
    <row r="2598" spans="6:6">
      <c r="F2598" s="208"/>
    </row>
    <row r="2599" spans="6:6">
      <c r="F2599" s="208"/>
    </row>
    <row r="2600" spans="6:6">
      <c r="F2600" s="208"/>
    </row>
    <row r="2601" spans="6:6">
      <c r="F2601" s="208"/>
    </row>
    <row r="2602" spans="6:6">
      <c r="F2602" s="208"/>
    </row>
    <row r="2603" spans="6:6">
      <c r="F2603" s="208"/>
    </row>
    <row r="2604" spans="6:6">
      <c r="F2604" s="208"/>
    </row>
    <row r="2605" spans="6:6">
      <c r="F2605" s="208"/>
    </row>
    <row r="2606" spans="6:6">
      <c r="F2606" s="208"/>
    </row>
    <row r="2607" spans="6:6">
      <c r="F2607" s="208"/>
    </row>
    <row r="2608" spans="6:6">
      <c r="F2608" s="208"/>
    </row>
    <row r="2609" spans="6:6">
      <c r="F2609" s="208"/>
    </row>
    <row r="2610" spans="6:6">
      <c r="F2610" s="208"/>
    </row>
    <row r="2611" spans="6:6">
      <c r="F2611" s="208"/>
    </row>
    <row r="2612" spans="6:6">
      <c r="F2612" s="208"/>
    </row>
    <row r="2613" spans="6:6">
      <c r="F2613" s="208"/>
    </row>
    <row r="2614" spans="6:6">
      <c r="F2614" s="208"/>
    </row>
    <row r="2615" spans="6:6">
      <c r="F2615" s="208"/>
    </row>
    <row r="2616" spans="6:6">
      <c r="F2616" s="208"/>
    </row>
    <row r="2617" spans="6:6">
      <c r="F2617" s="208"/>
    </row>
    <row r="2618" spans="6:6">
      <c r="F2618" s="208"/>
    </row>
    <row r="2619" spans="6:6">
      <c r="F2619" s="208"/>
    </row>
    <row r="2620" spans="6:6">
      <c r="F2620" s="208"/>
    </row>
    <row r="2621" spans="6:6">
      <c r="F2621" s="208"/>
    </row>
    <row r="2622" spans="6:6">
      <c r="F2622" s="208"/>
    </row>
    <row r="2623" spans="6:6">
      <c r="F2623" s="208"/>
    </row>
    <row r="2624" spans="6:6">
      <c r="F2624" s="208"/>
    </row>
    <row r="2625" spans="6:6">
      <c r="F2625" s="208"/>
    </row>
    <row r="2626" spans="6:6">
      <c r="F2626" s="208"/>
    </row>
    <row r="2627" spans="6:6">
      <c r="F2627" s="208"/>
    </row>
    <row r="2628" spans="6:6">
      <c r="F2628" s="208"/>
    </row>
    <row r="2629" spans="6:6">
      <c r="F2629" s="208"/>
    </row>
    <row r="2630" spans="6:6">
      <c r="F2630" s="208"/>
    </row>
    <row r="2631" spans="6:6">
      <c r="F2631" s="208"/>
    </row>
    <row r="2632" spans="6:6">
      <c r="F2632" s="208"/>
    </row>
    <row r="2633" spans="6:6">
      <c r="F2633" s="208"/>
    </row>
    <row r="2634" spans="6:6">
      <c r="F2634" s="208"/>
    </row>
    <row r="2635" spans="6:6">
      <c r="F2635" s="208"/>
    </row>
    <row r="2636" spans="6:6">
      <c r="F2636" s="208"/>
    </row>
    <row r="2637" spans="6:6">
      <c r="F2637" s="208"/>
    </row>
    <row r="2638" spans="6:6">
      <c r="F2638" s="208"/>
    </row>
    <row r="2639" spans="6:6">
      <c r="F2639" s="208"/>
    </row>
    <row r="2640" spans="6:6">
      <c r="F2640" s="208"/>
    </row>
    <row r="2641" spans="6:6">
      <c r="F2641" s="208"/>
    </row>
    <row r="2642" spans="6:6">
      <c r="F2642" s="208"/>
    </row>
    <row r="2643" spans="6:6">
      <c r="F2643" s="208"/>
    </row>
    <row r="2644" spans="6:6">
      <c r="F2644" s="208"/>
    </row>
    <row r="2645" spans="6:6">
      <c r="F2645" s="208"/>
    </row>
    <row r="2646" spans="6:6">
      <c r="F2646" s="208"/>
    </row>
    <row r="2647" spans="6:6">
      <c r="F2647" s="208"/>
    </row>
    <row r="2648" spans="6:6">
      <c r="F2648" s="208"/>
    </row>
    <row r="2649" spans="6:6">
      <c r="F2649" s="208"/>
    </row>
    <row r="2650" spans="6:6">
      <c r="F2650" s="208"/>
    </row>
    <row r="2651" spans="6:6">
      <c r="F2651" s="208"/>
    </row>
    <row r="2652" spans="6:6">
      <c r="F2652" s="208"/>
    </row>
    <row r="2653" spans="6:6">
      <c r="F2653" s="208"/>
    </row>
    <row r="2654" spans="6:6">
      <c r="F2654" s="208"/>
    </row>
    <row r="2655" spans="6:6">
      <c r="F2655" s="208"/>
    </row>
    <row r="2656" spans="6:6">
      <c r="F2656" s="208"/>
    </row>
    <row r="2657" spans="6:6">
      <c r="F2657" s="208"/>
    </row>
    <row r="2658" spans="6:6">
      <c r="F2658" s="208"/>
    </row>
    <row r="2659" spans="6:6">
      <c r="F2659" s="208"/>
    </row>
    <row r="2660" spans="6:6">
      <c r="F2660" s="208"/>
    </row>
    <row r="2661" spans="6:6">
      <c r="F2661" s="208"/>
    </row>
    <row r="2662" spans="6:6">
      <c r="F2662" s="208"/>
    </row>
    <row r="2663" spans="6:6">
      <c r="F2663" s="208"/>
    </row>
    <row r="2664" spans="6:6">
      <c r="F2664" s="208"/>
    </row>
    <row r="2665" spans="6:6">
      <c r="F2665" s="208"/>
    </row>
    <row r="2666" spans="6:6">
      <c r="F2666" s="208"/>
    </row>
    <row r="2667" spans="6:6">
      <c r="F2667" s="208"/>
    </row>
    <row r="2668" spans="6:6">
      <c r="F2668" s="208"/>
    </row>
    <row r="2669" spans="6:6">
      <c r="F2669" s="208"/>
    </row>
    <row r="2670" spans="6:6">
      <c r="F2670" s="208"/>
    </row>
    <row r="2671" spans="6:6">
      <c r="F2671" s="208"/>
    </row>
    <row r="2672" spans="6:6">
      <c r="F2672" s="208"/>
    </row>
    <row r="2673" spans="6:6">
      <c r="F2673" s="208"/>
    </row>
    <row r="2674" spans="6:6">
      <c r="F2674" s="208"/>
    </row>
    <row r="2675" spans="6:6">
      <c r="F2675" s="208"/>
    </row>
    <row r="2676" spans="6:6">
      <c r="F2676" s="208"/>
    </row>
    <row r="2677" spans="6:6">
      <c r="F2677" s="208"/>
    </row>
    <row r="2678" spans="6:6">
      <c r="F2678" s="208"/>
    </row>
    <row r="2679" spans="6:6">
      <c r="F2679" s="208"/>
    </row>
    <row r="2680" spans="6:6">
      <c r="F2680" s="208"/>
    </row>
    <row r="2681" spans="6:6">
      <c r="F2681" s="208"/>
    </row>
    <row r="2682" spans="6:6">
      <c r="F2682" s="208"/>
    </row>
    <row r="2683" spans="6:6">
      <c r="F2683" s="208"/>
    </row>
    <row r="2684" spans="6:6">
      <c r="F2684" s="208"/>
    </row>
    <row r="2685" spans="6:6">
      <c r="F2685" s="208"/>
    </row>
    <row r="2686" spans="6:6">
      <c r="F2686" s="208"/>
    </row>
    <row r="2687" spans="6:6">
      <c r="F2687" s="208"/>
    </row>
    <row r="2688" spans="6:6">
      <c r="F2688" s="208"/>
    </row>
    <row r="2689" spans="6:6">
      <c r="F2689" s="208"/>
    </row>
    <row r="2690" spans="6:6">
      <c r="F2690" s="208"/>
    </row>
    <row r="2691" spans="6:6">
      <c r="F2691" s="208"/>
    </row>
    <row r="2692" spans="6:6">
      <c r="F2692" s="208"/>
    </row>
    <row r="2693" spans="6:6">
      <c r="F2693" s="208"/>
    </row>
    <row r="2694" spans="6:6">
      <c r="F2694" s="208"/>
    </row>
    <row r="2695" spans="6:6">
      <c r="F2695" s="208"/>
    </row>
    <row r="2696" spans="6:6">
      <c r="F2696" s="208"/>
    </row>
    <row r="2697" spans="6:6">
      <c r="F2697" s="208"/>
    </row>
    <row r="2698" spans="6:6">
      <c r="F2698" s="208"/>
    </row>
    <row r="2699" spans="6:6">
      <c r="F2699" s="208"/>
    </row>
    <row r="2700" spans="6:6">
      <c r="F2700" s="208"/>
    </row>
    <row r="2701" spans="6:6">
      <c r="F2701" s="208"/>
    </row>
    <row r="2702" spans="6:6">
      <c r="F2702" s="208"/>
    </row>
    <row r="2703" spans="6:6">
      <c r="F2703" s="208"/>
    </row>
    <row r="2704" spans="6:6">
      <c r="F2704" s="208"/>
    </row>
    <row r="2705" spans="6:6">
      <c r="F2705" s="208"/>
    </row>
    <row r="2706" spans="6:6">
      <c r="F2706" s="208"/>
    </row>
    <row r="2707" spans="6:6">
      <c r="F2707" s="208"/>
    </row>
    <row r="2708" spans="6:6">
      <c r="F2708" s="208"/>
    </row>
    <row r="2709" spans="6:6">
      <c r="F2709" s="208"/>
    </row>
    <row r="2710" spans="6:6">
      <c r="F2710" s="208"/>
    </row>
    <row r="2711" spans="6:6">
      <c r="F2711" s="208"/>
    </row>
    <row r="2712" spans="6:6">
      <c r="F2712" s="208"/>
    </row>
    <row r="2713" spans="6:6">
      <c r="F2713" s="208"/>
    </row>
    <row r="2714" spans="6:6">
      <c r="F2714" s="208"/>
    </row>
    <row r="2715" spans="6:6">
      <c r="F2715" s="208"/>
    </row>
    <row r="2716" spans="6:6">
      <c r="F2716" s="208"/>
    </row>
    <row r="2717" spans="6:6">
      <c r="F2717" s="208"/>
    </row>
    <row r="2718" spans="6:6">
      <c r="F2718" s="208"/>
    </row>
    <row r="2719" spans="6:6">
      <c r="F2719" s="208"/>
    </row>
    <row r="2720" spans="6:6">
      <c r="F2720" s="208"/>
    </row>
    <row r="2721" spans="6:6">
      <c r="F2721" s="208"/>
    </row>
    <row r="2722" spans="6:6">
      <c r="F2722" s="208"/>
    </row>
    <row r="2723" spans="6:6">
      <c r="F2723" s="208"/>
    </row>
    <row r="2724" spans="6:6">
      <c r="F2724" s="208"/>
    </row>
    <row r="2725" spans="6:6">
      <c r="F2725" s="208"/>
    </row>
    <row r="2726" spans="6:6">
      <c r="F2726" s="208"/>
    </row>
    <row r="2727" spans="6:6">
      <c r="F2727" s="208"/>
    </row>
    <row r="2728" spans="6:6">
      <c r="F2728" s="208"/>
    </row>
    <row r="2729" spans="6:6">
      <c r="F2729" s="208"/>
    </row>
    <row r="2730" spans="6:6">
      <c r="F2730" s="208"/>
    </row>
    <row r="2731" spans="6:6">
      <c r="F2731" s="208"/>
    </row>
    <row r="2732" spans="6:6">
      <c r="F2732" s="208"/>
    </row>
    <row r="2733" spans="6:6">
      <c r="F2733" s="208"/>
    </row>
    <row r="2734" spans="6:6">
      <c r="F2734" s="208"/>
    </row>
    <row r="2735" spans="6:6">
      <c r="F2735" s="208"/>
    </row>
    <row r="2736" spans="6:6">
      <c r="F2736" s="208"/>
    </row>
    <row r="2737" spans="6:6">
      <c r="F2737" s="208"/>
    </row>
    <row r="2738" spans="6:6">
      <c r="F2738" s="208"/>
    </row>
    <row r="2739" spans="6:6">
      <c r="F2739" s="208"/>
    </row>
    <row r="2740" spans="6:6">
      <c r="F2740" s="208"/>
    </row>
    <row r="2741" spans="6:6">
      <c r="F2741" s="208"/>
    </row>
    <row r="2742" spans="6:6">
      <c r="F2742" s="208"/>
    </row>
    <row r="2743" spans="6:6">
      <c r="F2743" s="208"/>
    </row>
    <row r="2744" spans="6:6">
      <c r="F2744" s="208"/>
    </row>
    <row r="2745" spans="6:6">
      <c r="F2745" s="208"/>
    </row>
    <row r="2746" spans="6:6">
      <c r="F2746" s="208"/>
    </row>
    <row r="2747" spans="6:6">
      <c r="F2747" s="208"/>
    </row>
    <row r="2748" spans="6:6">
      <c r="F2748" s="208"/>
    </row>
    <row r="2749" spans="6:6">
      <c r="F2749" s="208"/>
    </row>
    <row r="2750" spans="6:6">
      <c r="F2750" s="208"/>
    </row>
    <row r="2751" spans="6:6">
      <c r="F2751" s="208"/>
    </row>
    <row r="2752" spans="6:6">
      <c r="F2752" s="208"/>
    </row>
    <row r="2753" spans="6:6">
      <c r="F2753" s="208"/>
    </row>
    <row r="2754" spans="6:6">
      <c r="F2754" s="208"/>
    </row>
    <row r="2755" spans="6:6">
      <c r="F2755" s="208"/>
    </row>
    <row r="2756" spans="6:6">
      <c r="F2756" s="208"/>
    </row>
    <row r="2757" spans="6:6">
      <c r="F2757" s="208"/>
    </row>
    <row r="2758" spans="6:6">
      <c r="F2758" s="208"/>
    </row>
    <row r="2759" spans="6:6">
      <c r="F2759" s="208"/>
    </row>
    <row r="2760" spans="6:6">
      <c r="F2760" s="208"/>
    </row>
    <row r="2761" spans="6:6">
      <c r="F2761" s="208"/>
    </row>
    <row r="2762" spans="6:6">
      <c r="F2762" s="208"/>
    </row>
    <row r="2763" spans="6:6">
      <c r="F2763" s="208"/>
    </row>
    <row r="2764" spans="6:6">
      <c r="F2764" s="208"/>
    </row>
    <row r="2765" spans="6:6">
      <c r="F2765" s="208"/>
    </row>
    <row r="2766" spans="6:6">
      <c r="F2766" s="208"/>
    </row>
    <row r="2767" spans="6:6">
      <c r="F2767" s="208"/>
    </row>
    <row r="2768" spans="6:6">
      <c r="F2768" s="208"/>
    </row>
    <row r="2769" spans="6:6">
      <c r="F2769" s="208"/>
    </row>
    <row r="2770" spans="6:6">
      <c r="F2770" s="208"/>
    </row>
    <row r="2771" spans="6:6">
      <c r="F2771" s="208"/>
    </row>
    <row r="2772" spans="6:6">
      <c r="F2772" s="208"/>
    </row>
    <row r="2773" spans="6:6">
      <c r="F2773" s="208"/>
    </row>
    <row r="2774" spans="6:6">
      <c r="F2774" s="208"/>
    </row>
    <row r="2775" spans="6:6">
      <c r="F2775" s="208"/>
    </row>
    <row r="2776" spans="6:6">
      <c r="F2776" s="208"/>
    </row>
    <row r="2777" spans="6:6">
      <c r="F2777" s="208"/>
    </row>
    <row r="2778" spans="6:6">
      <c r="F2778" s="208"/>
    </row>
    <row r="2779" spans="6:6">
      <c r="F2779" s="208"/>
    </row>
    <row r="2780" spans="6:6">
      <c r="F2780" s="208"/>
    </row>
    <row r="2781" spans="6:6">
      <c r="F2781" s="208"/>
    </row>
    <row r="2782" spans="6:6">
      <c r="F2782" s="208"/>
    </row>
    <row r="2783" spans="6:6">
      <c r="F2783" s="208"/>
    </row>
    <row r="2784" spans="6:6">
      <c r="F2784" s="208"/>
    </row>
    <row r="2785" spans="6:6">
      <c r="F2785" s="208"/>
    </row>
    <row r="2786" spans="6:6">
      <c r="F2786" s="208"/>
    </row>
    <row r="2787" spans="6:6">
      <c r="F2787" s="208"/>
    </row>
    <row r="2788" spans="6:6">
      <c r="F2788" s="208"/>
    </row>
    <row r="2789" spans="6:6">
      <c r="F2789" s="208"/>
    </row>
    <row r="2790" spans="6:6">
      <c r="F2790" s="208"/>
    </row>
    <row r="2791" spans="6:6">
      <c r="F2791" s="208"/>
    </row>
    <row r="2792" spans="6:6">
      <c r="F2792" s="208"/>
    </row>
    <row r="2793" spans="6:6">
      <c r="F2793" s="208"/>
    </row>
    <row r="2794" spans="6:6">
      <c r="F2794" s="208"/>
    </row>
    <row r="2795" spans="6:6">
      <c r="F2795" s="208"/>
    </row>
    <row r="2796" spans="6:6">
      <c r="F2796" s="208"/>
    </row>
    <row r="2797" spans="6:6">
      <c r="F2797" s="208"/>
    </row>
    <row r="2798" spans="6:6">
      <c r="F2798" s="208"/>
    </row>
    <row r="2799" spans="6:6">
      <c r="F2799" s="208"/>
    </row>
    <row r="2800" spans="6:6">
      <c r="F2800" s="208"/>
    </row>
    <row r="2801" spans="6:6">
      <c r="F2801" s="208"/>
    </row>
    <row r="2802" spans="6:6">
      <c r="F2802" s="208"/>
    </row>
    <row r="2803" spans="6:6">
      <c r="F2803" s="208"/>
    </row>
    <row r="2804" spans="6:6">
      <c r="F2804" s="208"/>
    </row>
    <row r="2805" spans="6:6">
      <c r="F2805" s="208"/>
    </row>
    <row r="2806" spans="6:6">
      <c r="F2806" s="208"/>
    </row>
    <row r="2807" spans="6:6">
      <c r="F2807" s="208"/>
    </row>
    <row r="2808" spans="6:6">
      <c r="F2808" s="208"/>
    </row>
    <row r="2809" spans="6:6">
      <c r="F2809" s="208"/>
    </row>
    <row r="2810" spans="6:6">
      <c r="F2810" s="208"/>
    </row>
    <row r="2811" spans="6:6">
      <c r="F2811" s="208"/>
    </row>
    <row r="2812" spans="6:6">
      <c r="F2812" s="208"/>
    </row>
    <row r="2813" spans="6:6">
      <c r="F2813" s="208"/>
    </row>
    <row r="2814" spans="6:6">
      <c r="F2814" s="208"/>
    </row>
    <row r="2815" spans="6:6">
      <c r="F2815" s="208"/>
    </row>
    <row r="2816" spans="6:6">
      <c r="F2816" s="208"/>
    </row>
    <row r="2817" spans="6:6">
      <c r="F2817" s="208"/>
    </row>
    <row r="2818" spans="6:6">
      <c r="F2818" s="208"/>
    </row>
    <row r="2819" spans="6:6">
      <c r="F2819" s="208"/>
    </row>
    <row r="2820" spans="6:6">
      <c r="F2820" s="208"/>
    </row>
    <row r="2821" spans="6:6">
      <c r="F2821" s="208"/>
    </row>
    <row r="2822" spans="6:6">
      <c r="F2822" s="208"/>
    </row>
    <row r="2823" spans="6:6">
      <c r="F2823" s="208"/>
    </row>
    <row r="2824" spans="6:6">
      <c r="F2824" s="208"/>
    </row>
    <row r="2825" spans="6:6">
      <c r="F2825" s="208"/>
    </row>
    <row r="2826" spans="6:6">
      <c r="F2826" s="208"/>
    </row>
    <row r="2827" spans="6:6">
      <c r="F2827" s="208"/>
    </row>
    <row r="2828" spans="6:6">
      <c r="F2828" s="208"/>
    </row>
    <row r="2829" spans="6:6">
      <c r="F2829" s="208"/>
    </row>
    <row r="2830" spans="6:6">
      <c r="F2830" s="208"/>
    </row>
    <row r="2831" spans="6:6">
      <c r="F2831" s="208"/>
    </row>
    <row r="2832" spans="6:6">
      <c r="F2832" s="208"/>
    </row>
    <row r="2833" spans="6:6">
      <c r="F2833" s="208"/>
    </row>
    <row r="2834" spans="6:6">
      <c r="F2834" s="208"/>
    </row>
    <row r="2835" spans="6:6">
      <c r="F2835" s="208"/>
    </row>
    <row r="2836" spans="6:6">
      <c r="F2836" s="208"/>
    </row>
    <row r="2837" spans="6:6">
      <c r="F2837" s="208"/>
    </row>
    <row r="2838" spans="6:6">
      <c r="F2838" s="208"/>
    </row>
    <row r="2839" spans="6:6">
      <c r="F2839" s="208"/>
    </row>
    <row r="2840" spans="6:6">
      <c r="F2840" s="208"/>
    </row>
    <row r="2841" spans="6:6">
      <c r="F2841" s="208"/>
    </row>
    <row r="2842" spans="6:6">
      <c r="F2842" s="208"/>
    </row>
    <row r="2843" spans="6:6">
      <c r="F2843" s="208"/>
    </row>
    <row r="2844" spans="6:6">
      <c r="F2844" s="208"/>
    </row>
    <row r="2845" spans="6:6">
      <c r="F2845" s="208"/>
    </row>
    <row r="2846" spans="6:6">
      <c r="F2846" s="208"/>
    </row>
    <row r="2847" spans="6:6">
      <c r="F2847" s="208"/>
    </row>
    <row r="2848" spans="6:6">
      <c r="F2848" s="208"/>
    </row>
    <row r="2849" spans="6:6">
      <c r="F2849" s="208"/>
    </row>
    <row r="2850" spans="6:6">
      <c r="F2850" s="208"/>
    </row>
    <row r="2851" spans="6:6">
      <c r="F2851" s="208"/>
    </row>
    <row r="2852" spans="6:6">
      <c r="F2852" s="208"/>
    </row>
    <row r="2853" spans="6:6">
      <c r="F2853" s="208"/>
    </row>
    <row r="2854" spans="6:6">
      <c r="F2854" s="208"/>
    </row>
    <row r="2855" spans="6:6">
      <c r="F2855" s="208"/>
    </row>
    <row r="2856" spans="6:6">
      <c r="F2856" s="208"/>
    </row>
    <row r="2857" spans="6:6">
      <c r="F2857" s="208"/>
    </row>
    <row r="2858" spans="6:6">
      <c r="F2858" s="208"/>
    </row>
    <row r="2859" spans="6:6">
      <c r="F2859" s="208"/>
    </row>
    <row r="2860" spans="6:6">
      <c r="F2860" s="208"/>
    </row>
    <row r="2861" spans="6:6">
      <c r="F2861" s="208"/>
    </row>
    <row r="2862" spans="6:6">
      <c r="F2862" s="208"/>
    </row>
    <row r="2863" spans="6:6">
      <c r="F2863" s="208"/>
    </row>
    <row r="2864" spans="6:6">
      <c r="F2864" s="208"/>
    </row>
    <row r="2865" spans="6:6">
      <c r="F2865" s="208"/>
    </row>
    <row r="2866" spans="6:6">
      <c r="F2866" s="208"/>
    </row>
    <row r="2867" spans="6:6">
      <c r="F2867" s="208"/>
    </row>
    <row r="2868" spans="6:6">
      <c r="F2868" s="208"/>
    </row>
    <row r="2869" spans="6:6">
      <c r="F2869" s="208"/>
    </row>
    <row r="2870" spans="6:6">
      <c r="F2870" s="208"/>
    </row>
    <row r="2871" spans="6:6">
      <c r="F2871" s="208"/>
    </row>
    <row r="2872" spans="6:6">
      <c r="F2872" s="208"/>
    </row>
    <row r="2873" spans="6:6">
      <c r="F2873" s="208"/>
    </row>
    <row r="2874" spans="6:6">
      <c r="F2874" s="208"/>
    </row>
    <row r="2875" spans="6:6">
      <c r="F2875" s="208"/>
    </row>
    <row r="2876" spans="6:6">
      <c r="F2876" s="208"/>
    </row>
    <row r="2877" spans="6:6">
      <c r="F2877" s="208"/>
    </row>
    <row r="2878" spans="6:6">
      <c r="F2878" s="208"/>
    </row>
    <row r="2879" spans="6:6">
      <c r="F2879" s="208"/>
    </row>
    <row r="2880" spans="6:6">
      <c r="F2880" s="208"/>
    </row>
    <row r="2881" spans="6:6">
      <c r="F2881" s="208"/>
    </row>
    <row r="2882" spans="6:6">
      <c r="F2882" s="208"/>
    </row>
    <row r="2883" spans="6:6">
      <c r="F2883" s="208"/>
    </row>
    <row r="2884" spans="6:6">
      <c r="F2884" s="208"/>
    </row>
    <row r="2885" spans="6:6">
      <c r="F2885" s="208"/>
    </row>
    <row r="2886" spans="6:6">
      <c r="F2886" s="208"/>
    </row>
    <row r="2887" spans="6:6">
      <c r="F2887" s="208"/>
    </row>
    <row r="2888" spans="6:6">
      <c r="F2888" s="208"/>
    </row>
    <row r="2889" spans="6:6">
      <c r="F2889" s="208"/>
    </row>
    <row r="2890" spans="6:6">
      <c r="F2890" s="208"/>
    </row>
    <row r="2891" spans="6:6">
      <c r="F2891" s="208"/>
    </row>
    <row r="2892" spans="6:6">
      <c r="F2892" s="208"/>
    </row>
    <row r="2893" spans="6:6">
      <c r="F2893" s="208"/>
    </row>
    <row r="2894" spans="6:6">
      <c r="F2894" s="208"/>
    </row>
    <row r="2895" spans="6:6">
      <c r="F2895" s="208"/>
    </row>
    <row r="2896" spans="6:6">
      <c r="F2896" s="208"/>
    </row>
    <row r="2897" spans="6:6">
      <c r="F2897" s="208"/>
    </row>
    <row r="2898" spans="6:6">
      <c r="F2898" s="208"/>
    </row>
    <row r="2899" spans="6:6">
      <c r="F2899" s="208"/>
    </row>
    <row r="2900" spans="6:6">
      <c r="F2900" s="208"/>
    </row>
    <row r="2901" spans="6:6">
      <c r="F2901" s="208"/>
    </row>
    <row r="2902" spans="6:6">
      <c r="F2902" s="208"/>
    </row>
    <row r="2903" spans="6:6">
      <c r="F2903" s="208"/>
    </row>
    <row r="2904" spans="6:6">
      <c r="F2904" s="208"/>
    </row>
    <row r="2905" spans="6:6">
      <c r="F2905" s="208"/>
    </row>
    <row r="2906" spans="6:6">
      <c r="F2906" s="208"/>
    </row>
    <row r="2907" spans="6:6">
      <c r="F2907" s="208"/>
    </row>
    <row r="2908" spans="6:6">
      <c r="F2908" s="208"/>
    </row>
    <row r="2909" spans="6:6">
      <c r="F2909" s="208"/>
    </row>
    <row r="2910" spans="6:6">
      <c r="F2910" s="208"/>
    </row>
    <row r="2911" spans="6:6">
      <c r="F2911" s="208"/>
    </row>
    <row r="2912" spans="6:6">
      <c r="F2912" s="208"/>
    </row>
    <row r="2913" spans="6:6">
      <c r="F2913" s="208"/>
    </row>
    <row r="2914" spans="6:6">
      <c r="F2914" s="208"/>
    </row>
    <row r="2915" spans="6:6">
      <c r="F2915" s="208"/>
    </row>
    <row r="2916" spans="6:6">
      <c r="F2916" s="208"/>
    </row>
    <row r="2917" spans="6:6">
      <c r="F2917" s="208"/>
    </row>
    <row r="2918" spans="6:6">
      <c r="F2918" s="208"/>
    </row>
    <row r="2919" spans="6:6">
      <c r="F2919" s="208"/>
    </row>
    <row r="2920" spans="6:6">
      <c r="F2920" s="208"/>
    </row>
    <row r="2921" spans="6:6">
      <c r="F2921" s="208"/>
    </row>
    <row r="2922" spans="6:6">
      <c r="F2922" s="208"/>
    </row>
    <row r="2923" spans="6:6">
      <c r="F2923" s="208"/>
    </row>
    <row r="2924" spans="6:6">
      <c r="F2924" s="208"/>
    </row>
    <row r="2925" spans="6:6">
      <c r="F2925" s="208"/>
    </row>
    <row r="2926" spans="6:6">
      <c r="F2926" s="208"/>
    </row>
    <row r="2927" spans="6:6">
      <c r="F2927" s="208"/>
    </row>
    <row r="2928" spans="6:6">
      <c r="F2928" s="208"/>
    </row>
    <row r="2929" spans="6:6">
      <c r="F2929" s="208"/>
    </row>
    <row r="2930" spans="6:6">
      <c r="F2930" s="208"/>
    </row>
    <row r="2931" spans="6:6">
      <c r="F2931" s="208"/>
    </row>
    <row r="2932" spans="6:6">
      <c r="F2932" s="208"/>
    </row>
    <row r="2933" spans="6:6">
      <c r="F2933" s="208"/>
    </row>
    <row r="2934" spans="6:6">
      <c r="F2934" s="208"/>
    </row>
    <row r="2935" spans="6:6">
      <c r="F2935" s="208"/>
    </row>
    <row r="2936" spans="6:6">
      <c r="F2936" s="208"/>
    </row>
    <row r="2937" spans="6:6">
      <c r="F2937" s="208"/>
    </row>
    <row r="2938" spans="6:6">
      <c r="F2938" s="208"/>
    </row>
    <row r="2939" spans="6:6">
      <c r="F2939" s="208"/>
    </row>
    <row r="2940" spans="6:6">
      <c r="F2940" s="208"/>
    </row>
    <row r="2941" spans="6:6">
      <c r="F2941" s="208"/>
    </row>
    <row r="2942" spans="6:6">
      <c r="F2942" s="208"/>
    </row>
    <row r="2943" spans="6:6">
      <c r="F2943" s="208"/>
    </row>
    <row r="2944" spans="6:6">
      <c r="F2944" s="208"/>
    </row>
    <row r="2945" spans="6:6">
      <c r="F2945" s="208"/>
    </row>
    <row r="2946" spans="6:6">
      <c r="F2946" s="208"/>
    </row>
    <row r="2947" spans="6:6">
      <c r="F2947" s="208"/>
    </row>
    <row r="2948" spans="6:6">
      <c r="F2948" s="208"/>
    </row>
    <row r="2949" spans="6:6">
      <c r="F2949" s="208"/>
    </row>
    <row r="2950" spans="6:6">
      <c r="F2950" s="208"/>
    </row>
    <row r="2951" spans="6:6">
      <c r="F2951" s="208"/>
    </row>
    <row r="2952" spans="6:6">
      <c r="F2952" s="208"/>
    </row>
    <row r="2953" spans="6:6">
      <c r="F2953" s="208"/>
    </row>
    <row r="2954" spans="6:6">
      <c r="F2954" s="208"/>
    </row>
    <row r="2955" spans="6:6">
      <c r="F2955" s="208"/>
    </row>
    <row r="2956" spans="6:6">
      <c r="F2956" s="208"/>
    </row>
    <row r="2957" spans="6:6">
      <c r="F2957" s="208"/>
    </row>
    <row r="2958" spans="6:6">
      <c r="F2958" s="208"/>
    </row>
    <row r="2959" spans="6:6">
      <c r="F2959" s="208"/>
    </row>
    <row r="2960" spans="6:6">
      <c r="F2960" s="208"/>
    </row>
    <row r="2961" spans="6:6">
      <c r="F2961" s="208"/>
    </row>
    <row r="2962" spans="6:6">
      <c r="F2962" s="208"/>
    </row>
    <row r="2963" spans="6:6">
      <c r="F2963" s="208"/>
    </row>
    <row r="2964" spans="6:6">
      <c r="F2964" s="208"/>
    </row>
    <row r="2965" spans="6:6">
      <c r="F2965" s="208"/>
    </row>
    <row r="2966" spans="6:6">
      <c r="F2966" s="208"/>
    </row>
    <row r="2967" spans="6:6">
      <c r="F2967" s="208"/>
    </row>
    <row r="2968" spans="6:6">
      <c r="F2968" s="208"/>
    </row>
    <row r="2969" spans="6:6">
      <c r="F2969" s="208"/>
    </row>
    <row r="2970" spans="6:6">
      <c r="F2970" s="208"/>
    </row>
    <row r="2971" spans="6:6">
      <c r="F2971" s="208"/>
    </row>
    <row r="2972" spans="6:6">
      <c r="F2972" s="208"/>
    </row>
    <row r="2973" spans="6:6">
      <c r="F2973" s="208"/>
    </row>
    <row r="2974" spans="6:6">
      <c r="F2974" s="208"/>
    </row>
    <row r="2975" spans="6:6">
      <c r="F2975" s="208"/>
    </row>
    <row r="2976" spans="6:6">
      <c r="F2976" s="208"/>
    </row>
    <row r="2977" spans="6:6">
      <c r="F2977" s="208"/>
    </row>
    <row r="2978" spans="6:6">
      <c r="F2978" s="208"/>
    </row>
    <row r="2979" spans="6:6">
      <c r="F2979" s="208"/>
    </row>
    <row r="2980" spans="6:6">
      <c r="F2980" s="208"/>
    </row>
    <row r="2981" spans="6:6">
      <c r="F2981" s="208"/>
    </row>
    <row r="2982" spans="6:6">
      <c r="F2982" s="208"/>
    </row>
    <row r="2983" spans="6:6">
      <c r="F2983" s="208"/>
    </row>
    <row r="2984" spans="6:6">
      <c r="F2984" s="208"/>
    </row>
    <row r="2985" spans="6:6">
      <c r="F2985" s="208"/>
    </row>
    <row r="2986" spans="6:6">
      <c r="F2986" s="208"/>
    </row>
    <row r="2987" spans="6:6">
      <c r="F2987" s="208"/>
    </row>
    <row r="2988" spans="6:6">
      <c r="F2988" s="208"/>
    </row>
    <row r="2989" spans="6:6">
      <c r="F2989" s="208"/>
    </row>
    <row r="2990" spans="6:6">
      <c r="F2990" s="208"/>
    </row>
    <row r="2991" spans="6:6">
      <c r="F2991" s="208"/>
    </row>
    <row r="2992" spans="6:6">
      <c r="F2992" s="208"/>
    </row>
    <row r="2993" spans="6:6">
      <c r="F2993" s="208"/>
    </row>
    <row r="2994" spans="6:6">
      <c r="F2994" s="208"/>
    </row>
    <row r="2995" spans="6:6">
      <c r="F2995" s="208"/>
    </row>
    <row r="2996" spans="6:6">
      <c r="F2996" s="208"/>
    </row>
    <row r="2997" spans="6:6">
      <c r="F2997" s="208"/>
    </row>
    <row r="2998" spans="6:6">
      <c r="F2998" s="208"/>
    </row>
    <row r="2999" spans="6:6">
      <c r="F2999" s="208"/>
    </row>
    <row r="3000" spans="6:6">
      <c r="F3000" s="208"/>
    </row>
    <row r="3001" spans="6:6">
      <c r="F3001" s="208"/>
    </row>
    <row r="3002" spans="6:6">
      <c r="F3002" s="208"/>
    </row>
    <row r="3003" spans="6:6">
      <c r="F3003" s="208"/>
    </row>
    <row r="3004" spans="6:6">
      <c r="F3004" s="208"/>
    </row>
    <row r="3005" spans="6:6">
      <c r="F3005" s="208"/>
    </row>
    <row r="3006" spans="6:6">
      <c r="F3006" s="208"/>
    </row>
    <row r="3007" spans="6:6">
      <c r="F3007" s="208"/>
    </row>
    <row r="3008" spans="6:6">
      <c r="F3008" s="208"/>
    </row>
    <row r="3009" spans="6:6">
      <c r="F3009" s="208"/>
    </row>
    <row r="3010" spans="6:6">
      <c r="F3010" s="208"/>
    </row>
    <row r="3011" spans="6:6">
      <c r="F3011" s="208"/>
    </row>
    <row r="3012" spans="6:6">
      <c r="F3012" s="208"/>
    </row>
    <row r="3013" spans="6:6">
      <c r="F3013" s="208"/>
    </row>
    <row r="3014" spans="6:6">
      <c r="F3014" s="208"/>
    </row>
    <row r="3015" spans="6:6">
      <c r="F3015" s="208"/>
    </row>
    <row r="3016" spans="6:6">
      <c r="F3016" s="208"/>
    </row>
    <row r="3017" spans="6:6">
      <c r="F3017" s="208"/>
    </row>
    <row r="3018" spans="6:6">
      <c r="F3018" s="208"/>
    </row>
    <row r="3019" spans="6:6">
      <c r="F3019" s="208"/>
    </row>
    <row r="3020" spans="6:6">
      <c r="F3020" s="208"/>
    </row>
    <row r="3021" spans="6:6">
      <c r="F3021" s="208"/>
    </row>
    <row r="3022" spans="6:6">
      <c r="F3022" s="208"/>
    </row>
    <row r="3023" spans="6:6">
      <c r="F3023" s="208"/>
    </row>
    <row r="3024" spans="6:6">
      <c r="F3024" s="208"/>
    </row>
    <row r="3025" spans="6:6">
      <c r="F3025" s="208"/>
    </row>
    <row r="3026" spans="6:6">
      <c r="F3026" s="208"/>
    </row>
    <row r="3027" spans="6:6">
      <c r="F3027" s="208"/>
    </row>
    <row r="3028" spans="6:6">
      <c r="F3028" s="208"/>
    </row>
    <row r="3029" spans="6:6">
      <c r="F3029" s="208"/>
    </row>
    <row r="3030" spans="6:6">
      <c r="F3030" s="208"/>
    </row>
    <row r="3031" spans="6:6">
      <c r="F3031" s="208"/>
    </row>
    <row r="3032" spans="6:6">
      <c r="F3032" s="208"/>
    </row>
    <row r="3033" spans="6:6">
      <c r="F3033" s="208"/>
    </row>
    <row r="3034" spans="6:6">
      <c r="F3034" s="208"/>
    </row>
    <row r="3035" spans="6:6">
      <c r="F3035" s="208"/>
    </row>
    <row r="3036" spans="6:6">
      <c r="F3036" s="208"/>
    </row>
    <row r="3037" spans="6:6">
      <c r="F3037" s="208"/>
    </row>
    <row r="3038" spans="6:6">
      <c r="F3038" s="208"/>
    </row>
    <row r="3039" spans="6:6">
      <c r="F3039" s="208"/>
    </row>
    <row r="3040" spans="6:6">
      <c r="F3040" s="208"/>
    </row>
    <row r="3041" spans="6:6">
      <c r="F3041" s="208"/>
    </row>
    <row r="3042" spans="6:6">
      <c r="F3042" s="208"/>
    </row>
    <row r="3043" spans="6:6">
      <c r="F3043" s="208"/>
    </row>
    <row r="3044" spans="6:6">
      <c r="F3044" s="208"/>
    </row>
    <row r="3045" spans="6:6">
      <c r="F3045" s="208"/>
    </row>
    <row r="3046" spans="6:6">
      <c r="F3046" s="208"/>
    </row>
    <row r="3047" spans="6:6">
      <c r="F3047" s="208"/>
    </row>
    <row r="3048" spans="6:6">
      <c r="F3048" s="208"/>
    </row>
    <row r="3049" spans="6:6">
      <c r="F3049" s="208"/>
    </row>
    <row r="3050" spans="6:6">
      <c r="F3050" s="208"/>
    </row>
    <row r="3051" spans="6:6">
      <c r="F3051" s="208"/>
    </row>
    <row r="3052" spans="6:6">
      <c r="F3052" s="208"/>
    </row>
    <row r="3053" spans="6:6">
      <c r="F3053" s="208"/>
    </row>
    <row r="3054" spans="6:6">
      <c r="F3054" s="208"/>
    </row>
    <row r="3055" spans="6:6">
      <c r="F3055" s="208"/>
    </row>
    <row r="3056" spans="6:6">
      <c r="F3056" s="208"/>
    </row>
    <row r="3057" spans="6:6">
      <c r="F3057" s="208"/>
    </row>
    <row r="3058" spans="6:6">
      <c r="F3058" s="208"/>
    </row>
    <row r="3059" spans="6:6">
      <c r="F3059" s="208"/>
    </row>
    <row r="3060" spans="6:6">
      <c r="F3060" s="208"/>
    </row>
    <row r="3061" spans="6:6">
      <c r="F3061" s="208"/>
    </row>
    <row r="3062" spans="6:6">
      <c r="F3062" s="208"/>
    </row>
    <row r="3063" spans="6:6">
      <c r="F3063" s="208"/>
    </row>
    <row r="3064" spans="6:6">
      <c r="F3064" s="208"/>
    </row>
    <row r="3065" spans="6:6">
      <c r="F3065" s="208"/>
    </row>
    <row r="3066" spans="6:6">
      <c r="F3066" s="208"/>
    </row>
    <row r="3067" spans="6:6">
      <c r="F3067" s="208"/>
    </row>
    <row r="3068" spans="6:6">
      <c r="F3068" s="208"/>
    </row>
    <row r="3069" spans="6:6">
      <c r="F3069" s="208"/>
    </row>
    <row r="3070" spans="6:6">
      <c r="F3070" s="208"/>
    </row>
    <row r="3071" spans="6:6">
      <c r="F3071" s="208"/>
    </row>
    <row r="3072" spans="6:6">
      <c r="F3072" s="208"/>
    </row>
    <row r="3073" spans="6:6">
      <c r="F3073" s="208"/>
    </row>
    <row r="3074" spans="6:6">
      <c r="F3074" s="208"/>
    </row>
    <row r="3075" spans="6:6">
      <c r="F3075" s="208"/>
    </row>
    <row r="3076" spans="6:6">
      <c r="F3076" s="208"/>
    </row>
    <row r="3077" spans="6:6">
      <c r="F3077" s="208"/>
    </row>
    <row r="3078" spans="6:6">
      <c r="F3078" s="208"/>
    </row>
    <row r="3079" spans="6:6">
      <c r="F3079" s="208"/>
    </row>
    <row r="3080" spans="6:6">
      <c r="F3080" s="208"/>
    </row>
    <row r="3081" spans="6:6">
      <c r="F3081" s="208"/>
    </row>
    <row r="3082" spans="6:6">
      <c r="F3082" s="208"/>
    </row>
    <row r="3083" spans="6:6">
      <c r="F3083" s="208"/>
    </row>
    <row r="3084" spans="6:6">
      <c r="F3084" s="208"/>
    </row>
    <row r="3085" spans="6:6">
      <c r="F3085" s="208"/>
    </row>
    <row r="3086" spans="6:6">
      <c r="F3086" s="208"/>
    </row>
    <row r="3087" spans="6:6">
      <c r="F3087" s="208"/>
    </row>
    <row r="3088" spans="6:6">
      <c r="F3088" s="208"/>
    </row>
    <row r="3089" spans="6:6">
      <c r="F3089" s="208"/>
    </row>
    <row r="3090" spans="6:6">
      <c r="F3090" s="208"/>
    </row>
    <row r="3091" spans="6:6">
      <c r="F3091" s="208"/>
    </row>
    <row r="3092" spans="6:6">
      <c r="F3092" s="208"/>
    </row>
    <row r="3093" spans="6:6">
      <c r="F3093" s="208"/>
    </row>
    <row r="3094" spans="6:6">
      <c r="F3094" s="208"/>
    </row>
    <row r="3095" spans="6:6">
      <c r="F3095" s="208"/>
    </row>
    <row r="3096" spans="6:6">
      <c r="F3096" s="208"/>
    </row>
    <row r="3097" spans="6:6">
      <c r="F3097" s="208"/>
    </row>
    <row r="3098" spans="6:6">
      <c r="F3098" s="208"/>
    </row>
    <row r="3099" spans="6:6">
      <c r="F3099" s="208"/>
    </row>
    <row r="3100" spans="6:6">
      <c r="F3100" s="208"/>
    </row>
    <row r="3101" spans="6:6">
      <c r="F3101" s="208"/>
    </row>
    <row r="3102" spans="6:6">
      <c r="F3102" s="208"/>
    </row>
    <row r="3103" spans="6:6">
      <c r="F3103" s="208"/>
    </row>
    <row r="3104" spans="6:6">
      <c r="F3104" s="208"/>
    </row>
    <row r="3105" spans="6:6">
      <c r="F3105" s="208"/>
    </row>
    <row r="3106" spans="6:6">
      <c r="F3106" s="208"/>
    </row>
    <row r="3107" spans="6:6">
      <c r="F3107" s="208"/>
    </row>
    <row r="3108" spans="6:6">
      <c r="F3108" s="208"/>
    </row>
    <row r="3109" spans="6:6">
      <c r="F3109" s="208"/>
    </row>
    <row r="3110" spans="6:6">
      <c r="F3110" s="208"/>
    </row>
    <row r="3111" spans="6:6">
      <c r="F3111" s="208"/>
    </row>
    <row r="3112" spans="6:6">
      <c r="F3112" s="208"/>
    </row>
    <row r="3113" spans="6:6">
      <c r="F3113" s="208"/>
    </row>
    <row r="3114" spans="6:6">
      <c r="F3114" s="208"/>
    </row>
    <row r="3115" spans="6:6">
      <c r="F3115" s="208"/>
    </row>
    <row r="3116" spans="6:6">
      <c r="F3116" s="208"/>
    </row>
    <row r="3117" spans="6:6">
      <c r="F3117" s="208"/>
    </row>
    <row r="3118" spans="6:6">
      <c r="F3118" s="208"/>
    </row>
    <row r="3119" spans="6:6">
      <c r="F3119" s="208"/>
    </row>
    <row r="3120" spans="6:6">
      <c r="F3120" s="208"/>
    </row>
    <row r="3121" spans="6:6">
      <c r="F3121" s="208"/>
    </row>
    <row r="3122" spans="6:6">
      <c r="F3122" s="208"/>
    </row>
    <row r="3123" spans="6:6">
      <c r="F3123" s="208"/>
    </row>
    <row r="3124" spans="6:6">
      <c r="F3124" s="208"/>
    </row>
    <row r="3125" spans="6:6">
      <c r="F3125" s="208"/>
    </row>
    <row r="3126" spans="6:6">
      <c r="F3126" s="208"/>
    </row>
    <row r="3127" spans="6:6">
      <c r="F3127" s="208"/>
    </row>
    <row r="3128" spans="6:6">
      <c r="F3128" s="208"/>
    </row>
    <row r="3129" spans="6:6">
      <c r="F3129" s="208"/>
    </row>
    <row r="3130" spans="6:6">
      <c r="F3130" s="208"/>
    </row>
    <row r="3131" spans="6:6">
      <c r="F3131" s="208"/>
    </row>
    <row r="3132" spans="6:6">
      <c r="F3132" s="208"/>
    </row>
    <row r="3133" spans="6:6">
      <c r="F3133" s="208"/>
    </row>
    <row r="3134" spans="6:6">
      <c r="F3134" s="208"/>
    </row>
    <row r="3135" spans="6:6">
      <c r="F3135" s="208"/>
    </row>
    <row r="3136" spans="6:6">
      <c r="F3136" s="208"/>
    </row>
    <row r="3137" spans="6:6">
      <c r="F3137" s="208"/>
    </row>
    <row r="3138" spans="6:6">
      <c r="F3138" s="208"/>
    </row>
    <row r="3139" spans="6:6">
      <c r="F3139" s="208"/>
    </row>
    <row r="3140" spans="6:6">
      <c r="F3140" s="208"/>
    </row>
    <row r="3141" spans="6:6">
      <c r="F3141" s="208"/>
    </row>
    <row r="3142" spans="6:6">
      <c r="F3142" s="208"/>
    </row>
    <row r="3143" spans="6:6">
      <c r="F3143" s="208"/>
    </row>
    <row r="3144" spans="6:6">
      <c r="F3144" s="208"/>
    </row>
    <row r="3145" spans="6:6">
      <c r="F3145" s="208"/>
    </row>
    <row r="3146" spans="6:6">
      <c r="F3146" s="208"/>
    </row>
    <row r="3147" spans="6:6">
      <c r="F3147" s="208"/>
    </row>
    <row r="3148" spans="6:6">
      <c r="F3148" s="208"/>
    </row>
    <row r="3149" spans="6:6">
      <c r="F3149" s="208"/>
    </row>
    <row r="3150" spans="6:6">
      <c r="F3150" s="208"/>
    </row>
    <row r="3151" spans="6:6">
      <c r="F3151" s="208"/>
    </row>
    <row r="3152" spans="6:6">
      <c r="F3152" s="208"/>
    </row>
    <row r="3153" spans="6:6">
      <c r="F3153" s="208"/>
    </row>
    <row r="3154" spans="6:6">
      <c r="F3154" s="208"/>
    </row>
    <row r="3155" spans="6:6">
      <c r="F3155" s="208"/>
    </row>
    <row r="3156" spans="6:6">
      <c r="F3156" s="208"/>
    </row>
    <row r="3157" spans="6:6">
      <c r="F3157" s="208"/>
    </row>
    <row r="3158" spans="6:6">
      <c r="F3158" s="208"/>
    </row>
    <row r="3159" spans="6:6">
      <c r="F3159" s="208"/>
    </row>
    <row r="3160" spans="6:6">
      <c r="F3160" s="208"/>
    </row>
    <row r="3161" spans="6:6">
      <c r="F3161" s="208"/>
    </row>
    <row r="3162" spans="6:6">
      <c r="F3162" s="208"/>
    </row>
    <row r="3163" spans="6:6">
      <c r="F3163" s="208"/>
    </row>
    <row r="3164" spans="6:6">
      <c r="F3164" s="208"/>
    </row>
    <row r="3165" spans="6:6">
      <c r="F3165" s="208"/>
    </row>
    <row r="3166" spans="6:6">
      <c r="F3166" s="208"/>
    </row>
    <row r="3167" spans="6:6">
      <c r="F3167" s="208"/>
    </row>
    <row r="3168" spans="6:6">
      <c r="F3168" s="208"/>
    </row>
    <row r="3169" spans="6:6">
      <c r="F3169" s="208"/>
    </row>
    <row r="3170" spans="6:6">
      <c r="F3170" s="208"/>
    </row>
    <row r="3171" spans="6:6">
      <c r="F3171" s="208"/>
    </row>
    <row r="3172" spans="6:6">
      <c r="F3172" s="208"/>
    </row>
    <row r="3173" spans="6:6">
      <c r="F3173" s="208"/>
    </row>
    <row r="3174" spans="6:6">
      <c r="F3174" s="208"/>
    </row>
    <row r="3175" spans="6:6">
      <c r="F3175" s="208"/>
    </row>
    <row r="3176" spans="6:6">
      <c r="F3176" s="208"/>
    </row>
    <row r="3177" spans="6:6">
      <c r="F3177" s="208"/>
    </row>
    <row r="3178" spans="6:6">
      <c r="F3178" s="208"/>
    </row>
    <row r="3179" spans="6:6">
      <c r="F3179" s="208"/>
    </row>
    <row r="3180" spans="6:6">
      <c r="F3180" s="208"/>
    </row>
    <row r="3181" spans="6:6">
      <c r="F3181" s="208"/>
    </row>
    <row r="3182" spans="6:6">
      <c r="F3182" s="208"/>
    </row>
    <row r="3183" spans="6:6">
      <c r="F3183" s="208"/>
    </row>
    <row r="3184" spans="6:6">
      <c r="F3184" s="208"/>
    </row>
    <row r="3185" spans="6:6">
      <c r="F3185" s="208"/>
    </row>
    <row r="3186" spans="6:6">
      <c r="F3186" s="208"/>
    </row>
    <row r="3187" spans="6:6">
      <c r="F3187" s="208"/>
    </row>
    <row r="3188" spans="6:6">
      <c r="F3188" s="208"/>
    </row>
    <row r="3189" spans="6:6">
      <c r="F3189" s="208"/>
    </row>
    <row r="3190" spans="6:6">
      <c r="F3190" s="208"/>
    </row>
    <row r="3191" spans="6:6">
      <c r="F3191" s="208"/>
    </row>
    <row r="3192" spans="6:6">
      <c r="F3192" s="208"/>
    </row>
    <row r="3193" spans="6:6">
      <c r="F3193" s="208"/>
    </row>
    <row r="3194" spans="6:6">
      <c r="F3194" s="208"/>
    </row>
    <row r="3195" spans="6:6">
      <c r="F3195" s="208"/>
    </row>
    <row r="3196" spans="6:6">
      <c r="F3196" s="208"/>
    </row>
    <row r="3197" spans="6:6">
      <c r="F3197" s="208"/>
    </row>
    <row r="3198" spans="6:6">
      <c r="F3198" s="208"/>
    </row>
    <row r="3199" spans="6:6">
      <c r="F3199" s="208"/>
    </row>
    <row r="3200" spans="6:6">
      <c r="F3200" s="208"/>
    </row>
    <row r="3201" spans="6:6">
      <c r="F3201" s="208"/>
    </row>
    <row r="3202" spans="6:6">
      <c r="F3202" s="208"/>
    </row>
    <row r="3203" spans="6:6">
      <c r="F3203" s="208"/>
    </row>
    <row r="3204" spans="6:6">
      <c r="F3204" s="208"/>
    </row>
    <row r="3205" spans="6:6">
      <c r="F3205" s="208"/>
    </row>
    <row r="3206" spans="6:6">
      <c r="F3206" s="208"/>
    </row>
    <row r="3207" spans="6:6">
      <c r="F3207" s="208"/>
    </row>
    <row r="3208" spans="6:6">
      <c r="F3208" s="208"/>
    </row>
    <row r="3209" spans="6:6">
      <c r="F3209" s="208"/>
    </row>
    <row r="3210" spans="6:6">
      <c r="F3210" s="208"/>
    </row>
    <row r="3211" spans="6:6">
      <c r="F3211" s="208"/>
    </row>
    <row r="3212" spans="6:6">
      <c r="F3212" s="208"/>
    </row>
    <row r="3213" spans="6:6">
      <c r="F3213" s="208"/>
    </row>
    <row r="3214" spans="6:6">
      <c r="F3214" s="208"/>
    </row>
    <row r="3215" spans="6:6">
      <c r="F3215" s="208"/>
    </row>
    <row r="3216" spans="6:6">
      <c r="F3216" s="208"/>
    </row>
    <row r="3217" spans="6:6">
      <c r="F3217" s="208"/>
    </row>
    <row r="3218" spans="6:6">
      <c r="F3218" s="208"/>
    </row>
    <row r="3219" spans="6:6">
      <c r="F3219" s="208"/>
    </row>
    <row r="3220" spans="6:6">
      <c r="F3220" s="208"/>
    </row>
    <row r="3221" spans="6:6">
      <c r="F3221" s="208"/>
    </row>
    <row r="3222" spans="6:6">
      <c r="F3222" s="208"/>
    </row>
    <row r="3223" spans="6:6">
      <c r="F3223" s="208"/>
    </row>
    <row r="3224" spans="6:6">
      <c r="F3224" s="208"/>
    </row>
    <row r="3225" spans="6:6">
      <c r="F3225" s="208"/>
    </row>
    <row r="3226" spans="6:6">
      <c r="F3226" s="208"/>
    </row>
    <row r="3227" spans="6:6">
      <c r="F3227" s="208"/>
    </row>
    <row r="3228" spans="6:6">
      <c r="F3228" s="208"/>
    </row>
    <row r="3229" spans="6:6">
      <c r="F3229" s="208"/>
    </row>
    <row r="3230" spans="6:6">
      <c r="F3230" s="208"/>
    </row>
    <row r="3231" spans="6:6">
      <c r="F3231" s="208"/>
    </row>
    <row r="3232" spans="6:6">
      <c r="F3232" s="208"/>
    </row>
    <row r="3233" spans="6:6">
      <c r="F3233" s="208"/>
    </row>
    <row r="3234" spans="6:6">
      <c r="F3234" s="208"/>
    </row>
    <row r="3235" spans="6:6">
      <c r="F3235" s="208"/>
    </row>
    <row r="3236" spans="6:6">
      <c r="F3236" s="208"/>
    </row>
    <row r="3237" spans="6:6">
      <c r="F3237" s="208"/>
    </row>
    <row r="3238" spans="6:6">
      <c r="F3238" s="208"/>
    </row>
    <row r="3239" spans="6:6">
      <c r="F3239" s="208"/>
    </row>
    <row r="3240" spans="6:6">
      <c r="F3240" s="208"/>
    </row>
    <row r="3241" spans="6:6">
      <c r="F3241" s="208"/>
    </row>
    <row r="3242" spans="6:6">
      <c r="F3242" s="208"/>
    </row>
    <row r="3243" spans="6:6">
      <c r="F3243" s="208"/>
    </row>
    <row r="3244" spans="6:6">
      <c r="F3244" s="208"/>
    </row>
    <row r="3245" spans="6:6">
      <c r="F3245" s="208"/>
    </row>
    <row r="3246" spans="6:6">
      <c r="F3246" s="208"/>
    </row>
    <row r="3247" spans="6:6">
      <c r="F3247" s="208"/>
    </row>
    <row r="3248" spans="6:6">
      <c r="F3248" s="208"/>
    </row>
    <row r="3249" spans="6:6">
      <c r="F3249" s="208"/>
    </row>
    <row r="3250" spans="6:6">
      <c r="F3250" s="208"/>
    </row>
    <row r="3251" spans="6:6">
      <c r="F3251" s="208"/>
    </row>
    <row r="3252" spans="6:6">
      <c r="F3252" s="208"/>
    </row>
    <row r="3253" spans="6:6">
      <c r="F3253" s="208"/>
    </row>
    <row r="3254" spans="6:6">
      <c r="F3254" s="208"/>
    </row>
    <row r="3255" spans="6:6">
      <c r="F3255" s="208"/>
    </row>
    <row r="3256" spans="6:6">
      <c r="F3256" s="208"/>
    </row>
    <row r="3257" spans="6:6">
      <c r="F3257" s="208"/>
    </row>
    <row r="3258" spans="6:6">
      <c r="F3258" s="208"/>
    </row>
    <row r="3259" spans="6:6">
      <c r="F3259" s="208"/>
    </row>
    <row r="3260" spans="6:6">
      <c r="F3260" s="208"/>
    </row>
    <row r="3261" spans="6:6">
      <c r="F3261" s="208"/>
    </row>
    <row r="3262" spans="6:6">
      <c r="F3262" s="208"/>
    </row>
    <row r="3263" spans="6:6">
      <c r="F3263" s="208"/>
    </row>
    <row r="3264" spans="6:6">
      <c r="F3264" s="208"/>
    </row>
    <row r="3265" spans="6:6">
      <c r="F3265" s="208"/>
    </row>
    <row r="3266" spans="6:6">
      <c r="F3266" s="208"/>
    </row>
    <row r="3267" spans="6:6">
      <c r="F3267" s="208"/>
    </row>
    <row r="3268" spans="6:6">
      <c r="F3268" s="208"/>
    </row>
    <row r="3269" spans="6:6">
      <c r="F3269" s="208"/>
    </row>
    <row r="3270" spans="6:6">
      <c r="F3270" s="208"/>
    </row>
    <row r="3271" spans="6:6">
      <c r="F3271" s="208"/>
    </row>
    <row r="3272" spans="6:6">
      <c r="F3272" s="208"/>
    </row>
    <row r="3273" spans="6:6">
      <c r="F3273" s="208"/>
    </row>
    <row r="3274" spans="6:6">
      <c r="F3274" s="208"/>
    </row>
    <row r="3275" spans="6:6">
      <c r="F3275" s="208"/>
    </row>
    <row r="3276" spans="6:6">
      <c r="F3276" s="208"/>
    </row>
    <row r="3277" spans="6:6">
      <c r="F3277" s="208"/>
    </row>
    <row r="3278" spans="6:6">
      <c r="F3278" s="208"/>
    </row>
    <row r="3279" spans="6:6">
      <c r="F3279" s="208"/>
    </row>
    <row r="3280" spans="6:6">
      <c r="F3280" s="208"/>
    </row>
    <row r="3281" spans="6:6">
      <c r="F3281" s="208"/>
    </row>
    <row r="3282" spans="6:6">
      <c r="F3282" s="208"/>
    </row>
    <row r="3283" spans="6:6">
      <c r="F3283" s="208"/>
    </row>
    <row r="3284" spans="6:6">
      <c r="F3284" s="208"/>
    </row>
    <row r="3285" spans="6:6">
      <c r="F3285" s="208"/>
    </row>
    <row r="3286" spans="6:6">
      <c r="F3286" s="208"/>
    </row>
    <row r="3287" spans="6:6">
      <c r="F3287" s="208"/>
    </row>
    <row r="3288" spans="6:6">
      <c r="F3288" s="208"/>
    </row>
    <row r="3289" spans="6:6">
      <c r="F3289" s="208"/>
    </row>
    <row r="3290" spans="6:6">
      <c r="F3290" s="208"/>
    </row>
    <row r="3291" spans="6:6">
      <c r="F3291" s="208"/>
    </row>
    <row r="3292" spans="6:6">
      <c r="F3292" s="208"/>
    </row>
    <row r="3293" spans="6:6">
      <c r="F3293" s="208"/>
    </row>
    <row r="3294" spans="6:6">
      <c r="F3294" s="208"/>
    </row>
    <row r="3295" spans="6:6">
      <c r="F3295" s="208"/>
    </row>
    <row r="3296" spans="6:6">
      <c r="F3296" s="208"/>
    </row>
    <row r="3297" spans="6:6">
      <c r="F3297" s="208"/>
    </row>
    <row r="3298" spans="6:6">
      <c r="F3298" s="208"/>
    </row>
    <row r="3299" spans="6:6">
      <c r="F3299" s="208"/>
    </row>
    <row r="3300" spans="6:6">
      <c r="F3300" s="208"/>
    </row>
    <row r="3301" spans="6:6">
      <c r="F3301" s="208"/>
    </row>
    <row r="3302" spans="6:6">
      <c r="F3302" s="208"/>
    </row>
    <row r="3303" spans="6:6">
      <c r="F3303" s="208"/>
    </row>
    <row r="3304" spans="6:6">
      <c r="F3304" s="208"/>
    </row>
    <row r="3305" spans="6:6">
      <c r="F3305" s="208"/>
    </row>
    <row r="3306" spans="6:6">
      <c r="F3306" s="208"/>
    </row>
    <row r="3307" spans="6:6">
      <c r="F3307" s="208"/>
    </row>
    <row r="3308" spans="6:6">
      <c r="F3308" s="208"/>
    </row>
    <row r="3309" spans="6:6">
      <c r="F3309" s="208"/>
    </row>
    <row r="3310" spans="6:6">
      <c r="F3310" s="208"/>
    </row>
    <row r="3311" spans="6:6">
      <c r="F3311" s="208"/>
    </row>
    <row r="3312" spans="6:6">
      <c r="F3312" s="208"/>
    </row>
    <row r="3313" spans="6:6">
      <c r="F3313" s="208"/>
    </row>
    <row r="3314" spans="6:6">
      <c r="F3314" s="208"/>
    </row>
    <row r="3315" spans="6:6">
      <c r="F3315" s="208"/>
    </row>
    <row r="3316" spans="6:6">
      <c r="F3316" s="208"/>
    </row>
    <row r="3317" spans="6:6">
      <c r="F3317" s="208"/>
    </row>
    <row r="3318" spans="6:6">
      <c r="F3318" s="208"/>
    </row>
    <row r="3319" spans="6:6">
      <c r="F3319" s="208"/>
    </row>
    <row r="3320" spans="6:6">
      <c r="F3320" s="208"/>
    </row>
    <row r="3321" spans="6:6">
      <c r="F3321" s="208"/>
    </row>
    <row r="3322" spans="6:6">
      <c r="F3322" s="208"/>
    </row>
    <row r="3323" spans="6:6">
      <c r="F3323" s="208"/>
    </row>
    <row r="3324" spans="6:6">
      <c r="F3324" s="208"/>
    </row>
    <row r="3325" spans="6:6">
      <c r="F3325" s="208"/>
    </row>
    <row r="3326" spans="6:6">
      <c r="F3326" s="208"/>
    </row>
    <row r="3327" spans="6:6">
      <c r="F3327" s="208"/>
    </row>
    <row r="3328" spans="6:6">
      <c r="F3328" s="208"/>
    </row>
    <row r="3329" spans="6:6">
      <c r="F3329" s="208"/>
    </row>
    <row r="3330" spans="6:6">
      <c r="F3330" s="208"/>
    </row>
    <row r="3331" spans="6:6">
      <c r="F3331" s="208"/>
    </row>
    <row r="3332" spans="6:6">
      <c r="F3332" s="208"/>
    </row>
    <row r="3333" spans="6:6">
      <c r="F3333" s="208"/>
    </row>
    <row r="3334" spans="6:6">
      <c r="F3334" s="208"/>
    </row>
    <row r="3335" spans="6:6">
      <c r="F3335" s="208"/>
    </row>
    <row r="3336" spans="6:6">
      <c r="F3336" s="208"/>
    </row>
    <row r="3337" spans="6:6">
      <c r="F3337" s="208"/>
    </row>
    <row r="3338" spans="6:6">
      <c r="F3338" s="208"/>
    </row>
    <row r="3339" spans="6:6">
      <c r="F3339" s="208"/>
    </row>
    <row r="3340" spans="6:6">
      <c r="F3340" s="208"/>
    </row>
    <row r="3341" spans="6:6">
      <c r="F3341" s="208"/>
    </row>
    <row r="3342" spans="6:6">
      <c r="F3342" s="208"/>
    </row>
    <row r="3343" spans="6:6">
      <c r="F3343" s="208"/>
    </row>
    <row r="3344" spans="6:6">
      <c r="F3344" s="208"/>
    </row>
    <row r="3345" spans="6:6">
      <c r="F3345" s="208"/>
    </row>
    <row r="3346" spans="6:6">
      <c r="F3346" s="208"/>
    </row>
    <row r="3347" spans="6:6">
      <c r="F3347" s="208"/>
    </row>
    <row r="3348" spans="6:6">
      <c r="F3348" s="208"/>
    </row>
    <row r="3349" spans="6:6">
      <c r="F3349" s="208"/>
    </row>
    <row r="3350" spans="6:6">
      <c r="F3350" s="208"/>
    </row>
    <row r="3351" spans="6:6">
      <c r="F3351" s="208"/>
    </row>
    <row r="3352" spans="6:6">
      <c r="F3352" s="208"/>
    </row>
    <row r="3353" spans="6:6">
      <c r="F3353" s="208"/>
    </row>
    <row r="3354" spans="6:6">
      <c r="F3354" s="208"/>
    </row>
    <row r="3355" spans="6:6">
      <c r="F3355" s="208"/>
    </row>
    <row r="3356" spans="6:6">
      <c r="F3356" s="208"/>
    </row>
    <row r="3357" spans="6:6">
      <c r="F3357" s="208"/>
    </row>
    <row r="3358" spans="6:6">
      <c r="F3358" s="208"/>
    </row>
    <row r="3359" spans="6:6">
      <c r="F3359" s="208"/>
    </row>
    <row r="3360" spans="6:6">
      <c r="F3360" s="208"/>
    </row>
    <row r="3361" spans="6:6">
      <c r="F3361" s="208"/>
    </row>
    <row r="3362" spans="6:6">
      <c r="F3362" s="208"/>
    </row>
    <row r="3363" spans="6:6">
      <c r="F3363" s="208"/>
    </row>
    <row r="3364" spans="6:6">
      <c r="F3364" s="208"/>
    </row>
    <row r="3365" spans="6:6">
      <c r="F3365" s="208"/>
    </row>
    <row r="3366" spans="6:6">
      <c r="F3366" s="208"/>
    </row>
    <row r="3367" spans="6:6">
      <c r="F3367" s="208"/>
    </row>
    <row r="3368" spans="6:6">
      <c r="F3368" s="208"/>
    </row>
    <row r="3369" spans="6:6">
      <c r="F3369" s="208"/>
    </row>
    <row r="3370" spans="6:6">
      <c r="F3370" s="208"/>
    </row>
    <row r="3371" spans="6:6">
      <c r="F3371" s="208"/>
    </row>
    <row r="3372" spans="6:6">
      <c r="F3372" s="208"/>
    </row>
    <row r="3373" spans="6:6">
      <c r="F3373" s="208"/>
    </row>
    <row r="3374" spans="6:6">
      <c r="F3374" s="208"/>
    </row>
    <row r="3375" spans="6:6">
      <c r="F3375" s="208"/>
    </row>
    <row r="3376" spans="6:6">
      <c r="F3376" s="208"/>
    </row>
    <row r="3377" spans="6:6">
      <c r="F3377" s="208"/>
    </row>
    <row r="3378" spans="6:6">
      <c r="F3378" s="208"/>
    </row>
    <row r="3379" spans="6:6">
      <c r="F3379" s="208"/>
    </row>
    <row r="3380" spans="6:6">
      <c r="F3380" s="208"/>
    </row>
    <row r="3381" spans="6:6">
      <c r="F3381" s="208"/>
    </row>
    <row r="3382" spans="6:6">
      <c r="F3382" s="208"/>
    </row>
    <row r="3383" spans="6:6">
      <c r="F3383" s="208"/>
    </row>
    <row r="3384" spans="6:6">
      <c r="F3384" s="208"/>
    </row>
    <row r="3385" spans="6:6">
      <c r="F3385" s="208"/>
    </row>
    <row r="3386" spans="6:6">
      <c r="F3386" s="208"/>
    </row>
    <row r="3387" spans="6:6">
      <c r="F3387" s="208"/>
    </row>
    <row r="3388" spans="6:6">
      <c r="F3388" s="208"/>
    </row>
    <row r="3389" spans="6:6">
      <c r="F3389" s="208"/>
    </row>
    <row r="3390" spans="6:6">
      <c r="F3390" s="208"/>
    </row>
    <row r="3391" spans="6:6">
      <c r="F3391" s="208"/>
    </row>
    <row r="3392" spans="6:6">
      <c r="F3392" s="208"/>
    </row>
    <row r="3393" spans="6:6">
      <c r="F3393" s="208"/>
    </row>
    <row r="3394" spans="6:6">
      <c r="F3394" s="208"/>
    </row>
    <row r="3395" spans="6:6">
      <c r="F3395" s="208"/>
    </row>
    <row r="3396" spans="6:6">
      <c r="F3396" s="208"/>
    </row>
    <row r="3397" spans="6:6">
      <c r="F3397" s="208"/>
    </row>
    <row r="3398" spans="6:6">
      <c r="F3398" s="208"/>
    </row>
    <row r="3399" spans="6:6">
      <c r="F3399" s="208"/>
    </row>
    <row r="3400" spans="6:6">
      <c r="F3400" s="208"/>
    </row>
    <row r="3401" spans="6:6">
      <c r="F3401" s="208"/>
    </row>
    <row r="3402" spans="6:6">
      <c r="F3402" s="208"/>
    </row>
    <row r="3403" spans="6:6">
      <c r="F3403" s="208"/>
    </row>
    <row r="3404" spans="6:6">
      <c r="F3404" s="208"/>
    </row>
    <row r="3405" spans="6:6">
      <c r="F3405" s="208"/>
    </row>
    <row r="3406" spans="6:6">
      <c r="F3406" s="208"/>
    </row>
    <row r="3407" spans="6:6">
      <c r="F3407" s="208"/>
    </row>
    <row r="3408" spans="6:6">
      <c r="F3408" s="208"/>
    </row>
    <row r="3409" spans="6:6">
      <c r="F3409" s="208"/>
    </row>
    <row r="3410" spans="6:6">
      <c r="F3410" s="208"/>
    </row>
    <row r="3411" spans="6:6">
      <c r="F3411" s="208"/>
    </row>
    <row r="3412" spans="6:6">
      <c r="F3412" s="208"/>
    </row>
    <row r="3413" spans="6:6">
      <c r="F3413" s="208"/>
    </row>
    <row r="3414" spans="6:6">
      <c r="F3414" s="208"/>
    </row>
    <row r="3415" spans="6:6">
      <c r="F3415" s="208"/>
    </row>
    <row r="3416" spans="6:6">
      <c r="F3416" s="208"/>
    </row>
    <row r="3417" spans="6:6">
      <c r="F3417" s="208"/>
    </row>
    <row r="3418" spans="6:6">
      <c r="F3418" s="208"/>
    </row>
    <row r="3419" spans="6:6">
      <c r="F3419" s="208"/>
    </row>
    <row r="3420" spans="6:6">
      <c r="F3420" s="208"/>
    </row>
    <row r="3421" spans="6:6">
      <c r="F3421" s="208"/>
    </row>
    <row r="3422" spans="6:6">
      <c r="F3422" s="208"/>
    </row>
    <row r="3423" spans="6:6">
      <c r="F3423" s="208"/>
    </row>
    <row r="3424" spans="6:6">
      <c r="F3424" s="208"/>
    </row>
    <row r="3425" spans="6:6">
      <c r="F3425" s="208"/>
    </row>
    <row r="3426" spans="6:6">
      <c r="F3426" s="208"/>
    </row>
    <row r="3427" spans="6:6">
      <c r="F3427" s="208"/>
    </row>
    <row r="3428" spans="6:6">
      <c r="F3428" s="208"/>
    </row>
    <row r="3429" spans="6:6">
      <c r="F3429" s="208"/>
    </row>
    <row r="3430" spans="6:6">
      <c r="F3430" s="208"/>
    </row>
    <row r="3431" spans="6:6">
      <c r="F3431" s="208"/>
    </row>
    <row r="3432" spans="6:6">
      <c r="F3432" s="208"/>
    </row>
    <row r="3433" spans="6:6">
      <c r="F3433" s="208"/>
    </row>
    <row r="3434" spans="6:6">
      <c r="F3434" s="208"/>
    </row>
    <row r="3435" spans="6:6">
      <c r="F3435" s="208"/>
    </row>
    <row r="3436" spans="6:6">
      <c r="F3436" s="208"/>
    </row>
    <row r="3437" spans="6:6">
      <c r="F3437" s="208"/>
    </row>
    <row r="3438" spans="6:6">
      <c r="F3438" s="208"/>
    </row>
    <row r="3439" spans="6:6">
      <c r="F3439" s="208"/>
    </row>
    <row r="3440" spans="6:6">
      <c r="F3440" s="208"/>
    </row>
    <row r="3441" spans="6:6">
      <c r="F3441" s="208"/>
    </row>
    <row r="3442" spans="6:6">
      <c r="F3442" s="208"/>
    </row>
    <row r="3443" spans="6:6">
      <c r="F3443" s="208"/>
    </row>
    <row r="3444" spans="6:6">
      <c r="F3444" s="208"/>
    </row>
    <row r="3445" spans="6:6">
      <c r="F3445" s="208"/>
    </row>
    <row r="3446" spans="6:6">
      <c r="F3446" s="208"/>
    </row>
    <row r="3447" spans="6:6">
      <c r="F3447" s="208"/>
    </row>
    <row r="3448" spans="6:6">
      <c r="F3448" s="208"/>
    </row>
    <row r="3449" spans="6:6">
      <c r="F3449" s="208"/>
    </row>
    <row r="3450" spans="6:6">
      <c r="F3450" s="208"/>
    </row>
    <row r="3451" spans="6:6">
      <c r="F3451" s="208"/>
    </row>
    <row r="3452" spans="6:6">
      <c r="F3452" s="208"/>
    </row>
    <row r="3453" spans="6:6">
      <c r="F3453" s="208"/>
    </row>
    <row r="3454" spans="6:6">
      <c r="F3454" s="208"/>
    </row>
    <row r="3455" spans="6:6">
      <c r="F3455" s="208"/>
    </row>
    <row r="3456" spans="6:6">
      <c r="F3456" s="208"/>
    </row>
    <row r="3457" spans="6:6">
      <c r="F3457" s="208"/>
    </row>
    <row r="3458" spans="6:6">
      <c r="F3458" s="208"/>
    </row>
    <row r="3459" spans="6:6">
      <c r="F3459" s="208"/>
    </row>
    <row r="3460" spans="6:6">
      <c r="F3460" s="208"/>
    </row>
    <row r="3461" spans="6:6">
      <c r="F3461" s="208"/>
    </row>
    <row r="3462" spans="6:6">
      <c r="F3462" s="208"/>
    </row>
    <row r="3463" spans="6:6">
      <c r="F3463" s="208"/>
    </row>
    <row r="3464" spans="6:6">
      <c r="F3464" s="208"/>
    </row>
    <row r="3465" spans="6:6">
      <c r="F3465" s="208"/>
    </row>
    <row r="3466" spans="6:6">
      <c r="F3466" s="208"/>
    </row>
    <row r="3467" spans="6:6">
      <c r="F3467" s="208"/>
    </row>
    <row r="3468" spans="6:6">
      <c r="F3468" s="208"/>
    </row>
    <row r="3469" spans="6:6">
      <c r="F3469" s="208"/>
    </row>
    <row r="3470" spans="6:6">
      <c r="F3470" s="208"/>
    </row>
    <row r="3471" spans="6:6">
      <c r="F3471" s="208"/>
    </row>
    <row r="3472" spans="6:6">
      <c r="F3472" s="208"/>
    </row>
    <row r="3473" spans="6:6">
      <c r="F3473" s="208"/>
    </row>
    <row r="3474" spans="6:6">
      <c r="F3474" s="208"/>
    </row>
    <row r="3475" spans="6:6">
      <c r="F3475" s="208"/>
    </row>
    <row r="3476" spans="6:6">
      <c r="F3476" s="208"/>
    </row>
    <row r="3477" spans="6:6">
      <c r="F3477" s="208"/>
    </row>
    <row r="3478" spans="6:6">
      <c r="F3478" s="208"/>
    </row>
    <row r="3479" spans="6:6">
      <c r="F3479" s="208"/>
    </row>
    <row r="3480" spans="6:6">
      <c r="F3480" s="208"/>
    </row>
    <row r="3481" spans="6:6">
      <c r="F3481" s="208"/>
    </row>
    <row r="3482" spans="6:6">
      <c r="F3482" s="208"/>
    </row>
    <row r="3483" spans="6:6">
      <c r="F3483" s="208"/>
    </row>
    <row r="3484" spans="6:6">
      <c r="F3484" s="208"/>
    </row>
    <row r="3485" spans="6:6">
      <c r="F3485" s="208"/>
    </row>
    <row r="3486" spans="6:6">
      <c r="F3486" s="208"/>
    </row>
    <row r="3487" spans="6:6">
      <c r="F3487" s="208"/>
    </row>
    <row r="3488" spans="6:6">
      <c r="F3488" s="208"/>
    </row>
    <row r="3489" spans="6:6">
      <c r="F3489" s="208"/>
    </row>
    <row r="3490" spans="6:6">
      <c r="F3490" s="208"/>
    </row>
    <row r="3491" spans="6:6">
      <c r="F3491" s="208"/>
    </row>
    <row r="3492" spans="6:6">
      <c r="F3492" s="208"/>
    </row>
    <row r="3493" spans="6:6">
      <c r="F3493" s="208"/>
    </row>
    <row r="3494" spans="6:6">
      <c r="F3494" s="208"/>
    </row>
    <row r="3495" spans="6:6">
      <c r="F3495" s="208"/>
    </row>
    <row r="3496" spans="6:6">
      <c r="F3496" s="208"/>
    </row>
    <row r="3497" spans="6:6">
      <c r="F3497" s="208"/>
    </row>
    <row r="3498" spans="6:6">
      <c r="F3498" s="208"/>
    </row>
    <row r="3499" spans="6:6">
      <c r="F3499" s="208"/>
    </row>
    <row r="3500" spans="6:6">
      <c r="F3500" s="208"/>
    </row>
    <row r="3501" spans="6:6">
      <c r="F3501" s="208"/>
    </row>
    <row r="3502" spans="6:6">
      <c r="F3502" s="208"/>
    </row>
    <row r="3503" spans="6:6">
      <c r="F3503" s="208"/>
    </row>
    <row r="3504" spans="6:6">
      <c r="F3504" s="208"/>
    </row>
    <row r="3505" spans="6:6">
      <c r="F3505" s="208"/>
    </row>
    <row r="3506" spans="6:6">
      <c r="F3506" s="208"/>
    </row>
    <row r="3507" spans="6:6">
      <c r="F3507" s="208"/>
    </row>
    <row r="3508" spans="6:6">
      <c r="F3508" s="208"/>
    </row>
    <row r="3509" spans="6:6">
      <c r="F3509" s="208"/>
    </row>
    <row r="3510" spans="6:6">
      <c r="F3510" s="208"/>
    </row>
    <row r="3511" spans="6:6">
      <c r="F3511" s="208"/>
    </row>
    <row r="3512" spans="6:6">
      <c r="F3512" s="208"/>
    </row>
    <row r="3513" spans="6:6">
      <c r="F3513" s="208"/>
    </row>
    <row r="3514" spans="6:6">
      <c r="F3514" s="208"/>
    </row>
    <row r="3515" spans="6:6">
      <c r="F3515" s="208"/>
    </row>
    <row r="3516" spans="6:6">
      <c r="F3516" s="208"/>
    </row>
    <row r="3517" spans="6:6">
      <c r="F3517" s="208"/>
    </row>
    <row r="3518" spans="6:6">
      <c r="F3518" s="208"/>
    </row>
    <row r="3519" spans="6:6">
      <c r="F3519" s="208"/>
    </row>
    <row r="3520" spans="6:6">
      <c r="F3520" s="208"/>
    </row>
    <row r="3521" spans="6:6">
      <c r="F3521" s="208"/>
    </row>
    <row r="3522" spans="6:6">
      <c r="F3522" s="208"/>
    </row>
    <row r="3523" spans="6:6">
      <c r="F3523" s="208"/>
    </row>
    <row r="3524" spans="6:6">
      <c r="F3524" s="208"/>
    </row>
    <row r="3525" spans="6:6">
      <c r="F3525" s="208"/>
    </row>
    <row r="3526" spans="6:6">
      <c r="F3526" s="208"/>
    </row>
    <row r="3527" spans="6:6">
      <c r="F3527" s="208"/>
    </row>
    <row r="3528" spans="6:6">
      <c r="F3528" s="208"/>
    </row>
    <row r="3529" spans="6:6">
      <c r="F3529" s="208"/>
    </row>
    <row r="3530" spans="6:6">
      <c r="F3530" s="208"/>
    </row>
    <row r="3531" spans="6:6">
      <c r="F3531" s="208"/>
    </row>
    <row r="3532" spans="6:6">
      <c r="F3532" s="208"/>
    </row>
    <row r="3533" spans="6:6">
      <c r="F3533" s="208"/>
    </row>
    <row r="3534" spans="6:6">
      <c r="F3534" s="208"/>
    </row>
    <row r="3535" spans="6:6">
      <c r="F3535" s="208"/>
    </row>
    <row r="3536" spans="6:6">
      <c r="F3536" s="208"/>
    </row>
    <row r="3537" spans="6:6">
      <c r="F3537" s="208"/>
    </row>
    <row r="3538" spans="6:6">
      <c r="F3538" s="208"/>
    </row>
    <row r="3539" spans="6:6">
      <c r="F3539" s="208"/>
    </row>
    <row r="3540" spans="6:6">
      <c r="F3540" s="208"/>
    </row>
    <row r="3541" spans="6:6">
      <c r="F3541" s="208"/>
    </row>
    <row r="3542" spans="6:6">
      <c r="F3542" s="208"/>
    </row>
    <row r="3543" spans="6:6">
      <c r="F3543" s="208"/>
    </row>
    <row r="3544" spans="6:6">
      <c r="F3544" s="208"/>
    </row>
    <row r="3545" spans="6:6">
      <c r="F3545" s="208"/>
    </row>
    <row r="3546" spans="6:6">
      <c r="F3546" s="208"/>
    </row>
    <row r="3547" spans="6:6">
      <c r="F3547" s="208"/>
    </row>
    <row r="3548" spans="6:6">
      <c r="F3548" s="208"/>
    </row>
    <row r="3549" spans="6:6">
      <c r="F3549" s="208"/>
    </row>
    <row r="3550" spans="6:6">
      <c r="F3550" s="208"/>
    </row>
    <row r="3551" spans="6:6">
      <c r="F3551" s="208"/>
    </row>
    <row r="3552" spans="6:6">
      <c r="F3552" s="208"/>
    </row>
    <row r="3553" spans="6:6">
      <c r="F3553" s="208"/>
    </row>
    <row r="3554" spans="6:6">
      <c r="F3554" s="208"/>
    </row>
    <row r="3555" spans="6:6">
      <c r="F3555" s="208"/>
    </row>
    <row r="3556" spans="6:6">
      <c r="F3556" s="208"/>
    </row>
    <row r="3557" spans="6:6">
      <c r="F3557" s="208"/>
    </row>
    <row r="3558" spans="6:6">
      <c r="F3558" s="208"/>
    </row>
    <row r="3559" spans="6:6">
      <c r="F3559" s="208"/>
    </row>
    <row r="3560" spans="6:6">
      <c r="F3560" s="208"/>
    </row>
    <row r="3561" spans="6:6">
      <c r="F3561" s="208"/>
    </row>
    <row r="3562" spans="6:6">
      <c r="F3562" s="208"/>
    </row>
    <row r="3563" spans="6:6">
      <c r="F3563" s="208"/>
    </row>
    <row r="3564" spans="6:6">
      <c r="F3564" s="208"/>
    </row>
    <row r="3565" spans="6:6">
      <c r="F3565" s="208"/>
    </row>
    <row r="3566" spans="6:6">
      <c r="F3566" s="208"/>
    </row>
    <row r="3567" spans="6:6">
      <c r="F3567" s="208"/>
    </row>
    <row r="3568" spans="6:6">
      <c r="F3568" s="208"/>
    </row>
    <row r="3569" spans="6:6">
      <c r="F3569" s="208"/>
    </row>
    <row r="3570" spans="6:6">
      <c r="F3570" s="208"/>
    </row>
    <row r="3571" spans="6:6">
      <c r="F3571" s="208"/>
    </row>
    <row r="3572" spans="6:6">
      <c r="F3572" s="208"/>
    </row>
    <row r="3573" spans="6:6">
      <c r="F3573" s="208"/>
    </row>
    <row r="3574" spans="6:6">
      <c r="F3574" s="208"/>
    </row>
    <row r="3575" spans="6:6">
      <c r="F3575" s="208"/>
    </row>
    <row r="3576" spans="6:6">
      <c r="F3576" s="208"/>
    </row>
    <row r="3577" spans="6:6">
      <c r="F3577" s="208"/>
    </row>
    <row r="3578" spans="6:6">
      <c r="F3578" s="208"/>
    </row>
    <row r="3579" spans="6:6">
      <c r="F3579" s="208"/>
    </row>
    <row r="3580" spans="6:6">
      <c r="F3580" s="208"/>
    </row>
    <row r="3581" spans="6:6">
      <c r="F3581" s="208"/>
    </row>
    <row r="3582" spans="6:6">
      <c r="F3582" s="208"/>
    </row>
    <row r="3583" spans="6:6">
      <c r="F3583" s="208"/>
    </row>
    <row r="3584" spans="6:6">
      <c r="F3584" s="208"/>
    </row>
    <row r="3585" spans="6:6">
      <c r="F3585" s="208"/>
    </row>
    <row r="3586" spans="6:6">
      <c r="F3586" s="208"/>
    </row>
    <row r="3587" spans="6:6">
      <c r="F3587" s="208"/>
    </row>
    <row r="3588" spans="6:6">
      <c r="F3588" s="208"/>
    </row>
    <row r="3589" spans="6:6">
      <c r="F3589" s="208"/>
    </row>
    <row r="3590" spans="6:6">
      <c r="F3590" s="208"/>
    </row>
    <row r="3591" spans="6:6">
      <c r="F3591" s="208"/>
    </row>
    <row r="3592" spans="6:6">
      <c r="F3592" s="208"/>
    </row>
    <row r="3593" spans="6:6">
      <c r="F3593" s="208"/>
    </row>
    <row r="3594" spans="6:6">
      <c r="F3594" s="208"/>
    </row>
    <row r="3595" spans="6:6">
      <c r="F3595" s="208"/>
    </row>
    <row r="3596" spans="6:6">
      <c r="F3596" s="208"/>
    </row>
    <row r="3597" spans="6:6">
      <c r="F3597" s="208"/>
    </row>
    <row r="3598" spans="6:6">
      <c r="F3598" s="208"/>
    </row>
    <row r="3599" spans="6:6">
      <c r="F3599" s="208"/>
    </row>
    <row r="3600" spans="6:6">
      <c r="F3600" s="208"/>
    </row>
    <row r="3601" spans="6:6">
      <c r="F3601" s="208"/>
    </row>
    <row r="3602" spans="6:6">
      <c r="F3602" s="208"/>
    </row>
    <row r="3603" spans="6:6">
      <c r="F3603" s="208"/>
    </row>
    <row r="3604" spans="6:6">
      <c r="F3604" s="208"/>
    </row>
    <row r="3605" spans="6:6">
      <c r="F3605" s="208"/>
    </row>
    <row r="3606" spans="6:6">
      <c r="F3606" s="208"/>
    </row>
    <row r="3607" spans="6:6">
      <c r="F3607" s="208"/>
    </row>
    <row r="3608" spans="6:6">
      <c r="F3608" s="208"/>
    </row>
    <row r="3609" spans="6:6">
      <c r="F3609" s="208"/>
    </row>
    <row r="3610" spans="6:6">
      <c r="F3610" s="208"/>
    </row>
    <row r="3611" spans="6:6">
      <c r="F3611" s="208"/>
    </row>
    <row r="3612" spans="6:6">
      <c r="F3612" s="208"/>
    </row>
    <row r="3613" spans="6:6">
      <c r="F3613" s="208"/>
    </row>
    <row r="3614" spans="6:6">
      <c r="F3614" s="208"/>
    </row>
    <row r="3615" spans="6:6">
      <c r="F3615" s="208"/>
    </row>
    <row r="3616" spans="6:6">
      <c r="F3616" s="208"/>
    </row>
    <row r="3617" spans="6:6">
      <c r="F3617" s="208"/>
    </row>
    <row r="3618" spans="6:6">
      <c r="F3618" s="208"/>
    </row>
    <row r="3619" spans="6:6">
      <c r="F3619" s="208"/>
    </row>
    <row r="3620" spans="6:6">
      <c r="F3620" s="208"/>
    </row>
    <row r="3621" spans="6:6">
      <c r="F3621" s="208"/>
    </row>
    <row r="3622" spans="6:6">
      <c r="F3622" s="208"/>
    </row>
    <row r="3623" spans="6:6">
      <c r="F3623" s="208"/>
    </row>
    <row r="3624" spans="6:6">
      <c r="F3624" s="208"/>
    </row>
    <row r="3625" spans="6:6">
      <c r="F3625" s="208"/>
    </row>
    <row r="3626" spans="6:6">
      <c r="F3626" s="208"/>
    </row>
    <row r="3627" spans="6:6">
      <c r="F3627" s="208"/>
    </row>
    <row r="3628" spans="6:6">
      <c r="F3628" s="208"/>
    </row>
    <row r="3629" spans="6:6">
      <c r="F3629" s="208"/>
    </row>
    <row r="3630" spans="6:6">
      <c r="F3630" s="208"/>
    </row>
    <row r="3631" spans="6:6">
      <c r="F3631" s="208"/>
    </row>
    <row r="3632" spans="6:6">
      <c r="F3632" s="208"/>
    </row>
    <row r="3633" spans="6:6">
      <c r="F3633" s="208"/>
    </row>
    <row r="3634" spans="6:6">
      <c r="F3634" s="208"/>
    </row>
    <row r="3635" spans="6:6">
      <c r="F3635" s="208"/>
    </row>
    <row r="3636" spans="6:6">
      <c r="F3636" s="208"/>
    </row>
    <row r="3637" spans="6:6">
      <c r="F3637" s="208"/>
    </row>
    <row r="3638" spans="6:6">
      <c r="F3638" s="208"/>
    </row>
    <row r="3639" spans="6:6">
      <c r="F3639" s="208"/>
    </row>
    <row r="3640" spans="6:6">
      <c r="F3640" s="208"/>
    </row>
    <row r="3641" spans="6:6">
      <c r="F3641" s="208"/>
    </row>
    <row r="3642" spans="6:6">
      <c r="F3642" s="208"/>
    </row>
    <row r="3643" spans="6:6">
      <c r="F3643" s="208"/>
    </row>
    <row r="3644" spans="6:6">
      <c r="F3644" s="208"/>
    </row>
    <row r="3645" spans="6:6">
      <c r="F3645" s="208"/>
    </row>
    <row r="3646" spans="6:6">
      <c r="F3646" s="208"/>
    </row>
    <row r="3647" spans="6:6">
      <c r="F3647" s="208"/>
    </row>
    <row r="3648" spans="6:6">
      <c r="F3648" s="208"/>
    </row>
    <row r="3649" spans="6:6">
      <c r="F3649" s="208"/>
    </row>
    <row r="3650" spans="6:6">
      <c r="F3650" s="208"/>
    </row>
    <row r="3651" spans="6:6">
      <c r="F3651" s="208"/>
    </row>
    <row r="3652" spans="6:6">
      <c r="F3652" s="208"/>
    </row>
    <row r="3653" spans="6:6">
      <c r="F3653" s="208"/>
    </row>
    <row r="3654" spans="6:6">
      <c r="F3654" s="208"/>
    </row>
    <row r="3655" spans="6:6">
      <c r="F3655" s="208"/>
    </row>
    <row r="3656" spans="6:6">
      <c r="F3656" s="208"/>
    </row>
    <row r="3657" spans="6:6">
      <c r="F3657" s="208"/>
    </row>
    <row r="3658" spans="6:6">
      <c r="F3658" s="208"/>
    </row>
    <row r="3659" spans="6:6">
      <c r="F3659" s="208"/>
    </row>
    <row r="3660" spans="6:6">
      <c r="F3660" s="208"/>
    </row>
    <row r="3661" spans="6:6">
      <c r="F3661" s="208"/>
    </row>
    <row r="3662" spans="6:6">
      <c r="F3662" s="208"/>
    </row>
    <row r="3663" spans="6:6">
      <c r="F3663" s="208"/>
    </row>
    <row r="3664" spans="6:6">
      <c r="F3664" s="208"/>
    </row>
    <row r="3665" spans="6:6">
      <c r="F3665" s="208"/>
    </row>
    <row r="3666" spans="6:6">
      <c r="F3666" s="208"/>
    </row>
    <row r="3667" spans="6:6">
      <c r="F3667" s="208"/>
    </row>
    <row r="3668" spans="6:6">
      <c r="F3668" s="208"/>
    </row>
    <row r="3669" spans="6:6">
      <c r="F3669" s="208"/>
    </row>
    <row r="3670" spans="6:6">
      <c r="F3670" s="208"/>
    </row>
    <row r="3671" spans="6:6">
      <c r="F3671" s="208"/>
    </row>
    <row r="3672" spans="6:6">
      <c r="F3672" s="208"/>
    </row>
    <row r="3673" spans="6:6">
      <c r="F3673" s="208"/>
    </row>
    <row r="3674" spans="6:6">
      <c r="F3674" s="208"/>
    </row>
    <row r="3675" spans="6:6">
      <c r="F3675" s="208"/>
    </row>
    <row r="3676" spans="6:6">
      <c r="F3676" s="208"/>
    </row>
    <row r="3677" spans="6:6">
      <c r="F3677" s="208"/>
    </row>
    <row r="3678" spans="6:6">
      <c r="F3678" s="208"/>
    </row>
    <row r="3679" spans="6:6">
      <c r="F3679" s="208"/>
    </row>
    <row r="3680" spans="6:6">
      <c r="F3680" s="208"/>
    </row>
    <row r="3681" spans="6:6">
      <c r="F3681" s="208"/>
    </row>
    <row r="3682" spans="6:6">
      <c r="F3682" s="208"/>
    </row>
    <row r="3683" spans="6:6">
      <c r="F3683" s="208"/>
    </row>
    <row r="3684" spans="6:6">
      <c r="F3684" s="208"/>
    </row>
    <row r="3685" spans="6:6">
      <c r="F3685" s="208"/>
    </row>
    <row r="3686" spans="6:6">
      <c r="F3686" s="208"/>
    </row>
    <row r="3687" spans="6:6">
      <c r="F3687" s="208"/>
    </row>
    <row r="3688" spans="6:6">
      <c r="F3688" s="208"/>
    </row>
    <row r="3689" spans="6:6">
      <c r="F3689" s="208"/>
    </row>
    <row r="3690" spans="6:6">
      <c r="F3690" s="208"/>
    </row>
    <row r="3691" spans="6:6">
      <c r="F3691" s="208"/>
    </row>
    <row r="3692" spans="6:6">
      <c r="F3692" s="208"/>
    </row>
    <row r="3693" spans="6:6">
      <c r="F3693" s="208"/>
    </row>
    <row r="3694" spans="6:6">
      <c r="F3694" s="208"/>
    </row>
    <row r="3695" spans="6:6">
      <c r="F3695" s="208"/>
    </row>
    <row r="3696" spans="6:6">
      <c r="F3696" s="208"/>
    </row>
    <row r="3697" spans="6:6">
      <c r="F3697" s="208"/>
    </row>
    <row r="3698" spans="6:6">
      <c r="F3698" s="208"/>
    </row>
    <row r="3699" spans="6:6">
      <c r="F3699" s="208"/>
    </row>
    <row r="3700" spans="6:6">
      <c r="F3700" s="208"/>
    </row>
    <row r="3701" spans="6:6">
      <c r="F3701" s="208"/>
    </row>
    <row r="3702" spans="6:6">
      <c r="F3702" s="208"/>
    </row>
    <row r="3703" spans="6:6">
      <c r="F3703" s="208"/>
    </row>
    <row r="3704" spans="6:6">
      <c r="F3704" s="208"/>
    </row>
    <row r="3705" spans="6:6">
      <c r="F3705" s="208"/>
    </row>
    <row r="3706" spans="6:6">
      <c r="F3706" s="208"/>
    </row>
    <row r="3707" spans="6:6">
      <c r="F3707" s="208"/>
    </row>
    <row r="3708" spans="6:6">
      <c r="F3708" s="208"/>
    </row>
    <row r="3709" spans="6:6">
      <c r="F3709" s="208"/>
    </row>
    <row r="3710" spans="6:6">
      <c r="F3710" s="208"/>
    </row>
    <row r="3711" spans="6:6">
      <c r="F3711" s="208"/>
    </row>
    <row r="3712" spans="6:6">
      <c r="F3712" s="208"/>
    </row>
    <row r="3713" spans="6:6">
      <c r="F3713" s="208"/>
    </row>
    <row r="3714" spans="6:6">
      <c r="F3714" s="208"/>
    </row>
    <row r="3715" spans="6:6">
      <c r="F3715" s="208"/>
    </row>
    <row r="3716" spans="6:6">
      <c r="F3716" s="208"/>
    </row>
    <row r="3717" spans="6:6">
      <c r="F3717" s="208"/>
    </row>
    <row r="3718" spans="6:6">
      <c r="F3718" s="208"/>
    </row>
    <row r="3719" spans="6:6">
      <c r="F3719" s="208"/>
    </row>
    <row r="3720" spans="6:6">
      <c r="F3720" s="208"/>
    </row>
    <row r="3721" spans="6:6">
      <c r="F3721" s="208"/>
    </row>
    <row r="3722" spans="6:6">
      <c r="F3722" s="208"/>
    </row>
    <row r="3723" spans="6:6">
      <c r="F3723" s="208"/>
    </row>
    <row r="3724" spans="6:6">
      <c r="F3724" s="208"/>
    </row>
    <row r="3725" spans="6:6">
      <c r="F3725" s="208"/>
    </row>
    <row r="3726" spans="6:6">
      <c r="F3726" s="208"/>
    </row>
    <row r="3727" spans="6:6">
      <c r="F3727" s="208"/>
    </row>
    <row r="3728" spans="6:6">
      <c r="F3728" s="208"/>
    </row>
    <row r="3729" spans="6:6">
      <c r="F3729" s="208"/>
    </row>
    <row r="3730" spans="6:6">
      <c r="F3730" s="208"/>
    </row>
    <row r="3731" spans="6:6">
      <c r="F3731" s="208"/>
    </row>
    <row r="3732" spans="6:6">
      <c r="F3732" s="208"/>
    </row>
    <row r="3733" spans="6:6">
      <c r="F3733" s="208"/>
    </row>
    <row r="3734" spans="6:6">
      <c r="F3734" s="208"/>
    </row>
    <row r="3735" spans="6:6">
      <c r="F3735" s="208"/>
    </row>
    <row r="3736" spans="6:6">
      <c r="F3736" s="208"/>
    </row>
    <row r="3737" spans="6:6">
      <c r="F3737" s="208"/>
    </row>
    <row r="3738" spans="6:6">
      <c r="F3738" s="208"/>
    </row>
    <row r="3739" spans="6:6">
      <c r="F3739" s="208"/>
    </row>
    <row r="3740" spans="6:6">
      <c r="F3740" s="208"/>
    </row>
    <row r="3741" spans="6:6">
      <c r="F3741" s="208"/>
    </row>
    <row r="3742" spans="6:6">
      <c r="F3742" s="208"/>
    </row>
    <row r="3743" spans="6:6">
      <c r="F3743" s="208"/>
    </row>
    <row r="3744" spans="6:6">
      <c r="F3744" s="208"/>
    </row>
    <row r="3745" spans="6:6">
      <c r="F3745" s="208"/>
    </row>
    <row r="3746" spans="6:6">
      <c r="F3746" s="208"/>
    </row>
    <row r="3747" spans="6:6">
      <c r="F3747" s="208"/>
    </row>
    <row r="3748" spans="6:6">
      <c r="F3748" s="208"/>
    </row>
    <row r="3749" spans="6:6">
      <c r="F3749" s="208"/>
    </row>
    <row r="3750" spans="6:6">
      <c r="F3750" s="208"/>
    </row>
    <row r="3751" spans="6:6">
      <c r="F3751" s="208"/>
    </row>
    <row r="3752" spans="6:6">
      <c r="F3752" s="208"/>
    </row>
    <row r="3753" spans="6:6">
      <c r="F3753" s="208"/>
    </row>
    <row r="3754" spans="6:6">
      <c r="F3754" s="208"/>
    </row>
    <row r="3755" spans="6:6">
      <c r="F3755" s="208"/>
    </row>
    <row r="3756" spans="6:6">
      <c r="F3756" s="208"/>
    </row>
    <row r="3757" spans="6:6">
      <c r="F3757" s="208"/>
    </row>
    <row r="3758" spans="6:6">
      <c r="F3758" s="208"/>
    </row>
    <row r="3759" spans="6:6">
      <c r="F3759" s="208"/>
    </row>
    <row r="3760" spans="6:6">
      <c r="F3760" s="208"/>
    </row>
    <row r="3761" spans="6:6">
      <c r="F3761" s="208"/>
    </row>
    <row r="3762" spans="6:6">
      <c r="F3762" s="208"/>
    </row>
    <row r="3763" spans="6:6">
      <c r="F3763" s="208"/>
    </row>
    <row r="3764" spans="6:6">
      <c r="F3764" s="208"/>
    </row>
    <row r="3765" spans="6:6">
      <c r="F3765" s="208"/>
    </row>
    <row r="3766" spans="6:6">
      <c r="F3766" s="208"/>
    </row>
    <row r="3767" spans="6:6">
      <c r="F3767" s="208"/>
    </row>
    <row r="3768" spans="6:6">
      <c r="F3768" s="208"/>
    </row>
    <row r="3769" spans="6:6">
      <c r="F3769" s="208"/>
    </row>
    <row r="3770" spans="6:6">
      <c r="F3770" s="208"/>
    </row>
    <row r="3771" spans="6:6">
      <c r="F3771" s="208"/>
    </row>
    <row r="3772" spans="6:6">
      <c r="F3772" s="208"/>
    </row>
    <row r="3773" spans="6:6">
      <c r="F3773" s="208"/>
    </row>
    <row r="3774" spans="6:6">
      <c r="F3774" s="208"/>
    </row>
    <row r="3775" spans="6:6">
      <c r="F3775" s="208"/>
    </row>
    <row r="3776" spans="6:6">
      <c r="F3776" s="208"/>
    </row>
    <row r="3777" spans="6:6">
      <c r="F3777" s="208"/>
    </row>
    <row r="3778" spans="6:6">
      <c r="F3778" s="208"/>
    </row>
    <row r="3779" spans="6:6">
      <c r="F3779" s="208"/>
    </row>
    <row r="3780" spans="6:6">
      <c r="F3780" s="208"/>
    </row>
    <row r="3781" spans="6:6">
      <c r="F3781" s="208"/>
    </row>
    <row r="3782" spans="6:6">
      <c r="F3782" s="208"/>
    </row>
    <row r="3783" spans="6:6">
      <c r="F3783" s="208"/>
    </row>
    <row r="3784" spans="6:6">
      <c r="F3784" s="208"/>
    </row>
    <row r="3785" spans="6:6">
      <c r="F3785" s="208"/>
    </row>
    <row r="3786" spans="6:6">
      <c r="F3786" s="208"/>
    </row>
    <row r="3787" spans="6:6">
      <c r="F3787" s="208"/>
    </row>
    <row r="3788" spans="6:6">
      <c r="F3788" s="208"/>
    </row>
    <row r="3789" spans="6:6">
      <c r="F3789" s="208"/>
    </row>
    <row r="3790" spans="6:6">
      <c r="F3790" s="208"/>
    </row>
    <row r="3791" spans="6:6">
      <c r="F3791" s="208"/>
    </row>
    <row r="3792" spans="6:6">
      <c r="F3792" s="208"/>
    </row>
    <row r="3793" spans="6:6">
      <c r="F3793" s="208"/>
    </row>
    <row r="3794" spans="6:6">
      <c r="F3794" s="208"/>
    </row>
    <row r="3795" spans="6:6">
      <c r="F3795" s="208"/>
    </row>
    <row r="3796" spans="6:6">
      <c r="F3796" s="208"/>
    </row>
    <row r="3797" spans="6:6">
      <c r="F3797" s="208"/>
    </row>
    <row r="3798" spans="6:6">
      <c r="F3798" s="208"/>
    </row>
    <row r="3799" spans="6:6">
      <c r="F3799" s="208"/>
    </row>
    <row r="3800" spans="6:6">
      <c r="F3800" s="208"/>
    </row>
    <row r="3801" spans="6:6">
      <c r="F3801" s="208"/>
    </row>
    <row r="3802" spans="6:6">
      <c r="F3802" s="208"/>
    </row>
    <row r="3803" spans="6:6">
      <c r="F3803" s="208"/>
    </row>
    <row r="3804" spans="6:6">
      <c r="F3804" s="208"/>
    </row>
    <row r="3805" spans="6:6">
      <c r="F3805" s="208"/>
    </row>
    <row r="3806" spans="6:6">
      <c r="F3806" s="208"/>
    </row>
    <row r="3807" spans="6:6">
      <c r="F3807" s="208"/>
    </row>
    <row r="3808" spans="6:6">
      <c r="F3808" s="208"/>
    </row>
    <row r="3809" spans="6:6">
      <c r="F3809" s="208"/>
    </row>
    <row r="3810" spans="6:6">
      <c r="F3810" s="208"/>
    </row>
    <row r="3811" spans="6:6">
      <c r="F3811" s="208"/>
    </row>
    <row r="3812" spans="6:6">
      <c r="F3812" s="208"/>
    </row>
    <row r="3813" spans="6:6">
      <c r="F3813" s="208"/>
    </row>
    <row r="3814" spans="6:6">
      <c r="F3814" s="208"/>
    </row>
    <row r="3815" spans="6:6">
      <c r="F3815" s="208"/>
    </row>
    <row r="3816" spans="6:6">
      <c r="F3816" s="208"/>
    </row>
    <row r="3817" spans="6:6">
      <c r="F3817" s="208"/>
    </row>
    <row r="3818" spans="6:6">
      <c r="F3818" s="208"/>
    </row>
    <row r="3819" spans="6:6">
      <c r="F3819" s="208"/>
    </row>
    <row r="3820" spans="6:6">
      <c r="F3820" s="208"/>
    </row>
    <row r="3821" spans="6:6">
      <c r="F3821" s="208"/>
    </row>
    <row r="3822" spans="6:6">
      <c r="F3822" s="208"/>
    </row>
    <row r="3823" spans="6:6">
      <c r="F3823" s="208"/>
    </row>
    <row r="3824" spans="6:6">
      <c r="F3824" s="208"/>
    </row>
    <row r="3825" spans="6:6">
      <c r="F3825" s="208"/>
    </row>
    <row r="3826" spans="6:6">
      <c r="F3826" s="208"/>
    </row>
    <row r="3827" spans="6:6">
      <c r="F3827" s="208"/>
    </row>
    <row r="3828" spans="6:6">
      <c r="F3828" s="208"/>
    </row>
    <row r="3829" spans="6:6">
      <c r="F3829" s="208"/>
    </row>
    <row r="3830" spans="6:6">
      <c r="F3830" s="208"/>
    </row>
    <row r="3831" spans="6:6">
      <c r="F3831" s="208"/>
    </row>
    <row r="3832" spans="6:6">
      <c r="F3832" s="208"/>
    </row>
    <row r="3833" spans="6:6">
      <c r="F3833" s="208"/>
    </row>
    <row r="3834" spans="6:6">
      <c r="F3834" s="208"/>
    </row>
    <row r="3835" spans="6:6">
      <c r="F3835" s="208"/>
    </row>
    <row r="3836" spans="6:6">
      <c r="F3836" s="208"/>
    </row>
    <row r="3837" spans="6:6">
      <c r="F3837" s="208"/>
    </row>
    <row r="3838" spans="6:6">
      <c r="F3838" s="208"/>
    </row>
    <row r="3839" spans="6:6">
      <c r="F3839" s="208"/>
    </row>
    <row r="3840" spans="6:6">
      <c r="F3840" s="208"/>
    </row>
    <row r="3841" spans="6:6">
      <c r="F3841" s="208"/>
    </row>
    <row r="3842" spans="6:6">
      <c r="F3842" s="208"/>
    </row>
    <row r="3843" spans="6:6">
      <c r="F3843" s="208"/>
    </row>
    <row r="3844" spans="6:6">
      <c r="F3844" s="208"/>
    </row>
    <row r="3845" spans="6:6">
      <c r="F3845" s="208"/>
    </row>
    <row r="3846" spans="6:6">
      <c r="F3846" s="208"/>
    </row>
    <row r="3847" spans="6:6">
      <c r="F3847" s="208"/>
    </row>
    <row r="3848" spans="6:6">
      <c r="F3848" s="208"/>
    </row>
    <row r="3849" spans="6:6">
      <c r="F3849" s="208"/>
    </row>
    <row r="3850" spans="6:6">
      <c r="F3850" s="208"/>
    </row>
    <row r="3851" spans="6:6">
      <c r="F3851" s="208"/>
    </row>
    <row r="3852" spans="6:6">
      <c r="F3852" s="208"/>
    </row>
    <row r="3853" spans="6:6">
      <c r="F3853" s="208"/>
    </row>
    <row r="3854" spans="6:6">
      <c r="F3854" s="208"/>
    </row>
    <row r="3855" spans="6:6">
      <c r="F3855" s="208"/>
    </row>
    <row r="3856" spans="6:6">
      <c r="F3856" s="208"/>
    </row>
    <row r="3857" spans="6:6">
      <c r="F3857" s="208"/>
    </row>
    <row r="3858" spans="6:6">
      <c r="F3858" s="208"/>
    </row>
    <row r="3859" spans="6:6">
      <c r="F3859" s="208"/>
    </row>
    <row r="3860" spans="6:6">
      <c r="F3860" s="208"/>
    </row>
    <row r="3861" spans="6:6">
      <c r="F3861" s="208"/>
    </row>
    <row r="3862" spans="6:6">
      <c r="F3862" s="208"/>
    </row>
    <row r="3863" spans="6:6">
      <c r="F3863" s="208"/>
    </row>
    <row r="3864" spans="6:6">
      <c r="F3864" s="208"/>
    </row>
    <row r="3865" spans="6:6">
      <c r="F3865" s="208"/>
    </row>
    <row r="3866" spans="6:6">
      <c r="F3866" s="208"/>
    </row>
    <row r="3867" spans="6:6">
      <c r="F3867" s="208"/>
    </row>
    <row r="3868" spans="6:6">
      <c r="F3868" s="208"/>
    </row>
    <row r="3869" spans="6:6">
      <c r="F3869" s="208"/>
    </row>
    <row r="3870" spans="6:6">
      <c r="F3870" s="208"/>
    </row>
    <row r="3871" spans="6:6">
      <c r="F3871" s="208"/>
    </row>
    <row r="3872" spans="6:6">
      <c r="F3872" s="208"/>
    </row>
    <row r="3873" spans="6:6">
      <c r="F3873" s="208"/>
    </row>
    <row r="3874" spans="6:6">
      <c r="F3874" s="208"/>
    </row>
    <row r="3875" spans="6:6">
      <c r="F3875" s="208"/>
    </row>
    <row r="3876" spans="6:6">
      <c r="F3876" s="208"/>
    </row>
    <row r="3877" spans="6:6">
      <c r="F3877" s="208"/>
    </row>
    <row r="3878" spans="6:6">
      <c r="F3878" s="208"/>
    </row>
    <row r="3879" spans="6:6">
      <c r="F3879" s="208"/>
    </row>
    <row r="3880" spans="6:6">
      <c r="F3880" s="208"/>
    </row>
    <row r="3881" spans="6:6">
      <c r="F3881" s="208"/>
    </row>
    <row r="3882" spans="6:6">
      <c r="F3882" s="208"/>
    </row>
    <row r="3883" spans="6:6">
      <c r="F3883" s="208"/>
    </row>
    <row r="3884" spans="6:6">
      <c r="F3884" s="208"/>
    </row>
    <row r="3885" spans="6:6">
      <c r="F3885" s="208"/>
    </row>
    <row r="3886" spans="6:6">
      <c r="F3886" s="208"/>
    </row>
    <row r="3887" spans="6:6">
      <c r="F3887" s="208"/>
    </row>
    <row r="3888" spans="6:6">
      <c r="F3888" s="208"/>
    </row>
    <row r="3889" spans="6:6">
      <c r="F3889" s="208"/>
    </row>
    <row r="3890" spans="6:6">
      <c r="F3890" s="208"/>
    </row>
    <row r="3891" spans="6:6">
      <c r="F3891" s="208"/>
    </row>
    <row r="3892" spans="6:6">
      <c r="F3892" s="208"/>
    </row>
    <row r="3893" spans="6:6">
      <c r="F3893" s="208"/>
    </row>
    <row r="3894" spans="6:6">
      <c r="F3894" s="208"/>
    </row>
    <row r="3895" spans="6:6">
      <c r="F3895" s="208"/>
    </row>
    <row r="3896" spans="6:6">
      <c r="F3896" s="208"/>
    </row>
    <row r="3897" spans="6:6">
      <c r="F3897" s="208"/>
    </row>
    <row r="3898" spans="6:6">
      <c r="F3898" s="208"/>
    </row>
    <row r="3899" spans="6:6">
      <c r="F3899" s="208"/>
    </row>
    <row r="3900" spans="6:6">
      <c r="F3900" s="208"/>
    </row>
    <row r="3901" spans="6:6">
      <c r="F3901" s="208"/>
    </row>
    <row r="3902" spans="6:6">
      <c r="F3902" s="208"/>
    </row>
    <row r="3903" spans="6:6">
      <c r="F3903" s="208"/>
    </row>
    <row r="3904" spans="6:6">
      <c r="F3904" s="208"/>
    </row>
    <row r="3905" spans="6:6">
      <c r="F3905" s="208"/>
    </row>
    <row r="3906" spans="6:6">
      <c r="F3906" s="208"/>
    </row>
    <row r="3907" spans="6:6">
      <c r="F3907" s="208"/>
    </row>
    <row r="3908" spans="6:6">
      <c r="F3908" s="208"/>
    </row>
    <row r="3909" spans="6:6">
      <c r="F3909" s="208"/>
    </row>
    <row r="3910" spans="6:6">
      <c r="F3910" s="208"/>
    </row>
    <row r="3911" spans="6:6">
      <c r="F3911" s="208"/>
    </row>
    <row r="3912" spans="6:6">
      <c r="F3912" s="208"/>
    </row>
    <row r="3913" spans="6:6">
      <c r="F3913" s="208"/>
    </row>
    <row r="3914" spans="6:6">
      <c r="F3914" s="208"/>
    </row>
    <row r="3915" spans="6:6">
      <c r="F3915" s="208"/>
    </row>
    <row r="3916" spans="6:6">
      <c r="F3916" s="208"/>
    </row>
    <row r="3917" spans="6:6">
      <c r="F3917" s="208"/>
    </row>
    <row r="3918" spans="6:6">
      <c r="F3918" s="208"/>
    </row>
    <row r="3919" spans="6:6">
      <c r="F3919" s="208"/>
    </row>
    <row r="3920" spans="6:6">
      <c r="F3920" s="208"/>
    </row>
    <row r="3921" spans="6:6">
      <c r="F3921" s="208"/>
    </row>
    <row r="3922" spans="6:6">
      <c r="F3922" s="208"/>
    </row>
    <row r="3923" spans="6:6">
      <c r="F3923" s="208"/>
    </row>
    <row r="3924" spans="6:6">
      <c r="F3924" s="208"/>
    </row>
    <row r="3925" spans="6:6">
      <c r="F3925" s="208"/>
    </row>
    <row r="3926" spans="6:6">
      <c r="F3926" s="208"/>
    </row>
    <row r="3927" spans="6:6">
      <c r="F3927" s="208"/>
    </row>
    <row r="3928" spans="6:6">
      <c r="F3928" s="208"/>
    </row>
    <row r="3929" spans="6:6">
      <c r="F3929" s="208"/>
    </row>
    <row r="3930" spans="6:6">
      <c r="F3930" s="208"/>
    </row>
    <row r="3931" spans="6:6">
      <c r="F3931" s="208"/>
    </row>
    <row r="3932" spans="6:6">
      <c r="F3932" s="208"/>
    </row>
    <row r="3933" spans="6:6">
      <c r="F3933" s="208"/>
    </row>
    <row r="3934" spans="6:6">
      <c r="F3934" s="208"/>
    </row>
    <row r="3935" spans="6:6">
      <c r="F3935" s="208"/>
    </row>
    <row r="3936" spans="6:6">
      <c r="F3936" s="208"/>
    </row>
    <row r="3937" spans="6:6">
      <c r="F3937" s="208"/>
    </row>
    <row r="3938" spans="6:6">
      <c r="F3938" s="208"/>
    </row>
    <row r="3939" spans="6:6">
      <c r="F3939" s="208"/>
    </row>
    <row r="3940" spans="6:6">
      <c r="F3940" s="208"/>
    </row>
    <row r="3941" spans="6:6">
      <c r="F3941" s="208"/>
    </row>
    <row r="3942" spans="6:6">
      <c r="F3942" s="208"/>
    </row>
    <row r="3943" spans="6:6">
      <c r="F3943" s="208"/>
    </row>
    <row r="3944" spans="6:6">
      <c r="F3944" s="208"/>
    </row>
    <row r="3945" spans="6:6">
      <c r="F3945" s="208"/>
    </row>
    <row r="3946" spans="6:6">
      <c r="F3946" s="208"/>
    </row>
    <row r="3947" spans="6:6">
      <c r="F3947" s="208"/>
    </row>
    <row r="3948" spans="6:6">
      <c r="F3948" s="208"/>
    </row>
    <row r="3949" spans="6:6">
      <c r="F3949" s="208"/>
    </row>
    <row r="3950" spans="6:6">
      <c r="F3950" s="208"/>
    </row>
    <row r="3951" spans="6:6">
      <c r="F3951" s="208"/>
    </row>
    <row r="3952" spans="6:6">
      <c r="F3952" s="208"/>
    </row>
    <row r="3953" spans="6:6">
      <c r="F3953" s="208"/>
    </row>
    <row r="3954" spans="6:6">
      <c r="F3954" s="208"/>
    </row>
    <row r="3955" spans="6:6">
      <c r="F3955" s="208"/>
    </row>
    <row r="3956" spans="6:6">
      <c r="F3956" s="208"/>
    </row>
    <row r="3957" spans="6:6">
      <c r="F3957" s="208"/>
    </row>
    <row r="3958" spans="6:6">
      <c r="F3958" s="208"/>
    </row>
    <row r="3959" spans="6:6">
      <c r="F3959" s="208"/>
    </row>
    <row r="3960" spans="6:6">
      <c r="F3960" s="208"/>
    </row>
    <row r="3961" spans="6:6">
      <c r="F3961" s="208"/>
    </row>
    <row r="3962" spans="6:6">
      <c r="F3962" s="208"/>
    </row>
    <row r="3963" spans="6:6">
      <c r="F3963" s="208"/>
    </row>
    <row r="3964" spans="6:6">
      <c r="F3964" s="208"/>
    </row>
    <row r="3965" spans="6:6">
      <c r="F3965" s="208"/>
    </row>
    <row r="3966" spans="6:6">
      <c r="F3966" s="208"/>
    </row>
    <row r="3967" spans="6:6">
      <c r="F3967" s="208"/>
    </row>
    <row r="3968" spans="6:6">
      <c r="F3968" s="208"/>
    </row>
    <row r="3969" spans="6:6">
      <c r="F3969" s="208"/>
    </row>
    <row r="3970" spans="6:6">
      <c r="F3970" s="208"/>
    </row>
    <row r="3971" spans="6:6">
      <c r="F3971" s="208"/>
    </row>
    <row r="3972" spans="6:6">
      <c r="F3972" s="208"/>
    </row>
    <row r="3973" spans="6:6">
      <c r="F3973" s="208"/>
    </row>
    <row r="3974" spans="6:6">
      <c r="F3974" s="208"/>
    </row>
    <row r="3975" spans="6:6">
      <c r="F3975" s="208"/>
    </row>
    <row r="3976" spans="6:6">
      <c r="F3976" s="208"/>
    </row>
    <row r="3977" spans="6:6">
      <c r="F3977" s="208"/>
    </row>
    <row r="3978" spans="6:6">
      <c r="F3978" s="208"/>
    </row>
    <row r="3979" spans="6:6">
      <c r="F3979" s="208"/>
    </row>
    <row r="3980" spans="6:6">
      <c r="F3980" s="208"/>
    </row>
    <row r="3981" spans="6:6">
      <c r="F3981" s="208"/>
    </row>
    <row r="3982" spans="6:6">
      <c r="F3982" s="208"/>
    </row>
    <row r="3983" spans="6:6">
      <c r="F3983" s="208"/>
    </row>
    <row r="3984" spans="6:6">
      <c r="F3984" s="208"/>
    </row>
    <row r="3985" spans="6:6">
      <c r="F3985" s="208"/>
    </row>
    <row r="3986" spans="6:6">
      <c r="F3986" s="208"/>
    </row>
    <row r="3987" spans="6:6">
      <c r="F3987" s="208"/>
    </row>
    <row r="3988" spans="6:6">
      <c r="F3988" s="208"/>
    </row>
    <row r="3989" spans="6:6">
      <c r="F3989" s="208"/>
    </row>
    <row r="3990" spans="6:6">
      <c r="F3990" s="208"/>
    </row>
    <row r="3991" spans="6:6">
      <c r="F3991" s="208"/>
    </row>
    <row r="3992" spans="6:6">
      <c r="F3992" s="208"/>
    </row>
    <row r="3993" spans="6:6">
      <c r="F3993" s="208"/>
    </row>
    <row r="3994" spans="6:6">
      <c r="F3994" s="208"/>
    </row>
    <row r="3995" spans="6:6">
      <c r="F3995" s="208"/>
    </row>
    <row r="3996" spans="6:6">
      <c r="F3996" s="208"/>
    </row>
    <row r="3997" spans="6:6">
      <c r="F3997" s="208"/>
    </row>
    <row r="3998" spans="6:6">
      <c r="F3998" s="208"/>
    </row>
    <row r="3999" spans="6:6">
      <c r="F3999" s="208"/>
    </row>
    <row r="4000" spans="6:6">
      <c r="F4000" s="208"/>
    </row>
    <row r="4001" spans="6:6">
      <c r="F4001" s="208"/>
    </row>
    <row r="4002" spans="6:6">
      <c r="F4002" s="208"/>
    </row>
    <row r="4003" spans="6:6">
      <c r="F4003" s="208"/>
    </row>
    <row r="4004" spans="6:6">
      <c r="F4004" s="208"/>
    </row>
    <row r="4005" spans="6:6">
      <c r="F4005" s="208"/>
    </row>
    <row r="4006" spans="6:6">
      <c r="F4006" s="208"/>
    </row>
    <row r="4007" spans="6:6">
      <c r="F4007" s="208"/>
    </row>
    <row r="4008" spans="6:6">
      <c r="F4008" s="208"/>
    </row>
    <row r="4009" spans="6:6">
      <c r="F4009" s="208"/>
    </row>
    <row r="4010" spans="6:6">
      <c r="F4010" s="208"/>
    </row>
    <row r="4011" spans="6:6">
      <c r="F4011" s="208"/>
    </row>
    <row r="4012" spans="6:6">
      <c r="F4012" s="208"/>
    </row>
    <row r="4013" spans="6:6">
      <c r="F4013" s="208"/>
    </row>
    <row r="4014" spans="6:6">
      <c r="F4014" s="208"/>
    </row>
    <row r="4015" spans="6:6">
      <c r="F4015" s="208"/>
    </row>
    <row r="4016" spans="6:6">
      <c r="F4016" s="208"/>
    </row>
    <row r="4017" spans="6:6">
      <c r="F4017" s="208"/>
    </row>
    <row r="4018" spans="6:6">
      <c r="F4018" s="208"/>
    </row>
    <row r="4019" spans="6:6">
      <c r="F4019" s="208"/>
    </row>
    <row r="4020" spans="6:6">
      <c r="F4020" s="208"/>
    </row>
    <row r="4021" spans="6:6">
      <c r="F4021" s="208"/>
    </row>
    <row r="4022" spans="6:6">
      <c r="F4022" s="208"/>
    </row>
    <row r="4023" spans="6:6">
      <c r="F4023" s="208"/>
    </row>
    <row r="4024" spans="6:6">
      <c r="F4024" s="208"/>
    </row>
    <row r="4025" spans="6:6">
      <c r="F4025" s="208"/>
    </row>
    <row r="4026" spans="6:6">
      <c r="F4026" s="208"/>
    </row>
    <row r="4027" spans="6:6">
      <c r="F4027" s="208"/>
    </row>
    <row r="4028" spans="6:6">
      <c r="F4028" s="208"/>
    </row>
    <row r="4029" spans="6:6">
      <c r="F4029" s="208"/>
    </row>
    <row r="4030" spans="6:6">
      <c r="F4030" s="208"/>
    </row>
    <row r="4031" spans="6:6">
      <c r="F4031" s="208"/>
    </row>
    <row r="4032" spans="6:6">
      <c r="F4032" s="208"/>
    </row>
    <row r="4033" spans="6:6">
      <c r="F4033" s="208"/>
    </row>
    <row r="4034" spans="6:6">
      <c r="F4034" s="208"/>
    </row>
    <row r="4035" spans="6:6">
      <c r="F4035" s="208"/>
    </row>
    <row r="4036" spans="6:6">
      <c r="F4036" s="208"/>
    </row>
    <row r="4037" spans="6:6">
      <c r="F4037" s="208"/>
    </row>
    <row r="4038" spans="6:6">
      <c r="F4038" s="208"/>
    </row>
    <row r="4039" spans="6:6">
      <c r="F4039" s="208"/>
    </row>
    <row r="4040" spans="6:6">
      <c r="F4040" s="208"/>
    </row>
    <row r="4041" spans="6:6">
      <c r="F4041" s="208"/>
    </row>
    <row r="4042" spans="6:6">
      <c r="F4042" s="208"/>
    </row>
    <row r="4043" spans="6:6">
      <c r="F4043" s="208"/>
    </row>
    <row r="4044" spans="6:6">
      <c r="F4044" s="208"/>
    </row>
    <row r="4045" spans="6:6">
      <c r="F4045" s="208"/>
    </row>
    <row r="4046" spans="6:6">
      <c r="F4046" s="208"/>
    </row>
    <row r="4047" spans="6:6">
      <c r="F4047" s="208"/>
    </row>
    <row r="4048" spans="6:6">
      <c r="F4048" s="208"/>
    </row>
    <row r="4049" spans="6:6">
      <c r="F4049" s="208"/>
    </row>
    <row r="4050" spans="6:6">
      <c r="F4050" s="208"/>
    </row>
    <row r="4051" spans="6:6">
      <c r="F4051" s="208"/>
    </row>
    <row r="4052" spans="6:6">
      <c r="F4052" s="208"/>
    </row>
    <row r="4053" spans="6:6">
      <c r="F4053" s="208"/>
    </row>
    <row r="4054" spans="6:6">
      <c r="F4054" s="208"/>
    </row>
    <row r="4055" spans="6:6">
      <c r="F4055" s="208"/>
    </row>
    <row r="4056" spans="6:6">
      <c r="F4056" s="208"/>
    </row>
    <row r="4057" spans="6:6">
      <c r="F4057" s="208"/>
    </row>
    <row r="4058" spans="6:6">
      <c r="F4058" s="208"/>
    </row>
    <row r="4059" spans="6:6">
      <c r="F4059" s="208"/>
    </row>
    <row r="4060" spans="6:6">
      <c r="F4060" s="208"/>
    </row>
    <row r="4061" spans="6:6">
      <c r="F4061" s="208"/>
    </row>
    <row r="4062" spans="6:6">
      <c r="F4062" s="208"/>
    </row>
    <row r="4063" spans="6:6">
      <c r="F4063" s="208"/>
    </row>
    <row r="4064" spans="6:6">
      <c r="F4064" s="208"/>
    </row>
    <row r="4065" spans="6:6">
      <c r="F4065" s="208"/>
    </row>
    <row r="4066" spans="6:6">
      <c r="F4066" s="208"/>
    </row>
    <row r="4067" spans="6:6">
      <c r="F4067" s="208"/>
    </row>
    <row r="4068" spans="6:6">
      <c r="F4068" s="208"/>
    </row>
    <row r="4069" spans="6:6">
      <c r="F4069" s="208"/>
    </row>
    <row r="4070" spans="6:6">
      <c r="F4070" s="208"/>
    </row>
    <row r="4071" spans="6:6">
      <c r="F4071" s="208"/>
    </row>
    <row r="4072" spans="6:6">
      <c r="F4072" s="208"/>
    </row>
    <row r="4073" spans="6:6">
      <c r="F4073" s="208"/>
    </row>
    <row r="4074" spans="6:6">
      <c r="F4074" s="208"/>
    </row>
    <row r="4075" spans="6:6">
      <c r="F4075" s="208"/>
    </row>
    <row r="4076" spans="6:6">
      <c r="F4076" s="208"/>
    </row>
    <row r="4077" spans="6:6">
      <c r="F4077" s="208"/>
    </row>
    <row r="4078" spans="6:6">
      <c r="F4078" s="208"/>
    </row>
    <row r="4079" spans="6:6">
      <c r="F4079" s="208"/>
    </row>
    <row r="4080" spans="6:6">
      <c r="F4080" s="208"/>
    </row>
    <row r="4081" spans="6:6">
      <c r="F4081" s="208"/>
    </row>
    <row r="4082" spans="6:6">
      <c r="F4082" s="208"/>
    </row>
    <row r="4083" spans="6:6">
      <c r="F4083" s="208"/>
    </row>
    <row r="4084" spans="6:6">
      <c r="F4084" s="208"/>
    </row>
    <row r="4085" spans="6:6">
      <c r="F4085" s="208"/>
    </row>
    <row r="4086" spans="6:6">
      <c r="F4086" s="208"/>
    </row>
    <row r="4087" spans="6:6">
      <c r="F4087" s="208"/>
    </row>
    <row r="4088" spans="6:6">
      <c r="F4088" s="208"/>
    </row>
    <row r="4089" spans="6:6">
      <c r="F4089" s="208"/>
    </row>
    <row r="4090" spans="6:6">
      <c r="F4090" s="208"/>
    </row>
    <row r="4091" spans="6:6">
      <c r="F4091" s="208"/>
    </row>
    <row r="4092" spans="6:6">
      <c r="F4092" s="208"/>
    </row>
    <row r="4093" spans="6:6">
      <c r="F4093" s="208"/>
    </row>
    <row r="4094" spans="6:6">
      <c r="F4094" s="208"/>
    </row>
    <row r="4095" spans="6:6">
      <c r="F4095" s="208"/>
    </row>
    <row r="4096" spans="6:6">
      <c r="F4096" s="208"/>
    </row>
    <row r="4097" spans="6:6">
      <c r="F4097" s="208"/>
    </row>
    <row r="4098" spans="6:6">
      <c r="F4098" s="208"/>
    </row>
    <row r="4099" spans="6:6">
      <c r="F4099" s="208"/>
    </row>
    <row r="4100" spans="6:6">
      <c r="F4100" s="208"/>
    </row>
    <row r="4101" spans="6:6">
      <c r="F4101" s="208"/>
    </row>
    <row r="4102" spans="6:6">
      <c r="F4102" s="208"/>
    </row>
    <row r="4103" spans="6:6">
      <c r="F4103" s="208"/>
    </row>
    <row r="4104" spans="6:6">
      <c r="F4104" s="208"/>
    </row>
    <row r="4105" spans="6:6">
      <c r="F4105" s="208"/>
    </row>
    <row r="4106" spans="6:6">
      <c r="F4106" s="208"/>
    </row>
    <row r="4107" spans="6:6">
      <c r="F4107" s="208"/>
    </row>
    <row r="4108" spans="6:6">
      <c r="F4108" s="208"/>
    </row>
    <row r="4109" spans="6:6">
      <c r="F4109" s="208"/>
    </row>
    <row r="4110" spans="6:6">
      <c r="F4110" s="208"/>
    </row>
    <row r="4111" spans="6:6">
      <c r="F4111" s="208"/>
    </row>
    <row r="4112" spans="6:6">
      <c r="F4112" s="208"/>
    </row>
    <row r="4113" spans="6:6">
      <c r="F4113" s="208"/>
    </row>
    <row r="4114" spans="6:6">
      <c r="F4114" s="208"/>
    </row>
    <row r="4115" spans="6:6">
      <c r="F4115" s="208"/>
    </row>
    <row r="4116" spans="6:6">
      <c r="F4116" s="208"/>
    </row>
    <row r="4117" spans="6:6">
      <c r="F4117" s="208"/>
    </row>
    <row r="4118" spans="6:6">
      <c r="F4118" s="208"/>
    </row>
    <row r="4119" spans="6:6">
      <c r="F4119" s="208"/>
    </row>
    <row r="4120" spans="6:6">
      <c r="F4120" s="208"/>
    </row>
    <row r="4121" spans="6:6">
      <c r="F4121" s="208"/>
    </row>
    <row r="4122" spans="6:6">
      <c r="F4122" s="208"/>
    </row>
    <row r="4123" spans="6:6">
      <c r="F4123" s="208"/>
    </row>
    <row r="4124" spans="6:6">
      <c r="F4124" s="208"/>
    </row>
    <row r="4125" spans="6:6">
      <c r="F4125" s="208"/>
    </row>
    <row r="4126" spans="6:6">
      <c r="F4126" s="208"/>
    </row>
    <row r="4127" spans="6:6">
      <c r="F4127" s="208"/>
    </row>
    <row r="4128" spans="6:6">
      <c r="F4128" s="208"/>
    </row>
    <row r="4129" spans="6:6">
      <c r="F4129" s="208"/>
    </row>
    <row r="4130" spans="6:6">
      <c r="F4130" s="208"/>
    </row>
    <row r="4131" spans="6:6">
      <c r="F4131" s="208"/>
    </row>
    <row r="4132" spans="6:6">
      <c r="F4132" s="208"/>
    </row>
    <row r="4133" spans="6:6">
      <c r="F4133" s="208"/>
    </row>
    <row r="4134" spans="6:6">
      <c r="F4134" s="208"/>
    </row>
    <row r="4135" spans="6:6">
      <c r="F4135" s="208"/>
    </row>
    <row r="4136" spans="6:6">
      <c r="F4136" s="208"/>
    </row>
    <row r="4137" spans="6:6">
      <c r="F4137" s="208"/>
    </row>
    <row r="4138" spans="6:6">
      <c r="F4138" s="208"/>
    </row>
    <row r="4139" spans="6:6">
      <c r="F4139" s="208"/>
    </row>
    <row r="4140" spans="6:6">
      <c r="F4140" s="208"/>
    </row>
    <row r="4141" spans="6:6">
      <c r="F4141" s="208"/>
    </row>
    <row r="4142" spans="6:6">
      <c r="F4142" s="208"/>
    </row>
    <row r="4143" spans="6:6">
      <c r="F4143" s="208"/>
    </row>
    <row r="4144" spans="6:6">
      <c r="F4144" s="208"/>
    </row>
    <row r="4145" spans="6:6">
      <c r="F4145" s="208"/>
    </row>
    <row r="4146" spans="6:6">
      <c r="F4146" s="208"/>
    </row>
    <row r="4147" spans="6:6">
      <c r="F4147" s="208"/>
    </row>
    <row r="4148" spans="6:6">
      <c r="F4148" s="208"/>
    </row>
    <row r="4149" spans="6:6">
      <c r="F4149" s="208"/>
    </row>
    <row r="4150" spans="6:6">
      <c r="F4150" s="208"/>
    </row>
    <row r="4151" spans="6:6">
      <c r="F4151" s="208"/>
    </row>
    <row r="4152" spans="6:6">
      <c r="F4152" s="208"/>
    </row>
    <row r="4153" spans="6:6">
      <c r="F4153" s="208"/>
    </row>
    <row r="4154" spans="6:6">
      <c r="F4154" s="208"/>
    </row>
    <row r="4155" spans="6:6">
      <c r="F4155" s="208"/>
    </row>
    <row r="4156" spans="6:6">
      <c r="F4156" s="208"/>
    </row>
    <row r="4157" spans="6:6">
      <c r="F4157" s="208"/>
    </row>
    <row r="4158" spans="6:6">
      <c r="F4158" s="208"/>
    </row>
    <row r="4159" spans="6:6">
      <c r="F4159" s="208"/>
    </row>
    <row r="4160" spans="6:6">
      <c r="F4160" s="208"/>
    </row>
    <row r="4161" spans="6:6">
      <c r="F4161" s="208"/>
    </row>
    <row r="4162" spans="6:6">
      <c r="F4162" s="208"/>
    </row>
    <row r="4163" spans="6:6">
      <c r="F4163" s="208"/>
    </row>
    <row r="4164" spans="6:6">
      <c r="F4164" s="208"/>
    </row>
    <row r="4165" spans="6:6">
      <c r="F4165" s="208"/>
    </row>
    <row r="4166" spans="6:6">
      <c r="F4166" s="208"/>
    </row>
    <row r="4167" spans="6:6">
      <c r="F4167" s="208"/>
    </row>
    <row r="4168" spans="6:6">
      <c r="F4168" s="208"/>
    </row>
    <row r="4169" spans="6:6">
      <c r="F4169" s="208"/>
    </row>
    <row r="4170" spans="6:6">
      <c r="F4170" s="208"/>
    </row>
    <row r="4171" spans="6:6">
      <c r="F4171" s="208"/>
    </row>
    <row r="4172" spans="6:6">
      <c r="F4172" s="208"/>
    </row>
    <row r="4173" spans="6:6">
      <c r="F4173" s="208"/>
    </row>
    <row r="4174" spans="6:6">
      <c r="F4174" s="208"/>
    </row>
    <row r="4175" spans="6:6">
      <c r="F4175" s="208"/>
    </row>
    <row r="4176" spans="6:6">
      <c r="F4176" s="208"/>
    </row>
    <row r="4177" spans="6:6">
      <c r="F4177" s="208"/>
    </row>
    <row r="4178" spans="6:6">
      <c r="F4178" s="208"/>
    </row>
    <row r="4179" spans="6:6">
      <c r="F4179" s="208"/>
    </row>
    <row r="4180" spans="6:6">
      <c r="F4180" s="208"/>
    </row>
    <row r="4181" spans="6:6">
      <c r="F4181" s="208"/>
    </row>
    <row r="4182" spans="6:6">
      <c r="F4182" s="208"/>
    </row>
    <row r="4183" spans="6:6">
      <c r="F4183" s="208"/>
    </row>
    <row r="4184" spans="6:6">
      <c r="F4184" s="208"/>
    </row>
    <row r="4185" spans="6:6">
      <c r="F4185" s="208"/>
    </row>
    <row r="4186" spans="6:6">
      <c r="F4186" s="208"/>
    </row>
    <row r="4187" spans="6:6">
      <c r="F4187" s="208"/>
    </row>
    <row r="4188" spans="6:6">
      <c r="F4188" s="208"/>
    </row>
    <row r="4189" spans="6:6">
      <c r="F4189" s="208"/>
    </row>
    <row r="4190" spans="6:6">
      <c r="F4190" s="208"/>
    </row>
    <row r="4191" spans="6:6">
      <c r="F4191" s="208"/>
    </row>
    <row r="4192" spans="6:6">
      <c r="F4192" s="208"/>
    </row>
    <row r="4193" spans="6:6">
      <c r="F4193" s="208"/>
    </row>
    <row r="4194" spans="6:6">
      <c r="F4194" s="208"/>
    </row>
    <row r="4195" spans="6:6">
      <c r="F4195" s="208"/>
    </row>
    <row r="4196" spans="6:6">
      <c r="F4196" s="208"/>
    </row>
    <row r="4197" spans="6:6">
      <c r="F4197" s="208"/>
    </row>
    <row r="4198" spans="6:6">
      <c r="F4198" s="208"/>
    </row>
    <row r="4199" spans="6:6">
      <c r="F4199" s="208"/>
    </row>
    <row r="4200" spans="6:6">
      <c r="F4200" s="208"/>
    </row>
    <row r="4201" spans="6:6">
      <c r="F4201" s="208"/>
    </row>
    <row r="4202" spans="6:6">
      <c r="F4202" s="208"/>
    </row>
    <row r="4203" spans="6:6">
      <c r="F4203" s="208"/>
    </row>
    <row r="4204" spans="6:6">
      <c r="F4204" s="208"/>
    </row>
    <row r="4205" spans="6:6">
      <c r="F4205" s="208"/>
    </row>
    <row r="4206" spans="6:6">
      <c r="F4206" s="208"/>
    </row>
    <row r="4207" spans="6:6">
      <c r="F4207" s="208"/>
    </row>
    <row r="4208" spans="6:6">
      <c r="F4208" s="208"/>
    </row>
    <row r="4209" spans="6:6">
      <c r="F4209" s="208"/>
    </row>
    <row r="4210" spans="6:6">
      <c r="F4210" s="208"/>
    </row>
    <row r="4211" spans="6:6">
      <c r="F4211" s="208"/>
    </row>
    <row r="4212" spans="6:6">
      <c r="F4212" s="208"/>
    </row>
    <row r="4213" spans="6:6">
      <c r="F4213" s="208"/>
    </row>
    <row r="4214" spans="6:6">
      <c r="F4214" s="208"/>
    </row>
    <row r="4215" spans="6:6">
      <c r="F4215" s="208"/>
    </row>
    <row r="4216" spans="6:6">
      <c r="F4216" s="208"/>
    </row>
    <row r="4217" spans="6:6">
      <c r="F4217" s="208"/>
    </row>
    <row r="4218" spans="6:6">
      <c r="F4218" s="208"/>
    </row>
    <row r="4219" spans="6:6">
      <c r="F4219" s="208"/>
    </row>
    <row r="4220" spans="6:6">
      <c r="F4220" s="208"/>
    </row>
    <row r="4221" spans="6:6">
      <c r="F4221" s="208"/>
    </row>
    <row r="4222" spans="6:6">
      <c r="F4222" s="208"/>
    </row>
    <row r="4223" spans="6:6">
      <c r="F4223" s="208"/>
    </row>
    <row r="4224" spans="6:6">
      <c r="F4224" s="208"/>
    </row>
    <row r="4225" spans="6:6">
      <c r="F4225" s="208"/>
    </row>
    <row r="4226" spans="6:6">
      <c r="F4226" s="208"/>
    </row>
    <row r="4227" spans="6:6">
      <c r="F4227" s="208"/>
    </row>
    <row r="4228" spans="6:6">
      <c r="F4228" s="208"/>
    </row>
    <row r="4229" spans="6:6">
      <c r="F4229" s="208"/>
    </row>
    <row r="4230" spans="6:6">
      <c r="F4230" s="208"/>
    </row>
    <row r="4231" spans="6:6">
      <c r="F4231" s="208"/>
    </row>
    <row r="4232" spans="6:6">
      <c r="F4232" s="208"/>
    </row>
    <row r="4233" spans="6:6">
      <c r="F4233" s="208"/>
    </row>
    <row r="4234" spans="6:6">
      <c r="F4234" s="208"/>
    </row>
    <row r="4235" spans="6:6">
      <c r="F4235" s="208"/>
    </row>
    <row r="4236" spans="6:6">
      <c r="F4236" s="208"/>
    </row>
    <row r="4237" spans="6:6">
      <c r="F4237" s="208"/>
    </row>
    <row r="4238" spans="6:6">
      <c r="F4238" s="208"/>
    </row>
    <row r="4239" spans="6:6">
      <c r="F4239" s="208"/>
    </row>
    <row r="4240" spans="6:6">
      <c r="F4240" s="208"/>
    </row>
    <row r="4241" spans="6:6">
      <c r="F4241" s="208"/>
    </row>
    <row r="4242" spans="6:6">
      <c r="F4242" s="208"/>
    </row>
    <row r="4243" spans="6:6">
      <c r="F4243" s="208"/>
    </row>
    <row r="4244" spans="6:6">
      <c r="F4244" s="208"/>
    </row>
    <row r="4245" spans="6:6">
      <c r="F4245" s="208"/>
    </row>
    <row r="4246" spans="6:6">
      <c r="F4246" s="208"/>
    </row>
    <row r="4247" spans="6:6">
      <c r="F4247" s="208"/>
    </row>
    <row r="4248" spans="6:6">
      <c r="F4248" s="208"/>
    </row>
    <row r="4249" spans="6:6">
      <c r="F4249" s="208"/>
    </row>
    <row r="4250" spans="6:6">
      <c r="F4250" s="208"/>
    </row>
    <row r="4251" spans="6:6">
      <c r="F4251" s="208"/>
    </row>
    <row r="4252" spans="6:6">
      <c r="F4252" s="208"/>
    </row>
    <row r="4253" spans="6:6">
      <c r="F4253" s="208"/>
    </row>
    <row r="4254" spans="6:6">
      <c r="F4254" s="208"/>
    </row>
    <row r="4255" spans="6:6">
      <c r="F4255" s="208"/>
    </row>
    <row r="4256" spans="6:6">
      <c r="F4256" s="208"/>
    </row>
    <row r="4257" spans="6:6">
      <c r="F4257" s="208"/>
    </row>
    <row r="4258" spans="6:6">
      <c r="F4258" s="208"/>
    </row>
    <row r="4259" spans="6:6">
      <c r="F4259" s="208"/>
    </row>
    <row r="4260" spans="6:6">
      <c r="F4260" s="208"/>
    </row>
    <row r="4261" spans="6:6">
      <c r="F4261" s="208"/>
    </row>
    <row r="4262" spans="6:6">
      <c r="F4262" s="208"/>
    </row>
    <row r="4263" spans="6:6">
      <c r="F4263" s="208"/>
    </row>
    <row r="4264" spans="6:6">
      <c r="F4264" s="208"/>
    </row>
    <row r="4265" spans="6:6">
      <c r="F4265" s="208"/>
    </row>
    <row r="4266" spans="6:6">
      <c r="F4266" s="208"/>
    </row>
    <row r="4267" spans="6:6">
      <c r="F4267" s="208"/>
    </row>
    <row r="4268" spans="6:6">
      <c r="F4268" s="208"/>
    </row>
    <row r="4269" spans="6:6">
      <c r="F4269" s="208"/>
    </row>
    <row r="4270" spans="6:6">
      <c r="F4270" s="208"/>
    </row>
    <row r="4271" spans="6:6">
      <c r="F4271" s="208"/>
    </row>
    <row r="4272" spans="6:6">
      <c r="F4272" s="208"/>
    </row>
    <row r="4273" spans="6:6">
      <c r="F4273" s="208"/>
    </row>
    <row r="4274" spans="6:6">
      <c r="F4274" s="208"/>
    </row>
    <row r="4275" spans="6:6">
      <c r="F4275" s="208"/>
    </row>
    <row r="4276" spans="6:6">
      <c r="F4276" s="208"/>
    </row>
    <row r="4277" spans="6:6">
      <c r="F4277" s="208"/>
    </row>
    <row r="4278" spans="6:6">
      <c r="F4278" s="208"/>
    </row>
    <row r="4279" spans="6:6">
      <c r="F4279" s="208"/>
    </row>
    <row r="4280" spans="6:6">
      <c r="F4280" s="208"/>
    </row>
    <row r="4281" spans="6:6">
      <c r="F4281" s="208"/>
    </row>
    <row r="4282" spans="6:6">
      <c r="F4282" s="208"/>
    </row>
    <row r="4283" spans="6:6">
      <c r="F4283" s="208"/>
    </row>
    <row r="4284" spans="6:6">
      <c r="F4284" s="208"/>
    </row>
    <row r="4285" spans="6:6">
      <c r="F4285" s="208"/>
    </row>
    <row r="4286" spans="6:6">
      <c r="F4286" s="208"/>
    </row>
    <row r="4287" spans="6:6">
      <c r="F4287" s="208"/>
    </row>
    <row r="4288" spans="6:6">
      <c r="F4288" s="208"/>
    </row>
    <row r="4289" spans="6:6">
      <c r="F4289" s="208"/>
    </row>
    <row r="4290" spans="6:6">
      <c r="F4290" s="208"/>
    </row>
    <row r="4291" spans="6:6">
      <c r="F4291" s="208"/>
    </row>
    <row r="4292" spans="6:6">
      <c r="F4292" s="208"/>
    </row>
    <row r="4293" spans="6:6">
      <c r="F4293" s="208"/>
    </row>
    <row r="4294" spans="6:6">
      <c r="F4294" s="208"/>
    </row>
    <row r="4295" spans="6:6">
      <c r="F4295" s="208"/>
    </row>
    <row r="4296" spans="6:6">
      <c r="F4296" s="208"/>
    </row>
    <row r="4297" spans="6:6">
      <c r="F4297" s="208"/>
    </row>
    <row r="4298" spans="6:6">
      <c r="F4298" s="208"/>
    </row>
    <row r="4299" spans="6:6">
      <c r="F4299" s="208"/>
    </row>
    <row r="4300" spans="6:6">
      <c r="F4300" s="208"/>
    </row>
    <row r="4301" spans="6:6">
      <c r="F4301" s="208"/>
    </row>
    <row r="4302" spans="6:6">
      <c r="F4302" s="208"/>
    </row>
    <row r="4303" spans="6:6">
      <c r="F4303" s="208"/>
    </row>
    <row r="4304" spans="6:6">
      <c r="F4304" s="208"/>
    </row>
    <row r="4305" spans="6:6">
      <c r="F4305" s="208"/>
    </row>
    <row r="4306" spans="6:6">
      <c r="F4306" s="208"/>
    </row>
    <row r="4307" spans="6:6">
      <c r="F4307" s="208"/>
    </row>
    <row r="4308" spans="6:6">
      <c r="F4308" s="208"/>
    </row>
    <row r="4309" spans="6:6">
      <c r="F4309" s="208"/>
    </row>
    <row r="4310" spans="6:6">
      <c r="F4310" s="208"/>
    </row>
    <row r="4311" spans="6:6">
      <c r="F4311" s="208"/>
    </row>
    <row r="4312" spans="6:6">
      <c r="F4312" s="208"/>
    </row>
    <row r="4313" spans="6:6">
      <c r="F4313" s="208"/>
    </row>
    <row r="4314" spans="6:6">
      <c r="F4314" s="208"/>
    </row>
    <row r="4315" spans="6:6">
      <c r="F4315" s="208"/>
    </row>
    <row r="4316" spans="6:6">
      <c r="F4316" s="208"/>
    </row>
    <row r="4317" spans="6:6">
      <c r="F4317" s="208"/>
    </row>
    <row r="4318" spans="6:6">
      <c r="F4318" s="208"/>
    </row>
    <row r="4319" spans="6:6">
      <c r="F4319" s="208"/>
    </row>
    <row r="4320" spans="6:6">
      <c r="F4320" s="208"/>
    </row>
    <row r="4321" spans="6:6">
      <c r="F4321" s="208"/>
    </row>
    <row r="4322" spans="6:6">
      <c r="F4322" s="208"/>
    </row>
    <row r="4323" spans="6:6">
      <c r="F4323" s="208"/>
    </row>
    <row r="4324" spans="6:6">
      <c r="F4324" s="208"/>
    </row>
    <row r="4325" spans="6:6">
      <c r="F4325" s="208"/>
    </row>
    <row r="4326" spans="6:6">
      <c r="F4326" s="208"/>
    </row>
    <row r="4327" spans="6:6">
      <c r="F4327" s="208"/>
    </row>
    <row r="4328" spans="6:6">
      <c r="F4328" s="208"/>
    </row>
    <row r="4329" spans="6:6">
      <c r="F4329" s="208"/>
    </row>
    <row r="4330" spans="6:6">
      <c r="F4330" s="208"/>
    </row>
    <row r="4331" spans="6:6">
      <c r="F4331" s="208"/>
    </row>
    <row r="4332" spans="6:6">
      <c r="F4332" s="208"/>
    </row>
    <row r="4333" spans="6:6">
      <c r="F4333" s="208"/>
    </row>
    <row r="4334" spans="6:6">
      <c r="F4334" s="208"/>
    </row>
    <row r="4335" spans="6:6">
      <c r="F4335" s="208"/>
    </row>
    <row r="4336" spans="6:6">
      <c r="F4336" s="208"/>
    </row>
    <row r="4337" spans="6:6">
      <c r="F4337" s="208"/>
    </row>
    <row r="4338" spans="6:6">
      <c r="F4338" s="208"/>
    </row>
    <row r="4339" spans="6:6">
      <c r="F4339" s="208"/>
    </row>
    <row r="4340" spans="6:6">
      <c r="F4340" s="208"/>
    </row>
    <row r="4341" spans="6:6">
      <c r="F4341" s="208"/>
    </row>
    <row r="4342" spans="6:6">
      <c r="F4342" s="208"/>
    </row>
    <row r="4343" spans="6:6">
      <c r="F4343" s="208"/>
    </row>
    <row r="4344" spans="6:6">
      <c r="F4344" s="208"/>
    </row>
    <row r="4345" spans="6:6">
      <c r="F4345" s="208"/>
    </row>
    <row r="4346" spans="6:6">
      <c r="F4346" s="208"/>
    </row>
    <row r="4347" spans="6:6">
      <c r="F4347" s="208"/>
    </row>
    <row r="4348" spans="6:6">
      <c r="F4348" s="208"/>
    </row>
    <row r="4349" spans="6:6">
      <c r="F4349" s="208"/>
    </row>
    <row r="4350" spans="6:6">
      <c r="F4350" s="208"/>
    </row>
    <row r="4351" spans="6:6">
      <c r="F4351" s="208"/>
    </row>
    <row r="4352" spans="6:6">
      <c r="F4352" s="208"/>
    </row>
    <row r="4353" spans="6:6">
      <c r="F4353" s="208"/>
    </row>
    <row r="4354" spans="6:6">
      <c r="F4354" s="208"/>
    </row>
    <row r="4355" spans="6:6">
      <c r="F4355" s="208"/>
    </row>
    <row r="4356" spans="6:6">
      <c r="F4356" s="208"/>
    </row>
    <row r="4357" spans="6:6">
      <c r="F4357" s="208"/>
    </row>
    <row r="4358" spans="6:6">
      <c r="F4358" s="208"/>
    </row>
    <row r="4359" spans="6:6">
      <c r="F4359" s="208"/>
    </row>
    <row r="4360" spans="6:6">
      <c r="F4360" s="208"/>
    </row>
    <row r="4361" spans="6:6">
      <c r="F4361" s="208"/>
    </row>
    <row r="4362" spans="6:6">
      <c r="F4362" s="208"/>
    </row>
    <row r="4363" spans="6:6">
      <c r="F4363" s="208"/>
    </row>
    <row r="4364" spans="6:6">
      <c r="F4364" s="208"/>
    </row>
    <row r="4365" spans="6:6">
      <c r="F4365" s="208"/>
    </row>
    <row r="4366" spans="6:6">
      <c r="F4366" s="208"/>
    </row>
    <row r="4367" spans="6:6">
      <c r="F4367" s="208"/>
    </row>
    <row r="4368" spans="6:6">
      <c r="F4368" s="208"/>
    </row>
    <row r="4369" spans="6:6">
      <c r="F4369" s="208"/>
    </row>
    <row r="4370" spans="6:6">
      <c r="F4370" s="208"/>
    </row>
    <row r="4371" spans="6:6">
      <c r="F4371" s="208"/>
    </row>
    <row r="4372" spans="6:6">
      <c r="F4372" s="208"/>
    </row>
    <row r="4373" spans="6:6">
      <c r="F4373" s="208"/>
    </row>
    <row r="4374" spans="6:6">
      <c r="F4374" s="208"/>
    </row>
    <row r="4375" spans="6:6">
      <c r="F4375" s="208"/>
    </row>
    <row r="4376" spans="6:6">
      <c r="F4376" s="208"/>
    </row>
    <row r="4377" spans="6:6">
      <c r="F4377" s="208"/>
    </row>
    <row r="4378" spans="6:6">
      <c r="F4378" s="208"/>
    </row>
    <row r="4379" spans="6:6">
      <c r="F4379" s="208"/>
    </row>
    <row r="4380" spans="6:6">
      <c r="F4380" s="208"/>
    </row>
    <row r="4381" spans="6:6">
      <c r="F4381" s="208"/>
    </row>
    <row r="4382" spans="6:6">
      <c r="F4382" s="208"/>
    </row>
    <row r="4383" spans="6:6">
      <c r="F4383" s="208"/>
    </row>
    <row r="4384" spans="6:6">
      <c r="F4384" s="208"/>
    </row>
    <row r="4385" spans="6:6">
      <c r="F4385" s="208"/>
    </row>
    <row r="4386" spans="6:6">
      <c r="F4386" s="208"/>
    </row>
    <row r="4387" spans="6:6">
      <c r="F4387" s="208"/>
    </row>
    <row r="4388" spans="6:6">
      <c r="F4388" s="208"/>
    </row>
    <row r="4389" spans="6:6">
      <c r="F4389" s="208"/>
    </row>
    <row r="4390" spans="6:6">
      <c r="F4390" s="208"/>
    </row>
    <row r="4391" spans="6:6">
      <c r="F4391" s="208"/>
    </row>
    <row r="4392" spans="6:6">
      <c r="F4392" s="208"/>
    </row>
    <row r="4393" spans="6:6">
      <c r="F4393" s="208"/>
    </row>
    <row r="4394" spans="6:6">
      <c r="F4394" s="208"/>
    </row>
    <row r="4395" spans="6:6">
      <c r="F4395" s="208"/>
    </row>
    <row r="4396" spans="6:6">
      <c r="F4396" s="208"/>
    </row>
    <row r="4397" spans="6:6">
      <c r="F4397" s="208"/>
    </row>
    <row r="4398" spans="6:6">
      <c r="F4398" s="208"/>
    </row>
    <row r="4399" spans="6:6">
      <c r="F4399" s="208"/>
    </row>
    <row r="4400" spans="6:6">
      <c r="F4400" s="208"/>
    </row>
    <row r="4401" spans="6:6">
      <c r="F4401" s="208"/>
    </row>
    <row r="4402" spans="6:6">
      <c r="F4402" s="208"/>
    </row>
    <row r="4403" spans="6:6">
      <c r="F4403" s="208"/>
    </row>
    <row r="4404" spans="6:6">
      <c r="F4404" s="208"/>
    </row>
    <row r="4405" spans="6:6">
      <c r="F4405" s="208"/>
    </row>
    <row r="4406" spans="6:6">
      <c r="F4406" s="208"/>
    </row>
    <row r="4407" spans="6:6">
      <c r="F4407" s="208"/>
    </row>
    <row r="4408" spans="6:6">
      <c r="F4408" s="208"/>
    </row>
    <row r="4409" spans="6:6">
      <c r="F4409" s="208"/>
    </row>
    <row r="4410" spans="6:6">
      <c r="F4410" s="208"/>
    </row>
    <row r="4411" spans="6:6">
      <c r="F4411" s="208"/>
    </row>
    <row r="4412" spans="6:6">
      <c r="F4412" s="208"/>
    </row>
    <row r="4413" spans="6:6">
      <c r="F4413" s="208"/>
    </row>
    <row r="4414" spans="6:6">
      <c r="F4414" s="208"/>
    </row>
    <row r="4415" spans="6:6">
      <c r="F4415" s="208"/>
    </row>
    <row r="4416" spans="6:6">
      <c r="F4416" s="208"/>
    </row>
    <row r="4417" spans="6:6">
      <c r="F4417" s="208"/>
    </row>
    <row r="4418" spans="6:6">
      <c r="F4418" s="208"/>
    </row>
    <row r="4419" spans="6:6">
      <c r="F4419" s="208"/>
    </row>
    <row r="4420" spans="6:6">
      <c r="F4420" s="208"/>
    </row>
    <row r="4421" spans="6:6">
      <c r="F4421" s="208"/>
    </row>
    <row r="4422" spans="6:6">
      <c r="F4422" s="208"/>
    </row>
    <row r="4423" spans="6:6">
      <c r="F4423" s="208"/>
    </row>
    <row r="4424" spans="6:6">
      <c r="F4424" s="208"/>
    </row>
    <row r="4425" spans="6:6">
      <c r="F4425" s="208"/>
    </row>
    <row r="4426" spans="6:6">
      <c r="F4426" s="208"/>
    </row>
    <row r="4427" spans="6:6">
      <c r="F4427" s="208"/>
    </row>
    <row r="4428" spans="6:6">
      <c r="F4428" s="208"/>
    </row>
    <row r="4429" spans="6:6">
      <c r="F4429" s="208"/>
    </row>
    <row r="4430" spans="6:6">
      <c r="F4430" s="208"/>
    </row>
    <row r="4431" spans="6:6">
      <c r="F4431" s="208"/>
    </row>
    <row r="4432" spans="6:6">
      <c r="F4432" s="208"/>
    </row>
    <row r="4433" spans="6:6">
      <c r="F4433" s="208"/>
    </row>
    <row r="4434" spans="6:6">
      <c r="F4434" s="208"/>
    </row>
    <row r="4435" spans="6:6">
      <c r="F4435" s="208"/>
    </row>
    <row r="4436" spans="6:6">
      <c r="F4436" s="208"/>
    </row>
    <row r="4437" spans="6:6">
      <c r="F4437" s="208"/>
    </row>
    <row r="4438" spans="6:6">
      <c r="F4438" s="208"/>
    </row>
    <row r="4439" spans="6:6">
      <c r="F4439" s="208"/>
    </row>
    <row r="4440" spans="6:6">
      <c r="F4440" s="208"/>
    </row>
    <row r="4441" spans="6:6">
      <c r="F4441" s="208"/>
    </row>
    <row r="4442" spans="6:6">
      <c r="F4442" s="208"/>
    </row>
    <row r="4443" spans="6:6">
      <c r="F4443" s="208"/>
    </row>
    <row r="4444" spans="6:6">
      <c r="F4444" s="208"/>
    </row>
    <row r="4445" spans="6:6">
      <c r="F4445" s="208"/>
    </row>
    <row r="4446" spans="6:6">
      <c r="F4446" s="208"/>
    </row>
    <row r="4447" spans="6:6">
      <c r="F4447" s="208"/>
    </row>
    <row r="4448" spans="6:6">
      <c r="F4448" s="208"/>
    </row>
    <row r="4449" spans="6:6">
      <c r="F4449" s="208"/>
    </row>
    <row r="4450" spans="6:6">
      <c r="F4450" s="208"/>
    </row>
    <row r="4451" spans="6:6">
      <c r="F4451" s="208"/>
    </row>
    <row r="4452" spans="6:6">
      <c r="F4452" s="208"/>
    </row>
    <row r="4453" spans="6:6">
      <c r="F4453" s="208"/>
    </row>
    <row r="4454" spans="6:6">
      <c r="F4454" s="208"/>
    </row>
    <row r="4455" spans="6:6">
      <c r="F4455" s="208"/>
    </row>
    <row r="4456" spans="6:6">
      <c r="F4456" s="208"/>
    </row>
    <row r="4457" spans="6:6">
      <c r="F4457" s="208"/>
    </row>
    <row r="4458" spans="6:6">
      <c r="F4458" s="208"/>
    </row>
    <row r="4459" spans="6:6">
      <c r="F4459" s="208"/>
    </row>
    <row r="4460" spans="6:6">
      <c r="F4460" s="208"/>
    </row>
    <row r="4461" spans="6:6">
      <c r="F4461" s="208"/>
    </row>
    <row r="4462" spans="6:6">
      <c r="F4462" s="208"/>
    </row>
    <row r="4463" spans="6:6">
      <c r="F4463" s="208"/>
    </row>
    <row r="4464" spans="6:6">
      <c r="F4464" s="208"/>
    </row>
    <row r="4465" spans="6:6">
      <c r="F4465" s="208"/>
    </row>
    <row r="4466" spans="6:6">
      <c r="F4466" s="208"/>
    </row>
    <row r="4467" spans="6:6">
      <c r="F4467" s="208"/>
    </row>
    <row r="4468" spans="6:6">
      <c r="F4468" s="208"/>
    </row>
    <row r="4469" spans="6:6">
      <c r="F4469" s="208"/>
    </row>
    <row r="4470" spans="6:6">
      <c r="F4470" s="208"/>
    </row>
    <row r="4471" spans="6:6">
      <c r="F4471" s="208"/>
    </row>
    <row r="4472" spans="6:6">
      <c r="F4472" s="208"/>
    </row>
    <row r="4473" spans="6:6">
      <c r="F4473" s="208"/>
    </row>
    <row r="4474" spans="6:6">
      <c r="F4474" s="208"/>
    </row>
    <row r="4475" spans="6:6">
      <c r="F4475" s="208"/>
    </row>
    <row r="4476" spans="6:6">
      <c r="F4476" s="208"/>
    </row>
    <row r="4477" spans="6:6">
      <c r="F4477" s="208"/>
    </row>
    <row r="4478" spans="6:6">
      <c r="F4478" s="208"/>
    </row>
    <row r="4479" spans="6:6">
      <c r="F4479" s="208"/>
    </row>
    <row r="4480" spans="6:6">
      <c r="F4480" s="208"/>
    </row>
    <row r="4481" spans="6:6">
      <c r="F4481" s="208"/>
    </row>
    <row r="4482" spans="6:6">
      <c r="F4482" s="208"/>
    </row>
    <row r="4483" spans="6:6">
      <c r="F4483" s="208"/>
    </row>
    <row r="4484" spans="6:6">
      <c r="F4484" s="208"/>
    </row>
    <row r="4485" spans="6:6">
      <c r="F4485" s="208"/>
    </row>
    <row r="4486" spans="6:6">
      <c r="F4486" s="208"/>
    </row>
    <row r="4487" spans="6:6">
      <c r="F4487" s="208"/>
    </row>
    <row r="4488" spans="6:6">
      <c r="F4488" s="208"/>
    </row>
    <row r="4489" spans="6:6">
      <c r="F4489" s="208"/>
    </row>
    <row r="4490" spans="6:6">
      <c r="F4490" s="208"/>
    </row>
    <row r="4491" spans="6:6">
      <c r="F4491" s="208"/>
    </row>
    <row r="4492" spans="6:6">
      <c r="F4492" s="208"/>
    </row>
    <row r="4493" spans="6:6">
      <c r="F4493" s="208"/>
    </row>
    <row r="4494" spans="6:6">
      <c r="F4494" s="208"/>
    </row>
    <row r="4495" spans="6:6">
      <c r="F4495" s="208"/>
    </row>
    <row r="4496" spans="6:6">
      <c r="F4496" s="208"/>
    </row>
    <row r="4497" spans="6:6">
      <c r="F4497" s="208"/>
    </row>
    <row r="4498" spans="6:6">
      <c r="F4498" s="208"/>
    </row>
    <row r="4499" spans="6:6">
      <c r="F4499" s="208"/>
    </row>
    <row r="4500" spans="6:6">
      <c r="F4500" s="208"/>
    </row>
    <row r="4501" spans="6:6">
      <c r="F4501" s="208"/>
    </row>
    <row r="4502" spans="6:6">
      <c r="F4502" s="208"/>
    </row>
    <row r="4503" spans="6:6">
      <c r="F4503" s="208"/>
    </row>
    <row r="4504" spans="6:6">
      <c r="F4504" s="208"/>
    </row>
    <row r="4505" spans="6:6">
      <c r="F4505" s="208"/>
    </row>
    <row r="4506" spans="6:6">
      <c r="F4506" s="208"/>
    </row>
    <row r="4507" spans="6:6">
      <c r="F4507" s="208"/>
    </row>
    <row r="4508" spans="6:6">
      <c r="F4508" s="208"/>
    </row>
    <row r="4509" spans="6:6">
      <c r="F4509" s="208"/>
    </row>
    <row r="4510" spans="6:6">
      <c r="F4510" s="208"/>
    </row>
    <row r="4511" spans="6:6">
      <c r="F4511" s="208"/>
    </row>
    <row r="4512" spans="6:6">
      <c r="F4512" s="208"/>
    </row>
    <row r="4513" spans="6:6">
      <c r="F4513" s="208"/>
    </row>
    <row r="4514" spans="6:6">
      <c r="F4514" s="208"/>
    </row>
    <row r="4515" spans="6:6">
      <c r="F4515" s="208"/>
    </row>
    <row r="4516" spans="6:6">
      <c r="F4516" s="208"/>
    </row>
    <row r="4517" spans="6:6">
      <c r="F4517" s="208"/>
    </row>
    <row r="4518" spans="6:6">
      <c r="F4518" s="208"/>
    </row>
    <row r="4519" spans="6:6">
      <c r="F4519" s="208"/>
    </row>
    <row r="4520" spans="6:6">
      <c r="F4520" s="208"/>
    </row>
    <row r="4521" spans="6:6">
      <c r="F4521" s="208"/>
    </row>
    <row r="4522" spans="6:6">
      <c r="F4522" s="208"/>
    </row>
    <row r="4523" spans="6:6">
      <c r="F4523" s="208"/>
    </row>
    <row r="4524" spans="6:6">
      <c r="F4524" s="208"/>
    </row>
    <row r="4525" spans="6:6">
      <c r="F4525" s="208"/>
    </row>
    <row r="4526" spans="6:6">
      <c r="F4526" s="208"/>
    </row>
    <row r="4527" spans="6:6">
      <c r="F4527" s="208"/>
    </row>
    <row r="4528" spans="6:6">
      <c r="F4528" s="208"/>
    </row>
    <row r="4529" spans="6:6">
      <c r="F4529" s="208"/>
    </row>
    <row r="4530" spans="6:6">
      <c r="F4530" s="208"/>
    </row>
    <row r="4531" spans="6:6">
      <c r="F4531" s="208"/>
    </row>
    <row r="4532" spans="6:6">
      <c r="F4532" s="208"/>
    </row>
    <row r="4533" spans="6:6">
      <c r="F4533" s="208"/>
    </row>
    <row r="4534" spans="6:6">
      <c r="F4534" s="208"/>
    </row>
    <row r="4535" spans="6:6">
      <c r="F4535" s="208"/>
    </row>
    <row r="4536" spans="6:6">
      <c r="F4536" s="208"/>
    </row>
    <row r="4537" spans="6:6">
      <c r="F4537" s="208"/>
    </row>
    <row r="4538" spans="6:6">
      <c r="F4538" s="208"/>
    </row>
    <row r="4539" spans="6:6">
      <c r="F4539" s="208"/>
    </row>
    <row r="4540" spans="6:6">
      <c r="F4540" s="208"/>
    </row>
    <row r="4541" spans="6:6">
      <c r="F4541" s="208"/>
    </row>
    <row r="4542" spans="6:6">
      <c r="F4542" s="208"/>
    </row>
    <row r="4543" spans="6:6">
      <c r="F4543" s="208"/>
    </row>
    <row r="4544" spans="6:6">
      <c r="F4544" s="208"/>
    </row>
    <row r="4545" spans="6:6">
      <c r="F4545" s="208"/>
    </row>
    <row r="4546" spans="6:6">
      <c r="F4546" s="208"/>
    </row>
    <row r="4547" spans="6:6">
      <c r="F4547" s="208"/>
    </row>
    <row r="4548" spans="6:6">
      <c r="F4548" s="208"/>
    </row>
    <row r="4549" spans="6:6">
      <c r="F4549" s="208"/>
    </row>
    <row r="4550" spans="6:6">
      <c r="F4550" s="208"/>
    </row>
    <row r="4551" spans="6:6">
      <c r="F4551" s="208"/>
    </row>
    <row r="4552" spans="6:6">
      <c r="F4552" s="208"/>
    </row>
    <row r="4553" spans="6:6">
      <c r="F4553" s="208"/>
    </row>
    <row r="4554" spans="6:6">
      <c r="F4554" s="208"/>
    </row>
    <row r="4555" spans="6:6">
      <c r="F4555" s="208"/>
    </row>
    <row r="4556" spans="6:6">
      <c r="F4556" s="208"/>
    </row>
    <row r="4557" spans="6:6">
      <c r="F4557" s="208"/>
    </row>
    <row r="4558" spans="6:6">
      <c r="F4558" s="208"/>
    </row>
    <row r="4559" spans="6:6">
      <c r="F4559" s="208"/>
    </row>
    <row r="4560" spans="6:6">
      <c r="F4560" s="208"/>
    </row>
    <row r="4561" spans="6:6">
      <c r="F4561" s="208"/>
    </row>
    <row r="4562" spans="6:6">
      <c r="F4562" s="208"/>
    </row>
    <row r="4563" spans="6:6">
      <c r="F4563" s="208"/>
    </row>
    <row r="4564" spans="6:6">
      <c r="F4564" s="208"/>
    </row>
    <row r="4565" spans="6:6">
      <c r="F4565" s="208"/>
    </row>
    <row r="4566" spans="6:6">
      <c r="F4566" s="208"/>
    </row>
    <row r="4567" spans="6:6">
      <c r="F4567" s="208"/>
    </row>
    <row r="4568" spans="6:6">
      <c r="F4568" s="208"/>
    </row>
    <row r="4569" spans="6:6">
      <c r="F4569" s="208"/>
    </row>
    <row r="4570" spans="6:6">
      <c r="F4570" s="208"/>
    </row>
    <row r="4571" spans="6:6">
      <c r="F4571" s="208"/>
    </row>
    <row r="4572" spans="6:6">
      <c r="F4572" s="208"/>
    </row>
    <row r="4573" spans="6:6">
      <c r="F4573" s="208"/>
    </row>
    <row r="4574" spans="6:6">
      <c r="F4574" s="208"/>
    </row>
    <row r="4575" spans="6:6">
      <c r="F4575" s="208"/>
    </row>
    <row r="4576" spans="6:6">
      <c r="F4576" s="208"/>
    </row>
    <row r="4577" spans="6:6">
      <c r="F4577" s="208"/>
    </row>
    <row r="4578" spans="6:6">
      <c r="F4578" s="208"/>
    </row>
    <row r="4579" spans="6:6">
      <c r="F4579" s="208"/>
    </row>
    <row r="4580" spans="6:6">
      <c r="F4580" s="208"/>
    </row>
    <row r="4581" spans="6:6">
      <c r="F4581" s="208"/>
    </row>
    <row r="4582" spans="6:6">
      <c r="F4582" s="208"/>
    </row>
    <row r="4583" spans="6:6">
      <c r="F4583" s="208"/>
    </row>
    <row r="4584" spans="6:6">
      <c r="F4584" s="208"/>
    </row>
    <row r="4585" spans="6:6">
      <c r="F4585" s="208"/>
    </row>
    <row r="4586" spans="6:6">
      <c r="F4586" s="208"/>
    </row>
    <row r="4587" spans="6:6">
      <c r="F4587" s="208"/>
    </row>
    <row r="4588" spans="6:6">
      <c r="F4588" s="208"/>
    </row>
    <row r="4589" spans="6:6">
      <c r="F4589" s="208"/>
    </row>
    <row r="4590" spans="6:6">
      <c r="F4590" s="208"/>
    </row>
    <row r="4591" spans="6:6">
      <c r="F4591" s="208"/>
    </row>
    <row r="4592" spans="6:6">
      <c r="F4592" s="208"/>
    </row>
    <row r="4593" spans="6:6">
      <c r="F4593" s="208"/>
    </row>
    <row r="4594" spans="6:6">
      <c r="F4594" s="208"/>
    </row>
    <row r="4595" spans="6:6">
      <c r="F4595" s="208"/>
    </row>
    <row r="4596" spans="6:6">
      <c r="F4596" s="208"/>
    </row>
    <row r="4597" spans="6:6">
      <c r="F4597" s="208"/>
    </row>
    <row r="4598" spans="6:6">
      <c r="F4598" s="208"/>
    </row>
    <row r="4599" spans="6:6">
      <c r="F4599" s="208"/>
    </row>
    <row r="4600" spans="6:6">
      <c r="F4600" s="208"/>
    </row>
    <row r="4601" spans="6:6">
      <c r="F4601" s="208"/>
    </row>
    <row r="4602" spans="6:6">
      <c r="F4602" s="208"/>
    </row>
    <row r="4603" spans="6:6">
      <c r="F4603" s="208"/>
    </row>
    <row r="4604" spans="6:6">
      <c r="F4604" s="208"/>
    </row>
    <row r="4605" spans="6:6">
      <c r="F4605" s="208"/>
    </row>
    <row r="4606" spans="6:6">
      <c r="F4606" s="208"/>
    </row>
    <row r="4607" spans="6:6">
      <c r="F4607" s="208"/>
    </row>
    <row r="4608" spans="6:6">
      <c r="F4608" s="208"/>
    </row>
    <row r="4609" spans="6:6">
      <c r="F4609" s="208"/>
    </row>
    <row r="4610" spans="6:6">
      <c r="F4610" s="208"/>
    </row>
    <row r="4611" spans="6:6">
      <c r="F4611" s="208"/>
    </row>
    <row r="4612" spans="6:6">
      <c r="F4612" s="208"/>
    </row>
    <row r="4613" spans="6:6">
      <c r="F4613" s="208"/>
    </row>
    <row r="4614" spans="6:6">
      <c r="F4614" s="208"/>
    </row>
    <row r="4615" spans="6:6">
      <c r="F4615" s="208"/>
    </row>
    <row r="4616" spans="6:6">
      <c r="F4616" s="208"/>
    </row>
    <row r="4617" spans="6:6">
      <c r="F4617" s="208"/>
    </row>
    <row r="4618" spans="6:6">
      <c r="F4618" s="208"/>
    </row>
    <row r="4619" spans="6:6">
      <c r="F4619" s="208"/>
    </row>
    <row r="4620" spans="6:6">
      <c r="F4620" s="208"/>
    </row>
    <row r="4621" spans="6:6">
      <c r="F4621" s="208"/>
    </row>
    <row r="4622" spans="6:6">
      <c r="F4622" s="208"/>
    </row>
    <row r="4623" spans="6:6">
      <c r="F4623" s="208"/>
    </row>
    <row r="4624" spans="6:6">
      <c r="F4624" s="208"/>
    </row>
    <row r="4625" spans="6:6">
      <c r="F4625" s="208"/>
    </row>
    <row r="4626" spans="6:6">
      <c r="F4626" s="208"/>
    </row>
    <row r="4627" spans="6:6">
      <c r="F4627" s="208"/>
    </row>
    <row r="4628" spans="6:6">
      <c r="F4628" s="208"/>
    </row>
    <row r="4629" spans="6:6">
      <c r="F4629" s="208"/>
    </row>
    <row r="4630" spans="6:6">
      <c r="F4630" s="208"/>
    </row>
    <row r="4631" spans="6:6">
      <c r="F4631" s="208"/>
    </row>
    <row r="4632" spans="6:6">
      <c r="F4632" s="208"/>
    </row>
    <row r="4633" spans="6:6">
      <c r="F4633" s="208"/>
    </row>
    <row r="4634" spans="6:6">
      <c r="F4634" s="208"/>
    </row>
    <row r="4635" spans="6:6">
      <c r="F4635" s="208"/>
    </row>
    <row r="4636" spans="6:6">
      <c r="F4636" s="208"/>
    </row>
    <row r="4637" spans="6:6">
      <c r="F4637" s="208"/>
    </row>
    <row r="4638" spans="6:6">
      <c r="F4638" s="208"/>
    </row>
    <row r="4639" spans="6:6">
      <c r="F4639" s="208"/>
    </row>
    <row r="4640" spans="6:6">
      <c r="F4640" s="208"/>
    </row>
    <row r="4641" spans="6:6">
      <c r="F4641" s="208"/>
    </row>
    <row r="4642" spans="6:6">
      <c r="F4642" s="208"/>
    </row>
    <row r="4643" spans="6:6">
      <c r="F4643" s="208"/>
    </row>
    <row r="4644" spans="6:6">
      <c r="F4644" s="208"/>
    </row>
    <row r="4645" spans="6:6">
      <c r="F4645" s="208"/>
    </row>
    <row r="4646" spans="6:6">
      <c r="F4646" s="208"/>
    </row>
    <row r="4647" spans="6:6">
      <c r="F4647" s="208"/>
    </row>
    <row r="4648" spans="6:6">
      <c r="F4648" s="208"/>
    </row>
    <row r="4649" spans="6:6">
      <c r="F4649" s="208"/>
    </row>
    <row r="4650" spans="6:6">
      <c r="F4650" s="208"/>
    </row>
    <row r="4651" spans="6:6">
      <c r="F4651" s="208"/>
    </row>
    <row r="4652" spans="6:6">
      <c r="F4652" s="208"/>
    </row>
    <row r="4653" spans="6:6">
      <c r="F4653" s="208"/>
    </row>
    <row r="4654" spans="6:6">
      <c r="F4654" s="208"/>
    </row>
    <row r="4655" spans="6:6">
      <c r="F4655" s="208"/>
    </row>
    <row r="4656" spans="6:6">
      <c r="F4656" s="208"/>
    </row>
    <row r="4657" spans="6:6">
      <c r="F4657" s="208"/>
    </row>
    <row r="4658" spans="6:6">
      <c r="F4658" s="208"/>
    </row>
    <row r="4659" spans="6:6">
      <c r="F4659" s="208"/>
    </row>
    <row r="4660" spans="6:6">
      <c r="F4660" s="208"/>
    </row>
    <row r="4661" spans="6:6">
      <c r="F4661" s="208"/>
    </row>
    <row r="4662" spans="6:6">
      <c r="F4662" s="208"/>
    </row>
    <row r="4663" spans="6:6">
      <c r="F4663" s="208"/>
    </row>
    <row r="4664" spans="6:6">
      <c r="F4664" s="208"/>
    </row>
    <row r="4665" spans="6:6">
      <c r="F4665" s="208"/>
    </row>
    <row r="4666" spans="6:6">
      <c r="F4666" s="208"/>
    </row>
    <row r="4667" spans="6:6">
      <c r="F4667" s="208"/>
    </row>
    <row r="4668" spans="6:6">
      <c r="F4668" s="208"/>
    </row>
    <row r="4669" spans="6:6">
      <c r="F4669" s="208"/>
    </row>
    <row r="4670" spans="6:6">
      <c r="F4670" s="208"/>
    </row>
    <row r="4671" spans="6:6">
      <c r="F4671" s="208"/>
    </row>
    <row r="4672" spans="6:6">
      <c r="F4672" s="208"/>
    </row>
    <row r="4673" spans="6:6">
      <c r="F4673" s="208"/>
    </row>
    <row r="4674" spans="6:6">
      <c r="F4674" s="208"/>
    </row>
    <row r="4675" spans="6:6">
      <c r="F4675" s="208"/>
    </row>
    <row r="4676" spans="6:6">
      <c r="F4676" s="208"/>
    </row>
    <row r="4677" spans="6:6">
      <c r="F4677" s="208"/>
    </row>
    <row r="4678" spans="6:6">
      <c r="F4678" s="208"/>
    </row>
    <row r="4679" spans="6:6">
      <c r="F4679" s="208"/>
    </row>
    <row r="4680" spans="6:6">
      <c r="F4680" s="208"/>
    </row>
    <row r="4681" spans="6:6">
      <c r="F4681" s="208"/>
    </row>
    <row r="4682" spans="6:6">
      <c r="F4682" s="208"/>
    </row>
    <row r="4683" spans="6:6">
      <c r="F4683" s="208"/>
    </row>
    <row r="4684" spans="6:6">
      <c r="F4684" s="208"/>
    </row>
    <row r="4685" spans="6:6">
      <c r="F4685" s="208"/>
    </row>
    <row r="4686" spans="6:6">
      <c r="F4686" s="208"/>
    </row>
    <row r="4687" spans="6:6">
      <c r="F4687" s="208"/>
    </row>
    <row r="4688" spans="6:6">
      <c r="F4688" s="208"/>
    </row>
    <row r="4689" spans="6:6">
      <c r="F4689" s="208"/>
    </row>
    <row r="4690" spans="6:6">
      <c r="F4690" s="208"/>
    </row>
    <row r="4691" spans="6:6">
      <c r="F4691" s="208"/>
    </row>
    <row r="4692" spans="6:6">
      <c r="F4692" s="208"/>
    </row>
    <row r="4693" spans="6:6">
      <c r="F4693" s="208"/>
    </row>
    <row r="4694" spans="6:6">
      <c r="F4694" s="208"/>
    </row>
    <row r="4695" spans="6:6">
      <c r="F4695" s="208"/>
    </row>
    <row r="4696" spans="6:6">
      <c r="F4696" s="208"/>
    </row>
    <row r="4697" spans="6:6">
      <c r="F4697" s="208"/>
    </row>
    <row r="4698" spans="6:6">
      <c r="F4698" s="208"/>
    </row>
    <row r="4699" spans="6:6">
      <c r="F4699" s="208"/>
    </row>
    <row r="4700" spans="6:6">
      <c r="F4700" s="208"/>
    </row>
    <row r="4701" spans="6:6">
      <c r="F4701" s="208"/>
    </row>
    <row r="4702" spans="6:6">
      <c r="F4702" s="208"/>
    </row>
    <row r="4703" spans="6:6">
      <c r="F4703" s="208"/>
    </row>
    <row r="4704" spans="6:6">
      <c r="F4704" s="208"/>
    </row>
    <row r="4705" spans="6:6">
      <c r="F4705" s="208"/>
    </row>
    <row r="4706" spans="6:6">
      <c r="F4706" s="208"/>
    </row>
    <row r="4707" spans="6:6">
      <c r="F4707" s="208"/>
    </row>
    <row r="4708" spans="6:6">
      <c r="F4708" s="208"/>
    </row>
    <row r="4709" spans="6:6">
      <c r="F4709" s="208"/>
    </row>
    <row r="4710" spans="6:6">
      <c r="F4710" s="208"/>
    </row>
    <row r="4711" spans="6:6">
      <c r="F4711" s="208"/>
    </row>
    <row r="4712" spans="6:6">
      <c r="F4712" s="208"/>
    </row>
    <row r="4713" spans="6:6">
      <c r="F4713" s="208"/>
    </row>
    <row r="4714" spans="6:6">
      <c r="F4714" s="208"/>
    </row>
    <row r="4715" spans="6:6">
      <c r="F4715" s="208"/>
    </row>
    <row r="4716" spans="6:6">
      <c r="F4716" s="208"/>
    </row>
    <row r="4717" spans="6:6">
      <c r="F4717" s="208"/>
    </row>
    <row r="4718" spans="6:6">
      <c r="F4718" s="208"/>
    </row>
    <row r="4719" spans="6:6">
      <c r="F4719" s="208"/>
    </row>
    <row r="4720" spans="6:6">
      <c r="F4720" s="208"/>
    </row>
    <row r="4721" spans="6:6">
      <c r="F4721" s="208"/>
    </row>
    <row r="4722" spans="6:6">
      <c r="F4722" s="208"/>
    </row>
    <row r="4723" spans="6:6">
      <c r="F4723" s="208"/>
    </row>
    <row r="4724" spans="6:6">
      <c r="F4724" s="208"/>
    </row>
    <row r="4725" spans="6:6">
      <c r="F4725" s="208"/>
    </row>
    <row r="4726" spans="6:6">
      <c r="F4726" s="208"/>
    </row>
    <row r="4727" spans="6:6">
      <c r="F4727" s="208"/>
    </row>
    <row r="4728" spans="6:6">
      <c r="F4728" s="208"/>
    </row>
    <row r="4729" spans="6:6">
      <c r="F4729" s="208"/>
    </row>
    <row r="4730" spans="6:6">
      <c r="F4730" s="208"/>
    </row>
    <row r="4731" spans="6:6">
      <c r="F4731" s="208"/>
    </row>
    <row r="4732" spans="6:6">
      <c r="F4732" s="208"/>
    </row>
    <row r="4733" spans="6:6">
      <c r="F4733" s="208"/>
    </row>
    <row r="4734" spans="6:6">
      <c r="F4734" s="208"/>
    </row>
    <row r="4735" spans="6:6">
      <c r="F4735" s="208"/>
    </row>
    <row r="4736" spans="6:6">
      <c r="F4736" s="208"/>
    </row>
    <row r="4737" spans="6:6">
      <c r="F4737" s="208"/>
    </row>
    <row r="4738" spans="6:6">
      <c r="F4738" s="208"/>
    </row>
    <row r="4739" spans="6:6">
      <c r="F4739" s="208"/>
    </row>
    <row r="4740" spans="6:6">
      <c r="F4740" s="208"/>
    </row>
    <row r="4741" spans="6:6">
      <c r="F4741" s="208"/>
    </row>
    <row r="4742" spans="6:6">
      <c r="F4742" s="208"/>
    </row>
    <row r="4743" spans="6:6">
      <c r="F4743" s="208"/>
    </row>
    <row r="4744" spans="6:6">
      <c r="F4744" s="208"/>
    </row>
    <row r="4745" spans="6:6">
      <c r="F4745" s="208"/>
    </row>
    <row r="4746" spans="6:6">
      <c r="F4746" s="208"/>
    </row>
    <row r="4747" spans="6:6">
      <c r="F4747" s="208"/>
    </row>
    <row r="4748" spans="6:6">
      <c r="F4748" s="208"/>
    </row>
    <row r="4749" spans="6:6">
      <c r="F4749" s="208"/>
    </row>
    <row r="4750" spans="6:6">
      <c r="F4750" s="208"/>
    </row>
    <row r="4751" spans="6:6">
      <c r="F4751" s="208"/>
    </row>
    <row r="4752" spans="6:6">
      <c r="F4752" s="208"/>
    </row>
    <row r="4753" spans="6:6">
      <c r="F4753" s="208"/>
    </row>
    <row r="4754" spans="6:6">
      <c r="F4754" s="208"/>
    </row>
    <row r="4755" spans="6:6">
      <c r="F4755" s="208"/>
    </row>
    <row r="4756" spans="6:6">
      <c r="F4756" s="208"/>
    </row>
    <row r="4757" spans="6:6">
      <c r="F4757" s="208"/>
    </row>
    <row r="4758" spans="6:6">
      <c r="F4758" s="208"/>
    </row>
    <row r="4759" spans="6:6">
      <c r="F4759" s="208"/>
    </row>
    <row r="4760" spans="6:6">
      <c r="F4760" s="208"/>
    </row>
    <row r="4761" spans="6:6">
      <c r="F4761" s="208"/>
    </row>
    <row r="4762" spans="6:6">
      <c r="F4762" s="208"/>
    </row>
    <row r="4763" spans="6:6">
      <c r="F4763" s="208"/>
    </row>
    <row r="4764" spans="6:6">
      <c r="F4764" s="208"/>
    </row>
    <row r="4765" spans="6:6">
      <c r="F4765" s="208"/>
    </row>
    <row r="4766" spans="6:6">
      <c r="F4766" s="208"/>
    </row>
    <row r="4767" spans="6:6">
      <c r="F4767" s="208"/>
    </row>
    <row r="4768" spans="6:6">
      <c r="F4768" s="208"/>
    </row>
    <row r="4769" spans="6:6">
      <c r="F4769" s="208"/>
    </row>
    <row r="4770" spans="6:6">
      <c r="F4770" s="208"/>
    </row>
    <row r="4771" spans="6:6">
      <c r="F4771" s="208"/>
    </row>
    <row r="4772" spans="6:6">
      <c r="F4772" s="208"/>
    </row>
    <row r="4773" spans="6:6">
      <c r="F4773" s="208"/>
    </row>
    <row r="4774" spans="6:6">
      <c r="F4774" s="208"/>
    </row>
    <row r="4775" spans="6:6">
      <c r="F4775" s="208"/>
    </row>
    <row r="4776" spans="6:6">
      <c r="F4776" s="208"/>
    </row>
    <row r="4777" spans="6:6">
      <c r="F4777" s="208"/>
    </row>
    <row r="4778" spans="6:6">
      <c r="F4778" s="208"/>
    </row>
    <row r="4779" spans="6:6">
      <c r="F4779" s="208"/>
    </row>
    <row r="4780" spans="6:6">
      <c r="F4780" s="208"/>
    </row>
    <row r="4781" spans="6:6">
      <c r="F4781" s="208"/>
    </row>
    <row r="4782" spans="6:6">
      <c r="F4782" s="208"/>
    </row>
    <row r="4783" spans="6:6">
      <c r="F4783" s="208"/>
    </row>
    <row r="4784" spans="6:6">
      <c r="F4784" s="208"/>
    </row>
    <row r="4785" spans="6:6">
      <c r="F4785" s="208"/>
    </row>
    <row r="4786" spans="6:6">
      <c r="F4786" s="208"/>
    </row>
    <row r="4787" spans="6:6">
      <c r="F4787" s="208"/>
    </row>
    <row r="4788" spans="6:6">
      <c r="F4788" s="208"/>
    </row>
    <row r="4789" spans="6:6">
      <c r="F4789" s="208"/>
    </row>
    <row r="4790" spans="6:6">
      <c r="F4790" s="208"/>
    </row>
    <row r="4791" spans="6:6">
      <c r="F4791" s="208"/>
    </row>
    <row r="4792" spans="6:6">
      <c r="F4792" s="208"/>
    </row>
    <row r="4793" spans="6:6">
      <c r="F4793" s="208"/>
    </row>
    <row r="4794" spans="6:6">
      <c r="F4794" s="208"/>
    </row>
    <row r="4795" spans="6:6">
      <c r="F4795" s="208"/>
    </row>
    <row r="4796" spans="6:6">
      <c r="F4796" s="208"/>
    </row>
    <row r="4797" spans="6:6">
      <c r="F4797" s="208"/>
    </row>
    <row r="4798" spans="6:6">
      <c r="F4798" s="208"/>
    </row>
    <row r="4799" spans="6:6">
      <c r="F4799" s="208"/>
    </row>
    <row r="4800" spans="6:6">
      <c r="F4800" s="208"/>
    </row>
    <row r="4801" spans="6:6">
      <c r="F4801" s="208"/>
    </row>
    <row r="4802" spans="6:6">
      <c r="F4802" s="208"/>
    </row>
    <row r="4803" spans="6:6">
      <c r="F4803" s="208"/>
    </row>
    <row r="4804" spans="6:6">
      <c r="F4804" s="208"/>
    </row>
    <row r="4805" spans="6:6">
      <c r="F4805" s="208"/>
    </row>
    <row r="4806" spans="6:6">
      <c r="F4806" s="208"/>
    </row>
    <row r="4807" spans="6:6">
      <c r="F4807" s="208"/>
    </row>
    <row r="4808" spans="6:6">
      <c r="F4808" s="208"/>
    </row>
    <row r="4809" spans="6:6">
      <c r="F4809" s="208"/>
    </row>
    <row r="4810" spans="6:6">
      <c r="F4810" s="208"/>
    </row>
    <row r="4811" spans="6:6">
      <c r="F4811" s="208"/>
    </row>
    <row r="4812" spans="6:6">
      <c r="F4812" s="208"/>
    </row>
    <row r="4813" spans="6:6">
      <c r="F4813" s="208"/>
    </row>
    <row r="4814" spans="6:6">
      <c r="F4814" s="208"/>
    </row>
    <row r="4815" spans="6:6">
      <c r="F4815" s="208"/>
    </row>
    <row r="4816" spans="6:6">
      <c r="F4816" s="208"/>
    </row>
    <row r="4817" spans="6:6">
      <c r="F4817" s="208"/>
    </row>
    <row r="4818" spans="6:6">
      <c r="F4818" s="208"/>
    </row>
    <row r="4819" spans="6:6">
      <c r="F4819" s="208"/>
    </row>
    <row r="4820" spans="6:6">
      <c r="F4820" s="208"/>
    </row>
    <row r="4821" spans="6:6">
      <c r="F4821" s="208"/>
    </row>
    <row r="4822" spans="6:6">
      <c r="F4822" s="208"/>
    </row>
    <row r="4823" spans="6:6">
      <c r="F4823" s="208"/>
    </row>
    <row r="4824" spans="6:6">
      <c r="F4824" s="208"/>
    </row>
    <row r="4825" spans="6:6">
      <c r="F4825" s="208"/>
    </row>
    <row r="4826" spans="6:6">
      <c r="F4826" s="208"/>
    </row>
    <row r="4827" spans="6:6">
      <c r="F4827" s="208"/>
    </row>
    <row r="4828" spans="6:6">
      <c r="F4828" s="208"/>
    </row>
    <row r="4829" spans="6:6">
      <c r="F4829" s="208"/>
    </row>
    <row r="4830" spans="6:6">
      <c r="F4830" s="208"/>
    </row>
    <row r="4831" spans="6:6">
      <c r="F4831" s="208"/>
    </row>
    <row r="4832" spans="6:6">
      <c r="F4832" s="208"/>
    </row>
    <row r="4833" spans="6:6">
      <c r="F4833" s="208"/>
    </row>
    <row r="4834" spans="6:6">
      <c r="F4834" s="208"/>
    </row>
    <row r="4835" spans="6:6">
      <c r="F4835" s="208"/>
    </row>
    <row r="4836" spans="6:6">
      <c r="F4836" s="208"/>
    </row>
    <row r="4837" spans="6:6">
      <c r="F4837" s="208"/>
    </row>
    <row r="4838" spans="6:6">
      <c r="F4838" s="208"/>
    </row>
    <row r="4839" spans="6:6">
      <c r="F4839" s="208"/>
    </row>
    <row r="4840" spans="6:6">
      <c r="F4840" s="208"/>
    </row>
    <row r="4841" spans="6:6">
      <c r="F4841" s="208"/>
    </row>
    <row r="4842" spans="6:6">
      <c r="F4842" s="208"/>
    </row>
    <row r="4843" spans="6:6">
      <c r="F4843" s="208"/>
    </row>
    <row r="4844" spans="6:6">
      <c r="F4844" s="208"/>
    </row>
    <row r="4845" spans="6:6">
      <c r="F4845" s="208"/>
    </row>
    <row r="4846" spans="6:6">
      <c r="F4846" s="208"/>
    </row>
    <row r="4847" spans="6:6">
      <c r="F4847" s="208"/>
    </row>
    <row r="4848" spans="6:6">
      <c r="F4848" s="208"/>
    </row>
    <row r="4849" spans="6:6">
      <c r="F4849" s="208"/>
    </row>
    <row r="4850" spans="6:6">
      <c r="F4850" s="208"/>
    </row>
    <row r="4851" spans="6:6">
      <c r="F4851" s="208"/>
    </row>
    <row r="4852" spans="6:6">
      <c r="F4852" s="208"/>
    </row>
    <row r="4853" spans="6:6">
      <c r="F4853" s="208"/>
    </row>
    <row r="4854" spans="6:6">
      <c r="F4854" s="208"/>
    </row>
    <row r="4855" spans="6:6">
      <c r="F4855" s="208"/>
    </row>
    <row r="4856" spans="6:6">
      <c r="F4856" s="208"/>
    </row>
    <row r="4857" spans="6:6">
      <c r="F4857" s="208"/>
    </row>
    <row r="4858" spans="6:6">
      <c r="F4858" s="208"/>
    </row>
    <row r="4859" spans="6:6">
      <c r="F4859" s="208"/>
    </row>
    <row r="4860" spans="6:6">
      <c r="F4860" s="208"/>
    </row>
    <row r="4861" spans="6:6">
      <c r="F4861" s="208"/>
    </row>
    <row r="4862" spans="6:6">
      <c r="F4862" s="208"/>
    </row>
    <row r="4863" spans="6:6">
      <c r="F4863" s="208"/>
    </row>
    <row r="4864" spans="6:6">
      <c r="F4864" s="208"/>
    </row>
    <row r="4865" spans="6:6">
      <c r="F4865" s="208"/>
    </row>
    <row r="4866" spans="6:6">
      <c r="F4866" s="208"/>
    </row>
    <row r="4867" spans="6:6">
      <c r="F4867" s="208"/>
    </row>
    <row r="4868" spans="6:6">
      <c r="F4868" s="208"/>
    </row>
    <row r="4869" spans="6:6">
      <c r="F4869" s="208"/>
    </row>
    <row r="4870" spans="6:6">
      <c r="F4870" s="208"/>
    </row>
    <row r="4871" spans="6:6">
      <c r="F4871" s="208"/>
    </row>
    <row r="4872" spans="6:6">
      <c r="F4872" s="208"/>
    </row>
    <row r="4873" spans="6:6">
      <c r="F4873" s="208"/>
    </row>
    <row r="4874" spans="6:6">
      <c r="F4874" s="208"/>
    </row>
    <row r="4875" spans="6:6">
      <c r="F4875" s="208"/>
    </row>
    <row r="4876" spans="6:6">
      <c r="F4876" s="208"/>
    </row>
    <row r="4877" spans="6:6">
      <c r="F4877" s="208"/>
    </row>
    <row r="4878" spans="6:6">
      <c r="F4878" s="208"/>
    </row>
    <row r="4879" spans="6:6">
      <c r="F4879" s="208"/>
    </row>
    <row r="4880" spans="6:6">
      <c r="F4880" s="208"/>
    </row>
    <row r="4881" spans="6:6">
      <c r="F4881" s="208"/>
    </row>
    <row r="4882" spans="6:6">
      <c r="F4882" s="208"/>
    </row>
    <row r="4883" spans="6:6">
      <c r="F4883" s="208"/>
    </row>
    <row r="4884" spans="6:6">
      <c r="F4884" s="208"/>
    </row>
    <row r="4885" spans="6:6">
      <c r="F4885" s="208"/>
    </row>
    <row r="4886" spans="6:6">
      <c r="F4886" s="208"/>
    </row>
    <row r="4887" spans="6:6">
      <c r="F4887" s="208"/>
    </row>
    <row r="4888" spans="6:6">
      <c r="F4888" s="208"/>
    </row>
    <row r="4889" spans="6:6">
      <c r="F4889" s="208"/>
    </row>
    <row r="4890" spans="6:6">
      <c r="F4890" s="208"/>
    </row>
    <row r="4891" spans="6:6">
      <c r="F4891" s="208"/>
    </row>
    <row r="4892" spans="6:6">
      <c r="F4892" s="208"/>
    </row>
    <row r="4893" spans="6:6">
      <c r="F4893" s="208"/>
    </row>
    <row r="4894" spans="6:6">
      <c r="F4894" s="208"/>
    </row>
    <row r="4895" spans="6:6">
      <c r="F4895" s="208"/>
    </row>
    <row r="4896" spans="6:6">
      <c r="F4896" s="208"/>
    </row>
    <row r="4897" spans="6:6">
      <c r="F4897" s="208"/>
    </row>
    <row r="4898" spans="6:6">
      <c r="F4898" s="208"/>
    </row>
    <row r="4899" spans="6:6">
      <c r="F4899" s="208"/>
    </row>
    <row r="4900" spans="6:6">
      <c r="F4900" s="208"/>
    </row>
    <row r="4901" spans="6:6">
      <c r="F4901" s="208"/>
    </row>
    <row r="4902" spans="6:6">
      <c r="F4902" s="208"/>
    </row>
    <row r="4903" spans="6:6">
      <c r="F4903" s="208"/>
    </row>
    <row r="4904" spans="6:6">
      <c r="F4904" s="208"/>
    </row>
    <row r="4905" spans="6:6">
      <c r="F4905" s="208"/>
    </row>
    <row r="4906" spans="6:6">
      <c r="F4906" s="208"/>
    </row>
    <row r="4907" spans="6:6">
      <c r="F4907" s="208"/>
    </row>
    <row r="4908" spans="6:6">
      <c r="F4908" s="208"/>
    </row>
    <row r="4909" spans="6:6">
      <c r="F4909" s="208"/>
    </row>
    <row r="4910" spans="6:6">
      <c r="F4910" s="208"/>
    </row>
    <row r="4911" spans="6:6">
      <c r="F4911" s="208"/>
    </row>
    <row r="4912" spans="6:6">
      <c r="F4912" s="208"/>
    </row>
    <row r="4913" spans="6:6">
      <c r="F4913" s="208"/>
    </row>
    <row r="4914" spans="6:6">
      <c r="F4914" s="208"/>
    </row>
    <row r="4915" spans="6:6">
      <c r="F4915" s="208"/>
    </row>
    <row r="4916" spans="6:6">
      <c r="F4916" s="208"/>
    </row>
    <row r="4917" spans="6:6">
      <c r="F4917" s="208"/>
    </row>
    <row r="4918" spans="6:6">
      <c r="F4918" s="208"/>
    </row>
    <row r="4919" spans="6:6">
      <c r="F4919" s="208"/>
    </row>
    <row r="4920" spans="6:6">
      <c r="F4920" s="208"/>
    </row>
    <row r="4921" spans="6:6">
      <c r="F4921" s="208"/>
    </row>
    <row r="4922" spans="6:6">
      <c r="F4922" s="208"/>
    </row>
    <row r="4923" spans="6:6">
      <c r="F4923" s="208"/>
    </row>
    <row r="4924" spans="6:6">
      <c r="F4924" s="208"/>
    </row>
    <row r="4925" spans="6:6">
      <c r="F4925" s="208"/>
    </row>
    <row r="4926" spans="6:6">
      <c r="F4926" s="208"/>
    </row>
    <row r="4927" spans="6:6">
      <c r="F4927" s="208"/>
    </row>
    <row r="4928" spans="6:6">
      <c r="F4928" s="208"/>
    </row>
    <row r="4929" spans="6:6">
      <c r="F4929" s="208"/>
    </row>
    <row r="4930" spans="6:6">
      <c r="F4930" s="208"/>
    </row>
    <row r="4931" spans="6:6">
      <c r="F4931" s="208"/>
    </row>
    <row r="4932" spans="6:6">
      <c r="F4932" s="208"/>
    </row>
    <row r="4933" spans="6:6">
      <c r="F4933" s="208"/>
    </row>
    <row r="4934" spans="6:6">
      <c r="F4934" s="208"/>
    </row>
    <row r="4935" spans="6:6">
      <c r="F4935" s="208"/>
    </row>
    <row r="4936" spans="6:6">
      <c r="F4936" s="208"/>
    </row>
    <row r="4937" spans="6:6">
      <c r="F4937" s="208"/>
    </row>
    <row r="4938" spans="6:6">
      <c r="F4938" s="208"/>
    </row>
    <row r="4939" spans="6:6">
      <c r="F4939" s="208"/>
    </row>
    <row r="4940" spans="6:6">
      <c r="F4940" s="208"/>
    </row>
    <row r="4941" spans="6:6">
      <c r="F4941" s="208"/>
    </row>
    <row r="4942" spans="6:6">
      <c r="F4942" s="208"/>
    </row>
    <row r="4943" spans="6:6">
      <c r="F4943" s="208"/>
    </row>
    <row r="4944" spans="6:6">
      <c r="F4944" s="208"/>
    </row>
    <row r="4945" spans="6:6">
      <c r="F4945" s="208"/>
    </row>
    <row r="4946" spans="6:6">
      <c r="F4946" s="208"/>
    </row>
    <row r="4947" spans="6:6">
      <c r="F4947" s="208"/>
    </row>
    <row r="4948" spans="6:6">
      <c r="F4948" s="208"/>
    </row>
    <row r="4949" spans="6:6">
      <c r="F4949" s="208"/>
    </row>
    <row r="4950" spans="6:6">
      <c r="F4950" s="208"/>
    </row>
    <row r="4951" spans="6:6">
      <c r="F4951" s="208"/>
    </row>
    <row r="4952" spans="6:6">
      <c r="F4952" s="208"/>
    </row>
    <row r="4953" spans="6:6">
      <c r="F4953" s="208"/>
    </row>
    <row r="4954" spans="6:6">
      <c r="F4954" s="208"/>
    </row>
    <row r="4955" spans="6:6">
      <c r="F4955" s="208"/>
    </row>
    <row r="4956" spans="6:6">
      <c r="F4956" s="208"/>
    </row>
    <row r="4957" spans="6:6">
      <c r="F4957" s="208"/>
    </row>
    <row r="4958" spans="6:6">
      <c r="F4958" s="208"/>
    </row>
    <row r="4959" spans="6:6">
      <c r="F4959" s="208"/>
    </row>
    <row r="4960" spans="6:6">
      <c r="F4960" s="208"/>
    </row>
    <row r="4961" spans="6:6">
      <c r="F4961" s="208"/>
    </row>
    <row r="4962" spans="6:6">
      <c r="F4962" s="208"/>
    </row>
    <row r="4963" spans="6:6">
      <c r="F4963" s="208"/>
    </row>
    <row r="4964" spans="6:6">
      <c r="F4964" s="208"/>
    </row>
    <row r="4965" spans="6:6">
      <c r="F4965" s="208"/>
    </row>
    <row r="4966" spans="6:6">
      <c r="F4966" s="208"/>
    </row>
    <row r="4967" spans="6:6">
      <c r="F4967" s="208"/>
    </row>
    <row r="4968" spans="6:6">
      <c r="F4968" s="208"/>
    </row>
    <row r="4969" spans="6:6">
      <c r="F4969" s="208"/>
    </row>
    <row r="4970" spans="6:6">
      <c r="F4970" s="208"/>
    </row>
    <row r="4971" spans="6:6">
      <c r="F4971" s="208"/>
    </row>
    <row r="4972" spans="6:6">
      <c r="F4972" s="208"/>
    </row>
    <row r="4973" spans="6:6">
      <c r="F4973" s="208"/>
    </row>
    <row r="4974" spans="6:6">
      <c r="F4974" s="208"/>
    </row>
    <row r="4975" spans="6:6">
      <c r="F4975" s="208"/>
    </row>
    <row r="4976" spans="6:6">
      <c r="F4976" s="208"/>
    </row>
    <row r="4977" spans="6:6">
      <c r="F4977" s="208"/>
    </row>
    <row r="4978" spans="6:6">
      <c r="F4978" s="208"/>
    </row>
    <row r="4979" spans="6:6">
      <c r="F4979" s="208"/>
    </row>
    <row r="4980" spans="6:6">
      <c r="F4980" s="208"/>
    </row>
    <row r="4981" spans="6:6">
      <c r="F4981" s="208"/>
    </row>
    <row r="4982" spans="6:6">
      <c r="F4982" s="208"/>
    </row>
    <row r="4983" spans="6:6">
      <c r="F4983" s="208"/>
    </row>
    <row r="4984" spans="6:6">
      <c r="F4984" s="208"/>
    </row>
    <row r="4985" spans="6:6">
      <c r="F4985" s="208"/>
    </row>
    <row r="4986" spans="6:6">
      <c r="F4986" s="208"/>
    </row>
    <row r="4987" spans="6:6">
      <c r="F4987" s="208"/>
    </row>
    <row r="4988" spans="6:6">
      <c r="F4988" s="208"/>
    </row>
    <row r="4989" spans="6:6">
      <c r="F4989" s="208"/>
    </row>
    <row r="4990" spans="6:6">
      <c r="F4990" s="208"/>
    </row>
    <row r="4991" spans="6:6">
      <c r="F4991" s="208"/>
    </row>
    <row r="4992" spans="6:6">
      <c r="F4992" s="208"/>
    </row>
    <row r="4993" spans="6:6">
      <c r="F4993" s="208"/>
    </row>
    <row r="4994" spans="6:6">
      <c r="F4994" s="208"/>
    </row>
    <row r="4995" spans="6:6">
      <c r="F4995" s="208"/>
    </row>
    <row r="4996" spans="6:6">
      <c r="F4996" s="208"/>
    </row>
    <row r="4997" spans="6:6">
      <c r="F4997" s="208"/>
    </row>
    <row r="4998" spans="6:6">
      <c r="F4998" s="208"/>
    </row>
    <row r="4999" spans="6:6">
      <c r="F4999" s="208"/>
    </row>
    <row r="5000" spans="6:6">
      <c r="F5000" s="208"/>
    </row>
    <row r="5001" spans="6:6">
      <c r="F5001" s="208"/>
    </row>
    <row r="5002" spans="6:6">
      <c r="F5002" s="208"/>
    </row>
    <row r="5003" spans="6:6">
      <c r="F5003" s="208"/>
    </row>
    <row r="5004" spans="6:6">
      <c r="F5004" s="208"/>
    </row>
    <row r="5005" spans="6:6">
      <c r="F5005" s="208"/>
    </row>
    <row r="5006" spans="6:6">
      <c r="F5006" s="208"/>
    </row>
    <row r="5007" spans="6:6">
      <c r="F5007" s="208"/>
    </row>
    <row r="5008" spans="6:6">
      <c r="F5008" s="208"/>
    </row>
    <row r="5009" spans="6:6">
      <c r="F5009" s="208"/>
    </row>
    <row r="5010" spans="6:6">
      <c r="F5010" s="208"/>
    </row>
    <row r="5011" spans="6:6">
      <c r="F5011" s="208"/>
    </row>
    <row r="5012" spans="6:6">
      <c r="F5012" s="208"/>
    </row>
    <row r="5013" spans="6:6">
      <c r="F5013" s="208"/>
    </row>
    <row r="5014" spans="6:6">
      <c r="F5014" s="208"/>
    </row>
    <row r="5015" spans="6:6">
      <c r="F5015" s="208"/>
    </row>
    <row r="5016" spans="6:6">
      <c r="F5016" s="208"/>
    </row>
    <row r="5017" spans="6:6">
      <c r="F5017" s="208"/>
    </row>
    <row r="5018" spans="6:6">
      <c r="F5018" s="208"/>
    </row>
    <row r="5019" spans="6:6">
      <c r="F5019" s="208"/>
    </row>
    <row r="5020" spans="6:6">
      <c r="F5020" s="208"/>
    </row>
    <row r="5021" spans="6:6">
      <c r="F5021" s="208"/>
    </row>
    <row r="5022" spans="6:6">
      <c r="F5022" s="208"/>
    </row>
    <row r="5023" spans="6:6">
      <c r="F5023" s="208"/>
    </row>
    <row r="5024" spans="6:6">
      <c r="F5024" s="208"/>
    </row>
    <row r="5025" spans="6:6">
      <c r="F5025" s="208"/>
    </row>
    <row r="5026" spans="6:6">
      <c r="F5026" s="208"/>
    </row>
    <row r="5027" spans="6:6">
      <c r="F5027" s="208"/>
    </row>
    <row r="5028" spans="6:6">
      <c r="F5028" s="208"/>
    </row>
    <row r="5029" spans="6:6">
      <c r="F5029" s="208"/>
    </row>
    <row r="5030" spans="6:6">
      <c r="F5030" s="208"/>
    </row>
    <row r="5031" spans="6:6">
      <c r="F5031" s="208"/>
    </row>
    <row r="5032" spans="6:6">
      <c r="F5032" s="208"/>
    </row>
    <row r="5033" spans="6:6">
      <c r="F5033" s="208"/>
    </row>
    <row r="5034" spans="6:6">
      <c r="F5034" s="208"/>
    </row>
    <row r="5035" spans="6:6">
      <c r="F5035" s="208"/>
    </row>
    <row r="5036" spans="6:6">
      <c r="F5036" s="208"/>
    </row>
    <row r="5037" spans="6:6">
      <c r="F5037" s="208"/>
    </row>
    <row r="5038" spans="6:6">
      <c r="F5038" s="208"/>
    </row>
    <row r="5039" spans="6:6">
      <c r="F5039" s="208"/>
    </row>
    <row r="5040" spans="6:6">
      <c r="F5040" s="208"/>
    </row>
    <row r="5041" spans="6:6">
      <c r="F5041" s="208"/>
    </row>
    <row r="5042" spans="6:6">
      <c r="F5042" s="208"/>
    </row>
    <row r="5043" spans="6:6">
      <c r="F5043" s="208"/>
    </row>
    <row r="5044" spans="6:6">
      <c r="F5044" s="208"/>
    </row>
    <row r="5045" spans="6:6">
      <c r="F5045" s="208"/>
    </row>
    <row r="5046" spans="6:6">
      <c r="F5046" s="208"/>
    </row>
    <row r="5047" spans="6:6">
      <c r="F5047" s="208"/>
    </row>
    <row r="5048" spans="6:6">
      <c r="F5048" s="208"/>
    </row>
    <row r="5049" spans="6:6">
      <c r="F5049" s="208"/>
    </row>
    <row r="5050" spans="6:6">
      <c r="F5050" s="208"/>
    </row>
    <row r="5051" spans="6:6">
      <c r="F5051" s="208"/>
    </row>
    <row r="5052" spans="6:6">
      <c r="F5052" s="208"/>
    </row>
    <row r="5053" spans="6:6">
      <c r="F5053" s="208"/>
    </row>
    <row r="5054" spans="6:6">
      <c r="F5054" s="208"/>
    </row>
    <row r="5055" spans="6:6">
      <c r="F5055" s="208"/>
    </row>
    <row r="5056" spans="6:6">
      <c r="F5056" s="208"/>
    </row>
    <row r="5057" spans="6:6">
      <c r="F5057" s="208"/>
    </row>
    <row r="5058" spans="6:6">
      <c r="F5058" s="208"/>
    </row>
    <row r="5059" spans="6:6">
      <c r="F5059" s="208"/>
    </row>
    <row r="5060" spans="6:6">
      <c r="F5060" s="208"/>
    </row>
    <row r="5061" spans="6:6">
      <c r="F5061" s="208"/>
    </row>
    <row r="5062" spans="6:6">
      <c r="F5062" s="208"/>
    </row>
    <row r="5063" spans="6:6">
      <c r="F5063" s="208"/>
    </row>
    <row r="5064" spans="6:6">
      <c r="F5064" s="208"/>
    </row>
    <row r="5065" spans="6:6">
      <c r="F5065" s="208"/>
    </row>
    <row r="5066" spans="6:6">
      <c r="F5066" s="208"/>
    </row>
    <row r="5067" spans="6:6">
      <c r="F5067" s="208"/>
    </row>
    <row r="5068" spans="6:6">
      <c r="F5068" s="208"/>
    </row>
    <row r="5069" spans="6:6">
      <c r="F5069" s="208"/>
    </row>
    <row r="5070" spans="6:6">
      <c r="F5070" s="208"/>
    </row>
    <row r="5071" spans="6:6">
      <c r="F5071" s="208"/>
    </row>
    <row r="5072" spans="6:6">
      <c r="F5072" s="208"/>
    </row>
    <row r="5073" spans="6:6">
      <c r="F5073" s="208"/>
    </row>
    <row r="5074" spans="6:6">
      <c r="F5074" s="208"/>
    </row>
    <row r="5075" spans="6:6">
      <c r="F5075" s="208"/>
    </row>
    <row r="5076" spans="6:6">
      <c r="F5076" s="208"/>
    </row>
    <row r="5077" spans="6:6">
      <c r="F5077" s="208"/>
    </row>
    <row r="5078" spans="6:6">
      <c r="F5078" s="208"/>
    </row>
    <row r="5079" spans="6:6">
      <c r="F5079" s="208"/>
    </row>
  </sheetData>
  <sheetProtection password="C971" sheet="1" objects="1" scenarios="1"/>
  <mergeCells count="7">
    <mergeCell ref="D104:I104"/>
    <mergeCell ref="B1:I1"/>
    <mergeCell ref="D2:I2"/>
    <mergeCell ref="D3:I3"/>
    <mergeCell ref="D4:I4"/>
    <mergeCell ref="F90:I90"/>
    <mergeCell ref="D98:I98"/>
  </mergeCells>
  <pageMargins left="0.39370078740157483" right="0.39370078740157483" top="0.59055118110236227" bottom="0.39370078740157483" header="0.31496062992125984" footer="0.31496062992125984"/>
  <pageSetup paperSize="9" scale="110" fitToHeight="10" orientation="landscape" r:id="rId1"/>
  <headerFooter>
    <oddFooter>&amp;RStránka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M97"/>
  <sheetViews>
    <sheetView showGridLines="0" topLeftCell="A75" workbookViewId="0">
      <selection activeCell="J94" sqref="J94"/>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101</v>
      </c>
    </row>
    <row r="3" spans="1:46" s="1" customFormat="1" ht="6.95" customHeight="1">
      <c r="A3" s="61"/>
      <c r="B3" s="263"/>
      <c r="C3" s="264"/>
      <c r="D3" s="264"/>
      <c r="E3" s="264"/>
      <c r="F3" s="264"/>
      <c r="G3" s="264"/>
      <c r="H3" s="264"/>
      <c r="I3" s="264"/>
      <c r="J3" s="264"/>
      <c r="K3" s="264"/>
      <c r="L3" s="20"/>
      <c r="AT3" s="19" t="s">
        <v>77</v>
      </c>
    </row>
    <row r="4" spans="1:46" s="1" customFormat="1" ht="24.95" customHeight="1">
      <c r="A4" s="61"/>
      <c r="B4" s="265"/>
      <c r="C4" s="61"/>
      <c r="D4" s="266" t="s">
        <v>142</v>
      </c>
      <c r="E4" s="61"/>
      <c r="F4" s="61"/>
      <c r="G4" s="61"/>
      <c r="H4" s="61"/>
      <c r="I4" s="61"/>
      <c r="J4" s="61"/>
      <c r="K4" s="61"/>
      <c r="L4" s="20"/>
      <c r="M4" s="63" t="s">
        <v>11</v>
      </c>
      <c r="AT4" s="19" t="s">
        <v>4</v>
      </c>
    </row>
    <row r="5" spans="1:46" s="1" customFormat="1" ht="6.95" customHeight="1">
      <c r="A5" s="61"/>
      <c r="B5" s="265"/>
      <c r="C5" s="61"/>
      <c r="D5" s="61"/>
      <c r="E5" s="61"/>
      <c r="F5" s="61"/>
      <c r="G5" s="61"/>
      <c r="H5" s="61"/>
      <c r="I5" s="61"/>
      <c r="J5" s="61"/>
      <c r="K5" s="61"/>
      <c r="L5" s="20"/>
    </row>
    <row r="6" spans="1:46" s="1" customFormat="1" ht="12" customHeight="1">
      <c r="A6" s="61"/>
      <c r="B6" s="265"/>
      <c r="C6" s="61"/>
      <c r="D6" s="268" t="s">
        <v>15</v>
      </c>
      <c r="E6" s="61"/>
      <c r="F6" s="61"/>
      <c r="G6" s="61"/>
      <c r="H6" s="61"/>
      <c r="I6" s="61"/>
      <c r="J6" s="61"/>
      <c r="K6" s="61"/>
      <c r="L6" s="20"/>
    </row>
    <row r="7" spans="1:46" s="1" customFormat="1" ht="14.45" customHeight="1">
      <c r="A7" s="61"/>
      <c r="B7" s="265"/>
      <c r="C7" s="61"/>
      <c r="D7" s="61"/>
      <c r="E7" s="722" t="str">
        <f>'Rekapitulace stavby'!K6</f>
        <v>Úpravy gastroprovozu Úřadu vlády ČR v 1.pp Strakovy akademie</v>
      </c>
      <c r="F7" s="723"/>
      <c r="G7" s="723"/>
      <c r="H7" s="723"/>
      <c r="I7" s="61"/>
      <c r="J7" s="61"/>
      <c r="K7" s="61"/>
      <c r="L7" s="20"/>
    </row>
    <row r="8" spans="1:46" ht="12.75">
      <c r="A8" s="61"/>
      <c r="B8" s="265"/>
      <c r="C8" s="61"/>
      <c r="D8" s="268" t="s">
        <v>151</v>
      </c>
      <c r="E8" s="61"/>
      <c r="F8" s="61"/>
      <c r="G8" s="61"/>
      <c r="H8" s="61"/>
      <c r="I8" s="61"/>
      <c r="J8" s="61"/>
      <c r="K8" s="61"/>
      <c r="L8" s="20"/>
    </row>
    <row r="9" spans="1:46" s="1" customFormat="1" ht="14.45" customHeight="1">
      <c r="A9" s="61"/>
      <c r="B9" s="265"/>
      <c r="C9" s="61"/>
      <c r="D9" s="61"/>
      <c r="E9" s="722" t="s">
        <v>1759</v>
      </c>
      <c r="F9" s="715"/>
      <c r="G9" s="715"/>
      <c r="H9" s="715"/>
      <c r="I9" s="61"/>
      <c r="J9" s="61"/>
      <c r="K9" s="61"/>
      <c r="L9" s="20"/>
    </row>
    <row r="10" spans="1:46" s="1" customFormat="1" ht="12" customHeight="1">
      <c r="A10" s="61"/>
      <c r="B10" s="265"/>
      <c r="C10" s="61"/>
      <c r="D10" s="268" t="s">
        <v>157</v>
      </c>
      <c r="E10" s="61"/>
      <c r="F10" s="61"/>
      <c r="G10" s="61"/>
      <c r="H10" s="61"/>
      <c r="I10" s="61"/>
      <c r="J10" s="61"/>
      <c r="K10" s="61"/>
      <c r="L10" s="20"/>
    </row>
    <row r="11" spans="1:46" s="2" customFormat="1" ht="14.45" customHeight="1">
      <c r="A11" s="271"/>
      <c r="B11" s="270"/>
      <c r="C11" s="271"/>
      <c r="D11" s="271"/>
      <c r="E11" s="762" t="s">
        <v>1776</v>
      </c>
      <c r="F11" s="721"/>
      <c r="G11" s="721"/>
      <c r="H11" s="721"/>
      <c r="I11" s="271"/>
      <c r="J11" s="271"/>
      <c r="K11" s="271"/>
      <c r="L11" s="64"/>
      <c r="S11" s="23"/>
      <c r="T11" s="23"/>
      <c r="U11" s="23"/>
      <c r="V11" s="23"/>
      <c r="W11" s="23"/>
      <c r="X11" s="23"/>
      <c r="Y11" s="23"/>
      <c r="Z11" s="23"/>
      <c r="AA11" s="23"/>
      <c r="AB11" s="23"/>
      <c r="AC11" s="23"/>
      <c r="AD11" s="23"/>
      <c r="AE11" s="23"/>
    </row>
    <row r="12" spans="1:46" s="2" customFormat="1" ht="12" customHeight="1">
      <c r="A12" s="271"/>
      <c r="B12" s="270"/>
      <c r="C12" s="271"/>
      <c r="D12" s="268" t="s">
        <v>1777</v>
      </c>
      <c r="E12" s="271"/>
      <c r="F12" s="271"/>
      <c r="G12" s="271"/>
      <c r="H12" s="271"/>
      <c r="I12" s="271"/>
      <c r="J12" s="271"/>
      <c r="K12" s="271"/>
      <c r="L12" s="64"/>
      <c r="S12" s="23"/>
      <c r="T12" s="23"/>
      <c r="U12" s="23"/>
      <c r="V12" s="23"/>
      <c r="W12" s="23"/>
      <c r="X12" s="23"/>
      <c r="Y12" s="23"/>
      <c r="Z12" s="23"/>
      <c r="AA12" s="23"/>
      <c r="AB12" s="23"/>
      <c r="AC12" s="23"/>
      <c r="AD12" s="23"/>
      <c r="AE12" s="23"/>
    </row>
    <row r="13" spans="1:46" s="2" customFormat="1" ht="14.45" customHeight="1">
      <c r="A13" s="271"/>
      <c r="B13" s="270"/>
      <c r="C13" s="271"/>
      <c r="D13" s="271"/>
      <c r="E13" s="689" t="s">
        <v>1778</v>
      </c>
      <c r="F13" s="721"/>
      <c r="G13" s="721"/>
      <c r="H13" s="721"/>
      <c r="I13" s="271"/>
      <c r="J13" s="271"/>
      <c r="K13" s="271"/>
      <c r="L13" s="64"/>
      <c r="S13" s="23"/>
      <c r="T13" s="23"/>
      <c r="U13" s="23"/>
      <c r="V13" s="23"/>
      <c r="W13" s="23"/>
      <c r="X13" s="23"/>
      <c r="Y13" s="23"/>
      <c r="Z13" s="23"/>
      <c r="AA13" s="23"/>
      <c r="AB13" s="23"/>
      <c r="AC13" s="23"/>
      <c r="AD13" s="23"/>
      <c r="AE13" s="23"/>
    </row>
    <row r="14" spans="1:46" s="2" customFormat="1">
      <c r="A14" s="271"/>
      <c r="B14" s="270"/>
      <c r="C14" s="271"/>
      <c r="D14" s="271"/>
      <c r="E14" s="271"/>
      <c r="F14" s="271"/>
      <c r="G14" s="271"/>
      <c r="H14" s="271"/>
      <c r="I14" s="271"/>
      <c r="J14" s="271"/>
      <c r="K14" s="271"/>
      <c r="L14" s="64"/>
      <c r="S14" s="23"/>
      <c r="T14" s="23"/>
      <c r="U14" s="23"/>
      <c r="V14" s="23"/>
      <c r="W14" s="23"/>
      <c r="X14" s="23"/>
      <c r="Y14" s="23"/>
      <c r="Z14" s="23"/>
      <c r="AA14" s="23"/>
      <c r="AB14" s="23"/>
      <c r="AC14" s="23"/>
      <c r="AD14" s="23"/>
      <c r="AE14" s="23"/>
    </row>
    <row r="15" spans="1:46" s="2" customFormat="1" ht="12" customHeight="1">
      <c r="A15" s="271"/>
      <c r="B15" s="270"/>
      <c r="C15" s="271"/>
      <c r="D15" s="268" t="s">
        <v>17</v>
      </c>
      <c r="E15" s="271"/>
      <c r="F15" s="273" t="s">
        <v>3</v>
      </c>
      <c r="G15" s="271"/>
      <c r="H15" s="271"/>
      <c r="I15" s="268" t="s">
        <v>18</v>
      </c>
      <c r="J15" s="273" t="s">
        <v>3</v>
      </c>
      <c r="K15" s="271"/>
      <c r="L15" s="64"/>
      <c r="S15" s="23"/>
      <c r="T15" s="23"/>
      <c r="U15" s="23"/>
      <c r="V15" s="23"/>
      <c r="W15" s="23"/>
      <c r="X15" s="23"/>
      <c r="Y15" s="23"/>
      <c r="Z15" s="23"/>
      <c r="AA15" s="23"/>
      <c r="AB15" s="23"/>
      <c r="AC15" s="23"/>
      <c r="AD15" s="23"/>
      <c r="AE15" s="23"/>
    </row>
    <row r="16" spans="1:46" s="2" customFormat="1" ht="12" customHeight="1">
      <c r="A16" s="271"/>
      <c r="B16" s="270"/>
      <c r="C16" s="271"/>
      <c r="D16" s="268" t="s">
        <v>19</v>
      </c>
      <c r="E16" s="271"/>
      <c r="F16" s="273" t="s">
        <v>27</v>
      </c>
      <c r="G16" s="271"/>
      <c r="H16" s="271"/>
      <c r="I16" s="268" t="s">
        <v>21</v>
      </c>
      <c r="J16" s="387">
        <f>'Rekapitulace stavby'!AN8</f>
        <v>44077</v>
      </c>
      <c r="K16" s="271"/>
      <c r="L16" s="64"/>
      <c r="S16" s="23"/>
      <c r="T16" s="23"/>
      <c r="U16" s="23"/>
      <c r="V16" s="23"/>
      <c r="W16" s="23"/>
      <c r="X16" s="23"/>
      <c r="Y16" s="23"/>
      <c r="Z16" s="23"/>
      <c r="AA16" s="23"/>
      <c r="AB16" s="23"/>
      <c r="AC16" s="23"/>
      <c r="AD16" s="23"/>
      <c r="AE16" s="23"/>
    </row>
    <row r="17" spans="1:31" s="2" customFormat="1" ht="10.9" customHeight="1">
      <c r="A17" s="271"/>
      <c r="B17" s="270"/>
      <c r="C17" s="271"/>
      <c r="D17" s="271"/>
      <c r="E17" s="271"/>
      <c r="F17" s="271"/>
      <c r="G17" s="271"/>
      <c r="H17" s="271"/>
      <c r="I17" s="271"/>
      <c r="J17" s="271"/>
      <c r="K17" s="271"/>
      <c r="L17" s="64"/>
      <c r="S17" s="23"/>
      <c r="T17" s="23"/>
      <c r="U17" s="23"/>
      <c r="V17" s="23"/>
      <c r="W17" s="23"/>
      <c r="X17" s="23"/>
      <c r="Y17" s="23"/>
      <c r="Z17" s="23"/>
      <c r="AA17" s="23"/>
      <c r="AB17" s="23"/>
      <c r="AC17" s="23"/>
      <c r="AD17" s="23"/>
      <c r="AE17" s="23"/>
    </row>
    <row r="18" spans="1:31" s="2" customFormat="1" ht="12" customHeight="1">
      <c r="A18" s="271"/>
      <c r="B18" s="270"/>
      <c r="C18" s="271"/>
      <c r="D18" s="268" t="s">
        <v>22</v>
      </c>
      <c r="E18" s="271"/>
      <c r="F18" s="271"/>
      <c r="G18" s="271"/>
      <c r="H18" s="271"/>
      <c r="I18" s="268" t="s">
        <v>23</v>
      </c>
      <c r="J18" s="273" t="s">
        <v>3</v>
      </c>
      <c r="K18" s="271"/>
      <c r="L18" s="64"/>
      <c r="S18" s="23"/>
      <c r="T18" s="23"/>
      <c r="U18" s="23"/>
      <c r="V18" s="23"/>
      <c r="W18" s="23"/>
      <c r="X18" s="23"/>
      <c r="Y18" s="23"/>
      <c r="Z18" s="23"/>
      <c r="AA18" s="23"/>
      <c r="AB18" s="23"/>
      <c r="AC18" s="23"/>
      <c r="AD18" s="23"/>
      <c r="AE18" s="23"/>
    </row>
    <row r="19" spans="1:31" s="2" customFormat="1" ht="18" customHeight="1">
      <c r="A19" s="271"/>
      <c r="B19" s="270"/>
      <c r="C19" s="271"/>
      <c r="D19" s="271"/>
      <c r="E19" s="273" t="s">
        <v>24</v>
      </c>
      <c r="F19" s="271"/>
      <c r="G19" s="271"/>
      <c r="H19" s="271"/>
      <c r="I19" s="268" t="s">
        <v>25</v>
      </c>
      <c r="J19" s="273" t="s">
        <v>3</v>
      </c>
      <c r="K19" s="271"/>
      <c r="L19" s="64"/>
      <c r="S19" s="23"/>
      <c r="T19" s="23"/>
      <c r="U19" s="23"/>
      <c r="V19" s="23"/>
      <c r="W19" s="23"/>
      <c r="X19" s="23"/>
      <c r="Y19" s="23"/>
      <c r="Z19" s="23"/>
      <c r="AA19" s="23"/>
      <c r="AB19" s="23"/>
      <c r="AC19" s="23"/>
      <c r="AD19" s="23"/>
      <c r="AE19" s="23"/>
    </row>
    <row r="20" spans="1:31" s="2" customFormat="1" ht="6.95" customHeight="1">
      <c r="A20" s="271"/>
      <c r="B20" s="270"/>
      <c r="C20" s="271"/>
      <c r="D20" s="271"/>
      <c r="E20" s="271"/>
      <c r="F20" s="271"/>
      <c r="G20" s="271"/>
      <c r="H20" s="271"/>
      <c r="I20" s="271"/>
      <c r="J20" s="271"/>
      <c r="K20" s="271"/>
      <c r="L20" s="64"/>
      <c r="S20" s="23"/>
      <c r="T20" s="23"/>
      <c r="U20" s="23"/>
      <c r="V20" s="23"/>
      <c r="W20" s="23"/>
      <c r="X20" s="23"/>
      <c r="Y20" s="23"/>
      <c r="Z20" s="23"/>
      <c r="AA20" s="23"/>
      <c r="AB20" s="23"/>
      <c r="AC20" s="23"/>
      <c r="AD20" s="23"/>
      <c r="AE20" s="23"/>
    </row>
    <row r="21" spans="1:31" s="2" customFormat="1" ht="12" customHeight="1">
      <c r="A21" s="271"/>
      <c r="B21" s="270"/>
      <c r="C21" s="271"/>
      <c r="D21" s="268" t="s">
        <v>26</v>
      </c>
      <c r="E21" s="271"/>
      <c r="F21" s="271"/>
      <c r="G21" s="271"/>
      <c r="H21" s="271"/>
      <c r="I21" s="268" t="s">
        <v>23</v>
      </c>
      <c r="J21" s="273" t="str">
        <f>'Rekapitulace stavby'!AN13</f>
        <v/>
      </c>
      <c r="K21" s="271"/>
      <c r="L21" s="64"/>
      <c r="S21" s="23"/>
      <c r="T21" s="23"/>
      <c r="U21" s="23"/>
      <c r="V21" s="23"/>
      <c r="W21" s="23"/>
      <c r="X21" s="23"/>
      <c r="Y21" s="23"/>
      <c r="Z21" s="23"/>
      <c r="AA21" s="23"/>
      <c r="AB21" s="23"/>
      <c r="AC21" s="23"/>
      <c r="AD21" s="23"/>
      <c r="AE21" s="23"/>
    </row>
    <row r="22" spans="1:31" s="2" customFormat="1" ht="18" customHeight="1">
      <c r="A22" s="271"/>
      <c r="B22" s="270"/>
      <c r="C22" s="271"/>
      <c r="D22" s="271"/>
      <c r="E22" s="714" t="str">
        <f>'Rekapitulace stavby'!E14</f>
        <v xml:space="preserve"> </v>
      </c>
      <c r="F22" s="714"/>
      <c r="G22" s="714"/>
      <c r="H22" s="714"/>
      <c r="I22" s="268" t="s">
        <v>25</v>
      </c>
      <c r="J22" s="273" t="str">
        <f>'Rekapitulace stavby'!AN14</f>
        <v/>
      </c>
      <c r="K22" s="271"/>
      <c r="L22" s="64"/>
      <c r="S22" s="23"/>
      <c r="T22" s="23"/>
      <c r="U22" s="23"/>
      <c r="V22" s="23"/>
      <c r="W22" s="23"/>
      <c r="X22" s="23"/>
      <c r="Y22" s="23"/>
      <c r="Z22" s="23"/>
      <c r="AA22" s="23"/>
      <c r="AB22" s="23"/>
      <c r="AC22" s="23"/>
      <c r="AD22" s="23"/>
      <c r="AE22" s="23"/>
    </row>
    <row r="23" spans="1:31" s="2" customFormat="1" ht="6.95" customHeight="1">
      <c r="A23" s="271"/>
      <c r="B23" s="270"/>
      <c r="C23" s="271"/>
      <c r="D23" s="271"/>
      <c r="E23" s="271"/>
      <c r="F23" s="271"/>
      <c r="G23" s="271"/>
      <c r="H23" s="271"/>
      <c r="I23" s="271"/>
      <c r="J23" s="271"/>
      <c r="K23" s="271"/>
      <c r="L23" s="64"/>
      <c r="S23" s="23"/>
      <c r="T23" s="23"/>
      <c r="U23" s="23"/>
      <c r="V23" s="23"/>
      <c r="W23" s="23"/>
      <c r="X23" s="23"/>
      <c r="Y23" s="23"/>
      <c r="Z23" s="23"/>
      <c r="AA23" s="23"/>
      <c r="AB23" s="23"/>
      <c r="AC23" s="23"/>
      <c r="AD23" s="23"/>
      <c r="AE23" s="23"/>
    </row>
    <row r="24" spans="1:31" s="2" customFormat="1" ht="12" customHeight="1">
      <c r="A24" s="271"/>
      <c r="B24" s="270"/>
      <c r="C24" s="271"/>
      <c r="D24" s="268" t="s">
        <v>28</v>
      </c>
      <c r="E24" s="271"/>
      <c r="F24" s="271"/>
      <c r="G24" s="271"/>
      <c r="H24" s="271"/>
      <c r="I24" s="268" t="s">
        <v>23</v>
      </c>
      <c r="J24" s="273" t="s">
        <v>3</v>
      </c>
      <c r="K24" s="271"/>
      <c r="L24" s="64"/>
      <c r="S24" s="23"/>
      <c r="T24" s="23"/>
      <c r="U24" s="23"/>
      <c r="V24" s="23"/>
      <c r="W24" s="23"/>
      <c r="X24" s="23"/>
      <c r="Y24" s="23"/>
      <c r="Z24" s="23"/>
      <c r="AA24" s="23"/>
      <c r="AB24" s="23"/>
      <c r="AC24" s="23"/>
      <c r="AD24" s="23"/>
      <c r="AE24" s="23"/>
    </row>
    <row r="25" spans="1:31" s="2" customFormat="1" ht="18" customHeight="1">
      <c r="A25" s="271"/>
      <c r="B25" s="270"/>
      <c r="C25" s="271"/>
      <c r="D25" s="271"/>
      <c r="E25" s="273" t="s">
        <v>29</v>
      </c>
      <c r="F25" s="271"/>
      <c r="G25" s="271"/>
      <c r="H25" s="271"/>
      <c r="I25" s="268" t="s">
        <v>25</v>
      </c>
      <c r="J25" s="273" t="s">
        <v>3</v>
      </c>
      <c r="K25" s="271"/>
      <c r="L25" s="64"/>
      <c r="S25" s="23"/>
      <c r="T25" s="23"/>
      <c r="U25" s="23"/>
      <c r="V25" s="23"/>
      <c r="W25" s="23"/>
      <c r="X25" s="23"/>
      <c r="Y25" s="23"/>
      <c r="Z25" s="23"/>
      <c r="AA25" s="23"/>
      <c r="AB25" s="23"/>
      <c r="AC25" s="23"/>
      <c r="AD25" s="23"/>
      <c r="AE25" s="23"/>
    </row>
    <row r="26" spans="1:31" s="2" customFormat="1" ht="6.95" customHeight="1">
      <c r="A26" s="271"/>
      <c r="B26" s="270"/>
      <c r="C26" s="271"/>
      <c r="D26" s="271"/>
      <c r="E26" s="271"/>
      <c r="F26" s="271"/>
      <c r="G26" s="271"/>
      <c r="H26" s="271"/>
      <c r="I26" s="271"/>
      <c r="J26" s="271"/>
      <c r="K26" s="271"/>
      <c r="L26" s="64"/>
      <c r="S26" s="23"/>
      <c r="T26" s="23"/>
      <c r="U26" s="23"/>
      <c r="V26" s="23"/>
      <c r="W26" s="23"/>
      <c r="X26" s="23"/>
      <c r="Y26" s="23"/>
      <c r="Z26" s="23"/>
      <c r="AA26" s="23"/>
      <c r="AB26" s="23"/>
      <c r="AC26" s="23"/>
      <c r="AD26" s="23"/>
      <c r="AE26" s="23"/>
    </row>
    <row r="27" spans="1:31" s="2" customFormat="1" ht="12" customHeight="1">
      <c r="A27" s="271"/>
      <c r="B27" s="270"/>
      <c r="C27" s="271"/>
      <c r="D27" s="268" t="s">
        <v>31</v>
      </c>
      <c r="E27" s="271"/>
      <c r="F27" s="271"/>
      <c r="G27" s="271"/>
      <c r="H27" s="271"/>
      <c r="I27" s="268" t="s">
        <v>23</v>
      </c>
      <c r="J27" s="273" t="s">
        <v>3</v>
      </c>
      <c r="K27" s="271"/>
      <c r="L27" s="64"/>
      <c r="S27" s="23"/>
      <c r="T27" s="23"/>
      <c r="U27" s="23"/>
      <c r="V27" s="23"/>
      <c r="W27" s="23"/>
      <c r="X27" s="23"/>
      <c r="Y27" s="23"/>
      <c r="Z27" s="23"/>
      <c r="AA27" s="23"/>
      <c r="AB27" s="23"/>
      <c r="AC27" s="23"/>
      <c r="AD27" s="23"/>
      <c r="AE27" s="23"/>
    </row>
    <row r="28" spans="1:31" s="2" customFormat="1" ht="18" customHeight="1">
      <c r="A28" s="271"/>
      <c r="B28" s="270"/>
      <c r="C28" s="271"/>
      <c r="D28" s="271"/>
      <c r="E28" s="273" t="s">
        <v>29</v>
      </c>
      <c r="F28" s="271"/>
      <c r="G28" s="271"/>
      <c r="H28" s="271"/>
      <c r="I28" s="268" t="s">
        <v>25</v>
      </c>
      <c r="J28" s="273" t="s">
        <v>3</v>
      </c>
      <c r="K28" s="271"/>
      <c r="L28" s="64"/>
      <c r="S28" s="23"/>
      <c r="T28" s="23"/>
      <c r="U28" s="23"/>
      <c r="V28" s="23"/>
      <c r="W28" s="23"/>
      <c r="X28" s="23"/>
      <c r="Y28" s="23"/>
      <c r="Z28" s="23"/>
      <c r="AA28" s="23"/>
      <c r="AB28" s="23"/>
      <c r="AC28" s="23"/>
      <c r="AD28" s="23"/>
      <c r="AE28" s="23"/>
    </row>
    <row r="29" spans="1:31" s="2" customFormat="1" ht="6.95" customHeight="1">
      <c r="A29" s="271"/>
      <c r="B29" s="270"/>
      <c r="C29" s="271"/>
      <c r="D29" s="271"/>
      <c r="E29" s="271"/>
      <c r="F29" s="271"/>
      <c r="G29" s="271"/>
      <c r="H29" s="271"/>
      <c r="I29" s="271"/>
      <c r="J29" s="271"/>
      <c r="K29" s="271"/>
      <c r="L29" s="64"/>
      <c r="S29" s="23"/>
      <c r="T29" s="23"/>
      <c r="U29" s="23"/>
      <c r="V29" s="23"/>
      <c r="W29" s="23"/>
      <c r="X29" s="23"/>
      <c r="Y29" s="23"/>
      <c r="Z29" s="23"/>
      <c r="AA29" s="23"/>
      <c r="AB29" s="23"/>
      <c r="AC29" s="23"/>
      <c r="AD29" s="23"/>
      <c r="AE29" s="23"/>
    </row>
    <row r="30" spans="1:31" s="2" customFormat="1" ht="12" customHeight="1">
      <c r="A30" s="271"/>
      <c r="B30" s="270"/>
      <c r="C30" s="271"/>
      <c r="D30" s="268" t="s">
        <v>32</v>
      </c>
      <c r="E30" s="271"/>
      <c r="F30" s="271"/>
      <c r="G30" s="271"/>
      <c r="H30" s="271"/>
      <c r="I30" s="271"/>
      <c r="J30" s="271"/>
      <c r="K30" s="271"/>
      <c r="L30" s="64"/>
      <c r="S30" s="23"/>
      <c r="T30" s="23"/>
      <c r="U30" s="23"/>
      <c r="V30" s="23"/>
      <c r="W30" s="23"/>
      <c r="X30" s="23"/>
      <c r="Y30" s="23"/>
      <c r="Z30" s="23"/>
      <c r="AA30" s="23"/>
      <c r="AB30" s="23"/>
      <c r="AC30" s="23"/>
      <c r="AD30" s="23"/>
      <c r="AE30" s="23"/>
    </row>
    <row r="31" spans="1:31" s="8" customFormat="1" ht="14.45" customHeight="1">
      <c r="A31" s="274"/>
      <c r="B31" s="275"/>
      <c r="C31" s="274"/>
      <c r="D31" s="274"/>
      <c r="E31" s="707" t="s">
        <v>3</v>
      </c>
      <c r="F31" s="707"/>
      <c r="G31" s="707"/>
      <c r="H31" s="707"/>
      <c r="I31" s="274"/>
      <c r="J31" s="274"/>
      <c r="K31" s="274"/>
      <c r="L31" s="66"/>
      <c r="S31" s="65"/>
      <c r="T31" s="65"/>
      <c r="U31" s="65"/>
      <c r="V31" s="65"/>
      <c r="W31" s="65"/>
      <c r="X31" s="65"/>
      <c r="Y31" s="65"/>
      <c r="Z31" s="65"/>
      <c r="AA31" s="65"/>
      <c r="AB31" s="65"/>
      <c r="AC31" s="65"/>
      <c r="AD31" s="65"/>
      <c r="AE31" s="65"/>
    </row>
    <row r="32" spans="1:31" s="2" customFormat="1" ht="6.95" customHeight="1">
      <c r="A32" s="271"/>
      <c r="B32" s="270"/>
      <c r="C32" s="271"/>
      <c r="D32" s="271"/>
      <c r="E32" s="271"/>
      <c r="F32" s="271"/>
      <c r="G32" s="271"/>
      <c r="H32" s="271"/>
      <c r="I32" s="271"/>
      <c r="J32" s="271"/>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25.35" customHeight="1">
      <c r="A34" s="271"/>
      <c r="B34" s="270"/>
      <c r="C34" s="271"/>
      <c r="D34" s="277" t="s">
        <v>34</v>
      </c>
      <c r="E34" s="271"/>
      <c r="F34" s="271"/>
      <c r="G34" s="271"/>
      <c r="H34" s="271"/>
      <c r="I34" s="271"/>
      <c r="J34" s="388">
        <f>ROUND(J93, 2)</f>
        <v>0</v>
      </c>
      <c r="K34" s="271"/>
      <c r="L34" s="64"/>
      <c r="S34" s="23"/>
      <c r="T34" s="23"/>
      <c r="U34" s="23"/>
      <c r="V34" s="23"/>
      <c r="W34" s="23"/>
      <c r="X34" s="23"/>
      <c r="Y34" s="23"/>
      <c r="Z34" s="23"/>
      <c r="AA34" s="23"/>
      <c r="AB34" s="23"/>
      <c r="AC34" s="23"/>
      <c r="AD34" s="23"/>
      <c r="AE34" s="23"/>
    </row>
    <row r="35" spans="1:31" s="2" customFormat="1" ht="6.95" customHeight="1">
      <c r="A35" s="271"/>
      <c r="B35" s="270"/>
      <c r="C35" s="271"/>
      <c r="D35" s="276"/>
      <c r="E35" s="276"/>
      <c r="F35" s="276"/>
      <c r="G35" s="276"/>
      <c r="H35" s="276"/>
      <c r="I35" s="276"/>
      <c r="J35" s="276"/>
      <c r="K35" s="276"/>
      <c r="L35" s="64"/>
      <c r="S35" s="23"/>
      <c r="T35" s="23"/>
      <c r="U35" s="23"/>
      <c r="V35" s="23"/>
      <c r="W35" s="23"/>
      <c r="X35" s="23"/>
      <c r="Y35" s="23"/>
      <c r="Z35" s="23"/>
      <c r="AA35" s="23"/>
      <c r="AB35" s="23"/>
      <c r="AC35" s="23"/>
      <c r="AD35" s="23"/>
      <c r="AE35" s="23"/>
    </row>
    <row r="36" spans="1:31" s="2" customFormat="1" ht="14.45" customHeight="1">
      <c r="A36" s="271"/>
      <c r="B36" s="270"/>
      <c r="C36" s="271"/>
      <c r="D36" s="271"/>
      <c r="E36" s="271"/>
      <c r="F36" s="278" t="s">
        <v>36</v>
      </c>
      <c r="G36" s="271"/>
      <c r="H36" s="271"/>
      <c r="I36" s="278" t="s">
        <v>35</v>
      </c>
      <c r="J36" s="278" t="s">
        <v>37</v>
      </c>
      <c r="K36" s="271"/>
      <c r="L36" s="64"/>
      <c r="S36" s="23"/>
      <c r="T36" s="23"/>
      <c r="U36" s="23"/>
      <c r="V36" s="23"/>
      <c r="W36" s="23"/>
      <c r="X36" s="23"/>
      <c r="Y36" s="23"/>
      <c r="Z36" s="23"/>
      <c r="AA36" s="23"/>
      <c r="AB36" s="23"/>
      <c r="AC36" s="23"/>
      <c r="AD36" s="23"/>
      <c r="AE36" s="23"/>
    </row>
    <row r="37" spans="1:31" s="2" customFormat="1" ht="14.45" customHeight="1">
      <c r="A37" s="271"/>
      <c r="B37" s="270"/>
      <c r="C37" s="271"/>
      <c r="D37" s="279" t="s">
        <v>38</v>
      </c>
      <c r="E37" s="268" t="s">
        <v>39</v>
      </c>
      <c r="F37" s="280">
        <f>ROUND((SUM(BE93:BE96)),  2)</f>
        <v>0</v>
      </c>
      <c r="G37" s="271"/>
      <c r="H37" s="271"/>
      <c r="I37" s="389">
        <v>0.21</v>
      </c>
      <c r="J37" s="280">
        <f>ROUND(((SUM(BE93:BE96))*I37),  2)</f>
        <v>0</v>
      </c>
      <c r="K37" s="271"/>
      <c r="L37" s="64"/>
      <c r="S37" s="23"/>
      <c r="T37" s="23"/>
      <c r="U37" s="23"/>
      <c r="V37" s="23"/>
      <c r="W37" s="23"/>
      <c r="X37" s="23"/>
      <c r="Y37" s="23"/>
      <c r="Z37" s="23"/>
      <c r="AA37" s="23"/>
      <c r="AB37" s="23"/>
      <c r="AC37" s="23"/>
      <c r="AD37" s="23"/>
      <c r="AE37" s="23"/>
    </row>
    <row r="38" spans="1:31" s="2" customFormat="1" ht="14.45" customHeight="1">
      <c r="A38" s="271"/>
      <c r="B38" s="270"/>
      <c r="C38" s="271"/>
      <c r="D38" s="271"/>
      <c r="E38" s="268" t="s">
        <v>40</v>
      </c>
      <c r="F38" s="280">
        <f>ROUND((SUM(BF93:BF96)),  2)</f>
        <v>0</v>
      </c>
      <c r="G38" s="271"/>
      <c r="H38" s="271"/>
      <c r="I38" s="389">
        <v>0.15</v>
      </c>
      <c r="J38" s="280">
        <f>ROUND(((SUM(BF93:BF96))*I38),  2)</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41</v>
      </c>
      <c r="F39" s="280">
        <f>ROUND((SUM(BG93:BG96)),  2)</f>
        <v>0</v>
      </c>
      <c r="G39" s="271"/>
      <c r="H39" s="271"/>
      <c r="I39" s="389">
        <v>0.21</v>
      </c>
      <c r="J39" s="280">
        <f>0</f>
        <v>0</v>
      </c>
      <c r="K39" s="271"/>
      <c r="L39" s="64"/>
      <c r="S39" s="23"/>
      <c r="T39" s="23"/>
      <c r="U39" s="23"/>
      <c r="V39" s="23"/>
      <c r="W39" s="23"/>
      <c r="X39" s="23"/>
      <c r="Y39" s="23"/>
      <c r="Z39" s="23"/>
      <c r="AA39" s="23"/>
      <c r="AB39" s="23"/>
      <c r="AC39" s="23"/>
      <c r="AD39" s="23"/>
      <c r="AE39" s="23"/>
    </row>
    <row r="40" spans="1:31" s="2" customFormat="1" ht="14.45" hidden="1" customHeight="1">
      <c r="A40" s="271"/>
      <c r="B40" s="270"/>
      <c r="C40" s="271"/>
      <c r="D40" s="271"/>
      <c r="E40" s="268" t="s">
        <v>42</v>
      </c>
      <c r="F40" s="280">
        <f>ROUND((SUM(BH93:BH96)),  2)</f>
        <v>0</v>
      </c>
      <c r="G40" s="271"/>
      <c r="H40" s="271"/>
      <c r="I40" s="389">
        <v>0.15</v>
      </c>
      <c r="J40" s="280">
        <f>0</f>
        <v>0</v>
      </c>
      <c r="K40" s="271"/>
      <c r="L40" s="64"/>
      <c r="S40" s="23"/>
      <c r="T40" s="23"/>
      <c r="U40" s="23"/>
      <c r="V40" s="23"/>
      <c r="W40" s="23"/>
      <c r="X40" s="23"/>
      <c r="Y40" s="23"/>
      <c r="Z40" s="23"/>
      <c r="AA40" s="23"/>
      <c r="AB40" s="23"/>
      <c r="AC40" s="23"/>
      <c r="AD40" s="23"/>
      <c r="AE40" s="23"/>
    </row>
    <row r="41" spans="1:31" s="2" customFormat="1" ht="14.45" hidden="1" customHeight="1">
      <c r="A41" s="271"/>
      <c r="B41" s="270"/>
      <c r="C41" s="271"/>
      <c r="D41" s="271"/>
      <c r="E41" s="268" t="s">
        <v>43</v>
      </c>
      <c r="F41" s="280">
        <f>ROUND((SUM(BI93:BI96)),  2)</f>
        <v>0</v>
      </c>
      <c r="G41" s="271"/>
      <c r="H41" s="271"/>
      <c r="I41" s="389">
        <v>0</v>
      </c>
      <c r="J41" s="280">
        <f>0</f>
        <v>0</v>
      </c>
      <c r="K41" s="271"/>
      <c r="L41" s="64"/>
      <c r="S41" s="23"/>
      <c r="T41" s="23"/>
      <c r="U41" s="23"/>
      <c r="V41" s="23"/>
      <c r="W41" s="23"/>
      <c r="X41" s="23"/>
      <c r="Y41" s="23"/>
      <c r="Z41" s="23"/>
      <c r="AA41" s="23"/>
      <c r="AB41" s="23"/>
      <c r="AC41" s="23"/>
      <c r="AD41" s="23"/>
      <c r="AE41" s="23"/>
    </row>
    <row r="42" spans="1:31" s="2" customFormat="1" ht="6.95" customHeight="1">
      <c r="A42" s="271"/>
      <c r="B42" s="270"/>
      <c r="C42" s="271"/>
      <c r="D42" s="271"/>
      <c r="E42" s="271"/>
      <c r="F42" s="271"/>
      <c r="G42" s="271"/>
      <c r="H42" s="271"/>
      <c r="I42" s="271"/>
      <c r="J42" s="271"/>
      <c r="K42" s="271"/>
      <c r="L42" s="64"/>
      <c r="S42" s="23"/>
      <c r="T42" s="23"/>
      <c r="U42" s="23"/>
      <c r="V42" s="23"/>
      <c r="W42" s="23"/>
      <c r="X42" s="23"/>
      <c r="Y42" s="23"/>
      <c r="Z42" s="23"/>
      <c r="AA42" s="23"/>
      <c r="AB42" s="23"/>
      <c r="AC42" s="23"/>
      <c r="AD42" s="23"/>
      <c r="AE42" s="23"/>
    </row>
    <row r="43" spans="1:31" s="2" customFormat="1" ht="25.35" customHeight="1">
      <c r="A43" s="271"/>
      <c r="B43" s="270"/>
      <c r="C43" s="281"/>
      <c r="D43" s="282" t="s">
        <v>44</v>
      </c>
      <c r="E43" s="283"/>
      <c r="F43" s="283"/>
      <c r="G43" s="284" t="s">
        <v>45</v>
      </c>
      <c r="H43" s="285" t="s">
        <v>46</v>
      </c>
      <c r="I43" s="283"/>
      <c r="J43" s="390">
        <f>SUM(J34:J41)</f>
        <v>0</v>
      </c>
      <c r="K43" s="339"/>
      <c r="L43" s="64"/>
      <c r="S43" s="23"/>
      <c r="T43" s="23"/>
      <c r="U43" s="23"/>
      <c r="V43" s="23"/>
      <c r="W43" s="23"/>
      <c r="X43" s="23"/>
      <c r="Y43" s="23"/>
      <c r="Z43" s="23"/>
      <c r="AA43" s="23"/>
      <c r="AB43" s="23"/>
      <c r="AC43" s="23"/>
      <c r="AD43" s="23"/>
      <c r="AE43" s="23"/>
    </row>
    <row r="44" spans="1:31" s="2" customFormat="1" ht="14.45" customHeight="1">
      <c r="A44" s="271"/>
      <c r="B44" s="286"/>
      <c r="C44" s="287"/>
      <c r="D44" s="287"/>
      <c r="E44" s="287"/>
      <c r="F44" s="287"/>
      <c r="G44" s="287"/>
      <c r="H44" s="287"/>
      <c r="I44" s="287"/>
      <c r="J44" s="287"/>
      <c r="K44" s="287"/>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1"/>
      <c r="B48" s="288"/>
      <c r="C48" s="289"/>
      <c r="D48" s="289"/>
      <c r="E48" s="289"/>
      <c r="F48" s="289"/>
      <c r="G48" s="289"/>
      <c r="H48" s="289"/>
      <c r="I48" s="289"/>
      <c r="J48" s="289"/>
      <c r="K48" s="289"/>
      <c r="L48" s="64"/>
      <c r="S48" s="23"/>
      <c r="T48" s="23"/>
      <c r="U48" s="23"/>
      <c r="V48" s="23"/>
      <c r="W48" s="23"/>
      <c r="X48" s="23"/>
      <c r="Y48" s="23"/>
      <c r="Z48" s="23"/>
      <c r="AA48" s="23"/>
      <c r="AB48" s="23"/>
      <c r="AC48" s="23"/>
      <c r="AD48" s="23"/>
      <c r="AE48" s="23"/>
    </row>
    <row r="49" spans="1:31" s="2" customFormat="1" ht="24.95" customHeight="1">
      <c r="A49" s="271"/>
      <c r="B49" s="270"/>
      <c r="C49" s="266" t="s">
        <v>167</v>
      </c>
      <c r="D49" s="271"/>
      <c r="E49" s="271"/>
      <c r="F49" s="271"/>
      <c r="G49" s="271"/>
      <c r="H49" s="271"/>
      <c r="I49" s="271"/>
      <c r="J49" s="271"/>
      <c r="K49" s="271"/>
      <c r="L49" s="64"/>
      <c r="S49" s="23"/>
      <c r="T49" s="23"/>
      <c r="U49" s="23"/>
      <c r="V49" s="23"/>
      <c r="W49" s="23"/>
      <c r="X49" s="23"/>
      <c r="Y49" s="23"/>
      <c r="Z49" s="23"/>
      <c r="AA49" s="23"/>
      <c r="AB49" s="23"/>
      <c r="AC49" s="23"/>
      <c r="AD49" s="23"/>
      <c r="AE49" s="23"/>
    </row>
    <row r="50" spans="1:31" s="2" customFormat="1" ht="6.95" customHeight="1">
      <c r="A50" s="271"/>
      <c r="B50" s="270"/>
      <c r="C50" s="271"/>
      <c r="D50" s="271"/>
      <c r="E50" s="271"/>
      <c r="F50" s="271"/>
      <c r="G50" s="271"/>
      <c r="H50" s="271"/>
      <c r="I50" s="271"/>
      <c r="J50" s="271"/>
      <c r="K50" s="271"/>
      <c r="L50" s="64"/>
      <c r="S50" s="23"/>
      <c r="T50" s="23"/>
      <c r="U50" s="23"/>
      <c r="V50" s="23"/>
      <c r="W50" s="23"/>
      <c r="X50" s="23"/>
      <c r="Y50" s="23"/>
      <c r="Z50" s="23"/>
      <c r="AA50" s="23"/>
      <c r="AB50" s="23"/>
      <c r="AC50" s="23"/>
      <c r="AD50" s="23"/>
      <c r="AE50" s="23"/>
    </row>
    <row r="51" spans="1:31" s="2" customFormat="1" ht="12" customHeight="1">
      <c r="A51" s="271"/>
      <c r="B51" s="270"/>
      <c r="C51" s="268" t="s">
        <v>15</v>
      </c>
      <c r="D51" s="271"/>
      <c r="E51" s="271"/>
      <c r="F51" s="271"/>
      <c r="G51" s="271"/>
      <c r="H51" s="271"/>
      <c r="I51" s="271"/>
      <c r="J51" s="271"/>
      <c r="K51" s="271"/>
      <c r="L51" s="64"/>
      <c r="S51" s="23"/>
      <c r="T51" s="23"/>
      <c r="U51" s="23"/>
      <c r="V51" s="23"/>
      <c r="W51" s="23"/>
      <c r="X51" s="23"/>
      <c r="Y51" s="23"/>
      <c r="Z51" s="23"/>
      <c r="AA51" s="23"/>
      <c r="AB51" s="23"/>
      <c r="AC51" s="23"/>
      <c r="AD51" s="23"/>
      <c r="AE51" s="23"/>
    </row>
    <row r="52" spans="1:31" s="2" customFormat="1" ht="14.45" customHeight="1">
      <c r="A52" s="271"/>
      <c r="B52" s="270"/>
      <c r="C52" s="271"/>
      <c r="D52" s="271"/>
      <c r="E52" s="722" t="str">
        <f>E7</f>
        <v>Úpravy gastroprovozu Úřadu vlády ČR v 1.pp Strakovy akademie</v>
      </c>
      <c r="F52" s="723"/>
      <c r="G52" s="723"/>
      <c r="H52" s="723"/>
      <c r="I52" s="271"/>
      <c r="J52" s="271"/>
      <c r="K52" s="271"/>
      <c r="L52" s="64"/>
      <c r="S52" s="23"/>
      <c r="T52" s="23"/>
      <c r="U52" s="23"/>
      <c r="V52" s="23"/>
      <c r="W52" s="23"/>
      <c r="X52" s="23"/>
      <c r="Y52" s="23"/>
      <c r="Z52" s="23"/>
      <c r="AA52" s="23"/>
      <c r="AB52" s="23"/>
      <c r="AC52" s="23"/>
      <c r="AD52" s="23"/>
      <c r="AE52" s="23"/>
    </row>
    <row r="53" spans="1:31" s="1" customFormat="1" ht="12" customHeight="1">
      <c r="A53" s="61"/>
      <c r="B53" s="265"/>
      <c r="C53" s="268" t="s">
        <v>151</v>
      </c>
      <c r="D53" s="61"/>
      <c r="E53" s="61"/>
      <c r="F53" s="61"/>
      <c r="G53" s="61"/>
      <c r="H53" s="61"/>
      <c r="I53" s="61"/>
      <c r="J53" s="61"/>
      <c r="K53" s="61"/>
      <c r="L53" s="20"/>
    </row>
    <row r="54" spans="1:31" s="1" customFormat="1" ht="14.45" customHeight="1">
      <c r="A54" s="61"/>
      <c r="B54" s="265"/>
      <c r="C54" s="61"/>
      <c r="D54" s="61"/>
      <c r="E54" s="722" t="s">
        <v>1759</v>
      </c>
      <c r="F54" s="715"/>
      <c r="G54" s="715"/>
      <c r="H54" s="715"/>
      <c r="I54" s="61"/>
      <c r="J54" s="61"/>
      <c r="K54" s="61"/>
      <c r="L54" s="20"/>
    </row>
    <row r="55" spans="1:31" s="1" customFormat="1" ht="12" customHeight="1">
      <c r="A55" s="61"/>
      <c r="B55" s="265"/>
      <c r="C55" s="268" t="s">
        <v>157</v>
      </c>
      <c r="D55" s="61"/>
      <c r="E55" s="61"/>
      <c r="F55" s="61"/>
      <c r="G55" s="61"/>
      <c r="H55" s="61"/>
      <c r="I55" s="61"/>
      <c r="J55" s="61"/>
      <c r="K55" s="61"/>
      <c r="L55" s="20"/>
    </row>
    <row r="56" spans="1:31" s="2" customFormat="1" ht="14.45" customHeight="1">
      <c r="A56" s="271"/>
      <c r="B56" s="270"/>
      <c r="C56" s="271"/>
      <c r="D56" s="271"/>
      <c r="E56" s="762" t="s">
        <v>1776</v>
      </c>
      <c r="F56" s="721"/>
      <c r="G56" s="721"/>
      <c r="H56" s="721"/>
      <c r="I56" s="271"/>
      <c r="J56" s="271"/>
      <c r="K56" s="271"/>
      <c r="L56" s="64"/>
      <c r="S56" s="23"/>
      <c r="T56" s="23"/>
      <c r="U56" s="23"/>
      <c r="V56" s="23"/>
      <c r="W56" s="23"/>
      <c r="X56" s="23"/>
      <c r="Y56" s="23"/>
      <c r="Z56" s="23"/>
      <c r="AA56" s="23"/>
      <c r="AB56" s="23"/>
      <c r="AC56" s="23"/>
      <c r="AD56" s="23"/>
      <c r="AE56" s="23"/>
    </row>
    <row r="57" spans="1:31" s="2" customFormat="1" ht="12" customHeight="1">
      <c r="A57" s="271"/>
      <c r="B57" s="270"/>
      <c r="C57" s="268" t="s">
        <v>1777</v>
      </c>
      <c r="D57" s="271"/>
      <c r="E57" s="271"/>
      <c r="F57" s="271"/>
      <c r="G57" s="271"/>
      <c r="H57" s="271"/>
      <c r="I57" s="271"/>
      <c r="J57" s="271"/>
      <c r="K57" s="271"/>
      <c r="L57" s="64"/>
      <c r="S57" s="23"/>
      <c r="T57" s="23"/>
      <c r="U57" s="23"/>
      <c r="V57" s="23"/>
      <c r="W57" s="23"/>
      <c r="X57" s="23"/>
      <c r="Y57" s="23"/>
      <c r="Z57" s="23"/>
      <c r="AA57" s="23"/>
      <c r="AB57" s="23"/>
      <c r="AC57" s="23"/>
      <c r="AD57" s="23"/>
      <c r="AE57" s="23"/>
    </row>
    <row r="58" spans="1:31" s="2" customFormat="1" ht="14.45" customHeight="1">
      <c r="A58" s="271"/>
      <c r="B58" s="270"/>
      <c r="C58" s="271"/>
      <c r="D58" s="271"/>
      <c r="E58" s="689" t="str">
        <f>E13</f>
        <v>D.1.4.04.1 - Soupis prací - EPS</v>
      </c>
      <c r="F58" s="721"/>
      <c r="G58" s="721"/>
      <c r="H58" s="721"/>
      <c r="I58" s="271"/>
      <c r="J58" s="271"/>
      <c r="K58" s="271"/>
      <c r="L58" s="64"/>
      <c r="S58" s="23"/>
      <c r="T58" s="23"/>
      <c r="U58" s="23"/>
      <c r="V58" s="23"/>
      <c r="W58" s="23"/>
      <c r="X58" s="23"/>
      <c r="Y58" s="23"/>
      <c r="Z58" s="23"/>
      <c r="AA58" s="23"/>
      <c r="AB58" s="23"/>
      <c r="AC58" s="23"/>
      <c r="AD58" s="23"/>
      <c r="AE58" s="23"/>
    </row>
    <row r="59" spans="1:31" s="2" customFormat="1" ht="6.95" customHeight="1">
      <c r="A59" s="271"/>
      <c r="B59" s="270"/>
      <c r="C59" s="271"/>
      <c r="D59" s="271"/>
      <c r="E59" s="271"/>
      <c r="F59" s="271"/>
      <c r="G59" s="271"/>
      <c r="H59" s="271"/>
      <c r="I59" s="271"/>
      <c r="J59" s="271"/>
      <c r="K59" s="271"/>
      <c r="L59" s="64"/>
      <c r="S59" s="23"/>
      <c r="T59" s="23"/>
      <c r="U59" s="23"/>
      <c r="V59" s="23"/>
      <c r="W59" s="23"/>
      <c r="X59" s="23"/>
      <c r="Y59" s="23"/>
      <c r="Z59" s="23"/>
      <c r="AA59" s="23"/>
      <c r="AB59" s="23"/>
      <c r="AC59" s="23"/>
      <c r="AD59" s="23"/>
      <c r="AE59" s="23"/>
    </row>
    <row r="60" spans="1:31" s="2" customFormat="1" ht="12" customHeight="1">
      <c r="A60" s="271"/>
      <c r="B60" s="270"/>
      <c r="C60" s="268" t="s">
        <v>19</v>
      </c>
      <c r="D60" s="271"/>
      <c r="E60" s="271"/>
      <c r="F60" s="273" t="str">
        <f>F16</f>
        <v xml:space="preserve"> </v>
      </c>
      <c r="G60" s="271"/>
      <c r="H60" s="271"/>
      <c r="I60" s="268" t="s">
        <v>21</v>
      </c>
      <c r="J60" s="387">
        <f>IF(J16="","",J16)</f>
        <v>44077</v>
      </c>
      <c r="K60" s="271"/>
      <c r="L60" s="64"/>
      <c r="S60" s="23"/>
      <c r="T60" s="23"/>
      <c r="U60" s="23"/>
      <c r="V60" s="23"/>
      <c r="W60" s="23"/>
      <c r="X60" s="23"/>
      <c r="Y60" s="23"/>
      <c r="Z60" s="23"/>
      <c r="AA60" s="23"/>
      <c r="AB60" s="23"/>
      <c r="AC60" s="23"/>
      <c r="AD60" s="23"/>
      <c r="AE60" s="23"/>
    </row>
    <row r="61" spans="1:31" s="2" customFormat="1" ht="6.95" customHeight="1">
      <c r="A61" s="271"/>
      <c r="B61" s="270"/>
      <c r="C61" s="271"/>
      <c r="D61" s="271"/>
      <c r="E61" s="271"/>
      <c r="F61" s="271"/>
      <c r="G61" s="271"/>
      <c r="H61" s="271"/>
      <c r="I61" s="271"/>
      <c r="J61" s="271"/>
      <c r="K61" s="271"/>
      <c r="L61" s="64"/>
      <c r="S61" s="23"/>
      <c r="T61" s="23"/>
      <c r="U61" s="23"/>
      <c r="V61" s="23"/>
      <c r="W61" s="23"/>
      <c r="X61" s="23"/>
      <c r="Y61" s="23"/>
      <c r="Z61" s="23"/>
      <c r="AA61" s="23"/>
      <c r="AB61" s="23"/>
      <c r="AC61" s="23"/>
      <c r="AD61" s="23"/>
      <c r="AE61" s="23"/>
    </row>
    <row r="62" spans="1:31" s="2" customFormat="1" ht="26.45" customHeight="1">
      <c r="A62" s="271"/>
      <c r="B62" s="270"/>
      <c r="C62" s="268" t="s">
        <v>22</v>
      </c>
      <c r="D62" s="271"/>
      <c r="E62" s="271"/>
      <c r="F62" s="273" t="str">
        <f>E19</f>
        <v xml:space="preserve">Úřad vlády České republiky </v>
      </c>
      <c r="G62" s="271"/>
      <c r="H62" s="271"/>
      <c r="I62" s="268" t="s">
        <v>28</v>
      </c>
      <c r="J62" s="391" t="str">
        <f>E25</f>
        <v>Ateliér Simona Group</v>
      </c>
      <c r="K62" s="271"/>
      <c r="L62" s="64"/>
      <c r="S62" s="23"/>
      <c r="T62" s="23"/>
      <c r="U62" s="23"/>
      <c r="V62" s="23"/>
      <c r="W62" s="23"/>
      <c r="X62" s="23"/>
      <c r="Y62" s="23"/>
      <c r="Z62" s="23"/>
      <c r="AA62" s="23"/>
      <c r="AB62" s="23"/>
      <c r="AC62" s="23"/>
      <c r="AD62" s="23"/>
      <c r="AE62" s="23"/>
    </row>
    <row r="63" spans="1:31" s="2" customFormat="1" ht="26.45" customHeight="1">
      <c r="A63" s="271"/>
      <c r="B63" s="270"/>
      <c r="C63" s="268" t="s">
        <v>26</v>
      </c>
      <c r="D63" s="271"/>
      <c r="E63" s="271"/>
      <c r="F63" s="273" t="str">
        <f>IF(E22="","",E22)</f>
        <v xml:space="preserve"> </v>
      </c>
      <c r="G63" s="271"/>
      <c r="H63" s="271"/>
      <c r="I63" s="268" t="s">
        <v>31</v>
      </c>
      <c r="J63" s="391" t="str">
        <f>E28</f>
        <v>Ateliér Simona Group</v>
      </c>
      <c r="K63" s="271"/>
      <c r="L63" s="64"/>
      <c r="S63" s="23"/>
      <c r="T63" s="23"/>
      <c r="U63" s="23"/>
      <c r="V63" s="23"/>
      <c r="W63" s="23"/>
      <c r="X63" s="23"/>
      <c r="Y63" s="23"/>
      <c r="Z63" s="23"/>
      <c r="AA63" s="23"/>
      <c r="AB63" s="23"/>
      <c r="AC63" s="23"/>
      <c r="AD63" s="23"/>
      <c r="AE63" s="23"/>
    </row>
    <row r="64" spans="1:31" s="2" customFormat="1" ht="10.35" customHeight="1">
      <c r="A64" s="271"/>
      <c r="B64" s="270"/>
      <c r="C64" s="271"/>
      <c r="D64" s="271"/>
      <c r="E64" s="271"/>
      <c r="F64" s="271"/>
      <c r="G64" s="271"/>
      <c r="H64" s="271"/>
      <c r="I64" s="271"/>
      <c r="J64" s="271"/>
      <c r="K64" s="271"/>
      <c r="L64" s="64"/>
      <c r="S64" s="23"/>
      <c r="T64" s="23"/>
      <c r="U64" s="23"/>
      <c r="V64" s="23"/>
      <c r="W64" s="23"/>
      <c r="X64" s="23"/>
      <c r="Y64" s="23"/>
      <c r="Z64" s="23"/>
      <c r="AA64" s="23"/>
      <c r="AB64" s="23"/>
      <c r="AC64" s="23"/>
      <c r="AD64" s="23"/>
      <c r="AE64" s="23"/>
    </row>
    <row r="65" spans="1:47" s="2" customFormat="1" ht="29.25" customHeight="1">
      <c r="A65" s="271"/>
      <c r="B65" s="270"/>
      <c r="C65" s="290" t="s">
        <v>168</v>
      </c>
      <c r="D65" s="281"/>
      <c r="E65" s="281"/>
      <c r="F65" s="281"/>
      <c r="G65" s="281"/>
      <c r="H65" s="281"/>
      <c r="I65" s="281"/>
      <c r="J65" s="392" t="s">
        <v>169</v>
      </c>
      <c r="K65" s="281"/>
      <c r="L65" s="64"/>
      <c r="S65" s="23"/>
      <c r="T65" s="23"/>
      <c r="U65" s="23"/>
      <c r="V65" s="23"/>
      <c r="W65" s="23"/>
      <c r="X65" s="23"/>
      <c r="Y65" s="23"/>
      <c r="Z65" s="23"/>
      <c r="AA65" s="23"/>
      <c r="AB65" s="23"/>
      <c r="AC65" s="23"/>
      <c r="AD65" s="23"/>
      <c r="AE65" s="23"/>
    </row>
    <row r="66" spans="1:47" s="2" customFormat="1" ht="10.35" customHeight="1">
      <c r="A66" s="271"/>
      <c r="B66" s="270"/>
      <c r="C66" s="271"/>
      <c r="D66" s="271"/>
      <c r="E66" s="271"/>
      <c r="F66" s="271"/>
      <c r="G66" s="271"/>
      <c r="H66" s="271"/>
      <c r="I66" s="271"/>
      <c r="J66" s="271"/>
      <c r="K66" s="271"/>
      <c r="L66" s="64"/>
      <c r="S66" s="23"/>
      <c r="T66" s="23"/>
      <c r="U66" s="23"/>
      <c r="V66" s="23"/>
      <c r="W66" s="23"/>
      <c r="X66" s="23"/>
      <c r="Y66" s="23"/>
      <c r="Z66" s="23"/>
      <c r="AA66" s="23"/>
      <c r="AB66" s="23"/>
      <c r="AC66" s="23"/>
      <c r="AD66" s="23"/>
      <c r="AE66" s="23"/>
    </row>
    <row r="67" spans="1:47" s="2" customFormat="1" ht="22.9" customHeight="1">
      <c r="A67" s="271"/>
      <c r="B67" s="270"/>
      <c r="C67" s="291" t="s">
        <v>66</v>
      </c>
      <c r="D67" s="271"/>
      <c r="E67" s="271"/>
      <c r="F67" s="271"/>
      <c r="G67" s="271"/>
      <c r="H67" s="271"/>
      <c r="I67" s="271"/>
      <c r="J67" s="388">
        <f>J93</f>
        <v>0</v>
      </c>
      <c r="K67" s="271"/>
      <c r="L67" s="64"/>
      <c r="S67" s="23"/>
      <c r="T67" s="23"/>
      <c r="U67" s="23"/>
      <c r="V67" s="23"/>
      <c r="W67" s="23"/>
      <c r="X67" s="23"/>
      <c r="Y67" s="23"/>
      <c r="Z67" s="23"/>
      <c r="AA67" s="23"/>
      <c r="AB67" s="23"/>
      <c r="AC67" s="23"/>
      <c r="AD67" s="23"/>
      <c r="AE67" s="23"/>
      <c r="AU67" s="19" t="s">
        <v>170</v>
      </c>
    </row>
    <row r="68" spans="1:47" s="9" customFormat="1" ht="24.95" customHeight="1">
      <c r="A68" s="292"/>
      <c r="B68" s="293"/>
      <c r="C68" s="292"/>
      <c r="D68" s="294" t="s">
        <v>181</v>
      </c>
      <c r="E68" s="295"/>
      <c r="F68" s="295"/>
      <c r="G68" s="295"/>
      <c r="H68" s="295"/>
      <c r="I68" s="295"/>
      <c r="J68" s="393">
        <f>J94</f>
        <v>0</v>
      </c>
      <c r="K68" s="292"/>
      <c r="L68" s="67"/>
    </row>
    <row r="69" spans="1:47" s="10" customFormat="1" ht="19.899999999999999" customHeight="1">
      <c r="A69" s="246"/>
      <c r="B69" s="296"/>
      <c r="C69" s="246"/>
      <c r="D69" s="297" t="s">
        <v>185</v>
      </c>
      <c r="E69" s="298"/>
      <c r="F69" s="298"/>
      <c r="G69" s="298"/>
      <c r="H69" s="298"/>
      <c r="I69" s="298"/>
      <c r="J69" s="394">
        <f>J95</f>
        <v>0</v>
      </c>
      <c r="K69" s="246"/>
      <c r="L69" s="68"/>
    </row>
    <row r="70" spans="1:47" s="2" customFormat="1" ht="21.75" customHeight="1">
      <c r="A70" s="271"/>
      <c r="B70" s="270"/>
      <c r="C70" s="271"/>
      <c r="D70" s="271"/>
      <c r="E70" s="271"/>
      <c r="F70" s="271"/>
      <c r="G70" s="271"/>
      <c r="H70" s="271"/>
      <c r="I70" s="271"/>
      <c r="J70" s="271"/>
      <c r="K70" s="271"/>
      <c r="L70" s="64"/>
      <c r="S70" s="23"/>
      <c r="T70" s="23"/>
      <c r="U70" s="23"/>
      <c r="V70" s="23"/>
      <c r="W70" s="23"/>
      <c r="X70" s="23"/>
      <c r="Y70" s="23"/>
      <c r="Z70" s="23"/>
      <c r="AA70" s="23"/>
      <c r="AB70" s="23"/>
      <c r="AC70" s="23"/>
      <c r="AD70" s="23"/>
      <c r="AE70" s="23"/>
    </row>
    <row r="71" spans="1:47" s="2" customFormat="1" ht="6.95" customHeight="1">
      <c r="A71" s="271"/>
      <c r="B71" s="286"/>
      <c r="C71" s="287"/>
      <c r="D71" s="287"/>
      <c r="E71" s="287"/>
      <c r="F71" s="287"/>
      <c r="G71" s="287"/>
      <c r="H71" s="287"/>
      <c r="I71" s="287"/>
      <c r="J71" s="287"/>
      <c r="K71" s="287"/>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1"/>
      <c r="B75" s="288"/>
      <c r="C75" s="289"/>
      <c r="D75" s="289"/>
      <c r="E75" s="289"/>
      <c r="F75" s="289"/>
      <c r="G75" s="289"/>
      <c r="H75" s="289"/>
      <c r="I75" s="289"/>
      <c r="J75" s="289"/>
      <c r="K75" s="289"/>
      <c r="L75" s="64"/>
      <c r="S75" s="23"/>
      <c r="T75" s="23"/>
      <c r="U75" s="23"/>
      <c r="V75" s="23"/>
      <c r="W75" s="23"/>
      <c r="X75" s="23"/>
      <c r="Y75" s="23"/>
      <c r="Z75" s="23"/>
      <c r="AA75" s="23"/>
      <c r="AB75" s="23"/>
      <c r="AC75" s="23"/>
      <c r="AD75" s="23"/>
      <c r="AE75" s="23"/>
    </row>
    <row r="76" spans="1:47" s="2" customFormat="1" ht="24.95" customHeight="1">
      <c r="A76" s="271"/>
      <c r="B76" s="270"/>
      <c r="C76" s="266" t="s">
        <v>201</v>
      </c>
      <c r="D76" s="271"/>
      <c r="E76" s="271"/>
      <c r="F76" s="271"/>
      <c r="G76" s="271"/>
      <c r="H76" s="271"/>
      <c r="I76" s="271"/>
      <c r="J76" s="271"/>
      <c r="K76" s="271"/>
      <c r="L76" s="64"/>
      <c r="S76" s="23"/>
      <c r="T76" s="23"/>
      <c r="U76" s="23"/>
      <c r="V76" s="23"/>
      <c r="W76" s="23"/>
      <c r="X76" s="23"/>
      <c r="Y76" s="23"/>
      <c r="Z76" s="23"/>
      <c r="AA76" s="23"/>
      <c r="AB76" s="23"/>
      <c r="AC76" s="23"/>
      <c r="AD76" s="23"/>
      <c r="AE76" s="23"/>
    </row>
    <row r="77" spans="1:47" s="2" customFormat="1" ht="6.95" customHeight="1">
      <c r="A77" s="271"/>
      <c r="B77" s="270"/>
      <c r="C77" s="271"/>
      <c r="D77" s="271"/>
      <c r="E77" s="271"/>
      <c r="F77" s="271"/>
      <c r="G77" s="271"/>
      <c r="H77" s="271"/>
      <c r="I77" s="271"/>
      <c r="J77" s="271"/>
      <c r="K77" s="271"/>
      <c r="L77" s="64"/>
      <c r="S77" s="23"/>
      <c r="T77" s="23"/>
      <c r="U77" s="23"/>
      <c r="V77" s="23"/>
      <c r="W77" s="23"/>
      <c r="X77" s="23"/>
      <c r="Y77" s="23"/>
      <c r="Z77" s="23"/>
      <c r="AA77" s="23"/>
      <c r="AB77" s="23"/>
      <c r="AC77" s="23"/>
      <c r="AD77" s="23"/>
      <c r="AE77" s="23"/>
    </row>
    <row r="78" spans="1:47" s="2" customFormat="1" ht="12" customHeight="1">
      <c r="A78" s="271"/>
      <c r="B78" s="270"/>
      <c r="C78" s="268" t="s">
        <v>15</v>
      </c>
      <c r="D78" s="271"/>
      <c r="E78" s="271"/>
      <c r="F78" s="271"/>
      <c r="G78" s="271"/>
      <c r="H78" s="271"/>
      <c r="I78" s="271"/>
      <c r="J78" s="271"/>
      <c r="K78" s="271"/>
      <c r="L78" s="64"/>
      <c r="S78" s="23"/>
      <c r="T78" s="23"/>
      <c r="U78" s="23"/>
      <c r="V78" s="23"/>
      <c r="W78" s="23"/>
      <c r="X78" s="23"/>
      <c r="Y78" s="23"/>
      <c r="Z78" s="23"/>
      <c r="AA78" s="23"/>
      <c r="AB78" s="23"/>
      <c r="AC78" s="23"/>
      <c r="AD78" s="23"/>
      <c r="AE78" s="23"/>
    </row>
    <row r="79" spans="1:47" s="2" customFormat="1" ht="14.45" customHeight="1">
      <c r="A79" s="271"/>
      <c r="B79" s="270"/>
      <c r="C79" s="271"/>
      <c r="D79" s="271"/>
      <c r="E79" s="722" t="str">
        <f>E7</f>
        <v>Úpravy gastroprovozu Úřadu vlády ČR v 1.pp Strakovy akademie</v>
      </c>
      <c r="F79" s="723"/>
      <c r="G79" s="723"/>
      <c r="H79" s="723"/>
      <c r="I79" s="271"/>
      <c r="J79" s="271"/>
      <c r="K79" s="271"/>
      <c r="L79" s="64"/>
      <c r="S79" s="23"/>
      <c r="T79" s="23"/>
      <c r="U79" s="23"/>
      <c r="V79" s="23"/>
      <c r="W79" s="23"/>
      <c r="X79" s="23"/>
      <c r="Y79" s="23"/>
      <c r="Z79" s="23"/>
      <c r="AA79" s="23"/>
      <c r="AB79" s="23"/>
      <c r="AC79" s="23"/>
      <c r="AD79" s="23"/>
      <c r="AE79" s="23"/>
    </row>
    <row r="80" spans="1:47" s="1" customFormat="1" ht="12" customHeight="1">
      <c r="A80" s="61"/>
      <c r="B80" s="265"/>
      <c r="C80" s="268" t="s">
        <v>151</v>
      </c>
      <c r="D80" s="61"/>
      <c r="E80" s="61"/>
      <c r="F80" s="61"/>
      <c r="G80" s="61"/>
      <c r="H80" s="61"/>
      <c r="I80" s="61"/>
      <c r="J80" s="61"/>
      <c r="K80" s="61"/>
      <c r="L80" s="20"/>
    </row>
    <row r="81" spans="1:65" s="1" customFormat="1" ht="14.45" customHeight="1">
      <c r="A81" s="61"/>
      <c r="B81" s="265"/>
      <c r="C81" s="61"/>
      <c r="D81" s="61"/>
      <c r="E81" s="722" t="s">
        <v>1759</v>
      </c>
      <c r="F81" s="715"/>
      <c r="G81" s="715"/>
      <c r="H81" s="715"/>
      <c r="I81" s="61"/>
      <c r="J81" s="61"/>
      <c r="K81" s="61"/>
      <c r="L81" s="20"/>
    </row>
    <row r="82" spans="1:65" s="1" customFormat="1" ht="12" customHeight="1">
      <c r="A82" s="61"/>
      <c r="B82" s="265"/>
      <c r="C82" s="268" t="s">
        <v>157</v>
      </c>
      <c r="D82" s="61"/>
      <c r="E82" s="61"/>
      <c r="F82" s="61"/>
      <c r="G82" s="61"/>
      <c r="H82" s="61"/>
      <c r="I82" s="61"/>
      <c r="J82" s="61"/>
      <c r="K82" s="61"/>
      <c r="L82" s="20"/>
    </row>
    <row r="83" spans="1:65" s="2" customFormat="1" ht="14.45" customHeight="1">
      <c r="A83" s="271"/>
      <c r="B83" s="270"/>
      <c r="C83" s="271"/>
      <c r="D83" s="271"/>
      <c r="E83" s="762" t="s">
        <v>1776</v>
      </c>
      <c r="F83" s="721"/>
      <c r="G83" s="721"/>
      <c r="H83" s="721"/>
      <c r="I83" s="271"/>
      <c r="J83" s="271"/>
      <c r="K83" s="271"/>
      <c r="L83" s="64"/>
      <c r="S83" s="23"/>
      <c r="T83" s="23"/>
      <c r="U83" s="23"/>
      <c r="V83" s="23"/>
      <c r="W83" s="23"/>
      <c r="X83" s="23"/>
      <c r="Y83" s="23"/>
      <c r="Z83" s="23"/>
      <c r="AA83" s="23"/>
      <c r="AB83" s="23"/>
      <c r="AC83" s="23"/>
      <c r="AD83" s="23"/>
      <c r="AE83" s="23"/>
    </row>
    <row r="84" spans="1:65" s="2" customFormat="1" ht="12" customHeight="1">
      <c r="A84" s="271"/>
      <c r="B84" s="270"/>
      <c r="C84" s="268" t="s">
        <v>1777</v>
      </c>
      <c r="D84" s="271"/>
      <c r="E84" s="271"/>
      <c r="F84" s="271"/>
      <c r="G84" s="271"/>
      <c r="H84" s="271"/>
      <c r="I84" s="271"/>
      <c r="J84" s="271"/>
      <c r="K84" s="271"/>
      <c r="L84" s="64"/>
      <c r="S84" s="23"/>
      <c r="T84" s="23"/>
      <c r="U84" s="23"/>
      <c r="V84" s="23"/>
      <c r="W84" s="23"/>
      <c r="X84" s="23"/>
      <c r="Y84" s="23"/>
      <c r="Z84" s="23"/>
      <c r="AA84" s="23"/>
      <c r="AB84" s="23"/>
      <c r="AC84" s="23"/>
      <c r="AD84" s="23"/>
      <c r="AE84" s="23"/>
    </row>
    <row r="85" spans="1:65" s="2" customFormat="1" ht="14.45" customHeight="1">
      <c r="A85" s="271"/>
      <c r="B85" s="270"/>
      <c r="C85" s="271"/>
      <c r="D85" s="271"/>
      <c r="E85" s="689" t="str">
        <f>E13</f>
        <v>D.1.4.04.1 - Soupis prací - EPS</v>
      </c>
      <c r="F85" s="721"/>
      <c r="G85" s="721"/>
      <c r="H85" s="721"/>
      <c r="I85" s="271"/>
      <c r="J85" s="271"/>
      <c r="K85" s="271"/>
      <c r="L85" s="64"/>
      <c r="S85" s="23"/>
      <c r="T85" s="23"/>
      <c r="U85" s="23"/>
      <c r="V85" s="23"/>
      <c r="W85" s="23"/>
      <c r="X85" s="23"/>
      <c r="Y85" s="23"/>
      <c r="Z85" s="23"/>
      <c r="AA85" s="23"/>
      <c r="AB85" s="23"/>
      <c r="AC85" s="23"/>
      <c r="AD85" s="23"/>
      <c r="AE85" s="23"/>
    </row>
    <row r="86" spans="1:65" s="2" customFormat="1" ht="6.95" customHeight="1">
      <c r="A86" s="271"/>
      <c r="B86" s="270"/>
      <c r="C86" s="271"/>
      <c r="D86" s="271"/>
      <c r="E86" s="271"/>
      <c r="F86" s="271"/>
      <c r="G86" s="271"/>
      <c r="H86" s="271"/>
      <c r="I86" s="271"/>
      <c r="J86" s="271"/>
      <c r="K86" s="271"/>
      <c r="L86" s="64"/>
      <c r="S86" s="23"/>
      <c r="T86" s="23"/>
      <c r="U86" s="23"/>
      <c r="V86" s="23"/>
      <c r="W86" s="23"/>
      <c r="X86" s="23"/>
      <c r="Y86" s="23"/>
      <c r="Z86" s="23"/>
      <c r="AA86" s="23"/>
      <c r="AB86" s="23"/>
      <c r="AC86" s="23"/>
      <c r="AD86" s="23"/>
      <c r="AE86" s="23"/>
    </row>
    <row r="87" spans="1:65" s="2" customFormat="1" ht="12" customHeight="1">
      <c r="A87" s="271"/>
      <c r="B87" s="270"/>
      <c r="C87" s="268" t="s">
        <v>19</v>
      </c>
      <c r="D87" s="271"/>
      <c r="E87" s="271"/>
      <c r="F87" s="273" t="str">
        <f>F16</f>
        <v xml:space="preserve"> </v>
      </c>
      <c r="G87" s="271"/>
      <c r="H87" s="271"/>
      <c r="I87" s="268" t="s">
        <v>21</v>
      </c>
      <c r="J87" s="387">
        <f>IF(J16="","",J16)</f>
        <v>44077</v>
      </c>
      <c r="K87" s="271"/>
      <c r="L87" s="64"/>
      <c r="S87" s="23"/>
      <c r="T87" s="23"/>
      <c r="U87" s="23"/>
      <c r="V87" s="23"/>
      <c r="W87" s="23"/>
      <c r="X87" s="23"/>
      <c r="Y87" s="23"/>
      <c r="Z87" s="23"/>
      <c r="AA87" s="23"/>
      <c r="AB87" s="23"/>
      <c r="AC87" s="23"/>
      <c r="AD87" s="23"/>
      <c r="AE87" s="23"/>
    </row>
    <row r="88" spans="1:65" s="2" customFormat="1" ht="6.95" customHeight="1">
      <c r="A88" s="271"/>
      <c r="B88" s="270"/>
      <c r="C88" s="271"/>
      <c r="D88" s="271"/>
      <c r="E88" s="271"/>
      <c r="F88" s="271"/>
      <c r="G88" s="271"/>
      <c r="H88" s="271"/>
      <c r="I88" s="271"/>
      <c r="J88" s="271"/>
      <c r="K88" s="271"/>
      <c r="L88" s="64"/>
      <c r="S88" s="23"/>
      <c r="T88" s="23"/>
      <c r="U88" s="23"/>
      <c r="V88" s="23"/>
      <c r="W88" s="23"/>
      <c r="X88" s="23"/>
      <c r="Y88" s="23"/>
      <c r="Z88" s="23"/>
      <c r="AA88" s="23"/>
      <c r="AB88" s="23"/>
      <c r="AC88" s="23"/>
      <c r="AD88" s="23"/>
      <c r="AE88" s="23"/>
    </row>
    <row r="89" spans="1:65" s="2" customFormat="1" ht="26.45" customHeight="1">
      <c r="A89" s="271"/>
      <c r="B89" s="270"/>
      <c r="C89" s="268" t="s">
        <v>22</v>
      </c>
      <c r="D89" s="271"/>
      <c r="E89" s="271"/>
      <c r="F89" s="273" t="str">
        <f>E19</f>
        <v xml:space="preserve">Úřad vlády České republiky </v>
      </c>
      <c r="G89" s="271"/>
      <c r="H89" s="271"/>
      <c r="I89" s="268" t="s">
        <v>28</v>
      </c>
      <c r="J89" s="391" t="str">
        <f>E25</f>
        <v>Ateliér Simona Group</v>
      </c>
      <c r="K89" s="271"/>
      <c r="L89" s="64"/>
      <c r="S89" s="23"/>
      <c r="T89" s="23"/>
      <c r="U89" s="23"/>
      <c r="V89" s="23"/>
      <c r="W89" s="23"/>
      <c r="X89" s="23"/>
      <c r="Y89" s="23"/>
      <c r="Z89" s="23"/>
      <c r="AA89" s="23"/>
      <c r="AB89" s="23"/>
      <c r="AC89" s="23"/>
      <c r="AD89" s="23"/>
      <c r="AE89" s="23"/>
    </row>
    <row r="90" spans="1:65" s="2" customFormat="1" ht="26.45" customHeight="1">
      <c r="A90" s="271"/>
      <c r="B90" s="270"/>
      <c r="C90" s="268" t="s">
        <v>26</v>
      </c>
      <c r="D90" s="271"/>
      <c r="E90" s="271"/>
      <c r="F90" s="273" t="str">
        <f>IF(E22="","",E22)</f>
        <v xml:space="preserve"> </v>
      </c>
      <c r="G90" s="271"/>
      <c r="H90" s="271"/>
      <c r="I90" s="268" t="s">
        <v>31</v>
      </c>
      <c r="J90" s="391" t="str">
        <f>E28</f>
        <v>Ateliér Simona Group</v>
      </c>
      <c r="K90" s="271"/>
      <c r="L90" s="64"/>
      <c r="S90" s="23"/>
      <c r="T90" s="23"/>
      <c r="U90" s="23"/>
      <c r="V90" s="23"/>
      <c r="W90" s="23"/>
      <c r="X90" s="23"/>
      <c r="Y90" s="23"/>
      <c r="Z90" s="23"/>
      <c r="AA90" s="23"/>
      <c r="AB90" s="23"/>
      <c r="AC90" s="23"/>
      <c r="AD90" s="23"/>
      <c r="AE90" s="23"/>
    </row>
    <row r="91" spans="1:65" s="2" customFormat="1" ht="10.35" customHeight="1">
      <c r="A91" s="271"/>
      <c r="B91" s="270"/>
      <c r="C91" s="271"/>
      <c r="D91" s="271"/>
      <c r="E91" s="271"/>
      <c r="F91" s="271"/>
      <c r="G91" s="271"/>
      <c r="H91" s="271"/>
      <c r="I91" s="271"/>
      <c r="J91" s="271"/>
      <c r="K91" s="271"/>
      <c r="L91" s="64"/>
      <c r="S91" s="23"/>
      <c r="T91" s="23"/>
      <c r="U91" s="23"/>
      <c r="V91" s="23"/>
      <c r="W91" s="23"/>
      <c r="X91" s="23"/>
      <c r="Y91" s="23"/>
      <c r="Z91" s="23"/>
      <c r="AA91" s="23"/>
      <c r="AB91" s="23"/>
      <c r="AC91" s="23"/>
      <c r="AD91" s="23"/>
      <c r="AE91" s="23"/>
    </row>
    <row r="92" spans="1:65" s="11" customFormat="1" ht="29.25" customHeight="1">
      <c r="A92" s="299"/>
      <c r="B92" s="300"/>
      <c r="C92" s="301" t="s">
        <v>202</v>
      </c>
      <c r="D92" s="302" t="s">
        <v>53</v>
      </c>
      <c r="E92" s="302" t="s">
        <v>49</v>
      </c>
      <c r="F92" s="302" t="s">
        <v>50</v>
      </c>
      <c r="G92" s="302" t="s">
        <v>203</v>
      </c>
      <c r="H92" s="302" t="s">
        <v>204</v>
      </c>
      <c r="I92" s="302" t="s">
        <v>205</v>
      </c>
      <c r="J92" s="302" t="s">
        <v>169</v>
      </c>
      <c r="K92" s="340" t="s">
        <v>206</v>
      </c>
      <c r="L92" s="70"/>
      <c r="M92" s="34" t="s">
        <v>3</v>
      </c>
      <c r="N92" s="35" t="s">
        <v>38</v>
      </c>
      <c r="O92" s="35" t="s">
        <v>207</v>
      </c>
      <c r="P92" s="35" t="s">
        <v>208</v>
      </c>
      <c r="Q92" s="35" t="s">
        <v>209</v>
      </c>
      <c r="R92" s="35" t="s">
        <v>210</v>
      </c>
      <c r="S92" s="35" t="s">
        <v>211</v>
      </c>
      <c r="T92" s="36" t="s">
        <v>212</v>
      </c>
      <c r="U92" s="69"/>
      <c r="V92" s="69"/>
      <c r="W92" s="69"/>
      <c r="X92" s="69"/>
      <c r="Y92" s="69"/>
      <c r="Z92" s="69"/>
      <c r="AA92" s="69"/>
      <c r="AB92" s="69"/>
      <c r="AC92" s="69"/>
      <c r="AD92" s="69"/>
      <c r="AE92" s="69"/>
    </row>
    <row r="93" spans="1:65" s="2" customFormat="1" ht="22.9" customHeight="1">
      <c r="A93" s="271"/>
      <c r="B93" s="270"/>
      <c r="C93" s="243" t="s">
        <v>213</v>
      </c>
      <c r="D93" s="271"/>
      <c r="E93" s="271"/>
      <c r="F93" s="271"/>
      <c r="G93" s="271"/>
      <c r="H93" s="271"/>
      <c r="I93" s="271"/>
      <c r="J93" s="410">
        <f>BK93</f>
        <v>0</v>
      </c>
      <c r="K93" s="271"/>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170</v>
      </c>
      <c r="BK93" s="73">
        <f>BK94</f>
        <v>0</v>
      </c>
    </row>
    <row r="94" spans="1:65" s="12" customFormat="1" ht="25.9" customHeight="1">
      <c r="A94" s="303"/>
      <c r="B94" s="304"/>
      <c r="C94" s="303"/>
      <c r="D94" s="305" t="s">
        <v>67</v>
      </c>
      <c r="E94" s="306" t="s">
        <v>895</v>
      </c>
      <c r="F94" s="306" t="s">
        <v>896</v>
      </c>
      <c r="G94" s="303"/>
      <c r="H94" s="303"/>
      <c r="I94" s="303"/>
      <c r="J94" s="411">
        <f>BK94</f>
        <v>0</v>
      </c>
      <c r="K94" s="303"/>
      <c r="L94" s="74"/>
      <c r="M94" s="76"/>
      <c r="N94" s="77"/>
      <c r="O94" s="77"/>
      <c r="P94" s="78">
        <f>P95</f>
        <v>0</v>
      </c>
      <c r="Q94" s="77"/>
      <c r="R94" s="78">
        <f>R95</f>
        <v>0</v>
      </c>
      <c r="S94" s="77"/>
      <c r="T94" s="79">
        <f>T95</f>
        <v>0</v>
      </c>
      <c r="AR94" s="75" t="s">
        <v>77</v>
      </c>
      <c r="AT94" s="80" t="s">
        <v>67</v>
      </c>
      <c r="AU94" s="80" t="s">
        <v>68</v>
      </c>
      <c r="AY94" s="75" t="s">
        <v>216</v>
      </c>
      <c r="BK94" s="81">
        <f>BK95</f>
        <v>0</v>
      </c>
    </row>
    <row r="95" spans="1:65" s="12" customFormat="1" ht="22.9" customHeight="1">
      <c r="A95" s="303"/>
      <c r="B95" s="304"/>
      <c r="C95" s="303"/>
      <c r="D95" s="305" t="s">
        <v>67</v>
      </c>
      <c r="E95" s="307" t="s">
        <v>961</v>
      </c>
      <c r="F95" s="307" t="s">
        <v>962</v>
      </c>
      <c r="G95" s="303"/>
      <c r="H95" s="303"/>
      <c r="I95" s="303"/>
      <c r="J95" s="412">
        <f>BK95</f>
        <v>0</v>
      </c>
      <c r="K95" s="303"/>
      <c r="L95" s="74"/>
      <c r="M95" s="76"/>
      <c r="N95" s="77"/>
      <c r="O95" s="77"/>
      <c r="P95" s="78">
        <f>P96</f>
        <v>0</v>
      </c>
      <c r="Q95" s="77"/>
      <c r="R95" s="78">
        <f>R96</f>
        <v>0</v>
      </c>
      <c r="S95" s="77"/>
      <c r="T95" s="79">
        <f>T96</f>
        <v>0</v>
      </c>
      <c r="AR95" s="75" t="s">
        <v>77</v>
      </c>
      <c r="AT95" s="80" t="s">
        <v>67</v>
      </c>
      <c r="AU95" s="80" t="s">
        <v>75</v>
      </c>
      <c r="AY95" s="75" t="s">
        <v>216</v>
      </c>
      <c r="BK95" s="81">
        <f>BK96</f>
        <v>0</v>
      </c>
    </row>
    <row r="96" spans="1:65" s="2" customFormat="1" ht="14.45" customHeight="1">
      <c r="A96" s="271"/>
      <c r="B96" s="270"/>
      <c r="C96" s="308" t="s">
        <v>75</v>
      </c>
      <c r="D96" s="308" t="s">
        <v>218</v>
      </c>
      <c r="E96" s="309" t="s">
        <v>1779</v>
      </c>
      <c r="F96" s="310" t="s">
        <v>2547</v>
      </c>
      <c r="G96" s="311" t="s">
        <v>1766</v>
      </c>
      <c r="H96" s="312">
        <v>1</v>
      </c>
      <c r="I96" s="413">
        <f>EPS!F103</f>
        <v>0</v>
      </c>
      <c r="J96" s="413">
        <f>ROUND(I96*H96,2)</f>
        <v>0</v>
      </c>
      <c r="K96" s="310"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305</v>
      </c>
      <c r="AT96" s="87" t="s">
        <v>218</v>
      </c>
      <c r="AU96" s="87" t="s">
        <v>77</v>
      </c>
      <c r="AY96" s="19" t="s">
        <v>216</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305</v>
      </c>
      <c r="BM96" s="87" t="s">
        <v>1780</v>
      </c>
    </row>
    <row r="97" spans="1:31" s="2" customFormat="1" ht="6.95" customHeight="1">
      <c r="A97" s="271"/>
      <c r="B97" s="286"/>
      <c r="C97" s="287"/>
      <c r="D97" s="287"/>
      <c r="E97" s="287"/>
      <c r="F97" s="287"/>
      <c r="G97" s="287"/>
      <c r="H97" s="287"/>
      <c r="I97" s="287"/>
      <c r="J97" s="287"/>
      <c r="K97" s="287"/>
      <c r="L97" s="24"/>
      <c r="M97" s="23"/>
      <c r="O97" s="23"/>
      <c r="P97" s="23"/>
      <c r="Q97" s="23"/>
      <c r="R97" s="23"/>
      <c r="S97" s="23"/>
      <c r="T97" s="23"/>
      <c r="U97" s="23"/>
      <c r="V97" s="23"/>
      <c r="W97" s="23"/>
      <c r="X97" s="23"/>
      <c r="Y97" s="23"/>
      <c r="Z97" s="23"/>
      <c r="AA97" s="23"/>
      <c r="AB97" s="23"/>
      <c r="AC97" s="23"/>
      <c r="AD97" s="23"/>
      <c r="AE97" s="23"/>
    </row>
  </sheetData>
  <sheetProtection password="C97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9"/>
  <sheetViews>
    <sheetView topLeftCell="A46" workbookViewId="0">
      <selection activeCell="D56" sqref="D56"/>
    </sheetView>
  </sheetViews>
  <sheetFormatPr defaultRowHeight="12.75"/>
  <cols>
    <col min="1" max="1" width="17.1640625" style="227" customWidth="1"/>
    <col min="2" max="2" width="51" style="226" customWidth="1"/>
    <col min="3" max="3" width="6.6640625" style="206" customWidth="1"/>
    <col min="4" max="4" width="5.5" style="206" customWidth="1"/>
    <col min="5" max="5" width="16" style="206" customWidth="1"/>
    <col min="6" max="6" width="17.1640625" style="206" customWidth="1"/>
    <col min="7" max="7" width="13.33203125" style="206" bestFit="1" customWidth="1"/>
    <col min="8" max="16384" width="9.33203125" style="206"/>
  </cols>
  <sheetData>
    <row r="1" spans="1:6" ht="15.75">
      <c r="A1" s="516" t="s">
        <v>2546</v>
      </c>
      <c r="B1" s="517"/>
      <c r="C1" s="518"/>
      <c r="D1" s="518"/>
      <c r="E1" s="474"/>
      <c r="F1" s="526" t="s">
        <v>2545</v>
      </c>
    </row>
    <row r="2" spans="1:6" ht="15">
      <c r="A2" s="491"/>
      <c r="B2" s="492" t="s">
        <v>2544</v>
      </c>
      <c r="C2" s="493"/>
      <c r="D2" s="493"/>
      <c r="E2" s="475"/>
      <c r="F2" s="493"/>
    </row>
    <row r="3" spans="1:6">
      <c r="A3" s="480"/>
      <c r="B3" s="481" t="s">
        <v>2264</v>
      </c>
      <c r="C3" s="482"/>
      <c r="D3" s="482"/>
      <c r="E3" s="476"/>
      <c r="F3" s="483">
        <v>0</v>
      </c>
    </row>
    <row r="4" spans="1:6">
      <c r="A4" s="484" t="s">
        <v>2453</v>
      </c>
      <c r="B4" s="485" t="s">
        <v>2054</v>
      </c>
      <c r="C4" s="486"/>
      <c r="D4" s="486"/>
      <c r="E4" s="477"/>
      <c r="F4" s="488">
        <f>F3*0.21</f>
        <v>0</v>
      </c>
    </row>
    <row r="5" spans="1:6">
      <c r="A5" s="489"/>
      <c r="B5" s="490"/>
      <c r="C5" s="423"/>
      <c r="D5" s="423"/>
      <c r="E5" s="418"/>
      <c r="F5" s="423"/>
    </row>
    <row r="6" spans="1:6" ht="15">
      <c r="A6" s="491"/>
      <c r="B6" s="492" t="s">
        <v>2543</v>
      </c>
      <c r="C6" s="493"/>
      <c r="D6" s="493"/>
      <c r="E6" s="475"/>
      <c r="F6" s="493"/>
    </row>
    <row r="7" spans="1:6">
      <c r="A7" s="519" t="s">
        <v>2338</v>
      </c>
      <c r="B7" s="520" t="s">
        <v>2509</v>
      </c>
      <c r="C7" s="521" t="s">
        <v>2508</v>
      </c>
      <c r="D7" s="521" t="s">
        <v>203</v>
      </c>
      <c r="E7" s="527" t="s">
        <v>2507</v>
      </c>
      <c r="F7" s="527" t="s">
        <v>2264</v>
      </c>
    </row>
    <row r="8" spans="1:6">
      <c r="A8" s="522" t="s">
        <v>2542</v>
      </c>
      <c r="B8" s="523" t="s">
        <v>2541</v>
      </c>
      <c r="C8" s="524">
        <v>1</v>
      </c>
      <c r="D8" s="525" t="s">
        <v>2353</v>
      </c>
      <c r="E8" s="479">
        <v>0</v>
      </c>
      <c r="F8" s="528">
        <f>E8*C8</f>
        <v>0</v>
      </c>
    </row>
    <row r="9" spans="1:6">
      <c r="A9" s="522" t="s">
        <v>2540</v>
      </c>
      <c r="B9" s="523" t="s">
        <v>2539</v>
      </c>
      <c r="C9" s="524">
        <v>1</v>
      </c>
      <c r="D9" s="525" t="s">
        <v>2353</v>
      </c>
      <c r="E9" s="479">
        <v>0</v>
      </c>
      <c r="F9" s="528">
        <f t="shared" ref="F9:F32" si="0">E9*C9</f>
        <v>0</v>
      </c>
    </row>
    <row r="10" spans="1:6">
      <c r="A10" s="522">
        <v>802371</v>
      </c>
      <c r="B10" s="523" t="s">
        <v>2538</v>
      </c>
      <c r="C10" s="524">
        <v>18</v>
      </c>
      <c r="D10" s="525" t="s">
        <v>2353</v>
      </c>
      <c r="E10" s="479">
        <v>0</v>
      </c>
      <c r="F10" s="528">
        <f t="shared" si="0"/>
        <v>0</v>
      </c>
    </row>
    <row r="11" spans="1:6">
      <c r="A11" s="522">
        <v>802177</v>
      </c>
      <c r="B11" s="523" t="s">
        <v>2537</v>
      </c>
      <c r="C11" s="524">
        <v>2</v>
      </c>
      <c r="D11" s="525" t="s">
        <v>2353</v>
      </c>
      <c r="E11" s="479">
        <v>0</v>
      </c>
      <c r="F11" s="528">
        <f t="shared" si="0"/>
        <v>0</v>
      </c>
    </row>
    <row r="12" spans="1:6">
      <c r="A12" s="522">
        <v>805590</v>
      </c>
      <c r="B12" s="523" t="s">
        <v>2536</v>
      </c>
      <c r="C12" s="524">
        <v>20</v>
      </c>
      <c r="D12" s="525" t="s">
        <v>2353</v>
      </c>
      <c r="E12" s="479">
        <v>0</v>
      </c>
      <c r="F12" s="528">
        <f t="shared" si="0"/>
        <v>0</v>
      </c>
    </row>
    <row r="13" spans="1:6">
      <c r="A13" s="522">
        <v>805572.5</v>
      </c>
      <c r="B13" s="523" t="s">
        <v>2535</v>
      </c>
      <c r="C13" s="524">
        <v>20</v>
      </c>
      <c r="D13" s="525" t="s">
        <v>2353</v>
      </c>
      <c r="E13" s="479">
        <v>0</v>
      </c>
      <c r="F13" s="528">
        <f t="shared" si="0"/>
        <v>0</v>
      </c>
    </row>
    <row r="14" spans="1:6">
      <c r="A14" s="522">
        <v>805570</v>
      </c>
      <c r="B14" s="523" t="s">
        <v>2534</v>
      </c>
      <c r="C14" s="524">
        <v>2</v>
      </c>
      <c r="D14" s="525" t="s">
        <v>2529</v>
      </c>
      <c r="E14" s="479">
        <v>0</v>
      </c>
      <c r="F14" s="528">
        <f t="shared" si="0"/>
        <v>0</v>
      </c>
    </row>
    <row r="15" spans="1:6">
      <c r="A15" s="522">
        <v>805576</v>
      </c>
      <c r="B15" s="523" t="s">
        <v>2533</v>
      </c>
      <c r="C15" s="524">
        <v>2</v>
      </c>
      <c r="D15" s="525" t="s">
        <v>2529</v>
      </c>
      <c r="E15" s="479">
        <v>0</v>
      </c>
      <c r="F15" s="528">
        <f t="shared" si="0"/>
        <v>0</v>
      </c>
    </row>
    <row r="16" spans="1:6">
      <c r="A16" s="522">
        <v>804905</v>
      </c>
      <c r="B16" s="523" t="s">
        <v>2532</v>
      </c>
      <c r="C16" s="524">
        <v>2</v>
      </c>
      <c r="D16" s="525" t="s">
        <v>2353</v>
      </c>
      <c r="E16" s="479">
        <v>0</v>
      </c>
      <c r="F16" s="528">
        <f t="shared" si="0"/>
        <v>0</v>
      </c>
    </row>
    <row r="17" spans="1:6">
      <c r="A17" s="522">
        <v>704900</v>
      </c>
      <c r="B17" s="523" t="s">
        <v>2531</v>
      </c>
      <c r="C17" s="524">
        <v>2</v>
      </c>
      <c r="D17" s="525" t="s">
        <v>2353</v>
      </c>
      <c r="E17" s="479">
        <v>0</v>
      </c>
      <c r="F17" s="528">
        <f t="shared" si="0"/>
        <v>0</v>
      </c>
    </row>
    <row r="18" spans="1:6">
      <c r="A18" s="522">
        <v>704910</v>
      </c>
      <c r="B18" s="523" t="s">
        <v>2530</v>
      </c>
      <c r="C18" s="524">
        <v>1</v>
      </c>
      <c r="D18" s="525" t="s">
        <v>2529</v>
      </c>
      <c r="E18" s="479">
        <v>0</v>
      </c>
      <c r="F18" s="528">
        <f t="shared" si="0"/>
        <v>0</v>
      </c>
    </row>
    <row r="19" spans="1:6">
      <c r="A19" s="522">
        <v>769911</v>
      </c>
      <c r="B19" s="523" t="s">
        <v>2528</v>
      </c>
      <c r="C19" s="524">
        <v>1</v>
      </c>
      <c r="D19" s="525" t="s">
        <v>2353</v>
      </c>
      <c r="E19" s="479">
        <v>0</v>
      </c>
      <c r="F19" s="528">
        <f t="shared" si="0"/>
        <v>0</v>
      </c>
    </row>
    <row r="20" spans="1:6">
      <c r="A20" s="522">
        <v>808623</v>
      </c>
      <c r="B20" s="523" t="s">
        <v>2527</v>
      </c>
      <c r="C20" s="524">
        <v>2</v>
      </c>
      <c r="D20" s="525" t="s">
        <v>2353</v>
      </c>
      <c r="E20" s="479">
        <v>0</v>
      </c>
      <c r="F20" s="528">
        <f t="shared" si="0"/>
        <v>0</v>
      </c>
    </row>
    <row r="21" spans="1:6">
      <c r="A21" s="522">
        <v>788600</v>
      </c>
      <c r="B21" s="523" t="s">
        <v>2523</v>
      </c>
      <c r="C21" s="524">
        <v>2</v>
      </c>
      <c r="D21" s="525" t="s">
        <v>2353</v>
      </c>
      <c r="E21" s="479">
        <v>0</v>
      </c>
      <c r="F21" s="528">
        <f t="shared" si="0"/>
        <v>0</v>
      </c>
    </row>
    <row r="22" spans="1:6">
      <c r="A22" s="522">
        <v>808630.1</v>
      </c>
      <c r="B22" s="523" t="s">
        <v>2526</v>
      </c>
      <c r="C22" s="524">
        <v>1</v>
      </c>
      <c r="D22" s="525" t="s">
        <v>2353</v>
      </c>
      <c r="E22" s="479">
        <v>0</v>
      </c>
      <c r="F22" s="528">
        <f t="shared" si="0"/>
        <v>0</v>
      </c>
    </row>
    <row r="23" spans="1:6">
      <c r="A23" s="522">
        <v>788612</v>
      </c>
      <c r="B23" s="523" t="s">
        <v>2525</v>
      </c>
      <c r="C23" s="524">
        <v>1</v>
      </c>
      <c r="D23" s="525" t="s">
        <v>2353</v>
      </c>
      <c r="E23" s="479">
        <v>0</v>
      </c>
      <c r="F23" s="528">
        <f t="shared" si="0"/>
        <v>0</v>
      </c>
    </row>
    <row r="24" spans="1:6">
      <c r="A24" s="522">
        <v>781336</v>
      </c>
      <c r="B24" s="523" t="s">
        <v>2524</v>
      </c>
      <c r="C24" s="524">
        <v>1</v>
      </c>
      <c r="D24" s="525" t="s">
        <v>2353</v>
      </c>
      <c r="E24" s="479">
        <v>0</v>
      </c>
      <c r="F24" s="528">
        <f t="shared" si="0"/>
        <v>0</v>
      </c>
    </row>
    <row r="25" spans="1:6">
      <c r="A25" s="522">
        <v>788600</v>
      </c>
      <c r="B25" s="523" t="s">
        <v>2523</v>
      </c>
      <c r="C25" s="524">
        <v>1</v>
      </c>
      <c r="D25" s="525" t="s">
        <v>2353</v>
      </c>
      <c r="E25" s="479">
        <v>0</v>
      </c>
      <c r="F25" s="528">
        <f t="shared" si="0"/>
        <v>0</v>
      </c>
    </row>
    <row r="26" spans="1:6">
      <c r="A26" s="522" t="s">
        <v>2522</v>
      </c>
      <c r="B26" s="523" t="s">
        <v>2521</v>
      </c>
      <c r="C26" s="524">
        <v>28</v>
      </c>
      <c r="D26" s="525" t="s">
        <v>364</v>
      </c>
      <c r="E26" s="479">
        <v>0</v>
      </c>
      <c r="F26" s="528">
        <f t="shared" si="0"/>
        <v>0</v>
      </c>
    </row>
    <row r="27" spans="1:6">
      <c r="A27" s="522" t="s">
        <v>2520</v>
      </c>
      <c r="B27" s="523" t="s">
        <v>2519</v>
      </c>
      <c r="C27" s="524">
        <v>1</v>
      </c>
      <c r="D27" s="525" t="s">
        <v>2485</v>
      </c>
      <c r="E27" s="479">
        <v>0</v>
      </c>
      <c r="F27" s="528">
        <f t="shared" si="0"/>
        <v>0</v>
      </c>
    </row>
    <row r="28" spans="1:6">
      <c r="A28" s="522"/>
      <c r="B28" s="523" t="s">
        <v>2518</v>
      </c>
      <c r="C28" s="524">
        <v>1</v>
      </c>
      <c r="D28" s="525" t="s">
        <v>2485</v>
      </c>
      <c r="E28" s="479">
        <v>0</v>
      </c>
      <c r="F28" s="528">
        <f t="shared" si="0"/>
        <v>0</v>
      </c>
    </row>
    <row r="29" spans="1:6">
      <c r="A29" s="522" t="s">
        <v>2517</v>
      </c>
      <c r="B29" s="523" t="s">
        <v>2516</v>
      </c>
      <c r="C29" s="524">
        <v>5</v>
      </c>
      <c r="D29" s="525" t="s">
        <v>2353</v>
      </c>
      <c r="E29" s="479">
        <v>0</v>
      </c>
      <c r="F29" s="528">
        <f t="shared" si="0"/>
        <v>0</v>
      </c>
    </row>
    <row r="30" spans="1:6" ht="24">
      <c r="A30" s="522" t="s">
        <v>2515</v>
      </c>
      <c r="B30" s="523" t="s">
        <v>2514</v>
      </c>
      <c r="C30" s="524">
        <v>1</v>
      </c>
      <c r="D30" s="525" t="s">
        <v>2353</v>
      </c>
      <c r="E30" s="479">
        <v>0</v>
      </c>
      <c r="F30" s="528">
        <f t="shared" si="0"/>
        <v>0</v>
      </c>
    </row>
    <row r="31" spans="1:6" ht="24">
      <c r="A31" s="522" t="s">
        <v>2513</v>
      </c>
      <c r="B31" s="523" t="s">
        <v>2512</v>
      </c>
      <c r="C31" s="524">
        <v>2</v>
      </c>
      <c r="D31" s="525" t="s">
        <v>2353</v>
      </c>
      <c r="E31" s="479">
        <v>0</v>
      </c>
      <c r="F31" s="528">
        <f t="shared" si="0"/>
        <v>0</v>
      </c>
    </row>
    <row r="32" spans="1:6">
      <c r="A32" s="522"/>
      <c r="B32" s="523" t="s">
        <v>2511</v>
      </c>
      <c r="C32" s="524">
        <v>24</v>
      </c>
      <c r="D32" s="525" t="s">
        <v>2353</v>
      </c>
      <c r="E32" s="479">
        <v>0</v>
      </c>
      <c r="F32" s="528">
        <f t="shared" si="0"/>
        <v>0</v>
      </c>
    </row>
    <row r="33" spans="1:6">
      <c r="A33" s="480"/>
      <c r="B33" s="481" t="s">
        <v>2264</v>
      </c>
      <c r="C33" s="482"/>
      <c r="D33" s="482"/>
      <c r="E33" s="476"/>
      <c r="F33" s="483">
        <f>SUM(F8:F32)</f>
        <v>0</v>
      </c>
    </row>
    <row r="34" spans="1:6">
      <c r="A34" s="484" t="s">
        <v>2453</v>
      </c>
      <c r="B34" s="485" t="s">
        <v>2054</v>
      </c>
      <c r="C34" s="486"/>
      <c r="D34" s="486"/>
      <c r="E34" s="477"/>
      <c r="F34" s="488">
        <f>F33*0.21</f>
        <v>0</v>
      </c>
    </row>
    <row r="35" spans="1:6">
      <c r="A35" s="489"/>
      <c r="B35" s="490"/>
      <c r="C35" s="423"/>
      <c r="D35" s="423"/>
      <c r="E35" s="418"/>
      <c r="F35" s="423"/>
    </row>
    <row r="36" spans="1:6" ht="15">
      <c r="A36" s="491"/>
      <c r="B36" s="492" t="s">
        <v>2510</v>
      </c>
      <c r="C36" s="493"/>
      <c r="D36" s="493"/>
      <c r="E36" s="475"/>
      <c r="F36" s="493"/>
    </row>
    <row r="37" spans="1:6">
      <c r="A37" s="519" t="s">
        <v>2338</v>
      </c>
      <c r="B37" s="520" t="s">
        <v>2509</v>
      </c>
      <c r="C37" s="521" t="s">
        <v>2508</v>
      </c>
      <c r="D37" s="521" t="s">
        <v>203</v>
      </c>
      <c r="E37" s="478" t="s">
        <v>2507</v>
      </c>
      <c r="F37" s="527" t="s">
        <v>2264</v>
      </c>
    </row>
    <row r="38" spans="1:6">
      <c r="A38" s="522" t="s">
        <v>2506</v>
      </c>
      <c r="B38" s="523" t="s">
        <v>2505</v>
      </c>
      <c r="C38" s="524">
        <v>490</v>
      </c>
      <c r="D38" s="525" t="s">
        <v>364</v>
      </c>
      <c r="E38" s="479">
        <v>0</v>
      </c>
      <c r="F38" s="528">
        <f t="shared" ref="F38:F63" si="1">E38*C38</f>
        <v>0</v>
      </c>
    </row>
    <row r="39" spans="1:6">
      <c r="A39" s="522" t="s">
        <v>3481</v>
      </c>
      <c r="B39" s="523" t="s">
        <v>2504</v>
      </c>
      <c r="C39" s="524">
        <v>224</v>
      </c>
      <c r="D39" s="525" t="s">
        <v>364</v>
      </c>
      <c r="E39" s="479">
        <v>0</v>
      </c>
      <c r="F39" s="528">
        <f t="shared" si="1"/>
        <v>0</v>
      </c>
    </row>
    <row r="40" spans="1:6">
      <c r="A40" s="522" t="s">
        <v>3482</v>
      </c>
      <c r="B40" s="523" t="s">
        <v>2503</v>
      </c>
      <c r="C40" s="524">
        <v>30</v>
      </c>
      <c r="D40" s="525" t="s">
        <v>364</v>
      </c>
      <c r="E40" s="479">
        <v>0</v>
      </c>
      <c r="F40" s="528">
        <f t="shared" si="1"/>
        <v>0</v>
      </c>
    </row>
    <row r="41" spans="1:6">
      <c r="A41" s="522" t="s">
        <v>2502</v>
      </c>
      <c r="B41" s="523" t="s">
        <v>2501</v>
      </c>
      <c r="C41" s="524">
        <v>150</v>
      </c>
      <c r="D41" s="525" t="s">
        <v>2353</v>
      </c>
      <c r="E41" s="479">
        <v>0</v>
      </c>
      <c r="F41" s="528">
        <f t="shared" si="1"/>
        <v>0</v>
      </c>
    </row>
    <row r="42" spans="1:6">
      <c r="A42" s="522" t="s">
        <v>2500</v>
      </c>
      <c r="B42" s="523" t="s">
        <v>2499</v>
      </c>
      <c r="C42" s="524">
        <v>150</v>
      </c>
      <c r="D42" s="525" t="s">
        <v>2353</v>
      </c>
      <c r="E42" s="479">
        <v>0</v>
      </c>
      <c r="F42" s="528">
        <f t="shared" si="1"/>
        <v>0</v>
      </c>
    </row>
    <row r="43" spans="1:6">
      <c r="A43" s="522" t="s">
        <v>2498</v>
      </c>
      <c r="B43" s="523" t="s">
        <v>2497</v>
      </c>
      <c r="C43" s="524">
        <v>3</v>
      </c>
      <c r="D43" s="525" t="s">
        <v>2353</v>
      </c>
      <c r="E43" s="479">
        <v>0</v>
      </c>
      <c r="F43" s="528">
        <f t="shared" si="1"/>
        <v>0</v>
      </c>
    </row>
    <row r="44" spans="1:6" ht="24">
      <c r="A44" s="522" t="s">
        <v>2496</v>
      </c>
      <c r="B44" s="523" t="s">
        <v>2495</v>
      </c>
      <c r="C44" s="524">
        <v>4</v>
      </c>
      <c r="D44" s="525" t="s">
        <v>2353</v>
      </c>
      <c r="E44" s="479">
        <v>0</v>
      </c>
      <c r="F44" s="528">
        <f t="shared" si="1"/>
        <v>0</v>
      </c>
    </row>
    <row r="45" spans="1:6">
      <c r="A45" s="522" t="s">
        <v>2494</v>
      </c>
      <c r="B45" s="523" t="s">
        <v>2493</v>
      </c>
      <c r="C45" s="524">
        <v>42</v>
      </c>
      <c r="D45" s="525" t="s">
        <v>364</v>
      </c>
      <c r="E45" s="479">
        <v>0</v>
      </c>
      <c r="F45" s="528">
        <f t="shared" si="1"/>
        <v>0</v>
      </c>
    </row>
    <row r="46" spans="1:6">
      <c r="A46" s="522">
        <v>19857</v>
      </c>
      <c r="B46" s="523" t="s">
        <v>2492</v>
      </c>
      <c r="C46" s="524">
        <v>395</v>
      </c>
      <c r="D46" s="525" t="s">
        <v>364</v>
      </c>
      <c r="E46" s="479">
        <v>0</v>
      </c>
      <c r="F46" s="528">
        <f t="shared" si="1"/>
        <v>0</v>
      </c>
    </row>
    <row r="47" spans="1:6">
      <c r="A47" s="522" t="s">
        <v>2491</v>
      </c>
      <c r="B47" s="523" t="s">
        <v>2490</v>
      </c>
      <c r="C47" s="524">
        <v>40</v>
      </c>
      <c r="D47" s="525" t="s">
        <v>2353</v>
      </c>
      <c r="E47" s="479">
        <v>0</v>
      </c>
      <c r="F47" s="528">
        <f t="shared" si="1"/>
        <v>0</v>
      </c>
    </row>
    <row r="48" spans="1:6">
      <c r="A48" s="522" t="s">
        <v>2489</v>
      </c>
      <c r="B48" s="523" t="s">
        <v>2488</v>
      </c>
      <c r="C48" s="524">
        <v>9</v>
      </c>
      <c r="D48" s="525" t="s">
        <v>2353</v>
      </c>
      <c r="E48" s="479">
        <v>0</v>
      </c>
      <c r="F48" s="528">
        <f t="shared" si="1"/>
        <v>0</v>
      </c>
    </row>
    <row r="49" spans="1:6">
      <c r="A49" s="522" t="s">
        <v>3483</v>
      </c>
      <c r="B49" s="523" t="s">
        <v>2486</v>
      </c>
      <c r="C49" s="524">
        <v>0.09</v>
      </c>
      <c r="D49" s="525" t="s">
        <v>2485</v>
      </c>
      <c r="E49" s="479">
        <v>0</v>
      </c>
      <c r="F49" s="528">
        <f t="shared" si="1"/>
        <v>0</v>
      </c>
    </row>
    <row r="50" spans="1:6">
      <c r="A50" s="522">
        <v>3488604</v>
      </c>
      <c r="B50" s="523" t="s">
        <v>2484</v>
      </c>
      <c r="C50" s="524">
        <v>18</v>
      </c>
      <c r="D50" s="525" t="s">
        <v>2353</v>
      </c>
      <c r="E50" s="479">
        <v>0</v>
      </c>
      <c r="F50" s="528">
        <f t="shared" si="1"/>
        <v>0</v>
      </c>
    </row>
    <row r="51" spans="1:6" ht="24">
      <c r="A51" s="522" t="s">
        <v>2483</v>
      </c>
      <c r="B51" s="523" t="s">
        <v>2482</v>
      </c>
      <c r="C51" s="524">
        <v>80</v>
      </c>
      <c r="D51" s="525" t="s">
        <v>364</v>
      </c>
      <c r="E51" s="479">
        <v>0</v>
      </c>
      <c r="F51" s="528">
        <f t="shared" si="1"/>
        <v>0</v>
      </c>
    </row>
    <row r="52" spans="1:6">
      <c r="A52" s="522" t="s">
        <v>2469</v>
      </c>
      <c r="B52" s="523" t="s">
        <v>2468</v>
      </c>
      <c r="C52" s="524">
        <v>80</v>
      </c>
      <c r="D52" s="525" t="s">
        <v>2353</v>
      </c>
      <c r="E52" s="479">
        <v>0</v>
      </c>
      <c r="F52" s="528">
        <f t="shared" si="1"/>
        <v>0</v>
      </c>
    </row>
    <row r="53" spans="1:6">
      <c r="A53" s="522" t="s">
        <v>2481</v>
      </c>
      <c r="B53" s="523" t="s">
        <v>2480</v>
      </c>
      <c r="C53" s="524">
        <v>3</v>
      </c>
      <c r="D53" s="525" t="s">
        <v>2353</v>
      </c>
      <c r="E53" s="479">
        <v>0</v>
      </c>
      <c r="F53" s="528">
        <f t="shared" si="1"/>
        <v>0</v>
      </c>
    </row>
    <row r="54" spans="1:6">
      <c r="A54" s="522" t="s">
        <v>2469</v>
      </c>
      <c r="B54" s="523" t="s">
        <v>2468</v>
      </c>
      <c r="C54" s="524">
        <v>10</v>
      </c>
      <c r="D54" s="525" t="s">
        <v>2353</v>
      </c>
      <c r="E54" s="479">
        <v>0</v>
      </c>
      <c r="F54" s="528">
        <f t="shared" si="1"/>
        <v>0</v>
      </c>
    </row>
    <row r="55" spans="1:6">
      <c r="A55" s="522" t="s">
        <v>2479</v>
      </c>
      <c r="B55" s="523" t="s">
        <v>2478</v>
      </c>
      <c r="C55" s="524">
        <v>150</v>
      </c>
      <c r="D55" s="525" t="s">
        <v>2353</v>
      </c>
      <c r="E55" s="479">
        <v>0</v>
      </c>
      <c r="F55" s="528">
        <f t="shared" si="1"/>
        <v>0</v>
      </c>
    </row>
    <row r="56" spans="1:6">
      <c r="A56" s="522" t="s">
        <v>2477</v>
      </c>
      <c r="B56" s="523" t="s">
        <v>2476</v>
      </c>
      <c r="C56" s="524">
        <v>150</v>
      </c>
      <c r="D56" s="525" t="s">
        <v>2353</v>
      </c>
      <c r="E56" s="479">
        <v>0</v>
      </c>
      <c r="F56" s="528">
        <f t="shared" si="1"/>
        <v>0</v>
      </c>
    </row>
    <row r="57" spans="1:6">
      <c r="A57" s="522" t="s">
        <v>2475</v>
      </c>
      <c r="B57" s="523" t="s">
        <v>2474</v>
      </c>
      <c r="C57" s="524">
        <v>80</v>
      </c>
      <c r="D57" s="525" t="s">
        <v>2353</v>
      </c>
      <c r="E57" s="479">
        <v>0</v>
      </c>
      <c r="F57" s="528">
        <f t="shared" si="1"/>
        <v>0</v>
      </c>
    </row>
    <row r="58" spans="1:6">
      <c r="A58" s="522" t="s">
        <v>2473</v>
      </c>
      <c r="B58" s="523" t="s">
        <v>2472</v>
      </c>
      <c r="C58" s="524">
        <v>80</v>
      </c>
      <c r="D58" s="525" t="s">
        <v>2353</v>
      </c>
      <c r="E58" s="479">
        <v>0</v>
      </c>
      <c r="F58" s="528">
        <f t="shared" si="1"/>
        <v>0</v>
      </c>
    </row>
    <row r="59" spans="1:6">
      <c r="A59" s="522" t="s">
        <v>2471</v>
      </c>
      <c r="B59" s="523" t="s">
        <v>2470</v>
      </c>
      <c r="C59" s="524">
        <v>270</v>
      </c>
      <c r="D59" s="525" t="s">
        <v>2353</v>
      </c>
      <c r="E59" s="479">
        <v>0</v>
      </c>
      <c r="F59" s="528">
        <f t="shared" si="1"/>
        <v>0</v>
      </c>
    </row>
    <row r="60" spans="1:6">
      <c r="A60" s="522" t="s">
        <v>2469</v>
      </c>
      <c r="B60" s="523" t="s">
        <v>2468</v>
      </c>
      <c r="C60" s="524">
        <v>80</v>
      </c>
      <c r="D60" s="525" t="s">
        <v>2353</v>
      </c>
      <c r="E60" s="479">
        <v>0</v>
      </c>
      <c r="F60" s="528">
        <f t="shared" si="1"/>
        <v>0</v>
      </c>
    </row>
    <row r="61" spans="1:6">
      <c r="A61" s="522" t="s">
        <v>2467</v>
      </c>
      <c r="B61" s="523" t="s">
        <v>2466</v>
      </c>
      <c r="C61" s="524">
        <v>80</v>
      </c>
      <c r="D61" s="525" t="s">
        <v>2353</v>
      </c>
      <c r="E61" s="479">
        <v>0</v>
      </c>
      <c r="F61" s="528">
        <f t="shared" si="1"/>
        <v>0</v>
      </c>
    </row>
    <row r="62" spans="1:6">
      <c r="A62" s="522" t="s">
        <v>2465</v>
      </c>
      <c r="B62" s="523" t="s">
        <v>2464</v>
      </c>
      <c r="C62" s="524">
        <v>60</v>
      </c>
      <c r="D62" s="525" t="s">
        <v>364</v>
      </c>
      <c r="E62" s="479">
        <v>0</v>
      </c>
      <c r="F62" s="528">
        <f t="shared" si="1"/>
        <v>0</v>
      </c>
    </row>
    <row r="63" spans="1:6">
      <c r="A63" s="522" t="s">
        <v>2463</v>
      </c>
      <c r="B63" s="523" t="s">
        <v>2462</v>
      </c>
      <c r="C63" s="524">
        <v>1</v>
      </c>
      <c r="D63" s="525" t="s">
        <v>2461</v>
      </c>
      <c r="E63" s="479">
        <v>0</v>
      </c>
      <c r="F63" s="528">
        <f t="shared" si="1"/>
        <v>0</v>
      </c>
    </row>
    <row r="64" spans="1:6">
      <c r="A64" s="480"/>
      <c r="B64" s="481" t="s">
        <v>2264</v>
      </c>
      <c r="C64" s="482"/>
      <c r="D64" s="482"/>
      <c r="E64" s="482"/>
      <c r="F64" s="483">
        <f>SUM(F38:F63)</f>
        <v>0</v>
      </c>
    </row>
    <row r="65" spans="1:6">
      <c r="A65" s="484" t="s">
        <v>2453</v>
      </c>
      <c r="B65" s="485" t="s">
        <v>2054</v>
      </c>
      <c r="C65" s="486"/>
      <c r="D65" s="486"/>
      <c r="E65" s="487"/>
      <c r="F65" s="488">
        <f>F64*0.21</f>
        <v>0</v>
      </c>
    </row>
    <row r="66" spans="1:6">
      <c r="A66" s="489"/>
      <c r="B66" s="490"/>
      <c r="C66" s="423"/>
      <c r="D66" s="423"/>
      <c r="E66" s="423"/>
      <c r="F66" s="423"/>
    </row>
    <row r="67" spans="1:6" ht="15">
      <c r="A67" s="491"/>
      <c r="B67" s="492" t="s">
        <v>2460</v>
      </c>
      <c r="C67" s="493"/>
      <c r="D67" s="493"/>
      <c r="E67" s="493"/>
      <c r="F67" s="493"/>
    </row>
    <row r="68" spans="1:6">
      <c r="A68" s="480"/>
      <c r="B68" s="481" t="s">
        <v>2264</v>
      </c>
      <c r="C68" s="482"/>
      <c r="D68" s="482"/>
      <c r="E68" s="482"/>
      <c r="F68" s="483">
        <v>0</v>
      </c>
    </row>
    <row r="69" spans="1:6">
      <c r="A69" s="484" t="s">
        <v>2453</v>
      </c>
      <c r="B69" s="485" t="s">
        <v>2054</v>
      </c>
      <c r="C69" s="486"/>
      <c r="D69" s="486"/>
      <c r="E69" s="487"/>
      <c r="F69" s="488">
        <f>F68*0.21</f>
        <v>0</v>
      </c>
    </row>
    <row r="70" spans="1:6">
      <c r="A70" s="489"/>
      <c r="B70" s="490"/>
      <c r="C70" s="423"/>
      <c r="D70" s="423"/>
      <c r="E70" s="423"/>
      <c r="F70" s="423"/>
    </row>
    <row r="71" spans="1:6" ht="15">
      <c r="A71" s="491"/>
      <c r="B71" s="492" t="s">
        <v>2459</v>
      </c>
      <c r="C71" s="493"/>
      <c r="D71" s="493"/>
      <c r="E71" s="493"/>
      <c r="F71" s="493"/>
    </row>
    <row r="72" spans="1:6">
      <c r="A72" s="480"/>
      <c r="B72" s="481" t="s">
        <v>2264</v>
      </c>
      <c r="C72" s="482"/>
      <c r="D72" s="482"/>
      <c r="E72" s="482"/>
      <c r="F72" s="483">
        <v>0</v>
      </c>
    </row>
    <row r="73" spans="1:6">
      <c r="A73" s="484" t="s">
        <v>2453</v>
      </c>
      <c r="B73" s="485" t="s">
        <v>2054</v>
      </c>
      <c r="C73" s="486"/>
      <c r="D73" s="486"/>
      <c r="E73" s="487"/>
      <c r="F73" s="488">
        <f>F72*0.21</f>
        <v>0</v>
      </c>
    </row>
    <row r="74" spans="1:6">
      <c r="A74" s="489"/>
      <c r="B74" s="490"/>
      <c r="C74" s="423"/>
      <c r="D74" s="423"/>
      <c r="E74" s="423"/>
      <c r="F74" s="423"/>
    </row>
    <row r="75" spans="1:6" ht="15">
      <c r="A75" s="491"/>
      <c r="B75" s="492" t="s">
        <v>2458</v>
      </c>
      <c r="C75" s="493"/>
      <c r="D75" s="493"/>
      <c r="E75" s="493"/>
      <c r="F75" s="493"/>
    </row>
    <row r="76" spans="1:6">
      <c r="A76" s="480"/>
      <c r="B76" s="481" t="s">
        <v>2264</v>
      </c>
      <c r="C76" s="482"/>
      <c r="D76" s="482"/>
      <c r="E76" s="482"/>
      <c r="F76" s="483">
        <v>0</v>
      </c>
    </row>
    <row r="77" spans="1:6">
      <c r="A77" s="484" t="s">
        <v>2453</v>
      </c>
      <c r="B77" s="485" t="s">
        <v>2054</v>
      </c>
      <c r="C77" s="486"/>
      <c r="D77" s="486"/>
      <c r="E77" s="487"/>
      <c r="F77" s="488">
        <f>F76*0.21</f>
        <v>0</v>
      </c>
    </row>
    <row r="78" spans="1:6">
      <c r="A78" s="489"/>
      <c r="B78" s="490"/>
      <c r="C78" s="423"/>
      <c r="D78" s="423"/>
      <c r="E78" s="423"/>
      <c r="F78" s="423"/>
    </row>
    <row r="79" spans="1:6" ht="15">
      <c r="A79" s="491"/>
      <c r="B79" s="492" t="s">
        <v>2457</v>
      </c>
      <c r="C79" s="493"/>
      <c r="D79" s="493"/>
      <c r="E79" s="493"/>
      <c r="F79" s="493"/>
    </row>
    <row r="80" spans="1:6">
      <c r="A80" s="480"/>
      <c r="B80" s="481" t="s">
        <v>2264</v>
      </c>
      <c r="C80" s="482"/>
      <c r="D80" s="482"/>
      <c r="E80" s="482"/>
      <c r="F80" s="483">
        <v>0</v>
      </c>
    </row>
    <row r="81" spans="1:9">
      <c r="A81" s="484" t="s">
        <v>2453</v>
      </c>
      <c r="B81" s="485" t="s">
        <v>2054</v>
      </c>
      <c r="C81" s="486"/>
      <c r="D81" s="486"/>
      <c r="E81" s="487"/>
      <c r="F81" s="488">
        <f>F80*0.21</f>
        <v>0</v>
      </c>
    </row>
    <row r="82" spans="1:9">
      <c r="A82" s="489"/>
      <c r="B82" s="490"/>
      <c r="C82" s="423"/>
      <c r="D82" s="423"/>
      <c r="E82" s="423"/>
      <c r="F82" s="423"/>
    </row>
    <row r="83" spans="1:9" ht="15">
      <c r="A83" s="491"/>
      <c r="B83" s="492" t="s">
        <v>2456</v>
      </c>
      <c r="C83" s="493"/>
      <c r="D83" s="493"/>
      <c r="E83" s="493"/>
      <c r="F83" s="493"/>
    </row>
    <row r="84" spans="1:9">
      <c r="A84" s="480"/>
      <c r="B84" s="481" t="s">
        <v>2264</v>
      </c>
      <c r="C84" s="482"/>
      <c r="D84" s="482"/>
      <c r="E84" s="482"/>
      <c r="F84" s="483">
        <v>0</v>
      </c>
    </row>
    <row r="85" spans="1:9">
      <c r="A85" s="484" t="s">
        <v>2453</v>
      </c>
      <c r="B85" s="485" t="s">
        <v>2054</v>
      </c>
      <c r="C85" s="486"/>
      <c r="D85" s="486"/>
      <c r="E85" s="487"/>
      <c r="F85" s="488">
        <f>F84*0.21</f>
        <v>0</v>
      </c>
    </row>
    <row r="86" spans="1:9">
      <c r="A86" s="489"/>
      <c r="B86" s="490"/>
      <c r="C86" s="423"/>
      <c r="D86" s="423"/>
      <c r="E86" s="423"/>
      <c r="F86" s="423"/>
    </row>
    <row r="87" spans="1:9" ht="15">
      <c r="A87" s="491"/>
      <c r="B87" s="492" t="s">
        <v>2455</v>
      </c>
      <c r="C87" s="493"/>
      <c r="D87" s="493"/>
      <c r="E87" s="493"/>
      <c r="F87" s="493"/>
    </row>
    <row r="88" spans="1:9">
      <c r="A88" s="480"/>
      <c r="B88" s="481" t="s">
        <v>2264</v>
      </c>
      <c r="C88" s="482"/>
      <c r="D88" s="482"/>
      <c r="E88" s="482"/>
      <c r="F88" s="483">
        <v>0</v>
      </c>
    </row>
    <row r="89" spans="1:9">
      <c r="A89" s="484" t="s">
        <v>2453</v>
      </c>
      <c r="B89" s="485" t="s">
        <v>2054</v>
      </c>
      <c r="C89" s="486"/>
      <c r="D89" s="486"/>
      <c r="E89" s="487"/>
      <c r="F89" s="488">
        <f>F88*0.21</f>
        <v>0</v>
      </c>
    </row>
    <row r="90" spans="1:9">
      <c r="A90" s="489"/>
      <c r="B90" s="490"/>
      <c r="C90" s="423"/>
      <c r="D90" s="423"/>
      <c r="E90" s="423"/>
      <c r="F90" s="423"/>
    </row>
    <row r="91" spans="1:9" ht="15">
      <c r="A91" s="491"/>
      <c r="B91" s="492" t="s">
        <v>2454</v>
      </c>
      <c r="C91" s="493"/>
      <c r="D91" s="493"/>
      <c r="E91" s="493"/>
      <c r="F91" s="493"/>
    </row>
    <row r="92" spans="1:9">
      <c r="A92" s="480"/>
      <c r="B92" s="481" t="s">
        <v>2264</v>
      </c>
      <c r="C92" s="482"/>
      <c r="D92" s="482"/>
      <c r="E92" s="482"/>
      <c r="F92" s="483">
        <v>0</v>
      </c>
    </row>
    <row r="93" spans="1:9">
      <c r="A93" s="484" t="s">
        <v>2453</v>
      </c>
      <c r="B93" s="485" t="s">
        <v>2054</v>
      </c>
      <c r="C93" s="486"/>
      <c r="D93" s="486"/>
      <c r="E93" s="487"/>
      <c r="F93" s="488">
        <f>F92*0.21</f>
        <v>0</v>
      </c>
    </row>
    <row r="94" spans="1:9" ht="13.5" thickBot="1">
      <c r="A94" s="489"/>
      <c r="B94" s="490"/>
      <c r="C94" s="423"/>
      <c r="D94" s="423"/>
      <c r="E94" s="423"/>
      <c r="F94" s="423"/>
    </row>
    <row r="95" spans="1:9" ht="20.25">
      <c r="A95" s="494" t="s">
        <v>2452</v>
      </c>
      <c r="B95" s="495"/>
      <c r="C95" s="496"/>
      <c r="D95" s="496"/>
      <c r="E95" s="496"/>
      <c r="F95" s="497"/>
    </row>
    <row r="96" spans="1:9" ht="14.25">
      <c r="A96" s="498" t="s">
        <v>2451</v>
      </c>
      <c r="B96" s="499" t="s">
        <v>2450</v>
      </c>
      <c r="C96" s="500"/>
      <c r="D96" s="500"/>
      <c r="E96" s="500"/>
      <c r="F96" s="501"/>
      <c r="I96" s="232"/>
    </row>
    <row r="97" spans="1:6">
      <c r="A97" s="502"/>
      <c r="B97" s="503" t="s">
        <v>2449</v>
      </c>
      <c r="C97" s="503"/>
      <c r="D97" s="503"/>
      <c r="E97" s="503"/>
      <c r="F97" s="504">
        <f>F64+F33</f>
        <v>0</v>
      </c>
    </row>
    <row r="98" spans="1:6">
      <c r="A98" s="502"/>
      <c r="B98" s="503" t="s">
        <v>2448</v>
      </c>
      <c r="C98" s="503"/>
      <c r="D98" s="503"/>
      <c r="E98" s="503"/>
      <c r="F98" s="504">
        <f>F68+F72+F76+F80+F88+F3+F84+F92</f>
        <v>0</v>
      </c>
    </row>
    <row r="99" spans="1:6">
      <c r="A99" s="502"/>
      <c r="B99" s="503" t="s">
        <v>2447</v>
      </c>
      <c r="C99" s="503"/>
      <c r="D99" s="503"/>
      <c r="E99" s="503"/>
      <c r="F99" s="504">
        <v>0</v>
      </c>
    </row>
    <row r="100" spans="1:6">
      <c r="A100" s="502"/>
      <c r="B100" s="503" t="s">
        <v>2446</v>
      </c>
      <c r="C100" s="503"/>
      <c r="D100" s="503"/>
      <c r="E100" s="503"/>
      <c r="F100" s="504">
        <v>0</v>
      </c>
    </row>
    <row r="101" spans="1:6">
      <c r="A101" s="502"/>
      <c r="B101" s="503" t="s">
        <v>2445</v>
      </c>
      <c r="C101" s="503"/>
      <c r="D101" s="503"/>
      <c r="E101" s="503"/>
      <c r="F101" s="504">
        <v>0</v>
      </c>
    </row>
    <row r="102" spans="1:6">
      <c r="A102" s="502"/>
      <c r="B102" s="503" t="s">
        <v>2444</v>
      </c>
      <c r="C102" s="503"/>
      <c r="D102" s="503"/>
      <c r="E102" s="503"/>
      <c r="F102" s="504">
        <v>0</v>
      </c>
    </row>
    <row r="103" spans="1:6" ht="15.75" thickBot="1">
      <c r="A103" s="505"/>
      <c r="B103" s="506" t="s">
        <v>2343</v>
      </c>
      <c r="C103" s="507"/>
      <c r="D103" s="507"/>
      <c r="E103" s="507"/>
      <c r="F103" s="508">
        <f>SUM(F97:F102)</f>
        <v>0</v>
      </c>
    </row>
    <row r="104" spans="1:6">
      <c r="A104" s="502"/>
      <c r="B104" s="423"/>
      <c r="C104" s="423"/>
      <c r="D104" s="423"/>
      <c r="E104" s="423"/>
      <c r="F104" s="509"/>
    </row>
    <row r="105" spans="1:6" ht="15">
      <c r="A105" s="502"/>
      <c r="B105" s="510" t="s">
        <v>2443</v>
      </c>
      <c r="C105" s="503"/>
      <c r="D105" s="503"/>
      <c r="E105" s="503"/>
      <c r="F105" s="511"/>
    </row>
    <row r="106" spans="1:6">
      <c r="A106" s="502"/>
      <c r="B106" s="512" t="s">
        <v>2054</v>
      </c>
      <c r="C106" s="513"/>
      <c r="D106" s="514"/>
      <c r="E106" s="513"/>
      <c r="F106" s="515">
        <f>F103*0.21</f>
        <v>0</v>
      </c>
    </row>
    <row r="107" spans="1:6" ht="15.75" thickBot="1">
      <c r="A107" s="505"/>
      <c r="B107" s="506" t="s">
        <v>2442</v>
      </c>
      <c r="C107" s="507"/>
      <c r="D107" s="507"/>
      <c r="E107" s="507"/>
      <c r="F107" s="508">
        <f>SUM(F103:F106)</f>
        <v>0</v>
      </c>
    </row>
    <row r="109" spans="1:6" ht="153">
      <c r="A109" s="231"/>
      <c r="B109" s="670" t="s">
        <v>3469</v>
      </c>
      <c r="C109" s="230"/>
      <c r="D109" s="229"/>
      <c r="E109" s="228"/>
      <c r="F109" s="228"/>
    </row>
  </sheetData>
  <sheetProtection password="CAB1" sheet="1" objects="1" scenarios="1"/>
  <printOptions horizontalCentered="1"/>
  <pageMargins left="0.39370078740157483" right="0.23622047244094491" top="0.39370078740157483" bottom="0.39370078740157483"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97"/>
  <sheetViews>
    <sheetView showGridLines="0" topLeftCell="A75" workbookViewId="0">
      <selection activeCell="K93" sqref="K93"/>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104</v>
      </c>
    </row>
    <row r="3" spans="1:46" s="1" customFormat="1" ht="6.95" customHeight="1">
      <c r="A3" s="61"/>
      <c r="B3" s="263"/>
      <c r="C3" s="264"/>
      <c r="D3" s="264"/>
      <c r="E3" s="264"/>
      <c r="F3" s="264"/>
      <c r="G3" s="264"/>
      <c r="H3" s="264"/>
      <c r="I3" s="264"/>
      <c r="J3" s="264"/>
      <c r="K3" s="264"/>
      <c r="L3" s="20"/>
      <c r="AT3" s="19" t="s">
        <v>77</v>
      </c>
    </row>
    <row r="4" spans="1:46" s="1" customFormat="1" ht="24.95" customHeight="1">
      <c r="A4" s="61"/>
      <c r="B4" s="265"/>
      <c r="C4" s="61"/>
      <c r="D4" s="266" t="s">
        <v>142</v>
      </c>
      <c r="E4" s="61"/>
      <c r="F4" s="61"/>
      <c r="G4" s="61"/>
      <c r="H4" s="61"/>
      <c r="I4" s="61"/>
      <c r="J4" s="61"/>
      <c r="K4" s="61"/>
      <c r="L4" s="20"/>
      <c r="M4" s="63" t="s">
        <v>11</v>
      </c>
      <c r="AT4" s="19" t="s">
        <v>4</v>
      </c>
    </row>
    <row r="5" spans="1:46" s="1" customFormat="1" ht="6.95" customHeight="1">
      <c r="A5" s="61"/>
      <c r="B5" s="265"/>
      <c r="C5" s="61"/>
      <c r="D5" s="61"/>
      <c r="E5" s="61"/>
      <c r="F5" s="61"/>
      <c r="G5" s="61"/>
      <c r="H5" s="61"/>
      <c r="I5" s="61"/>
      <c r="J5" s="61"/>
      <c r="K5" s="61"/>
      <c r="L5" s="20"/>
    </row>
    <row r="6" spans="1:46" s="1" customFormat="1" ht="12" customHeight="1">
      <c r="A6" s="61"/>
      <c r="B6" s="265"/>
      <c r="C6" s="61"/>
      <c r="D6" s="268" t="s">
        <v>15</v>
      </c>
      <c r="E6" s="61"/>
      <c r="F6" s="61"/>
      <c r="G6" s="61"/>
      <c r="H6" s="61"/>
      <c r="I6" s="61"/>
      <c r="J6" s="61"/>
      <c r="K6" s="61"/>
      <c r="L6" s="20"/>
    </row>
    <row r="7" spans="1:46" s="1" customFormat="1" ht="14.45" customHeight="1">
      <c r="A7" s="61"/>
      <c r="B7" s="265"/>
      <c r="C7" s="61"/>
      <c r="D7" s="61"/>
      <c r="E7" s="722" t="str">
        <f>'Rekapitulace stavby'!K6</f>
        <v>Úpravy gastroprovozu Úřadu vlády ČR v 1.pp Strakovy akademie</v>
      </c>
      <c r="F7" s="723"/>
      <c r="G7" s="723"/>
      <c r="H7" s="723"/>
      <c r="I7" s="61"/>
      <c r="J7" s="61"/>
      <c r="K7" s="61"/>
      <c r="L7" s="20"/>
    </row>
    <row r="8" spans="1:46" ht="12.75">
      <c r="A8" s="61"/>
      <c r="B8" s="265"/>
      <c r="C8" s="61"/>
      <c r="D8" s="268" t="s">
        <v>151</v>
      </c>
      <c r="E8" s="61"/>
      <c r="F8" s="61"/>
      <c r="G8" s="61"/>
      <c r="H8" s="61"/>
      <c r="I8" s="61"/>
      <c r="J8" s="61"/>
      <c r="K8" s="61"/>
      <c r="L8" s="20"/>
    </row>
    <row r="9" spans="1:46" s="1" customFormat="1" ht="14.45" customHeight="1">
      <c r="A9" s="61"/>
      <c r="B9" s="265"/>
      <c r="C9" s="61"/>
      <c r="D9" s="61"/>
      <c r="E9" s="722" t="s">
        <v>1759</v>
      </c>
      <c r="F9" s="715"/>
      <c r="G9" s="715"/>
      <c r="H9" s="715"/>
      <c r="I9" s="61"/>
      <c r="J9" s="61"/>
      <c r="K9" s="61"/>
      <c r="L9" s="20"/>
    </row>
    <row r="10" spans="1:46" s="1" customFormat="1" ht="12" customHeight="1">
      <c r="A10" s="61"/>
      <c r="B10" s="265"/>
      <c r="C10" s="61"/>
      <c r="D10" s="268" t="s">
        <v>157</v>
      </c>
      <c r="E10" s="61"/>
      <c r="F10" s="61"/>
      <c r="G10" s="61"/>
      <c r="H10" s="61"/>
      <c r="I10" s="61"/>
      <c r="J10" s="61"/>
      <c r="K10" s="61"/>
      <c r="L10" s="20"/>
    </row>
    <row r="11" spans="1:46" s="2" customFormat="1" ht="14.45" customHeight="1">
      <c r="A11" s="271"/>
      <c r="B11" s="270"/>
      <c r="C11" s="271"/>
      <c r="D11" s="271"/>
      <c r="E11" s="762" t="s">
        <v>1776</v>
      </c>
      <c r="F11" s="721"/>
      <c r="G11" s="721"/>
      <c r="H11" s="721"/>
      <c r="I11" s="271"/>
      <c r="J11" s="271"/>
      <c r="K11" s="271"/>
      <c r="L11" s="64"/>
      <c r="S11" s="23"/>
      <c r="T11" s="23"/>
      <c r="U11" s="23"/>
      <c r="V11" s="23"/>
      <c r="W11" s="23"/>
      <c r="X11" s="23"/>
      <c r="Y11" s="23"/>
      <c r="Z11" s="23"/>
      <c r="AA11" s="23"/>
      <c r="AB11" s="23"/>
      <c r="AC11" s="23"/>
      <c r="AD11" s="23"/>
      <c r="AE11" s="23"/>
    </row>
    <row r="12" spans="1:46" s="2" customFormat="1" ht="12" customHeight="1">
      <c r="A12" s="271"/>
      <c r="B12" s="270"/>
      <c r="C12" s="271"/>
      <c r="D12" s="268" t="s">
        <v>1777</v>
      </c>
      <c r="E12" s="271"/>
      <c r="F12" s="271"/>
      <c r="G12" s="271"/>
      <c r="H12" s="271"/>
      <c r="I12" s="271"/>
      <c r="J12" s="271"/>
      <c r="K12" s="271"/>
      <c r="L12" s="64"/>
      <c r="S12" s="23"/>
      <c r="T12" s="23"/>
      <c r="U12" s="23"/>
      <c r="V12" s="23"/>
      <c r="W12" s="23"/>
      <c r="X12" s="23"/>
      <c r="Y12" s="23"/>
      <c r="Z12" s="23"/>
      <c r="AA12" s="23"/>
      <c r="AB12" s="23"/>
      <c r="AC12" s="23"/>
      <c r="AD12" s="23"/>
      <c r="AE12" s="23"/>
    </row>
    <row r="13" spans="1:46" s="2" customFormat="1" ht="14.45" customHeight="1">
      <c r="A13" s="271"/>
      <c r="B13" s="270"/>
      <c r="C13" s="271"/>
      <c r="D13" s="271"/>
      <c r="E13" s="689" t="s">
        <v>1781</v>
      </c>
      <c r="F13" s="721"/>
      <c r="G13" s="721"/>
      <c r="H13" s="721"/>
      <c r="I13" s="271"/>
      <c r="J13" s="271"/>
      <c r="K13" s="271"/>
      <c r="L13" s="64"/>
      <c r="S13" s="23"/>
      <c r="T13" s="23"/>
      <c r="U13" s="23"/>
      <c r="V13" s="23"/>
      <c r="W13" s="23"/>
      <c r="X13" s="23"/>
      <c r="Y13" s="23"/>
      <c r="Z13" s="23"/>
      <c r="AA13" s="23"/>
      <c r="AB13" s="23"/>
      <c r="AC13" s="23"/>
      <c r="AD13" s="23"/>
      <c r="AE13" s="23"/>
    </row>
    <row r="14" spans="1:46" s="2" customFormat="1">
      <c r="A14" s="271"/>
      <c r="B14" s="270"/>
      <c r="C14" s="271"/>
      <c r="D14" s="271"/>
      <c r="E14" s="271"/>
      <c r="F14" s="271"/>
      <c r="G14" s="271"/>
      <c r="H14" s="271"/>
      <c r="I14" s="271"/>
      <c r="J14" s="271"/>
      <c r="K14" s="271"/>
      <c r="L14" s="64"/>
      <c r="S14" s="23"/>
      <c r="T14" s="23"/>
      <c r="U14" s="23"/>
      <c r="V14" s="23"/>
      <c r="W14" s="23"/>
      <c r="X14" s="23"/>
      <c r="Y14" s="23"/>
      <c r="Z14" s="23"/>
      <c r="AA14" s="23"/>
      <c r="AB14" s="23"/>
      <c r="AC14" s="23"/>
      <c r="AD14" s="23"/>
      <c r="AE14" s="23"/>
    </row>
    <row r="15" spans="1:46" s="2" customFormat="1" ht="12" customHeight="1">
      <c r="A15" s="271"/>
      <c r="B15" s="270"/>
      <c r="C15" s="271"/>
      <c r="D15" s="268" t="s">
        <v>17</v>
      </c>
      <c r="E15" s="271"/>
      <c r="F15" s="273" t="s">
        <v>3</v>
      </c>
      <c r="G15" s="271"/>
      <c r="H15" s="271"/>
      <c r="I15" s="268" t="s">
        <v>18</v>
      </c>
      <c r="J15" s="273" t="s">
        <v>3</v>
      </c>
      <c r="K15" s="271"/>
      <c r="L15" s="64"/>
      <c r="S15" s="23"/>
      <c r="T15" s="23"/>
      <c r="U15" s="23"/>
      <c r="V15" s="23"/>
      <c r="W15" s="23"/>
      <c r="X15" s="23"/>
      <c r="Y15" s="23"/>
      <c r="Z15" s="23"/>
      <c r="AA15" s="23"/>
      <c r="AB15" s="23"/>
      <c r="AC15" s="23"/>
      <c r="AD15" s="23"/>
      <c r="AE15" s="23"/>
    </row>
    <row r="16" spans="1:46" s="2" customFormat="1" ht="12" customHeight="1">
      <c r="A16" s="271"/>
      <c r="B16" s="270"/>
      <c r="C16" s="271"/>
      <c r="D16" s="268" t="s">
        <v>19</v>
      </c>
      <c r="E16" s="271"/>
      <c r="F16" s="273" t="s">
        <v>27</v>
      </c>
      <c r="G16" s="271"/>
      <c r="H16" s="271"/>
      <c r="I16" s="268" t="s">
        <v>21</v>
      </c>
      <c r="J16" s="387">
        <f>'Rekapitulace stavby'!AN8</f>
        <v>44077</v>
      </c>
      <c r="K16" s="271"/>
      <c r="L16" s="64"/>
      <c r="S16" s="23"/>
      <c r="T16" s="23"/>
      <c r="U16" s="23"/>
      <c r="V16" s="23"/>
      <c r="W16" s="23"/>
      <c r="X16" s="23"/>
      <c r="Y16" s="23"/>
      <c r="Z16" s="23"/>
      <c r="AA16" s="23"/>
      <c r="AB16" s="23"/>
      <c r="AC16" s="23"/>
      <c r="AD16" s="23"/>
      <c r="AE16" s="23"/>
    </row>
    <row r="17" spans="1:31" s="2" customFormat="1" ht="10.9" customHeight="1">
      <c r="A17" s="271"/>
      <c r="B17" s="270"/>
      <c r="C17" s="271"/>
      <c r="D17" s="271"/>
      <c r="E17" s="271"/>
      <c r="F17" s="271"/>
      <c r="G17" s="271"/>
      <c r="H17" s="271"/>
      <c r="I17" s="271"/>
      <c r="J17" s="271"/>
      <c r="K17" s="271"/>
      <c r="L17" s="64"/>
      <c r="S17" s="23"/>
      <c r="T17" s="23"/>
      <c r="U17" s="23"/>
      <c r="V17" s="23"/>
      <c r="W17" s="23"/>
      <c r="X17" s="23"/>
      <c r="Y17" s="23"/>
      <c r="Z17" s="23"/>
      <c r="AA17" s="23"/>
      <c r="AB17" s="23"/>
      <c r="AC17" s="23"/>
      <c r="AD17" s="23"/>
      <c r="AE17" s="23"/>
    </row>
    <row r="18" spans="1:31" s="2" customFormat="1" ht="12" customHeight="1">
      <c r="A18" s="271"/>
      <c r="B18" s="270"/>
      <c r="C18" s="271"/>
      <c r="D18" s="268" t="s">
        <v>22</v>
      </c>
      <c r="E18" s="271"/>
      <c r="F18" s="271"/>
      <c r="G18" s="271"/>
      <c r="H18" s="271"/>
      <c r="I18" s="268" t="s">
        <v>23</v>
      </c>
      <c r="J18" s="273" t="s">
        <v>3</v>
      </c>
      <c r="K18" s="271"/>
      <c r="L18" s="64"/>
      <c r="S18" s="23"/>
      <c r="T18" s="23"/>
      <c r="U18" s="23"/>
      <c r="V18" s="23"/>
      <c r="W18" s="23"/>
      <c r="X18" s="23"/>
      <c r="Y18" s="23"/>
      <c r="Z18" s="23"/>
      <c r="AA18" s="23"/>
      <c r="AB18" s="23"/>
      <c r="AC18" s="23"/>
      <c r="AD18" s="23"/>
      <c r="AE18" s="23"/>
    </row>
    <row r="19" spans="1:31" s="2" customFormat="1" ht="18" customHeight="1">
      <c r="A19" s="271"/>
      <c r="B19" s="270"/>
      <c r="C19" s="271"/>
      <c r="D19" s="271"/>
      <c r="E19" s="273" t="s">
        <v>24</v>
      </c>
      <c r="F19" s="271"/>
      <c r="G19" s="271"/>
      <c r="H19" s="271"/>
      <c r="I19" s="268" t="s">
        <v>25</v>
      </c>
      <c r="J19" s="273" t="s">
        <v>3</v>
      </c>
      <c r="K19" s="271"/>
      <c r="L19" s="64"/>
      <c r="S19" s="23"/>
      <c r="T19" s="23"/>
      <c r="U19" s="23"/>
      <c r="V19" s="23"/>
      <c r="W19" s="23"/>
      <c r="X19" s="23"/>
      <c r="Y19" s="23"/>
      <c r="Z19" s="23"/>
      <c r="AA19" s="23"/>
      <c r="AB19" s="23"/>
      <c r="AC19" s="23"/>
      <c r="AD19" s="23"/>
      <c r="AE19" s="23"/>
    </row>
    <row r="20" spans="1:31" s="2" customFormat="1" ht="6.95" customHeight="1">
      <c r="A20" s="271"/>
      <c r="B20" s="270"/>
      <c r="C20" s="271"/>
      <c r="D20" s="271"/>
      <c r="E20" s="271"/>
      <c r="F20" s="271"/>
      <c r="G20" s="271"/>
      <c r="H20" s="271"/>
      <c r="I20" s="271"/>
      <c r="J20" s="271"/>
      <c r="K20" s="271"/>
      <c r="L20" s="64"/>
      <c r="S20" s="23"/>
      <c r="T20" s="23"/>
      <c r="U20" s="23"/>
      <c r="V20" s="23"/>
      <c r="W20" s="23"/>
      <c r="X20" s="23"/>
      <c r="Y20" s="23"/>
      <c r="Z20" s="23"/>
      <c r="AA20" s="23"/>
      <c r="AB20" s="23"/>
      <c r="AC20" s="23"/>
      <c r="AD20" s="23"/>
      <c r="AE20" s="23"/>
    </row>
    <row r="21" spans="1:31" s="2" customFormat="1" ht="12" customHeight="1">
      <c r="A21" s="271"/>
      <c r="B21" s="270"/>
      <c r="C21" s="271"/>
      <c r="D21" s="268" t="s">
        <v>26</v>
      </c>
      <c r="E21" s="271"/>
      <c r="F21" s="271"/>
      <c r="G21" s="271"/>
      <c r="H21" s="271"/>
      <c r="I21" s="268" t="s">
        <v>23</v>
      </c>
      <c r="J21" s="273" t="str">
        <f>'Rekapitulace stavby'!AN13</f>
        <v/>
      </c>
      <c r="K21" s="271"/>
      <c r="L21" s="64"/>
      <c r="S21" s="23"/>
      <c r="T21" s="23"/>
      <c r="U21" s="23"/>
      <c r="V21" s="23"/>
      <c r="W21" s="23"/>
      <c r="X21" s="23"/>
      <c r="Y21" s="23"/>
      <c r="Z21" s="23"/>
      <c r="AA21" s="23"/>
      <c r="AB21" s="23"/>
      <c r="AC21" s="23"/>
      <c r="AD21" s="23"/>
      <c r="AE21" s="23"/>
    </row>
    <row r="22" spans="1:31" s="2" customFormat="1" ht="18" customHeight="1">
      <c r="A22" s="271"/>
      <c r="B22" s="270"/>
      <c r="C22" s="271"/>
      <c r="D22" s="271"/>
      <c r="E22" s="714" t="str">
        <f>'Rekapitulace stavby'!E14</f>
        <v xml:space="preserve"> </v>
      </c>
      <c r="F22" s="714"/>
      <c r="G22" s="714"/>
      <c r="H22" s="714"/>
      <c r="I22" s="268" t="s">
        <v>25</v>
      </c>
      <c r="J22" s="273" t="str">
        <f>'Rekapitulace stavby'!AN14</f>
        <v/>
      </c>
      <c r="K22" s="271"/>
      <c r="L22" s="64"/>
      <c r="S22" s="23"/>
      <c r="T22" s="23"/>
      <c r="U22" s="23"/>
      <c r="V22" s="23"/>
      <c r="W22" s="23"/>
      <c r="X22" s="23"/>
      <c r="Y22" s="23"/>
      <c r="Z22" s="23"/>
      <c r="AA22" s="23"/>
      <c r="AB22" s="23"/>
      <c r="AC22" s="23"/>
      <c r="AD22" s="23"/>
      <c r="AE22" s="23"/>
    </row>
    <row r="23" spans="1:31" s="2" customFormat="1" ht="6.95" customHeight="1">
      <c r="A23" s="271"/>
      <c r="B23" s="270"/>
      <c r="C23" s="271"/>
      <c r="D23" s="271"/>
      <c r="E23" s="271"/>
      <c r="F23" s="271"/>
      <c r="G23" s="271"/>
      <c r="H23" s="271"/>
      <c r="I23" s="271"/>
      <c r="J23" s="271"/>
      <c r="K23" s="271"/>
      <c r="L23" s="64"/>
      <c r="S23" s="23"/>
      <c r="T23" s="23"/>
      <c r="U23" s="23"/>
      <c r="V23" s="23"/>
      <c r="W23" s="23"/>
      <c r="X23" s="23"/>
      <c r="Y23" s="23"/>
      <c r="Z23" s="23"/>
      <c r="AA23" s="23"/>
      <c r="AB23" s="23"/>
      <c r="AC23" s="23"/>
      <c r="AD23" s="23"/>
      <c r="AE23" s="23"/>
    </row>
    <row r="24" spans="1:31" s="2" customFormat="1" ht="12" customHeight="1">
      <c r="A24" s="271"/>
      <c r="B24" s="270"/>
      <c r="C24" s="271"/>
      <c r="D24" s="268" t="s">
        <v>28</v>
      </c>
      <c r="E24" s="271"/>
      <c r="F24" s="271"/>
      <c r="G24" s="271"/>
      <c r="H24" s="271"/>
      <c r="I24" s="268" t="s">
        <v>23</v>
      </c>
      <c r="J24" s="273" t="s">
        <v>3</v>
      </c>
      <c r="K24" s="271"/>
      <c r="L24" s="64"/>
      <c r="S24" s="23"/>
      <c r="T24" s="23"/>
      <c r="U24" s="23"/>
      <c r="V24" s="23"/>
      <c r="W24" s="23"/>
      <c r="X24" s="23"/>
      <c r="Y24" s="23"/>
      <c r="Z24" s="23"/>
      <c r="AA24" s="23"/>
      <c r="AB24" s="23"/>
      <c r="AC24" s="23"/>
      <c r="AD24" s="23"/>
      <c r="AE24" s="23"/>
    </row>
    <row r="25" spans="1:31" s="2" customFormat="1" ht="18" customHeight="1">
      <c r="A25" s="271"/>
      <c r="B25" s="270"/>
      <c r="C25" s="271"/>
      <c r="D25" s="271"/>
      <c r="E25" s="273" t="s">
        <v>29</v>
      </c>
      <c r="F25" s="271"/>
      <c r="G25" s="271"/>
      <c r="H25" s="271"/>
      <c r="I25" s="268" t="s">
        <v>25</v>
      </c>
      <c r="J25" s="273" t="s">
        <v>3</v>
      </c>
      <c r="K25" s="271"/>
      <c r="L25" s="64"/>
      <c r="S25" s="23"/>
      <c r="T25" s="23"/>
      <c r="U25" s="23"/>
      <c r="V25" s="23"/>
      <c r="W25" s="23"/>
      <c r="X25" s="23"/>
      <c r="Y25" s="23"/>
      <c r="Z25" s="23"/>
      <c r="AA25" s="23"/>
      <c r="AB25" s="23"/>
      <c r="AC25" s="23"/>
      <c r="AD25" s="23"/>
      <c r="AE25" s="23"/>
    </row>
    <row r="26" spans="1:31" s="2" customFormat="1" ht="6.95" customHeight="1">
      <c r="A26" s="271"/>
      <c r="B26" s="270"/>
      <c r="C26" s="271"/>
      <c r="D26" s="271"/>
      <c r="E26" s="271"/>
      <c r="F26" s="271"/>
      <c r="G26" s="271"/>
      <c r="H26" s="271"/>
      <c r="I26" s="271"/>
      <c r="J26" s="271"/>
      <c r="K26" s="271"/>
      <c r="L26" s="64"/>
      <c r="S26" s="23"/>
      <c r="T26" s="23"/>
      <c r="U26" s="23"/>
      <c r="V26" s="23"/>
      <c r="W26" s="23"/>
      <c r="X26" s="23"/>
      <c r="Y26" s="23"/>
      <c r="Z26" s="23"/>
      <c r="AA26" s="23"/>
      <c r="AB26" s="23"/>
      <c r="AC26" s="23"/>
      <c r="AD26" s="23"/>
      <c r="AE26" s="23"/>
    </row>
    <row r="27" spans="1:31" s="2" customFormat="1" ht="12" customHeight="1">
      <c r="A27" s="271"/>
      <c r="B27" s="270"/>
      <c r="C27" s="271"/>
      <c r="D27" s="268" t="s">
        <v>31</v>
      </c>
      <c r="E27" s="271"/>
      <c r="F27" s="271"/>
      <c r="G27" s="271"/>
      <c r="H27" s="271"/>
      <c r="I27" s="268" t="s">
        <v>23</v>
      </c>
      <c r="J27" s="273" t="s">
        <v>3</v>
      </c>
      <c r="K27" s="271"/>
      <c r="L27" s="64"/>
      <c r="S27" s="23"/>
      <c r="T27" s="23"/>
      <c r="U27" s="23"/>
      <c r="V27" s="23"/>
      <c r="W27" s="23"/>
      <c r="X27" s="23"/>
      <c r="Y27" s="23"/>
      <c r="Z27" s="23"/>
      <c r="AA27" s="23"/>
      <c r="AB27" s="23"/>
      <c r="AC27" s="23"/>
      <c r="AD27" s="23"/>
      <c r="AE27" s="23"/>
    </row>
    <row r="28" spans="1:31" s="2" customFormat="1" ht="18" customHeight="1">
      <c r="A28" s="271"/>
      <c r="B28" s="270"/>
      <c r="C28" s="271"/>
      <c r="D28" s="271"/>
      <c r="E28" s="273" t="s">
        <v>29</v>
      </c>
      <c r="F28" s="271"/>
      <c r="G28" s="271"/>
      <c r="H28" s="271"/>
      <c r="I28" s="268" t="s">
        <v>25</v>
      </c>
      <c r="J28" s="273" t="s">
        <v>3</v>
      </c>
      <c r="K28" s="271"/>
      <c r="L28" s="64"/>
      <c r="S28" s="23"/>
      <c r="T28" s="23"/>
      <c r="U28" s="23"/>
      <c r="V28" s="23"/>
      <c r="W28" s="23"/>
      <c r="X28" s="23"/>
      <c r="Y28" s="23"/>
      <c r="Z28" s="23"/>
      <c r="AA28" s="23"/>
      <c r="AB28" s="23"/>
      <c r="AC28" s="23"/>
      <c r="AD28" s="23"/>
      <c r="AE28" s="23"/>
    </row>
    <row r="29" spans="1:31" s="2" customFormat="1" ht="6.95" customHeight="1">
      <c r="A29" s="271"/>
      <c r="B29" s="270"/>
      <c r="C29" s="271"/>
      <c r="D29" s="271"/>
      <c r="E29" s="271"/>
      <c r="F29" s="271"/>
      <c r="G29" s="271"/>
      <c r="H29" s="271"/>
      <c r="I29" s="271"/>
      <c r="J29" s="271"/>
      <c r="K29" s="271"/>
      <c r="L29" s="64"/>
      <c r="S29" s="23"/>
      <c r="T29" s="23"/>
      <c r="U29" s="23"/>
      <c r="V29" s="23"/>
      <c r="W29" s="23"/>
      <c r="X29" s="23"/>
      <c r="Y29" s="23"/>
      <c r="Z29" s="23"/>
      <c r="AA29" s="23"/>
      <c r="AB29" s="23"/>
      <c r="AC29" s="23"/>
      <c r="AD29" s="23"/>
      <c r="AE29" s="23"/>
    </row>
    <row r="30" spans="1:31" s="2" customFormat="1" ht="12" customHeight="1">
      <c r="A30" s="271"/>
      <c r="B30" s="270"/>
      <c r="C30" s="271"/>
      <c r="D30" s="268" t="s">
        <v>32</v>
      </c>
      <c r="E30" s="271"/>
      <c r="F30" s="271"/>
      <c r="G30" s="271"/>
      <c r="H30" s="271"/>
      <c r="I30" s="271"/>
      <c r="J30" s="271"/>
      <c r="K30" s="271"/>
      <c r="L30" s="64"/>
      <c r="S30" s="23"/>
      <c r="T30" s="23"/>
      <c r="U30" s="23"/>
      <c r="V30" s="23"/>
      <c r="W30" s="23"/>
      <c r="X30" s="23"/>
      <c r="Y30" s="23"/>
      <c r="Z30" s="23"/>
      <c r="AA30" s="23"/>
      <c r="AB30" s="23"/>
      <c r="AC30" s="23"/>
      <c r="AD30" s="23"/>
      <c r="AE30" s="23"/>
    </row>
    <row r="31" spans="1:31" s="8" customFormat="1" ht="14.45" customHeight="1">
      <c r="A31" s="274"/>
      <c r="B31" s="275"/>
      <c r="C31" s="274"/>
      <c r="D31" s="274"/>
      <c r="E31" s="707" t="s">
        <v>3</v>
      </c>
      <c r="F31" s="707"/>
      <c r="G31" s="707"/>
      <c r="H31" s="707"/>
      <c r="I31" s="274"/>
      <c r="J31" s="274"/>
      <c r="K31" s="274"/>
      <c r="L31" s="66"/>
      <c r="S31" s="65"/>
      <c r="T31" s="65"/>
      <c r="U31" s="65"/>
      <c r="V31" s="65"/>
      <c r="W31" s="65"/>
      <c r="X31" s="65"/>
      <c r="Y31" s="65"/>
      <c r="Z31" s="65"/>
      <c r="AA31" s="65"/>
      <c r="AB31" s="65"/>
      <c r="AC31" s="65"/>
      <c r="AD31" s="65"/>
      <c r="AE31" s="65"/>
    </row>
    <row r="32" spans="1:31" s="2" customFormat="1" ht="6.95" customHeight="1">
      <c r="A32" s="271"/>
      <c r="B32" s="270"/>
      <c r="C32" s="271"/>
      <c r="D32" s="271"/>
      <c r="E32" s="271"/>
      <c r="F32" s="271"/>
      <c r="G32" s="271"/>
      <c r="H32" s="271"/>
      <c r="I32" s="271"/>
      <c r="J32" s="271"/>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25.35" customHeight="1">
      <c r="A34" s="271"/>
      <c r="B34" s="270"/>
      <c r="C34" s="271"/>
      <c r="D34" s="277" t="s">
        <v>34</v>
      </c>
      <c r="E34" s="271"/>
      <c r="F34" s="271"/>
      <c r="G34" s="271"/>
      <c r="H34" s="271"/>
      <c r="I34" s="271"/>
      <c r="J34" s="388">
        <f>ROUND(J93, 2)</f>
        <v>0</v>
      </c>
      <c r="K34" s="271"/>
      <c r="L34" s="64"/>
      <c r="S34" s="23"/>
      <c r="T34" s="23"/>
      <c r="U34" s="23"/>
      <c r="V34" s="23"/>
      <c r="W34" s="23"/>
      <c r="X34" s="23"/>
      <c r="Y34" s="23"/>
      <c r="Z34" s="23"/>
      <c r="AA34" s="23"/>
      <c r="AB34" s="23"/>
      <c r="AC34" s="23"/>
      <c r="AD34" s="23"/>
      <c r="AE34" s="23"/>
    </row>
    <row r="35" spans="1:31" s="2" customFormat="1" ht="6.95" customHeight="1">
      <c r="A35" s="271"/>
      <c r="B35" s="270"/>
      <c r="C35" s="271"/>
      <c r="D35" s="276"/>
      <c r="E35" s="276"/>
      <c r="F35" s="276"/>
      <c r="G35" s="276"/>
      <c r="H35" s="276"/>
      <c r="I35" s="276"/>
      <c r="J35" s="276"/>
      <c r="K35" s="276"/>
      <c r="L35" s="64"/>
      <c r="S35" s="23"/>
      <c r="T35" s="23"/>
      <c r="U35" s="23"/>
      <c r="V35" s="23"/>
      <c r="W35" s="23"/>
      <c r="X35" s="23"/>
      <c r="Y35" s="23"/>
      <c r="Z35" s="23"/>
      <c r="AA35" s="23"/>
      <c r="AB35" s="23"/>
      <c r="AC35" s="23"/>
      <c r="AD35" s="23"/>
      <c r="AE35" s="23"/>
    </row>
    <row r="36" spans="1:31" s="2" customFormat="1" ht="14.45" customHeight="1">
      <c r="A36" s="271"/>
      <c r="B36" s="270"/>
      <c r="C36" s="271"/>
      <c r="D36" s="271"/>
      <c r="E36" s="271"/>
      <c r="F36" s="278" t="s">
        <v>36</v>
      </c>
      <c r="G36" s="271"/>
      <c r="H36" s="271"/>
      <c r="I36" s="278" t="s">
        <v>35</v>
      </c>
      <c r="J36" s="278" t="s">
        <v>37</v>
      </c>
      <c r="K36" s="271"/>
      <c r="L36" s="64"/>
      <c r="S36" s="23"/>
      <c r="T36" s="23"/>
      <c r="U36" s="23"/>
      <c r="V36" s="23"/>
      <c r="W36" s="23"/>
      <c r="X36" s="23"/>
      <c r="Y36" s="23"/>
      <c r="Z36" s="23"/>
      <c r="AA36" s="23"/>
      <c r="AB36" s="23"/>
      <c r="AC36" s="23"/>
      <c r="AD36" s="23"/>
      <c r="AE36" s="23"/>
    </row>
    <row r="37" spans="1:31" s="2" customFormat="1" ht="14.45" customHeight="1">
      <c r="A37" s="271"/>
      <c r="B37" s="270"/>
      <c r="C37" s="271"/>
      <c r="D37" s="279" t="s">
        <v>38</v>
      </c>
      <c r="E37" s="268" t="s">
        <v>39</v>
      </c>
      <c r="F37" s="280">
        <f>ROUND((SUM(BE93:BE96)),  2)</f>
        <v>0</v>
      </c>
      <c r="G37" s="271"/>
      <c r="H37" s="271"/>
      <c r="I37" s="389">
        <v>0.21</v>
      </c>
      <c r="J37" s="280">
        <f>ROUND(((SUM(BE93:BE96))*I37),  2)</f>
        <v>0</v>
      </c>
      <c r="K37" s="271"/>
      <c r="L37" s="64"/>
      <c r="S37" s="23"/>
      <c r="T37" s="23"/>
      <c r="U37" s="23"/>
      <c r="V37" s="23"/>
      <c r="W37" s="23"/>
      <c r="X37" s="23"/>
      <c r="Y37" s="23"/>
      <c r="Z37" s="23"/>
      <c r="AA37" s="23"/>
      <c r="AB37" s="23"/>
      <c r="AC37" s="23"/>
      <c r="AD37" s="23"/>
      <c r="AE37" s="23"/>
    </row>
    <row r="38" spans="1:31" s="2" customFormat="1" ht="14.45" customHeight="1">
      <c r="A38" s="271"/>
      <c r="B38" s="270"/>
      <c r="C38" s="271"/>
      <c r="D38" s="271"/>
      <c r="E38" s="268" t="s">
        <v>40</v>
      </c>
      <c r="F38" s="280">
        <f>ROUND((SUM(BF93:BF96)),  2)</f>
        <v>0</v>
      </c>
      <c r="G38" s="271"/>
      <c r="H38" s="271"/>
      <c r="I38" s="389">
        <v>0.15</v>
      </c>
      <c r="J38" s="280">
        <f>ROUND(((SUM(BF93:BF96))*I38),  2)</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41</v>
      </c>
      <c r="F39" s="280">
        <f>ROUND((SUM(BG93:BG96)),  2)</f>
        <v>0</v>
      </c>
      <c r="G39" s="271"/>
      <c r="H39" s="271"/>
      <c r="I39" s="389">
        <v>0.21</v>
      </c>
      <c r="J39" s="280">
        <f>0</f>
        <v>0</v>
      </c>
      <c r="K39" s="271"/>
      <c r="L39" s="64"/>
      <c r="S39" s="23"/>
      <c r="T39" s="23"/>
      <c r="U39" s="23"/>
      <c r="V39" s="23"/>
      <c r="W39" s="23"/>
      <c r="X39" s="23"/>
      <c r="Y39" s="23"/>
      <c r="Z39" s="23"/>
      <c r="AA39" s="23"/>
      <c r="AB39" s="23"/>
      <c r="AC39" s="23"/>
      <c r="AD39" s="23"/>
      <c r="AE39" s="23"/>
    </row>
    <row r="40" spans="1:31" s="2" customFormat="1" ht="14.45" hidden="1" customHeight="1">
      <c r="A40" s="271"/>
      <c r="B40" s="270"/>
      <c r="C40" s="271"/>
      <c r="D40" s="271"/>
      <c r="E40" s="268" t="s">
        <v>42</v>
      </c>
      <c r="F40" s="280">
        <f>ROUND((SUM(BH93:BH96)),  2)</f>
        <v>0</v>
      </c>
      <c r="G40" s="271"/>
      <c r="H40" s="271"/>
      <c r="I40" s="389">
        <v>0.15</v>
      </c>
      <c r="J40" s="280">
        <f>0</f>
        <v>0</v>
      </c>
      <c r="K40" s="271"/>
      <c r="L40" s="64"/>
      <c r="S40" s="23"/>
      <c r="T40" s="23"/>
      <c r="U40" s="23"/>
      <c r="V40" s="23"/>
      <c r="W40" s="23"/>
      <c r="X40" s="23"/>
      <c r="Y40" s="23"/>
      <c r="Z40" s="23"/>
      <c r="AA40" s="23"/>
      <c r="AB40" s="23"/>
      <c r="AC40" s="23"/>
      <c r="AD40" s="23"/>
      <c r="AE40" s="23"/>
    </row>
    <row r="41" spans="1:31" s="2" customFormat="1" ht="14.45" hidden="1" customHeight="1">
      <c r="A41" s="271"/>
      <c r="B41" s="270"/>
      <c r="C41" s="271"/>
      <c r="D41" s="271"/>
      <c r="E41" s="268" t="s">
        <v>43</v>
      </c>
      <c r="F41" s="280">
        <f>ROUND((SUM(BI93:BI96)),  2)</f>
        <v>0</v>
      </c>
      <c r="G41" s="271"/>
      <c r="H41" s="271"/>
      <c r="I41" s="389">
        <v>0</v>
      </c>
      <c r="J41" s="280">
        <f>0</f>
        <v>0</v>
      </c>
      <c r="K41" s="271"/>
      <c r="L41" s="64"/>
      <c r="S41" s="23"/>
      <c r="T41" s="23"/>
      <c r="U41" s="23"/>
      <c r="V41" s="23"/>
      <c r="W41" s="23"/>
      <c r="X41" s="23"/>
      <c r="Y41" s="23"/>
      <c r="Z41" s="23"/>
      <c r="AA41" s="23"/>
      <c r="AB41" s="23"/>
      <c r="AC41" s="23"/>
      <c r="AD41" s="23"/>
      <c r="AE41" s="23"/>
    </row>
    <row r="42" spans="1:31" s="2" customFormat="1" ht="6.95" customHeight="1">
      <c r="A42" s="271"/>
      <c r="B42" s="270"/>
      <c r="C42" s="271"/>
      <c r="D42" s="271"/>
      <c r="E42" s="271"/>
      <c r="F42" s="271"/>
      <c r="G42" s="271"/>
      <c r="H42" s="271"/>
      <c r="I42" s="271"/>
      <c r="J42" s="271"/>
      <c r="K42" s="271"/>
      <c r="L42" s="64"/>
      <c r="S42" s="23"/>
      <c r="T42" s="23"/>
      <c r="U42" s="23"/>
      <c r="V42" s="23"/>
      <c r="W42" s="23"/>
      <c r="X42" s="23"/>
      <c r="Y42" s="23"/>
      <c r="Z42" s="23"/>
      <c r="AA42" s="23"/>
      <c r="AB42" s="23"/>
      <c r="AC42" s="23"/>
      <c r="AD42" s="23"/>
      <c r="AE42" s="23"/>
    </row>
    <row r="43" spans="1:31" s="2" customFormat="1" ht="25.35" customHeight="1">
      <c r="A43" s="271"/>
      <c r="B43" s="270"/>
      <c r="C43" s="281"/>
      <c r="D43" s="282" t="s">
        <v>44</v>
      </c>
      <c r="E43" s="283"/>
      <c r="F43" s="283"/>
      <c r="G43" s="284" t="s">
        <v>45</v>
      </c>
      <c r="H43" s="285" t="s">
        <v>46</v>
      </c>
      <c r="I43" s="283"/>
      <c r="J43" s="390">
        <f>SUM(J34:J41)</f>
        <v>0</v>
      </c>
      <c r="K43" s="339"/>
      <c r="L43" s="64"/>
      <c r="S43" s="23"/>
      <c r="T43" s="23"/>
      <c r="U43" s="23"/>
      <c r="V43" s="23"/>
      <c r="W43" s="23"/>
      <c r="X43" s="23"/>
      <c r="Y43" s="23"/>
      <c r="Z43" s="23"/>
      <c r="AA43" s="23"/>
      <c r="AB43" s="23"/>
      <c r="AC43" s="23"/>
      <c r="AD43" s="23"/>
      <c r="AE43" s="23"/>
    </row>
    <row r="44" spans="1:31" s="2" customFormat="1" ht="14.45" customHeight="1">
      <c r="A44" s="271"/>
      <c r="B44" s="286"/>
      <c r="C44" s="287"/>
      <c r="D44" s="287"/>
      <c r="E44" s="287"/>
      <c r="F44" s="287"/>
      <c r="G44" s="287"/>
      <c r="H44" s="287"/>
      <c r="I44" s="287"/>
      <c r="J44" s="287"/>
      <c r="K44" s="287"/>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1"/>
      <c r="B48" s="288"/>
      <c r="C48" s="289"/>
      <c r="D48" s="289"/>
      <c r="E48" s="289"/>
      <c r="F48" s="289"/>
      <c r="G48" s="289"/>
      <c r="H48" s="289"/>
      <c r="I48" s="289"/>
      <c r="J48" s="289"/>
      <c r="K48" s="289"/>
      <c r="L48" s="64"/>
      <c r="S48" s="23"/>
      <c r="T48" s="23"/>
      <c r="U48" s="23"/>
      <c r="V48" s="23"/>
      <c r="W48" s="23"/>
      <c r="X48" s="23"/>
      <c r="Y48" s="23"/>
      <c r="Z48" s="23"/>
      <c r="AA48" s="23"/>
      <c r="AB48" s="23"/>
      <c r="AC48" s="23"/>
      <c r="AD48" s="23"/>
      <c r="AE48" s="23"/>
    </row>
    <row r="49" spans="1:31" s="2" customFormat="1" ht="24.95" customHeight="1">
      <c r="A49" s="271"/>
      <c r="B49" s="270"/>
      <c r="C49" s="266" t="s">
        <v>167</v>
      </c>
      <c r="D49" s="271"/>
      <c r="E49" s="271"/>
      <c r="F49" s="271"/>
      <c r="G49" s="271"/>
      <c r="H49" s="271"/>
      <c r="I49" s="271"/>
      <c r="J49" s="271"/>
      <c r="K49" s="271"/>
      <c r="L49" s="64"/>
      <c r="S49" s="23"/>
      <c r="T49" s="23"/>
      <c r="U49" s="23"/>
      <c r="V49" s="23"/>
      <c r="W49" s="23"/>
      <c r="X49" s="23"/>
      <c r="Y49" s="23"/>
      <c r="Z49" s="23"/>
      <c r="AA49" s="23"/>
      <c r="AB49" s="23"/>
      <c r="AC49" s="23"/>
      <c r="AD49" s="23"/>
      <c r="AE49" s="23"/>
    </row>
    <row r="50" spans="1:31" s="2" customFormat="1" ht="6.95" customHeight="1">
      <c r="A50" s="271"/>
      <c r="B50" s="270"/>
      <c r="C50" s="271"/>
      <c r="D50" s="271"/>
      <c r="E50" s="271"/>
      <c r="F50" s="271"/>
      <c r="G50" s="271"/>
      <c r="H50" s="271"/>
      <c r="I50" s="271"/>
      <c r="J50" s="271"/>
      <c r="K50" s="271"/>
      <c r="L50" s="64"/>
      <c r="S50" s="23"/>
      <c r="T50" s="23"/>
      <c r="U50" s="23"/>
      <c r="V50" s="23"/>
      <c r="W50" s="23"/>
      <c r="X50" s="23"/>
      <c r="Y50" s="23"/>
      <c r="Z50" s="23"/>
      <c r="AA50" s="23"/>
      <c r="AB50" s="23"/>
      <c r="AC50" s="23"/>
      <c r="AD50" s="23"/>
      <c r="AE50" s="23"/>
    </row>
    <row r="51" spans="1:31" s="2" customFormat="1" ht="12" customHeight="1">
      <c r="A51" s="271"/>
      <c r="B51" s="270"/>
      <c r="C51" s="268" t="s">
        <v>15</v>
      </c>
      <c r="D51" s="271"/>
      <c r="E51" s="271"/>
      <c r="F51" s="271"/>
      <c r="G51" s="271"/>
      <c r="H51" s="271"/>
      <c r="I51" s="271"/>
      <c r="J51" s="271"/>
      <c r="K51" s="271"/>
      <c r="L51" s="64"/>
      <c r="S51" s="23"/>
      <c r="T51" s="23"/>
      <c r="U51" s="23"/>
      <c r="V51" s="23"/>
      <c r="W51" s="23"/>
      <c r="X51" s="23"/>
      <c r="Y51" s="23"/>
      <c r="Z51" s="23"/>
      <c r="AA51" s="23"/>
      <c r="AB51" s="23"/>
      <c r="AC51" s="23"/>
      <c r="AD51" s="23"/>
      <c r="AE51" s="23"/>
    </row>
    <row r="52" spans="1:31" s="2" customFormat="1" ht="14.45" customHeight="1">
      <c r="A52" s="271"/>
      <c r="B52" s="270"/>
      <c r="C52" s="271"/>
      <c r="D52" s="271"/>
      <c r="E52" s="722" t="str">
        <f>E7</f>
        <v>Úpravy gastroprovozu Úřadu vlády ČR v 1.pp Strakovy akademie</v>
      </c>
      <c r="F52" s="723"/>
      <c r="G52" s="723"/>
      <c r="H52" s="723"/>
      <c r="I52" s="271"/>
      <c r="J52" s="271"/>
      <c r="K52" s="271"/>
      <c r="L52" s="64"/>
      <c r="S52" s="23"/>
      <c r="T52" s="23"/>
      <c r="U52" s="23"/>
      <c r="V52" s="23"/>
      <c r="W52" s="23"/>
      <c r="X52" s="23"/>
      <c r="Y52" s="23"/>
      <c r="Z52" s="23"/>
      <c r="AA52" s="23"/>
      <c r="AB52" s="23"/>
      <c r="AC52" s="23"/>
      <c r="AD52" s="23"/>
      <c r="AE52" s="23"/>
    </row>
    <row r="53" spans="1:31" s="1" customFormat="1" ht="12" customHeight="1">
      <c r="A53" s="61"/>
      <c r="B53" s="265"/>
      <c r="C53" s="268" t="s">
        <v>151</v>
      </c>
      <c r="D53" s="61"/>
      <c r="E53" s="61"/>
      <c r="F53" s="61"/>
      <c r="G53" s="61"/>
      <c r="H53" s="61"/>
      <c r="I53" s="61"/>
      <c r="J53" s="61"/>
      <c r="K53" s="61"/>
      <c r="L53" s="20"/>
    </row>
    <row r="54" spans="1:31" s="1" customFormat="1" ht="14.45" customHeight="1">
      <c r="A54" s="61"/>
      <c r="B54" s="265"/>
      <c r="C54" s="61"/>
      <c r="D54" s="61"/>
      <c r="E54" s="722" t="s">
        <v>1759</v>
      </c>
      <c r="F54" s="715"/>
      <c r="G54" s="715"/>
      <c r="H54" s="715"/>
      <c r="I54" s="61"/>
      <c r="J54" s="61"/>
      <c r="K54" s="61"/>
      <c r="L54" s="20"/>
    </row>
    <row r="55" spans="1:31" s="1" customFormat="1" ht="12" customHeight="1">
      <c r="A55" s="61"/>
      <c r="B55" s="265"/>
      <c r="C55" s="268" t="s">
        <v>157</v>
      </c>
      <c r="D55" s="61"/>
      <c r="E55" s="61"/>
      <c r="F55" s="61"/>
      <c r="G55" s="61"/>
      <c r="H55" s="61"/>
      <c r="I55" s="61"/>
      <c r="J55" s="61"/>
      <c r="K55" s="61"/>
      <c r="L55" s="20"/>
    </row>
    <row r="56" spans="1:31" s="2" customFormat="1" ht="14.45" customHeight="1">
      <c r="A56" s="271"/>
      <c r="B56" s="270"/>
      <c r="C56" s="271"/>
      <c r="D56" s="271"/>
      <c r="E56" s="762" t="s">
        <v>1776</v>
      </c>
      <c r="F56" s="721"/>
      <c r="G56" s="721"/>
      <c r="H56" s="721"/>
      <c r="I56" s="271"/>
      <c r="J56" s="271"/>
      <c r="K56" s="271"/>
      <c r="L56" s="64"/>
      <c r="S56" s="23"/>
      <c r="T56" s="23"/>
      <c r="U56" s="23"/>
      <c r="V56" s="23"/>
      <c r="W56" s="23"/>
      <c r="X56" s="23"/>
      <c r="Y56" s="23"/>
      <c r="Z56" s="23"/>
      <c r="AA56" s="23"/>
      <c r="AB56" s="23"/>
      <c r="AC56" s="23"/>
      <c r="AD56" s="23"/>
      <c r="AE56" s="23"/>
    </row>
    <row r="57" spans="1:31" s="2" customFormat="1" ht="12" customHeight="1">
      <c r="A57" s="271"/>
      <c r="B57" s="270"/>
      <c r="C57" s="268" t="s">
        <v>1777</v>
      </c>
      <c r="D57" s="271"/>
      <c r="E57" s="271"/>
      <c r="F57" s="271"/>
      <c r="G57" s="271"/>
      <c r="H57" s="271"/>
      <c r="I57" s="271"/>
      <c r="J57" s="271"/>
      <c r="K57" s="271"/>
      <c r="L57" s="64"/>
      <c r="S57" s="23"/>
      <c r="T57" s="23"/>
      <c r="U57" s="23"/>
      <c r="V57" s="23"/>
      <c r="W57" s="23"/>
      <c r="X57" s="23"/>
      <c r="Y57" s="23"/>
      <c r="Z57" s="23"/>
      <c r="AA57" s="23"/>
      <c r="AB57" s="23"/>
      <c r="AC57" s="23"/>
      <c r="AD57" s="23"/>
      <c r="AE57" s="23"/>
    </row>
    <row r="58" spans="1:31" s="2" customFormat="1" ht="14.45" customHeight="1">
      <c r="A58" s="271"/>
      <c r="B58" s="270"/>
      <c r="C58" s="271"/>
      <c r="D58" s="271"/>
      <c r="E58" s="689" t="str">
        <f>E13</f>
        <v>D.1.4.04.2 - Soupis prací - NZS</v>
      </c>
      <c r="F58" s="721"/>
      <c r="G58" s="721"/>
      <c r="H58" s="721"/>
      <c r="I58" s="271"/>
      <c r="J58" s="271"/>
      <c r="K58" s="271"/>
      <c r="L58" s="64"/>
      <c r="S58" s="23"/>
      <c r="T58" s="23"/>
      <c r="U58" s="23"/>
      <c r="V58" s="23"/>
      <c r="W58" s="23"/>
      <c r="X58" s="23"/>
      <c r="Y58" s="23"/>
      <c r="Z58" s="23"/>
      <c r="AA58" s="23"/>
      <c r="AB58" s="23"/>
      <c r="AC58" s="23"/>
      <c r="AD58" s="23"/>
      <c r="AE58" s="23"/>
    </row>
    <row r="59" spans="1:31" s="2" customFormat="1" ht="6.95" customHeight="1">
      <c r="A59" s="271"/>
      <c r="B59" s="270"/>
      <c r="C59" s="271"/>
      <c r="D59" s="271"/>
      <c r="E59" s="271"/>
      <c r="F59" s="271"/>
      <c r="G59" s="271"/>
      <c r="H59" s="271"/>
      <c r="I59" s="271"/>
      <c r="J59" s="271"/>
      <c r="K59" s="271"/>
      <c r="L59" s="64"/>
      <c r="S59" s="23"/>
      <c r="T59" s="23"/>
      <c r="U59" s="23"/>
      <c r="V59" s="23"/>
      <c r="W59" s="23"/>
      <c r="X59" s="23"/>
      <c r="Y59" s="23"/>
      <c r="Z59" s="23"/>
      <c r="AA59" s="23"/>
      <c r="AB59" s="23"/>
      <c r="AC59" s="23"/>
      <c r="AD59" s="23"/>
      <c r="AE59" s="23"/>
    </row>
    <row r="60" spans="1:31" s="2" customFormat="1" ht="12" customHeight="1">
      <c r="A60" s="271"/>
      <c r="B60" s="270"/>
      <c r="C60" s="268" t="s">
        <v>19</v>
      </c>
      <c r="D60" s="271"/>
      <c r="E60" s="271"/>
      <c r="F60" s="273" t="str">
        <f>F16</f>
        <v xml:space="preserve"> </v>
      </c>
      <c r="G60" s="271"/>
      <c r="H60" s="271"/>
      <c r="I60" s="268" t="s">
        <v>21</v>
      </c>
      <c r="J60" s="387">
        <f>IF(J16="","",J16)</f>
        <v>44077</v>
      </c>
      <c r="K60" s="271"/>
      <c r="L60" s="64"/>
      <c r="S60" s="23"/>
      <c r="T60" s="23"/>
      <c r="U60" s="23"/>
      <c r="V60" s="23"/>
      <c r="W60" s="23"/>
      <c r="X60" s="23"/>
      <c r="Y60" s="23"/>
      <c r="Z60" s="23"/>
      <c r="AA60" s="23"/>
      <c r="AB60" s="23"/>
      <c r="AC60" s="23"/>
      <c r="AD60" s="23"/>
      <c r="AE60" s="23"/>
    </row>
    <row r="61" spans="1:31" s="2" customFormat="1" ht="6.95" customHeight="1">
      <c r="A61" s="271"/>
      <c r="B61" s="270"/>
      <c r="C61" s="271"/>
      <c r="D61" s="271"/>
      <c r="E61" s="271"/>
      <c r="F61" s="271"/>
      <c r="G61" s="271"/>
      <c r="H61" s="271"/>
      <c r="I61" s="271"/>
      <c r="J61" s="271"/>
      <c r="K61" s="271"/>
      <c r="L61" s="64"/>
      <c r="S61" s="23"/>
      <c r="T61" s="23"/>
      <c r="U61" s="23"/>
      <c r="V61" s="23"/>
      <c r="W61" s="23"/>
      <c r="X61" s="23"/>
      <c r="Y61" s="23"/>
      <c r="Z61" s="23"/>
      <c r="AA61" s="23"/>
      <c r="AB61" s="23"/>
      <c r="AC61" s="23"/>
      <c r="AD61" s="23"/>
      <c r="AE61" s="23"/>
    </row>
    <row r="62" spans="1:31" s="2" customFormat="1" ht="26.45" customHeight="1">
      <c r="A62" s="271"/>
      <c r="B62" s="270"/>
      <c r="C62" s="268" t="s">
        <v>22</v>
      </c>
      <c r="D62" s="271"/>
      <c r="E62" s="271"/>
      <c r="F62" s="273" t="str">
        <f>E19</f>
        <v xml:space="preserve">Úřad vlády České republiky </v>
      </c>
      <c r="G62" s="271"/>
      <c r="H62" s="271"/>
      <c r="I62" s="268" t="s">
        <v>28</v>
      </c>
      <c r="J62" s="391" t="str">
        <f>E25</f>
        <v>Ateliér Simona Group</v>
      </c>
      <c r="K62" s="271"/>
      <c r="L62" s="64"/>
      <c r="S62" s="23"/>
      <c r="T62" s="23"/>
      <c r="U62" s="23"/>
      <c r="V62" s="23"/>
      <c r="W62" s="23"/>
      <c r="X62" s="23"/>
      <c r="Y62" s="23"/>
      <c r="Z62" s="23"/>
      <c r="AA62" s="23"/>
      <c r="AB62" s="23"/>
      <c r="AC62" s="23"/>
      <c r="AD62" s="23"/>
      <c r="AE62" s="23"/>
    </row>
    <row r="63" spans="1:31" s="2" customFormat="1" ht="26.45" customHeight="1">
      <c r="A63" s="271"/>
      <c r="B63" s="270"/>
      <c r="C63" s="268" t="s">
        <v>26</v>
      </c>
      <c r="D63" s="271"/>
      <c r="E63" s="271"/>
      <c r="F63" s="273" t="str">
        <f>IF(E22="","",E22)</f>
        <v xml:space="preserve"> </v>
      </c>
      <c r="G63" s="271"/>
      <c r="H63" s="271"/>
      <c r="I63" s="268" t="s">
        <v>31</v>
      </c>
      <c r="J63" s="391" t="str">
        <f>E28</f>
        <v>Ateliér Simona Group</v>
      </c>
      <c r="K63" s="271"/>
      <c r="L63" s="64"/>
      <c r="S63" s="23"/>
      <c r="T63" s="23"/>
      <c r="U63" s="23"/>
      <c r="V63" s="23"/>
      <c r="W63" s="23"/>
      <c r="X63" s="23"/>
      <c r="Y63" s="23"/>
      <c r="Z63" s="23"/>
      <c r="AA63" s="23"/>
      <c r="AB63" s="23"/>
      <c r="AC63" s="23"/>
      <c r="AD63" s="23"/>
      <c r="AE63" s="23"/>
    </row>
    <row r="64" spans="1:31" s="2" customFormat="1" ht="10.35" customHeight="1">
      <c r="A64" s="271"/>
      <c r="B64" s="270"/>
      <c r="C64" s="271"/>
      <c r="D64" s="271"/>
      <c r="E64" s="271"/>
      <c r="F64" s="271"/>
      <c r="G64" s="271"/>
      <c r="H64" s="271"/>
      <c r="I64" s="271"/>
      <c r="J64" s="271"/>
      <c r="K64" s="271"/>
      <c r="L64" s="64"/>
      <c r="S64" s="23"/>
      <c r="T64" s="23"/>
      <c r="U64" s="23"/>
      <c r="V64" s="23"/>
      <c r="W64" s="23"/>
      <c r="X64" s="23"/>
      <c r="Y64" s="23"/>
      <c r="Z64" s="23"/>
      <c r="AA64" s="23"/>
      <c r="AB64" s="23"/>
      <c r="AC64" s="23"/>
      <c r="AD64" s="23"/>
      <c r="AE64" s="23"/>
    </row>
    <row r="65" spans="1:47" s="2" customFormat="1" ht="29.25" customHeight="1">
      <c r="A65" s="271"/>
      <c r="B65" s="270"/>
      <c r="C65" s="290" t="s">
        <v>168</v>
      </c>
      <c r="D65" s="281"/>
      <c r="E65" s="281"/>
      <c r="F65" s="281"/>
      <c r="G65" s="281"/>
      <c r="H65" s="281"/>
      <c r="I65" s="281"/>
      <c r="J65" s="392" t="s">
        <v>169</v>
      </c>
      <c r="K65" s="281"/>
      <c r="L65" s="64"/>
      <c r="S65" s="23"/>
      <c r="T65" s="23"/>
      <c r="U65" s="23"/>
      <c r="V65" s="23"/>
      <c r="W65" s="23"/>
      <c r="X65" s="23"/>
      <c r="Y65" s="23"/>
      <c r="Z65" s="23"/>
      <c r="AA65" s="23"/>
      <c r="AB65" s="23"/>
      <c r="AC65" s="23"/>
      <c r="AD65" s="23"/>
      <c r="AE65" s="23"/>
    </row>
    <row r="66" spans="1:47" s="2" customFormat="1" ht="10.35" customHeight="1">
      <c r="A66" s="271"/>
      <c r="B66" s="270"/>
      <c r="C66" s="271"/>
      <c r="D66" s="271"/>
      <c r="E66" s="271"/>
      <c r="F66" s="271"/>
      <c r="G66" s="271"/>
      <c r="H66" s="271"/>
      <c r="I66" s="271"/>
      <c r="J66" s="271"/>
      <c r="K66" s="271"/>
      <c r="L66" s="64"/>
      <c r="S66" s="23"/>
      <c r="T66" s="23"/>
      <c r="U66" s="23"/>
      <c r="V66" s="23"/>
      <c r="W66" s="23"/>
      <c r="X66" s="23"/>
      <c r="Y66" s="23"/>
      <c r="Z66" s="23"/>
      <c r="AA66" s="23"/>
      <c r="AB66" s="23"/>
      <c r="AC66" s="23"/>
      <c r="AD66" s="23"/>
      <c r="AE66" s="23"/>
    </row>
    <row r="67" spans="1:47" s="2" customFormat="1" ht="22.9" customHeight="1">
      <c r="A67" s="271"/>
      <c r="B67" s="270"/>
      <c r="C67" s="291" t="s">
        <v>66</v>
      </c>
      <c r="D67" s="271"/>
      <c r="E67" s="271"/>
      <c r="F67" s="271"/>
      <c r="G67" s="271"/>
      <c r="H67" s="271"/>
      <c r="I67" s="271"/>
      <c r="J67" s="388">
        <f>J93</f>
        <v>0</v>
      </c>
      <c r="K67" s="271"/>
      <c r="L67" s="64"/>
      <c r="S67" s="23"/>
      <c r="T67" s="23"/>
      <c r="U67" s="23"/>
      <c r="V67" s="23"/>
      <c r="W67" s="23"/>
      <c r="X67" s="23"/>
      <c r="Y67" s="23"/>
      <c r="Z67" s="23"/>
      <c r="AA67" s="23"/>
      <c r="AB67" s="23"/>
      <c r="AC67" s="23"/>
      <c r="AD67" s="23"/>
      <c r="AE67" s="23"/>
      <c r="AU67" s="19" t="s">
        <v>170</v>
      </c>
    </row>
    <row r="68" spans="1:47" s="9" customFormat="1" ht="24.95" customHeight="1">
      <c r="A68" s="292"/>
      <c r="B68" s="293"/>
      <c r="C68" s="292"/>
      <c r="D68" s="294" t="s">
        <v>181</v>
      </c>
      <c r="E68" s="295"/>
      <c r="F68" s="295"/>
      <c r="G68" s="295"/>
      <c r="H68" s="295"/>
      <c r="I68" s="295"/>
      <c r="J68" s="393">
        <f>J94</f>
        <v>0</v>
      </c>
      <c r="K68" s="292"/>
      <c r="L68" s="67"/>
    </row>
    <row r="69" spans="1:47" s="10" customFormat="1" ht="19.899999999999999" customHeight="1">
      <c r="A69" s="246"/>
      <c r="B69" s="296"/>
      <c r="C69" s="246"/>
      <c r="D69" s="297" t="s">
        <v>185</v>
      </c>
      <c r="E69" s="298"/>
      <c r="F69" s="298"/>
      <c r="G69" s="298"/>
      <c r="H69" s="298"/>
      <c r="I69" s="298"/>
      <c r="J69" s="394">
        <f>J95</f>
        <v>0</v>
      </c>
      <c r="K69" s="246"/>
      <c r="L69" s="68"/>
    </row>
    <row r="70" spans="1:47" s="2" customFormat="1" ht="21.75" customHeight="1">
      <c r="A70" s="271"/>
      <c r="B70" s="270"/>
      <c r="C70" s="271"/>
      <c r="D70" s="271"/>
      <c r="E70" s="271"/>
      <c r="F70" s="271"/>
      <c r="G70" s="271"/>
      <c r="H70" s="271"/>
      <c r="I70" s="271"/>
      <c r="J70" s="271"/>
      <c r="K70" s="271"/>
      <c r="L70" s="64"/>
      <c r="S70" s="23"/>
      <c r="T70" s="23"/>
      <c r="U70" s="23"/>
      <c r="V70" s="23"/>
      <c r="W70" s="23"/>
      <c r="X70" s="23"/>
      <c r="Y70" s="23"/>
      <c r="Z70" s="23"/>
      <c r="AA70" s="23"/>
      <c r="AB70" s="23"/>
      <c r="AC70" s="23"/>
      <c r="AD70" s="23"/>
      <c r="AE70" s="23"/>
    </row>
    <row r="71" spans="1:47" s="2" customFormat="1" ht="6.95" customHeight="1">
      <c r="A71" s="271"/>
      <c r="B71" s="286"/>
      <c r="C71" s="287"/>
      <c r="D71" s="287"/>
      <c r="E71" s="287"/>
      <c r="F71" s="287"/>
      <c r="G71" s="287"/>
      <c r="H71" s="287"/>
      <c r="I71" s="287"/>
      <c r="J71" s="287"/>
      <c r="K71" s="287"/>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1"/>
      <c r="B75" s="288"/>
      <c r="C75" s="289"/>
      <c r="D75" s="289"/>
      <c r="E75" s="289"/>
      <c r="F75" s="289"/>
      <c r="G75" s="289"/>
      <c r="H75" s="289"/>
      <c r="I75" s="289"/>
      <c r="J75" s="289"/>
      <c r="K75" s="289"/>
      <c r="L75" s="64"/>
      <c r="S75" s="23"/>
      <c r="T75" s="23"/>
      <c r="U75" s="23"/>
      <c r="V75" s="23"/>
      <c r="W75" s="23"/>
      <c r="X75" s="23"/>
      <c r="Y75" s="23"/>
      <c r="Z75" s="23"/>
      <c r="AA75" s="23"/>
      <c r="AB75" s="23"/>
      <c r="AC75" s="23"/>
      <c r="AD75" s="23"/>
      <c r="AE75" s="23"/>
    </row>
    <row r="76" spans="1:47" s="2" customFormat="1" ht="24.95" customHeight="1">
      <c r="A76" s="271"/>
      <c r="B76" s="270"/>
      <c r="C76" s="266" t="s">
        <v>201</v>
      </c>
      <c r="D76" s="271"/>
      <c r="E76" s="271"/>
      <c r="F76" s="271"/>
      <c r="G76" s="271"/>
      <c r="H76" s="271"/>
      <c r="I76" s="271"/>
      <c r="J76" s="271"/>
      <c r="K76" s="271"/>
      <c r="L76" s="64"/>
      <c r="S76" s="23"/>
      <c r="T76" s="23"/>
      <c r="U76" s="23"/>
      <c r="V76" s="23"/>
      <c r="W76" s="23"/>
      <c r="X76" s="23"/>
      <c r="Y76" s="23"/>
      <c r="Z76" s="23"/>
      <c r="AA76" s="23"/>
      <c r="AB76" s="23"/>
      <c r="AC76" s="23"/>
      <c r="AD76" s="23"/>
      <c r="AE76" s="23"/>
    </row>
    <row r="77" spans="1:47" s="2" customFormat="1" ht="6.95" customHeight="1">
      <c r="A77" s="271"/>
      <c r="B77" s="270"/>
      <c r="C77" s="271"/>
      <c r="D77" s="271"/>
      <c r="E77" s="271"/>
      <c r="F77" s="271"/>
      <c r="G77" s="271"/>
      <c r="H77" s="271"/>
      <c r="I77" s="271"/>
      <c r="J77" s="271"/>
      <c r="K77" s="271"/>
      <c r="L77" s="64"/>
      <c r="S77" s="23"/>
      <c r="T77" s="23"/>
      <c r="U77" s="23"/>
      <c r="V77" s="23"/>
      <c r="W77" s="23"/>
      <c r="X77" s="23"/>
      <c r="Y77" s="23"/>
      <c r="Z77" s="23"/>
      <c r="AA77" s="23"/>
      <c r="AB77" s="23"/>
      <c r="AC77" s="23"/>
      <c r="AD77" s="23"/>
      <c r="AE77" s="23"/>
    </row>
    <row r="78" spans="1:47" s="2" customFormat="1" ht="12" customHeight="1">
      <c r="A78" s="271"/>
      <c r="B78" s="270"/>
      <c r="C78" s="268" t="s">
        <v>15</v>
      </c>
      <c r="D78" s="271"/>
      <c r="E78" s="271"/>
      <c r="F78" s="271"/>
      <c r="G78" s="271"/>
      <c r="H78" s="271"/>
      <c r="I78" s="271"/>
      <c r="J78" s="271"/>
      <c r="K78" s="271"/>
      <c r="L78" s="64"/>
      <c r="S78" s="23"/>
      <c r="T78" s="23"/>
      <c r="U78" s="23"/>
      <c r="V78" s="23"/>
      <c r="W78" s="23"/>
      <c r="X78" s="23"/>
      <c r="Y78" s="23"/>
      <c r="Z78" s="23"/>
      <c r="AA78" s="23"/>
      <c r="AB78" s="23"/>
      <c r="AC78" s="23"/>
      <c r="AD78" s="23"/>
      <c r="AE78" s="23"/>
    </row>
    <row r="79" spans="1:47" s="2" customFormat="1" ht="14.45" customHeight="1">
      <c r="A79" s="271"/>
      <c r="B79" s="270"/>
      <c r="C79" s="271"/>
      <c r="D79" s="271"/>
      <c r="E79" s="722" t="str">
        <f>E7</f>
        <v>Úpravy gastroprovozu Úřadu vlády ČR v 1.pp Strakovy akademie</v>
      </c>
      <c r="F79" s="723"/>
      <c r="G79" s="723"/>
      <c r="H79" s="723"/>
      <c r="I79" s="271"/>
      <c r="J79" s="271"/>
      <c r="K79" s="271"/>
      <c r="L79" s="64"/>
      <c r="S79" s="23"/>
      <c r="T79" s="23"/>
      <c r="U79" s="23"/>
      <c r="V79" s="23"/>
      <c r="W79" s="23"/>
      <c r="X79" s="23"/>
      <c r="Y79" s="23"/>
      <c r="Z79" s="23"/>
      <c r="AA79" s="23"/>
      <c r="AB79" s="23"/>
      <c r="AC79" s="23"/>
      <c r="AD79" s="23"/>
      <c r="AE79" s="23"/>
    </row>
    <row r="80" spans="1:47" s="1" customFormat="1" ht="12" customHeight="1">
      <c r="A80" s="61"/>
      <c r="B80" s="265"/>
      <c r="C80" s="268" t="s">
        <v>151</v>
      </c>
      <c r="D80" s="61"/>
      <c r="E80" s="61"/>
      <c r="F80" s="61"/>
      <c r="G80" s="61"/>
      <c r="H80" s="61"/>
      <c r="I80" s="61"/>
      <c r="J80" s="61"/>
      <c r="K80" s="61"/>
      <c r="L80" s="20"/>
    </row>
    <row r="81" spans="1:65" s="1" customFormat="1" ht="14.45" customHeight="1">
      <c r="A81" s="61"/>
      <c r="B81" s="265"/>
      <c r="C81" s="61"/>
      <c r="D81" s="61"/>
      <c r="E81" s="722" t="s">
        <v>1759</v>
      </c>
      <c r="F81" s="715"/>
      <c r="G81" s="715"/>
      <c r="H81" s="715"/>
      <c r="I81" s="61"/>
      <c r="J81" s="61"/>
      <c r="K81" s="61"/>
      <c r="L81" s="20"/>
    </row>
    <row r="82" spans="1:65" s="1" customFormat="1" ht="12" customHeight="1">
      <c r="A82" s="61"/>
      <c r="B82" s="265"/>
      <c r="C82" s="268" t="s">
        <v>157</v>
      </c>
      <c r="D82" s="61"/>
      <c r="E82" s="61"/>
      <c r="F82" s="61"/>
      <c r="G82" s="61"/>
      <c r="H82" s="61"/>
      <c r="I82" s="61"/>
      <c r="J82" s="61"/>
      <c r="K82" s="61"/>
      <c r="L82" s="20"/>
    </row>
    <row r="83" spans="1:65" s="2" customFormat="1" ht="14.45" customHeight="1">
      <c r="A83" s="271"/>
      <c r="B83" s="270"/>
      <c r="C83" s="271"/>
      <c r="D83" s="271"/>
      <c r="E83" s="762" t="s">
        <v>1776</v>
      </c>
      <c r="F83" s="721"/>
      <c r="G83" s="721"/>
      <c r="H83" s="721"/>
      <c r="I83" s="271"/>
      <c r="J83" s="271"/>
      <c r="K83" s="271"/>
      <c r="L83" s="64"/>
      <c r="S83" s="23"/>
      <c r="T83" s="23"/>
      <c r="U83" s="23"/>
      <c r="V83" s="23"/>
      <c r="W83" s="23"/>
      <c r="X83" s="23"/>
      <c r="Y83" s="23"/>
      <c r="Z83" s="23"/>
      <c r="AA83" s="23"/>
      <c r="AB83" s="23"/>
      <c r="AC83" s="23"/>
      <c r="AD83" s="23"/>
      <c r="AE83" s="23"/>
    </row>
    <row r="84" spans="1:65" s="2" customFormat="1" ht="12" customHeight="1">
      <c r="A84" s="271"/>
      <c r="B84" s="270"/>
      <c r="C84" s="268" t="s">
        <v>1777</v>
      </c>
      <c r="D84" s="271"/>
      <c r="E84" s="271"/>
      <c r="F84" s="271"/>
      <c r="G84" s="271"/>
      <c r="H84" s="271"/>
      <c r="I84" s="271"/>
      <c r="J84" s="271"/>
      <c r="K84" s="271"/>
      <c r="L84" s="64"/>
      <c r="S84" s="23"/>
      <c r="T84" s="23"/>
      <c r="U84" s="23"/>
      <c r="V84" s="23"/>
      <c r="W84" s="23"/>
      <c r="X84" s="23"/>
      <c r="Y84" s="23"/>
      <c r="Z84" s="23"/>
      <c r="AA84" s="23"/>
      <c r="AB84" s="23"/>
      <c r="AC84" s="23"/>
      <c r="AD84" s="23"/>
      <c r="AE84" s="23"/>
    </row>
    <row r="85" spans="1:65" s="2" customFormat="1" ht="14.45" customHeight="1">
      <c r="A85" s="271"/>
      <c r="B85" s="270"/>
      <c r="C85" s="271"/>
      <c r="D85" s="271"/>
      <c r="E85" s="689" t="str">
        <f>E13</f>
        <v>D.1.4.04.2 - Soupis prací - NZS</v>
      </c>
      <c r="F85" s="721"/>
      <c r="G85" s="721"/>
      <c r="H85" s="721"/>
      <c r="I85" s="271"/>
      <c r="J85" s="271"/>
      <c r="K85" s="271"/>
      <c r="L85" s="64"/>
      <c r="S85" s="23"/>
      <c r="T85" s="23"/>
      <c r="U85" s="23"/>
      <c r="V85" s="23"/>
      <c r="W85" s="23"/>
      <c r="X85" s="23"/>
      <c r="Y85" s="23"/>
      <c r="Z85" s="23"/>
      <c r="AA85" s="23"/>
      <c r="AB85" s="23"/>
      <c r="AC85" s="23"/>
      <c r="AD85" s="23"/>
      <c r="AE85" s="23"/>
    </row>
    <row r="86" spans="1:65" s="2" customFormat="1" ht="6.95" customHeight="1">
      <c r="A86" s="271"/>
      <c r="B86" s="270"/>
      <c r="C86" s="271"/>
      <c r="D86" s="271"/>
      <c r="E86" s="271"/>
      <c r="F86" s="271"/>
      <c r="G86" s="271"/>
      <c r="H86" s="271"/>
      <c r="I86" s="271"/>
      <c r="J86" s="271"/>
      <c r="K86" s="271"/>
      <c r="L86" s="64"/>
      <c r="S86" s="23"/>
      <c r="T86" s="23"/>
      <c r="U86" s="23"/>
      <c r="V86" s="23"/>
      <c r="W86" s="23"/>
      <c r="X86" s="23"/>
      <c r="Y86" s="23"/>
      <c r="Z86" s="23"/>
      <c r="AA86" s="23"/>
      <c r="AB86" s="23"/>
      <c r="AC86" s="23"/>
      <c r="AD86" s="23"/>
      <c r="AE86" s="23"/>
    </row>
    <row r="87" spans="1:65" s="2" customFormat="1" ht="12" customHeight="1">
      <c r="A87" s="271"/>
      <c r="B87" s="270"/>
      <c r="C87" s="268" t="s">
        <v>19</v>
      </c>
      <c r="D87" s="271"/>
      <c r="E87" s="271"/>
      <c r="F87" s="273" t="str">
        <f>F16</f>
        <v xml:space="preserve"> </v>
      </c>
      <c r="G87" s="271"/>
      <c r="H87" s="271"/>
      <c r="I87" s="268" t="s">
        <v>21</v>
      </c>
      <c r="J87" s="387">
        <f>IF(J16="","",J16)</f>
        <v>44077</v>
      </c>
      <c r="K87" s="271"/>
      <c r="L87" s="64"/>
      <c r="S87" s="23"/>
      <c r="T87" s="23"/>
      <c r="U87" s="23"/>
      <c r="V87" s="23"/>
      <c r="W87" s="23"/>
      <c r="X87" s="23"/>
      <c r="Y87" s="23"/>
      <c r="Z87" s="23"/>
      <c r="AA87" s="23"/>
      <c r="AB87" s="23"/>
      <c r="AC87" s="23"/>
      <c r="AD87" s="23"/>
      <c r="AE87" s="23"/>
    </row>
    <row r="88" spans="1:65" s="2" customFormat="1" ht="6.95" customHeight="1">
      <c r="A88" s="271"/>
      <c r="B88" s="270"/>
      <c r="C88" s="271"/>
      <c r="D88" s="271"/>
      <c r="E88" s="271"/>
      <c r="F88" s="271"/>
      <c r="G88" s="271"/>
      <c r="H88" s="271"/>
      <c r="I88" s="271"/>
      <c r="J88" s="271"/>
      <c r="K88" s="271"/>
      <c r="L88" s="64"/>
      <c r="S88" s="23"/>
      <c r="T88" s="23"/>
      <c r="U88" s="23"/>
      <c r="V88" s="23"/>
      <c r="W88" s="23"/>
      <c r="X88" s="23"/>
      <c r="Y88" s="23"/>
      <c r="Z88" s="23"/>
      <c r="AA88" s="23"/>
      <c r="AB88" s="23"/>
      <c r="AC88" s="23"/>
      <c r="AD88" s="23"/>
      <c r="AE88" s="23"/>
    </row>
    <row r="89" spans="1:65" s="2" customFormat="1" ht="26.45" customHeight="1">
      <c r="A89" s="271"/>
      <c r="B89" s="270"/>
      <c r="C89" s="268" t="s">
        <v>22</v>
      </c>
      <c r="D89" s="271"/>
      <c r="E89" s="271"/>
      <c r="F89" s="273" t="str">
        <f>E19</f>
        <v xml:space="preserve">Úřad vlády České republiky </v>
      </c>
      <c r="G89" s="271"/>
      <c r="H89" s="271"/>
      <c r="I89" s="268" t="s">
        <v>28</v>
      </c>
      <c r="J89" s="391" t="str">
        <f>E25</f>
        <v>Ateliér Simona Group</v>
      </c>
      <c r="K89" s="271"/>
      <c r="L89" s="64"/>
      <c r="S89" s="23"/>
      <c r="T89" s="23"/>
      <c r="U89" s="23"/>
      <c r="V89" s="23"/>
      <c r="W89" s="23"/>
      <c r="X89" s="23"/>
      <c r="Y89" s="23"/>
      <c r="Z89" s="23"/>
      <c r="AA89" s="23"/>
      <c r="AB89" s="23"/>
      <c r="AC89" s="23"/>
      <c r="AD89" s="23"/>
      <c r="AE89" s="23"/>
    </row>
    <row r="90" spans="1:65" s="2" customFormat="1" ht="26.45" customHeight="1">
      <c r="A90" s="271"/>
      <c r="B90" s="270"/>
      <c r="C90" s="268" t="s">
        <v>26</v>
      </c>
      <c r="D90" s="271"/>
      <c r="E90" s="271"/>
      <c r="F90" s="273" t="str">
        <f>IF(E22="","",E22)</f>
        <v xml:space="preserve"> </v>
      </c>
      <c r="G90" s="271"/>
      <c r="H90" s="271"/>
      <c r="I90" s="268" t="s">
        <v>31</v>
      </c>
      <c r="J90" s="391" t="str">
        <f>E28</f>
        <v>Ateliér Simona Group</v>
      </c>
      <c r="K90" s="271"/>
      <c r="L90" s="64"/>
      <c r="S90" s="23"/>
      <c r="T90" s="23"/>
      <c r="U90" s="23"/>
      <c r="V90" s="23"/>
      <c r="W90" s="23"/>
      <c r="X90" s="23"/>
      <c r="Y90" s="23"/>
      <c r="Z90" s="23"/>
      <c r="AA90" s="23"/>
      <c r="AB90" s="23"/>
      <c r="AC90" s="23"/>
      <c r="AD90" s="23"/>
      <c r="AE90" s="23"/>
    </row>
    <row r="91" spans="1:65" s="2" customFormat="1" ht="10.35" customHeight="1">
      <c r="A91" s="271"/>
      <c r="B91" s="270"/>
      <c r="C91" s="271"/>
      <c r="D91" s="271"/>
      <c r="E91" s="271"/>
      <c r="F91" s="271"/>
      <c r="G91" s="271"/>
      <c r="H91" s="271"/>
      <c r="I91" s="271"/>
      <c r="J91" s="271"/>
      <c r="K91" s="271"/>
      <c r="L91" s="64"/>
      <c r="S91" s="23"/>
      <c r="T91" s="23"/>
      <c r="U91" s="23"/>
      <c r="V91" s="23"/>
      <c r="W91" s="23"/>
      <c r="X91" s="23"/>
      <c r="Y91" s="23"/>
      <c r="Z91" s="23"/>
      <c r="AA91" s="23"/>
      <c r="AB91" s="23"/>
      <c r="AC91" s="23"/>
      <c r="AD91" s="23"/>
      <c r="AE91" s="23"/>
    </row>
    <row r="92" spans="1:65" s="11" customFormat="1" ht="29.25" customHeight="1">
      <c r="A92" s="299"/>
      <c r="B92" s="300"/>
      <c r="C92" s="301" t="s">
        <v>202</v>
      </c>
      <c r="D92" s="302" t="s">
        <v>53</v>
      </c>
      <c r="E92" s="302" t="s">
        <v>49</v>
      </c>
      <c r="F92" s="302" t="s">
        <v>50</v>
      </c>
      <c r="G92" s="302" t="s">
        <v>203</v>
      </c>
      <c r="H92" s="302" t="s">
        <v>204</v>
      </c>
      <c r="I92" s="302" t="s">
        <v>205</v>
      </c>
      <c r="J92" s="302" t="s">
        <v>169</v>
      </c>
      <c r="K92" s="340" t="s">
        <v>206</v>
      </c>
      <c r="L92" s="70"/>
      <c r="M92" s="34" t="s">
        <v>3</v>
      </c>
      <c r="N92" s="35" t="s">
        <v>38</v>
      </c>
      <c r="O92" s="35" t="s">
        <v>207</v>
      </c>
      <c r="P92" s="35" t="s">
        <v>208</v>
      </c>
      <c r="Q92" s="35" t="s">
        <v>209</v>
      </c>
      <c r="R92" s="35" t="s">
        <v>210</v>
      </c>
      <c r="S92" s="35" t="s">
        <v>211</v>
      </c>
      <c r="T92" s="36" t="s">
        <v>212</v>
      </c>
      <c r="U92" s="69"/>
      <c r="V92" s="69"/>
      <c r="W92" s="69"/>
      <c r="X92" s="69"/>
      <c r="Y92" s="69"/>
      <c r="Z92" s="69"/>
      <c r="AA92" s="69"/>
      <c r="AB92" s="69"/>
      <c r="AC92" s="69"/>
      <c r="AD92" s="69"/>
      <c r="AE92" s="69"/>
    </row>
    <row r="93" spans="1:65" s="2" customFormat="1" ht="22.9" customHeight="1">
      <c r="A93" s="271"/>
      <c r="B93" s="270"/>
      <c r="C93" s="243" t="s">
        <v>213</v>
      </c>
      <c r="D93" s="271"/>
      <c r="E93" s="271"/>
      <c r="F93" s="271"/>
      <c r="G93" s="271"/>
      <c r="H93" s="271"/>
      <c r="I93" s="271"/>
      <c r="J93" s="410">
        <f>BK93</f>
        <v>0</v>
      </c>
      <c r="K93" s="271"/>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170</v>
      </c>
      <c r="BK93" s="73">
        <f>BK94</f>
        <v>0</v>
      </c>
    </row>
    <row r="94" spans="1:65" s="12" customFormat="1" ht="25.9" customHeight="1">
      <c r="A94" s="303"/>
      <c r="B94" s="304"/>
      <c r="C94" s="303"/>
      <c r="D94" s="305" t="s">
        <v>67</v>
      </c>
      <c r="E94" s="306" t="s">
        <v>895</v>
      </c>
      <c r="F94" s="306" t="s">
        <v>896</v>
      </c>
      <c r="G94" s="303"/>
      <c r="H94" s="303"/>
      <c r="I94" s="303"/>
      <c r="J94" s="411">
        <f>BK94</f>
        <v>0</v>
      </c>
      <c r="K94" s="303"/>
      <c r="L94" s="74"/>
      <c r="M94" s="76"/>
      <c r="N94" s="77"/>
      <c r="O94" s="77"/>
      <c r="P94" s="78">
        <f>P95</f>
        <v>0</v>
      </c>
      <c r="Q94" s="77"/>
      <c r="R94" s="78">
        <f>R95</f>
        <v>0</v>
      </c>
      <c r="S94" s="77"/>
      <c r="T94" s="79">
        <f>T95</f>
        <v>0</v>
      </c>
      <c r="AR94" s="75" t="s">
        <v>77</v>
      </c>
      <c r="AT94" s="80" t="s">
        <v>67</v>
      </c>
      <c r="AU94" s="80" t="s">
        <v>68</v>
      </c>
      <c r="AY94" s="75" t="s">
        <v>216</v>
      </c>
      <c r="BK94" s="81">
        <f>BK95</f>
        <v>0</v>
      </c>
    </row>
    <row r="95" spans="1:65" s="12" customFormat="1" ht="22.9" customHeight="1">
      <c r="A95" s="303"/>
      <c r="B95" s="304"/>
      <c r="C95" s="303"/>
      <c r="D95" s="305" t="s">
        <v>67</v>
      </c>
      <c r="E95" s="307" t="s">
        <v>961</v>
      </c>
      <c r="F95" s="307" t="s">
        <v>962</v>
      </c>
      <c r="G95" s="303"/>
      <c r="H95" s="303"/>
      <c r="I95" s="303"/>
      <c r="J95" s="412">
        <f>BK95</f>
        <v>0</v>
      </c>
      <c r="K95" s="303"/>
      <c r="L95" s="74"/>
      <c r="M95" s="76"/>
      <c r="N95" s="77"/>
      <c r="O95" s="77"/>
      <c r="P95" s="78">
        <f>P96</f>
        <v>0</v>
      </c>
      <c r="Q95" s="77"/>
      <c r="R95" s="78">
        <f>R96</f>
        <v>0</v>
      </c>
      <c r="S95" s="77"/>
      <c r="T95" s="79">
        <f>T96</f>
        <v>0</v>
      </c>
      <c r="AR95" s="75" t="s">
        <v>77</v>
      </c>
      <c r="AT95" s="80" t="s">
        <v>67</v>
      </c>
      <c r="AU95" s="80" t="s">
        <v>75</v>
      </c>
      <c r="AY95" s="75" t="s">
        <v>216</v>
      </c>
      <c r="BK95" s="81">
        <f>BK96</f>
        <v>0</v>
      </c>
    </row>
    <row r="96" spans="1:65" s="2" customFormat="1" ht="14.45" customHeight="1">
      <c r="A96" s="271"/>
      <c r="B96" s="270"/>
      <c r="C96" s="308" t="s">
        <v>75</v>
      </c>
      <c r="D96" s="308" t="s">
        <v>218</v>
      </c>
      <c r="E96" s="309" t="s">
        <v>1782</v>
      </c>
      <c r="F96" s="310" t="s">
        <v>2550</v>
      </c>
      <c r="G96" s="311" t="s">
        <v>1766</v>
      </c>
      <c r="H96" s="312">
        <v>1</v>
      </c>
      <c r="I96" s="413">
        <f>NZS!F68</f>
        <v>0</v>
      </c>
      <c r="J96" s="413">
        <f>ROUND(I96*H96,2)</f>
        <v>0</v>
      </c>
      <c r="K96" s="310"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305</v>
      </c>
      <c r="AT96" s="87" t="s">
        <v>218</v>
      </c>
      <c r="AU96" s="87" t="s">
        <v>77</v>
      </c>
      <c r="AY96" s="19" t="s">
        <v>216</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305</v>
      </c>
      <c r="BM96" s="87" t="s">
        <v>1783</v>
      </c>
    </row>
    <row r="97" spans="1:31" s="2" customFormat="1" ht="6.95" customHeight="1">
      <c r="A97" s="271"/>
      <c r="B97" s="286"/>
      <c r="C97" s="287"/>
      <c r="D97" s="287"/>
      <c r="E97" s="287"/>
      <c r="F97" s="287"/>
      <c r="G97" s="287"/>
      <c r="H97" s="287"/>
      <c r="I97" s="287"/>
      <c r="J97" s="287"/>
      <c r="K97" s="287"/>
      <c r="L97" s="24"/>
      <c r="M97" s="23"/>
      <c r="O97" s="23"/>
      <c r="P97" s="23"/>
      <c r="Q97" s="23"/>
      <c r="R97" s="23"/>
      <c r="S97" s="23"/>
      <c r="T97" s="23"/>
      <c r="U97" s="23"/>
      <c r="V97" s="23"/>
      <c r="W97" s="23"/>
      <c r="X97" s="23"/>
      <c r="Y97" s="23"/>
      <c r="Z97" s="23"/>
      <c r="AA97" s="23"/>
      <c r="AB97" s="23"/>
      <c r="AC97" s="23"/>
      <c r="AD97" s="23"/>
      <c r="AE97" s="23"/>
    </row>
  </sheetData>
  <sheetProtection password="C97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75"/>
  <sheetViews>
    <sheetView workbookViewId="0">
      <selection activeCell="E16" sqref="E16"/>
    </sheetView>
  </sheetViews>
  <sheetFormatPr defaultRowHeight="12.75"/>
  <cols>
    <col min="1" max="1" width="17.1640625" style="227" customWidth="1"/>
    <col min="2" max="2" width="51" style="226" customWidth="1"/>
    <col min="3" max="3" width="6.6640625" style="206" customWidth="1"/>
    <col min="4" max="4" width="5.5" style="206" customWidth="1"/>
    <col min="5" max="5" width="16" style="206" customWidth="1"/>
    <col min="6" max="6" width="17.1640625" style="206" customWidth="1"/>
    <col min="7" max="7" width="13.33203125" style="206" bestFit="1" customWidth="1"/>
    <col min="8" max="16384" width="9.33203125" style="206"/>
  </cols>
  <sheetData>
    <row r="1" spans="1:6" ht="15.75">
      <c r="A1" s="516" t="s">
        <v>2546</v>
      </c>
      <c r="B1" s="517"/>
      <c r="C1" s="518"/>
      <c r="D1" s="518"/>
      <c r="E1" s="474"/>
      <c r="F1" s="526" t="s">
        <v>2562</v>
      </c>
    </row>
    <row r="2" spans="1:6" ht="15">
      <c r="A2" s="491"/>
      <c r="B2" s="529" t="s">
        <v>2544</v>
      </c>
      <c r="C2" s="493"/>
      <c r="D2" s="493"/>
      <c r="E2" s="475"/>
      <c r="F2" s="493"/>
    </row>
    <row r="3" spans="1:6">
      <c r="A3" s="519" t="s">
        <v>2338</v>
      </c>
      <c r="B3" s="520" t="s">
        <v>2509</v>
      </c>
      <c r="C3" s="521" t="s">
        <v>2508</v>
      </c>
      <c r="D3" s="521" t="s">
        <v>203</v>
      </c>
      <c r="E3" s="527" t="s">
        <v>2507</v>
      </c>
      <c r="F3" s="527" t="s">
        <v>2264</v>
      </c>
    </row>
    <row r="4" spans="1:6">
      <c r="A4" s="480"/>
      <c r="B4" s="481" t="s">
        <v>2264</v>
      </c>
      <c r="C4" s="482"/>
      <c r="D4" s="482"/>
      <c r="E4" s="476"/>
      <c r="F4" s="483">
        <v>0</v>
      </c>
    </row>
    <row r="5" spans="1:6">
      <c r="A5" s="484" t="s">
        <v>2453</v>
      </c>
      <c r="B5" s="485" t="s">
        <v>2054</v>
      </c>
      <c r="C5" s="486"/>
      <c r="D5" s="486"/>
      <c r="E5" s="477"/>
      <c r="F5" s="488">
        <f>F4*0.21</f>
        <v>0</v>
      </c>
    </row>
    <row r="6" spans="1:6">
      <c r="A6" s="489"/>
      <c r="B6" s="490"/>
      <c r="C6" s="423"/>
      <c r="D6" s="423"/>
      <c r="E6" s="418"/>
      <c r="F6" s="423"/>
    </row>
    <row r="7" spans="1:6" ht="15">
      <c r="A7" s="491"/>
      <c r="B7" s="529" t="s">
        <v>2561</v>
      </c>
      <c r="C7" s="493"/>
      <c r="D7" s="493"/>
      <c r="E7" s="475"/>
      <c r="F7" s="493"/>
    </row>
    <row r="8" spans="1:6">
      <c r="A8" s="519" t="s">
        <v>2338</v>
      </c>
      <c r="B8" s="520" t="s">
        <v>2509</v>
      </c>
      <c r="C8" s="521" t="s">
        <v>2508</v>
      </c>
      <c r="D8" s="521" t="s">
        <v>203</v>
      </c>
      <c r="E8" s="478" t="s">
        <v>2507</v>
      </c>
      <c r="F8" s="527" t="s">
        <v>2264</v>
      </c>
    </row>
    <row r="9" spans="1:6">
      <c r="A9" s="522" t="s">
        <v>3484</v>
      </c>
      <c r="B9" s="523" t="s">
        <v>2560</v>
      </c>
      <c r="C9" s="524">
        <v>6</v>
      </c>
      <c r="D9" s="525" t="s">
        <v>2353</v>
      </c>
      <c r="E9" s="479">
        <v>0</v>
      </c>
      <c r="F9" s="528">
        <f>C9*E9</f>
        <v>0</v>
      </c>
    </row>
    <row r="10" spans="1:6">
      <c r="A10" s="522" t="s">
        <v>3485</v>
      </c>
      <c r="B10" s="523" t="s">
        <v>2559</v>
      </c>
      <c r="C10" s="524">
        <v>3</v>
      </c>
      <c r="D10" s="525" t="s">
        <v>2353</v>
      </c>
      <c r="E10" s="479">
        <v>0</v>
      </c>
      <c r="F10" s="528">
        <f>C10*E10</f>
        <v>0</v>
      </c>
    </row>
    <row r="11" spans="1:6">
      <c r="A11" s="480"/>
      <c r="B11" s="481" t="s">
        <v>2264</v>
      </c>
      <c r="C11" s="482"/>
      <c r="D11" s="482"/>
      <c r="E11" s="476"/>
      <c r="F11" s="483">
        <f>SUM(F9:F10)</f>
        <v>0</v>
      </c>
    </row>
    <row r="12" spans="1:6">
      <c r="A12" s="484" t="s">
        <v>2453</v>
      </c>
      <c r="B12" s="485" t="s">
        <v>2054</v>
      </c>
      <c r="C12" s="486"/>
      <c r="D12" s="486"/>
      <c r="E12" s="477"/>
      <c r="F12" s="488">
        <f>F11*0.21</f>
        <v>0</v>
      </c>
    </row>
    <row r="13" spans="1:6">
      <c r="A13" s="489"/>
      <c r="B13" s="490"/>
      <c r="C13" s="423"/>
      <c r="D13" s="423"/>
      <c r="E13" s="418"/>
      <c r="F13" s="423"/>
    </row>
    <row r="14" spans="1:6" ht="15">
      <c r="A14" s="491"/>
      <c r="B14" s="529" t="s">
        <v>2558</v>
      </c>
      <c r="C14" s="493"/>
      <c r="D14" s="493"/>
      <c r="E14" s="475"/>
      <c r="F14" s="493"/>
    </row>
    <row r="15" spans="1:6">
      <c r="A15" s="519" t="s">
        <v>2338</v>
      </c>
      <c r="B15" s="520" t="s">
        <v>2509</v>
      </c>
      <c r="C15" s="521" t="s">
        <v>2508</v>
      </c>
      <c r="D15" s="521" t="s">
        <v>203</v>
      </c>
      <c r="E15" s="478" t="s">
        <v>2507</v>
      </c>
      <c r="F15" s="527" t="s">
        <v>2264</v>
      </c>
    </row>
    <row r="16" spans="1:6">
      <c r="A16" s="522" t="s">
        <v>2557</v>
      </c>
      <c r="B16" s="523" t="s">
        <v>2556</v>
      </c>
      <c r="C16" s="524">
        <v>6</v>
      </c>
      <c r="D16" s="525" t="s">
        <v>2353</v>
      </c>
      <c r="E16" s="479">
        <v>0</v>
      </c>
      <c r="F16" s="528">
        <f t="shared" ref="F16:F25" si="0">C16*E16</f>
        <v>0</v>
      </c>
    </row>
    <row r="17" spans="1:6">
      <c r="A17" s="522" t="s">
        <v>3486</v>
      </c>
      <c r="B17" s="523" t="s">
        <v>2555</v>
      </c>
      <c r="C17" s="524">
        <v>0.1</v>
      </c>
      <c r="D17" s="525" t="s">
        <v>2353</v>
      </c>
      <c r="E17" s="479">
        <v>0</v>
      </c>
      <c r="F17" s="528">
        <f t="shared" si="0"/>
        <v>0</v>
      </c>
    </row>
    <row r="18" spans="1:6">
      <c r="A18" s="522" t="s">
        <v>2554</v>
      </c>
      <c r="B18" s="523" t="s">
        <v>2553</v>
      </c>
      <c r="C18" s="524">
        <v>146</v>
      </c>
      <c r="D18" s="525" t="s">
        <v>364</v>
      </c>
      <c r="E18" s="479">
        <v>0</v>
      </c>
      <c r="F18" s="528">
        <f t="shared" si="0"/>
        <v>0</v>
      </c>
    </row>
    <row r="19" spans="1:6">
      <c r="A19" s="522" t="s">
        <v>2465</v>
      </c>
      <c r="B19" s="523" t="s">
        <v>2464</v>
      </c>
      <c r="C19" s="524">
        <v>30</v>
      </c>
      <c r="D19" s="525" t="s">
        <v>364</v>
      </c>
      <c r="E19" s="479">
        <v>0</v>
      </c>
      <c r="F19" s="528">
        <f t="shared" si="0"/>
        <v>0</v>
      </c>
    </row>
    <row r="20" spans="1:6">
      <c r="A20" s="522" t="s">
        <v>2502</v>
      </c>
      <c r="B20" s="523" t="s">
        <v>2501</v>
      </c>
      <c r="C20" s="524">
        <v>150</v>
      </c>
      <c r="D20" s="525" t="s">
        <v>2353</v>
      </c>
      <c r="E20" s="479">
        <v>0</v>
      </c>
      <c r="F20" s="528">
        <f t="shared" si="0"/>
        <v>0</v>
      </c>
    </row>
    <row r="21" spans="1:6">
      <c r="A21" s="522" t="s">
        <v>2500</v>
      </c>
      <c r="B21" s="523" t="s">
        <v>2499</v>
      </c>
      <c r="C21" s="524">
        <v>150</v>
      </c>
      <c r="D21" s="525" t="s">
        <v>2353</v>
      </c>
      <c r="E21" s="479">
        <v>0</v>
      </c>
      <c r="F21" s="528">
        <f t="shared" si="0"/>
        <v>0</v>
      </c>
    </row>
    <row r="22" spans="1:6">
      <c r="A22" s="522">
        <v>19857</v>
      </c>
      <c r="B22" s="523" t="s">
        <v>2492</v>
      </c>
      <c r="C22" s="524">
        <v>110</v>
      </c>
      <c r="D22" s="525" t="s">
        <v>364</v>
      </c>
      <c r="E22" s="479">
        <v>0</v>
      </c>
      <c r="F22" s="528">
        <f t="shared" si="0"/>
        <v>0</v>
      </c>
    </row>
    <row r="23" spans="1:6">
      <c r="A23" s="522" t="s">
        <v>2489</v>
      </c>
      <c r="B23" s="523" t="s">
        <v>2488</v>
      </c>
      <c r="C23" s="524">
        <v>2</v>
      </c>
      <c r="D23" s="525" t="s">
        <v>2353</v>
      </c>
      <c r="E23" s="479">
        <v>0</v>
      </c>
      <c r="F23" s="528">
        <f t="shared" si="0"/>
        <v>0</v>
      </c>
    </row>
    <row r="24" spans="1:6">
      <c r="A24" s="522" t="s">
        <v>2487</v>
      </c>
      <c r="B24" s="523" t="s">
        <v>2486</v>
      </c>
      <c r="C24" s="524">
        <v>0.02</v>
      </c>
      <c r="D24" s="525" t="s">
        <v>2485</v>
      </c>
      <c r="E24" s="479">
        <v>0</v>
      </c>
      <c r="F24" s="528">
        <f t="shared" si="0"/>
        <v>0</v>
      </c>
    </row>
    <row r="25" spans="1:6">
      <c r="A25" s="522">
        <v>3488604</v>
      </c>
      <c r="B25" s="523" t="s">
        <v>2484</v>
      </c>
      <c r="C25" s="524">
        <v>4</v>
      </c>
      <c r="D25" s="525" t="s">
        <v>2353</v>
      </c>
      <c r="E25" s="479">
        <v>0</v>
      </c>
      <c r="F25" s="528">
        <f t="shared" si="0"/>
        <v>0</v>
      </c>
    </row>
    <row r="26" spans="1:6">
      <c r="A26" s="480"/>
      <c r="B26" s="481" t="s">
        <v>2264</v>
      </c>
      <c r="C26" s="482"/>
      <c r="D26" s="482"/>
      <c r="E26" s="482"/>
      <c r="F26" s="483">
        <f>SUM(F16:F25)</f>
        <v>0</v>
      </c>
    </row>
    <row r="27" spans="1:6">
      <c r="A27" s="484" t="s">
        <v>2453</v>
      </c>
      <c r="B27" s="485" t="s">
        <v>2054</v>
      </c>
      <c r="C27" s="486"/>
      <c r="D27" s="486"/>
      <c r="E27" s="487"/>
      <c r="F27" s="488">
        <f>F26*0.21</f>
        <v>0</v>
      </c>
    </row>
    <row r="28" spans="1:6">
      <c r="A28" s="489"/>
      <c r="B28" s="490"/>
      <c r="C28" s="423"/>
      <c r="D28" s="423"/>
      <c r="E28" s="423"/>
      <c r="F28" s="423"/>
    </row>
    <row r="29" spans="1:6" ht="15">
      <c r="A29" s="491"/>
      <c r="B29" s="529" t="s">
        <v>2460</v>
      </c>
      <c r="C29" s="493"/>
      <c r="D29" s="493"/>
      <c r="E29" s="493"/>
      <c r="F29" s="493"/>
    </row>
    <row r="30" spans="1:6">
      <c r="A30" s="519" t="s">
        <v>2338</v>
      </c>
      <c r="B30" s="520" t="s">
        <v>2509</v>
      </c>
      <c r="C30" s="521" t="s">
        <v>2508</v>
      </c>
      <c r="D30" s="521" t="s">
        <v>203</v>
      </c>
      <c r="E30" s="527" t="s">
        <v>2507</v>
      </c>
      <c r="F30" s="527" t="s">
        <v>2264</v>
      </c>
    </row>
    <row r="31" spans="1:6">
      <c r="A31" s="480"/>
      <c r="B31" s="481" t="s">
        <v>2264</v>
      </c>
      <c r="C31" s="482"/>
      <c r="D31" s="482"/>
      <c r="E31" s="482"/>
      <c r="F31" s="483">
        <v>0</v>
      </c>
    </row>
    <row r="32" spans="1:6">
      <c r="A32" s="484" t="s">
        <v>2453</v>
      </c>
      <c r="B32" s="485" t="s">
        <v>2054</v>
      </c>
      <c r="C32" s="486"/>
      <c r="D32" s="486"/>
      <c r="E32" s="487"/>
      <c r="F32" s="488">
        <f>F31*0.21</f>
        <v>0</v>
      </c>
    </row>
    <row r="33" spans="1:6">
      <c r="A33" s="489"/>
      <c r="B33" s="490"/>
      <c r="C33" s="423"/>
      <c r="D33" s="423"/>
      <c r="E33" s="423"/>
      <c r="F33" s="423"/>
    </row>
    <row r="34" spans="1:6" ht="15">
      <c r="A34" s="491"/>
      <c r="B34" s="529" t="s">
        <v>2552</v>
      </c>
      <c r="C34" s="493"/>
      <c r="D34" s="493"/>
      <c r="E34" s="493"/>
      <c r="F34" s="493"/>
    </row>
    <row r="35" spans="1:6">
      <c r="A35" s="519" t="s">
        <v>2338</v>
      </c>
      <c r="B35" s="520" t="s">
        <v>2509</v>
      </c>
      <c r="C35" s="521" t="s">
        <v>2508</v>
      </c>
      <c r="D35" s="521" t="s">
        <v>203</v>
      </c>
      <c r="E35" s="527" t="s">
        <v>2507</v>
      </c>
      <c r="F35" s="527" t="s">
        <v>2264</v>
      </c>
    </row>
    <row r="36" spans="1:6">
      <c r="A36" s="480"/>
      <c r="B36" s="481" t="s">
        <v>2264</v>
      </c>
      <c r="C36" s="482"/>
      <c r="D36" s="482"/>
      <c r="E36" s="482"/>
      <c r="F36" s="483">
        <v>0</v>
      </c>
    </row>
    <row r="37" spans="1:6">
      <c r="A37" s="484" t="s">
        <v>2453</v>
      </c>
      <c r="B37" s="485" t="s">
        <v>2054</v>
      </c>
      <c r="C37" s="486"/>
      <c r="D37" s="486"/>
      <c r="E37" s="487"/>
      <c r="F37" s="488">
        <f>F36*0.21</f>
        <v>0</v>
      </c>
    </row>
    <row r="38" spans="1:6">
      <c r="A38" s="489"/>
      <c r="B38" s="490"/>
      <c r="C38" s="423"/>
      <c r="D38" s="423"/>
      <c r="E38" s="423"/>
      <c r="F38" s="423"/>
    </row>
    <row r="39" spans="1:6" ht="15">
      <c r="A39" s="491"/>
      <c r="B39" s="529" t="s">
        <v>2457</v>
      </c>
      <c r="C39" s="493"/>
      <c r="D39" s="493"/>
      <c r="E39" s="493"/>
      <c r="F39" s="493"/>
    </row>
    <row r="40" spans="1:6">
      <c r="A40" s="519" t="s">
        <v>2338</v>
      </c>
      <c r="B40" s="520" t="s">
        <v>2509</v>
      </c>
      <c r="C40" s="521" t="s">
        <v>2508</v>
      </c>
      <c r="D40" s="521" t="s">
        <v>203</v>
      </c>
      <c r="E40" s="527" t="s">
        <v>2507</v>
      </c>
      <c r="F40" s="527" t="s">
        <v>2264</v>
      </c>
    </row>
    <row r="41" spans="1:6">
      <c r="A41" s="480"/>
      <c r="B41" s="481" t="s">
        <v>2264</v>
      </c>
      <c r="C41" s="482"/>
      <c r="D41" s="482"/>
      <c r="E41" s="482"/>
      <c r="F41" s="483">
        <v>0</v>
      </c>
    </row>
    <row r="42" spans="1:6">
      <c r="A42" s="484" t="s">
        <v>2453</v>
      </c>
      <c r="B42" s="485" t="s">
        <v>2054</v>
      </c>
      <c r="C42" s="486"/>
      <c r="D42" s="486"/>
      <c r="E42" s="487"/>
      <c r="F42" s="488">
        <f>F41*0.21</f>
        <v>0</v>
      </c>
    </row>
    <row r="43" spans="1:6">
      <c r="A43" s="489"/>
      <c r="B43" s="490"/>
      <c r="C43" s="423"/>
      <c r="D43" s="423"/>
      <c r="E43" s="423"/>
      <c r="F43" s="423"/>
    </row>
    <row r="44" spans="1:6" ht="15">
      <c r="A44" s="491"/>
      <c r="B44" s="529" t="s">
        <v>2551</v>
      </c>
      <c r="C44" s="493"/>
      <c r="D44" s="493"/>
      <c r="E44" s="493"/>
      <c r="F44" s="493"/>
    </row>
    <row r="45" spans="1:6">
      <c r="A45" s="519" t="s">
        <v>2338</v>
      </c>
      <c r="B45" s="520" t="s">
        <v>2509</v>
      </c>
      <c r="C45" s="521" t="s">
        <v>2508</v>
      </c>
      <c r="D45" s="521" t="s">
        <v>203</v>
      </c>
      <c r="E45" s="527" t="s">
        <v>2507</v>
      </c>
      <c r="F45" s="527" t="s">
        <v>2264</v>
      </c>
    </row>
    <row r="46" spans="1:6">
      <c r="A46" s="480"/>
      <c r="B46" s="481" t="s">
        <v>2264</v>
      </c>
      <c r="C46" s="482"/>
      <c r="D46" s="482"/>
      <c r="E46" s="482"/>
      <c r="F46" s="483">
        <v>0</v>
      </c>
    </row>
    <row r="47" spans="1:6">
      <c r="A47" s="484" t="s">
        <v>2453</v>
      </c>
      <c r="B47" s="485" t="s">
        <v>2054</v>
      </c>
      <c r="C47" s="486"/>
      <c r="D47" s="486"/>
      <c r="E47" s="487"/>
      <c r="F47" s="488">
        <f>F46*0.21</f>
        <v>0</v>
      </c>
    </row>
    <row r="48" spans="1:6">
      <c r="A48" s="489"/>
      <c r="B48" s="490"/>
      <c r="C48" s="423"/>
      <c r="D48" s="423"/>
      <c r="E48" s="423"/>
      <c r="F48" s="423"/>
    </row>
    <row r="49" spans="1:6" ht="15">
      <c r="A49" s="491"/>
      <c r="B49" s="529" t="s">
        <v>1855</v>
      </c>
      <c r="C49" s="493"/>
      <c r="D49" s="493"/>
      <c r="E49" s="493"/>
      <c r="F49" s="493"/>
    </row>
    <row r="50" spans="1:6">
      <c r="A50" s="519" t="s">
        <v>2338</v>
      </c>
      <c r="B50" s="520" t="s">
        <v>2509</v>
      </c>
      <c r="C50" s="521" t="s">
        <v>2508</v>
      </c>
      <c r="D50" s="521" t="s">
        <v>203</v>
      </c>
      <c r="E50" s="527" t="s">
        <v>2507</v>
      </c>
      <c r="F50" s="527" t="s">
        <v>2264</v>
      </c>
    </row>
    <row r="51" spans="1:6">
      <c r="A51" s="480"/>
      <c r="B51" s="481" t="s">
        <v>2264</v>
      </c>
      <c r="C51" s="482"/>
      <c r="D51" s="482"/>
      <c r="E51" s="482"/>
      <c r="F51" s="483">
        <v>0</v>
      </c>
    </row>
    <row r="52" spans="1:6">
      <c r="A52" s="484" t="s">
        <v>2453</v>
      </c>
      <c r="B52" s="485" t="s">
        <v>2054</v>
      </c>
      <c r="C52" s="486"/>
      <c r="D52" s="486"/>
      <c r="E52" s="487"/>
      <c r="F52" s="488">
        <f>F51*0.21</f>
        <v>0</v>
      </c>
    </row>
    <row r="53" spans="1:6">
      <c r="A53" s="489"/>
      <c r="B53" s="490"/>
      <c r="C53" s="423"/>
      <c r="D53" s="423"/>
      <c r="E53" s="423"/>
      <c r="F53" s="423"/>
    </row>
    <row r="54" spans="1:6" ht="15">
      <c r="A54" s="491"/>
      <c r="B54" s="529" t="s">
        <v>2454</v>
      </c>
      <c r="C54" s="493"/>
      <c r="D54" s="493"/>
      <c r="E54" s="493"/>
      <c r="F54" s="493"/>
    </row>
    <row r="55" spans="1:6">
      <c r="A55" s="519" t="s">
        <v>2338</v>
      </c>
      <c r="B55" s="520" t="s">
        <v>2509</v>
      </c>
      <c r="C55" s="521" t="s">
        <v>2508</v>
      </c>
      <c r="D55" s="521" t="s">
        <v>203</v>
      </c>
      <c r="E55" s="527" t="s">
        <v>2507</v>
      </c>
      <c r="F55" s="527" t="s">
        <v>2264</v>
      </c>
    </row>
    <row r="56" spans="1:6">
      <c r="A56" s="480"/>
      <c r="B56" s="481" t="s">
        <v>2264</v>
      </c>
      <c r="C56" s="482"/>
      <c r="D56" s="482"/>
      <c r="E56" s="482"/>
      <c r="F56" s="483">
        <v>0</v>
      </c>
    </row>
    <row r="57" spans="1:6">
      <c r="A57" s="484" t="s">
        <v>2453</v>
      </c>
      <c r="B57" s="485" t="s">
        <v>2054</v>
      </c>
      <c r="C57" s="486"/>
      <c r="D57" s="486"/>
      <c r="E57" s="487"/>
      <c r="F57" s="488">
        <f>F56*0.21</f>
        <v>0</v>
      </c>
    </row>
    <row r="58" spans="1:6">
      <c r="A58" s="489"/>
      <c r="B58" s="490"/>
      <c r="C58" s="423"/>
      <c r="D58" s="423"/>
      <c r="E58" s="423"/>
      <c r="F58" s="423"/>
    </row>
    <row r="59" spans="1:6">
      <c r="A59" s="489"/>
      <c r="B59" s="490"/>
      <c r="C59" s="423"/>
      <c r="D59" s="423"/>
      <c r="E59" s="423"/>
      <c r="F59" s="423"/>
    </row>
    <row r="60" spans="1:6" ht="20.25">
      <c r="A60" s="530" t="s">
        <v>2452</v>
      </c>
      <c r="B60" s="530"/>
      <c r="C60" s="531"/>
      <c r="D60" s="531"/>
      <c r="E60" s="531"/>
      <c r="F60" s="531"/>
    </row>
    <row r="61" spans="1:6" ht="14.25">
      <c r="A61" s="499" t="s">
        <v>2451</v>
      </c>
      <c r="B61" s="499" t="s">
        <v>2450</v>
      </c>
      <c r="C61" s="500"/>
      <c r="D61" s="500"/>
      <c r="E61" s="500"/>
      <c r="F61" s="500"/>
    </row>
    <row r="62" spans="1:6">
      <c r="A62" s="423"/>
      <c r="B62" s="503" t="s">
        <v>2449</v>
      </c>
      <c r="C62" s="503"/>
      <c r="D62" s="503"/>
      <c r="E62" s="503"/>
      <c r="F62" s="532">
        <f>F11+F26</f>
        <v>0</v>
      </c>
    </row>
    <row r="63" spans="1:6">
      <c r="A63" s="423"/>
      <c r="B63" s="503" t="s">
        <v>2448</v>
      </c>
      <c r="C63" s="503"/>
      <c r="D63" s="503"/>
      <c r="E63" s="503"/>
      <c r="F63" s="532">
        <f>F4+F31+F36+F41+F46+F51+F56</f>
        <v>0</v>
      </c>
    </row>
    <row r="64" spans="1:6">
      <c r="A64" s="423"/>
      <c r="B64" s="503" t="s">
        <v>2447</v>
      </c>
      <c r="C64" s="503"/>
      <c r="D64" s="503"/>
      <c r="E64" s="503"/>
      <c r="F64" s="532">
        <v>0</v>
      </c>
    </row>
    <row r="65" spans="1:6">
      <c r="A65" s="423"/>
      <c r="B65" s="503" t="s">
        <v>2446</v>
      </c>
      <c r="C65" s="503"/>
      <c r="D65" s="503"/>
      <c r="E65" s="503"/>
      <c r="F65" s="532">
        <v>0</v>
      </c>
    </row>
    <row r="66" spans="1:6">
      <c r="A66" s="423"/>
      <c r="B66" s="503" t="s">
        <v>2445</v>
      </c>
      <c r="C66" s="503"/>
      <c r="D66" s="503"/>
      <c r="E66" s="503"/>
      <c r="F66" s="532">
        <v>0</v>
      </c>
    </row>
    <row r="67" spans="1:6">
      <c r="A67" s="423"/>
      <c r="B67" s="503" t="s">
        <v>2444</v>
      </c>
      <c r="C67" s="503"/>
      <c r="D67" s="503"/>
      <c r="E67" s="503"/>
      <c r="F67" s="532">
        <v>0</v>
      </c>
    </row>
    <row r="68" spans="1:6" ht="15.75" thickBot="1">
      <c r="A68" s="507"/>
      <c r="B68" s="506" t="s">
        <v>2343</v>
      </c>
      <c r="C68" s="507"/>
      <c r="D68" s="507"/>
      <c r="E68" s="507"/>
      <c r="F68" s="533">
        <f>SUM(F62:F67)</f>
        <v>0</v>
      </c>
    </row>
    <row r="69" spans="1:6">
      <c r="A69" s="423"/>
      <c r="B69" s="423"/>
      <c r="C69" s="423"/>
      <c r="D69" s="423"/>
      <c r="E69" s="423"/>
      <c r="F69" s="423"/>
    </row>
    <row r="70" spans="1:6" ht="15">
      <c r="A70" s="423"/>
      <c r="B70" s="510" t="s">
        <v>2443</v>
      </c>
      <c r="C70" s="503"/>
      <c r="D70" s="503"/>
      <c r="E70" s="503"/>
      <c r="F70" s="503"/>
    </row>
    <row r="71" spans="1:6">
      <c r="A71" s="423"/>
      <c r="B71" s="512" t="s">
        <v>2054</v>
      </c>
      <c r="C71" s="513"/>
      <c r="D71" s="534">
        <v>0.21</v>
      </c>
      <c r="E71" s="513"/>
      <c r="F71" s="535">
        <f>F68*0.21</f>
        <v>0</v>
      </c>
    </row>
    <row r="72" spans="1:6" ht="15.75" thickBot="1">
      <c r="A72" s="507"/>
      <c r="B72" s="506" t="s">
        <v>2442</v>
      </c>
      <c r="C72" s="507"/>
      <c r="D72" s="507"/>
      <c r="E72" s="507"/>
      <c r="F72" s="533">
        <f>SUM(F68:F71)</f>
        <v>0</v>
      </c>
    </row>
    <row r="75" spans="1:6" ht="153">
      <c r="B75" s="670" t="s">
        <v>3469</v>
      </c>
    </row>
  </sheetData>
  <sheetProtection password="CAB1" sheet="1" objects="1" scenarios="1"/>
  <printOptions horizontalCentered="1"/>
  <pageMargins left="0.39370078740157483" right="0.23622047244094491" top="0.39370078740157483" bottom="0.39370078740157483"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M97"/>
  <sheetViews>
    <sheetView showGridLines="0" topLeftCell="A75" workbookViewId="0">
      <selection activeCell="J94" sqref="J94"/>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107</v>
      </c>
    </row>
    <row r="3" spans="1:46" s="1" customFormat="1" ht="6.95" customHeight="1">
      <c r="A3" s="61"/>
      <c r="B3" s="263"/>
      <c r="C3" s="264"/>
      <c r="D3" s="264"/>
      <c r="E3" s="264"/>
      <c r="F3" s="264"/>
      <c r="G3" s="264"/>
      <c r="H3" s="264"/>
      <c r="I3" s="264"/>
      <c r="J3" s="264"/>
      <c r="K3" s="264"/>
      <c r="L3" s="20"/>
      <c r="AT3" s="19" t="s">
        <v>77</v>
      </c>
    </row>
    <row r="4" spans="1:46" s="1" customFormat="1" ht="24.95" customHeight="1">
      <c r="A4" s="61"/>
      <c r="B4" s="265"/>
      <c r="C4" s="61"/>
      <c r="D4" s="266" t="s">
        <v>142</v>
      </c>
      <c r="E4" s="61"/>
      <c r="F4" s="61"/>
      <c r="G4" s="61"/>
      <c r="H4" s="61"/>
      <c r="I4" s="61"/>
      <c r="J4" s="61"/>
      <c r="K4" s="61"/>
      <c r="L4" s="20"/>
      <c r="M4" s="63" t="s">
        <v>11</v>
      </c>
      <c r="AT4" s="19" t="s">
        <v>4</v>
      </c>
    </row>
    <row r="5" spans="1:46" s="1" customFormat="1" ht="6.95" customHeight="1">
      <c r="A5" s="61"/>
      <c r="B5" s="265"/>
      <c r="C5" s="61"/>
      <c r="D5" s="61"/>
      <c r="E5" s="61"/>
      <c r="F5" s="61"/>
      <c r="G5" s="61"/>
      <c r="H5" s="61"/>
      <c r="I5" s="61"/>
      <c r="J5" s="61"/>
      <c r="K5" s="61"/>
      <c r="L5" s="20"/>
    </row>
    <row r="6" spans="1:46" s="1" customFormat="1" ht="12" customHeight="1">
      <c r="A6" s="61"/>
      <c r="B6" s="265"/>
      <c r="C6" s="61"/>
      <c r="D6" s="268" t="s">
        <v>15</v>
      </c>
      <c r="E6" s="61"/>
      <c r="F6" s="61"/>
      <c r="G6" s="61"/>
      <c r="H6" s="61"/>
      <c r="I6" s="61"/>
      <c r="J6" s="61"/>
      <c r="K6" s="61"/>
      <c r="L6" s="20"/>
    </row>
    <row r="7" spans="1:46" s="1" customFormat="1" ht="14.45" customHeight="1">
      <c r="A7" s="61"/>
      <c r="B7" s="265"/>
      <c r="C7" s="61"/>
      <c r="D7" s="61"/>
      <c r="E7" s="722" t="str">
        <f>'Rekapitulace stavby'!K6</f>
        <v>Úpravy gastroprovozu Úřadu vlády ČR v 1.pp Strakovy akademie</v>
      </c>
      <c r="F7" s="723"/>
      <c r="G7" s="723"/>
      <c r="H7" s="723"/>
      <c r="I7" s="61"/>
      <c r="J7" s="61"/>
      <c r="K7" s="61"/>
      <c r="L7" s="20"/>
    </row>
    <row r="8" spans="1:46" ht="12.75">
      <c r="A8" s="61"/>
      <c r="B8" s="265"/>
      <c r="C8" s="61"/>
      <c r="D8" s="268" t="s">
        <v>151</v>
      </c>
      <c r="E8" s="61"/>
      <c r="F8" s="61"/>
      <c r="G8" s="61"/>
      <c r="H8" s="61"/>
      <c r="I8" s="61"/>
      <c r="J8" s="61"/>
      <c r="K8" s="61"/>
      <c r="L8" s="20"/>
    </row>
    <row r="9" spans="1:46" s="1" customFormat="1" ht="14.45" customHeight="1">
      <c r="A9" s="61"/>
      <c r="B9" s="265"/>
      <c r="C9" s="61"/>
      <c r="D9" s="61"/>
      <c r="E9" s="722" t="s">
        <v>1759</v>
      </c>
      <c r="F9" s="715"/>
      <c r="G9" s="715"/>
      <c r="H9" s="715"/>
      <c r="I9" s="61"/>
      <c r="J9" s="61"/>
      <c r="K9" s="61"/>
      <c r="L9" s="20"/>
    </row>
    <row r="10" spans="1:46" s="1" customFormat="1" ht="12" customHeight="1">
      <c r="A10" s="61"/>
      <c r="B10" s="265"/>
      <c r="C10" s="61"/>
      <c r="D10" s="268" t="s">
        <v>157</v>
      </c>
      <c r="E10" s="61"/>
      <c r="F10" s="61"/>
      <c r="G10" s="61"/>
      <c r="H10" s="61"/>
      <c r="I10" s="61"/>
      <c r="J10" s="61"/>
      <c r="K10" s="61"/>
      <c r="L10" s="20"/>
    </row>
    <row r="11" spans="1:46" s="2" customFormat="1" ht="14.45" customHeight="1">
      <c r="A11" s="271"/>
      <c r="B11" s="270"/>
      <c r="C11" s="271"/>
      <c r="D11" s="271"/>
      <c r="E11" s="762" t="s">
        <v>1776</v>
      </c>
      <c r="F11" s="721"/>
      <c r="G11" s="721"/>
      <c r="H11" s="721"/>
      <c r="I11" s="271"/>
      <c r="J11" s="271"/>
      <c r="K11" s="271"/>
      <c r="L11" s="64"/>
      <c r="S11" s="23"/>
      <c r="T11" s="23"/>
      <c r="U11" s="23"/>
      <c r="V11" s="23"/>
      <c r="W11" s="23"/>
      <c r="X11" s="23"/>
      <c r="Y11" s="23"/>
      <c r="Z11" s="23"/>
      <c r="AA11" s="23"/>
      <c r="AB11" s="23"/>
      <c r="AC11" s="23"/>
      <c r="AD11" s="23"/>
      <c r="AE11" s="23"/>
    </row>
    <row r="12" spans="1:46" s="2" customFormat="1" ht="12" customHeight="1">
      <c r="A12" s="271"/>
      <c r="B12" s="270"/>
      <c r="C12" s="271"/>
      <c r="D12" s="268" t="s">
        <v>1777</v>
      </c>
      <c r="E12" s="271"/>
      <c r="F12" s="271"/>
      <c r="G12" s="271"/>
      <c r="H12" s="271"/>
      <c r="I12" s="271"/>
      <c r="J12" s="271"/>
      <c r="K12" s="271"/>
      <c r="L12" s="64"/>
      <c r="S12" s="23"/>
      <c r="T12" s="23"/>
      <c r="U12" s="23"/>
      <c r="V12" s="23"/>
      <c r="W12" s="23"/>
      <c r="X12" s="23"/>
      <c r="Y12" s="23"/>
      <c r="Z12" s="23"/>
      <c r="AA12" s="23"/>
      <c r="AB12" s="23"/>
      <c r="AC12" s="23"/>
      <c r="AD12" s="23"/>
      <c r="AE12" s="23"/>
    </row>
    <row r="13" spans="1:46" s="2" customFormat="1" ht="14.45" customHeight="1">
      <c r="A13" s="271"/>
      <c r="B13" s="270"/>
      <c r="C13" s="271"/>
      <c r="D13" s="271"/>
      <c r="E13" s="689" t="s">
        <v>1784</v>
      </c>
      <c r="F13" s="721"/>
      <c r="G13" s="721"/>
      <c r="H13" s="721"/>
      <c r="I13" s="271"/>
      <c r="J13" s="271"/>
      <c r="K13" s="271"/>
      <c r="L13" s="64"/>
      <c r="S13" s="23"/>
      <c r="T13" s="23"/>
      <c r="U13" s="23"/>
      <c r="V13" s="23"/>
      <c r="W13" s="23"/>
      <c r="X13" s="23"/>
      <c r="Y13" s="23"/>
      <c r="Z13" s="23"/>
      <c r="AA13" s="23"/>
      <c r="AB13" s="23"/>
      <c r="AC13" s="23"/>
      <c r="AD13" s="23"/>
      <c r="AE13" s="23"/>
    </row>
    <row r="14" spans="1:46" s="2" customFormat="1">
      <c r="A14" s="271"/>
      <c r="B14" s="270"/>
      <c r="C14" s="271"/>
      <c r="D14" s="271"/>
      <c r="E14" s="271"/>
      <c r="F14" s="271"/>
      <c r="G14" s="271"/>
      <c r="H14" s="271"/>
      <c r="I14" s="271"/>
      <c r="J14" s="271"/>
      <c r="K14" s="271"/>
      <c r="L14" s="64"/>
      <c r="S14" s="23"/>
      <c r="T14" s="23"/>
      <c r="U14" s="23"/>
      <c r="V14" s="23"/>
      <c r="W14" s="23"/>
      <c r="X14" s="23"/>
      <c r="Y14" s="23"/>
      <c r="Z14" s="23"/>
      <c r="AA14" s="23"/>
      <c r="AB14" s="23"/>
      <c r="AC14" s="23"/>
      <c r="AD14" s="23"/>
      <c r="AE14" s="23"/>
    </row>
    <row r="15" spans="1:46" s="2" customFormat="1" ht="12" customHeight="1">
      <c r="A15" s="271"/>
      <c r="B15" s="270"/>
      <c r="C15" s="271"/>
      <c r="D15" s="268" t="s">
        <v>17</v>
      </c>
      <c r="E15" s="271"/>
      <c r="F15" s="273" t="s">
        <v>3</v>
      </c>
      <c r="G15" s="271"/>
      <c r="H15" s="271"/>
      <c r="I15" s="268" t="s">
        <v>18</v>
      </c>
      <c r="J15" s="273" t="s">
        <v>3</v>
      </c>
      <c r="K15" s="271"/>
      <c r="L15" s="64"/>
      <c r="S15" s="23"/>
      <c r="T15" s="23"/>
      <c r="U15" s="23"/>
      <c r="V15" s="23"/>
      <c r="W15" s="23"/>
      <c r="X15" s="23"/>
      <c r="Y15" s="23"/>
      <c r="Z15" s="23"/>
      <c r="AA15" s="23"/>
      <c r="AB15" s="23"/>
      <c r="AC15" s="23"/>
      <c r="AD15" s="23"/>
      <c r="AE15" s="23"/>
    </row>
    <row r="16" spans="1:46" s="2" customFormat="1" ht="12" customHeight="1">
      <c r="A16" s="271"/>
      <c r="B16" s="270"/>
      <c r="C16" s="271"/>
      <c r="D16" s="268" t="s">
        <v>19</v>
      </c>
      <c r="E16" s="271"/>
      <c r="F16" s="273" t="s">
        <v>27</v>
      </c>
      <c r="G16" s="271"/>
      <c r="H16" s="271"/>
      <c r="I16" s="268" t="s">
        <v>21</v>
      </c>
      <c r="J16" s="387">
        <f>'Rekapitulace stavby'!AN8</f>
        <v>44077</v>
      </c>
      <c r="K16" s="271"/>
      <c r="L16" s="64"/>
      <c r="S16" s="23"/>
      <c r="T16" s="23"/>
      <c r="U16" s="23"/>
      <c r="V16" s="23"/>
      <c r="W16" s="23"/>
      <c r="X16" s="23"/>
      <c r="Y16" s="23"/>
      <c r="Z16" s="23"/>
      <c r="AA16" s="23"/>
      <c r="AB16" s="23"/>
      <c r="AC16" s="23"/>
      <c r="AD16" s="23"/>
      <c r="AE16" s="23"/>
    </row>
    <row r="17" spans="1:31" s="2" customFormat="1" ht="10.9" customHeight="1">
      <c r="A17" s="271"/>
      <c r="B17" s="270"/>
      <c r="C17" s="271"/>
      <c r="D17" s="271"/>
      <c r="E17" s="271"/>
      <c r="F17" s="271"/>
      <c r="G17" s="271"/>
      <c r="H17" s="271"/>
      <c r="I17" s="271"/>
      <c r="J17" s="271"/>
      <c r="K17" s="271"/>
      <c r="L17" s="64"/>
      <c r="S17" s="23"/>
      <c r="T17" s="23"/>
      <c r="U17" s="23"/>
      <c r="V17" s="23"/>
      <c r="W17" s="23"/>
      <c r="X17" s="23"/>
      <c r="Y17" s="23"/>
      <c r="Z17" s="23"/>
      <c r="AA17" s="23"/>
      <c r="AB17" s="23"/>
      <c r="AC17" s="23"/>
      <c r="AD17" s="23"/>
      <c r="AE17" s="23"/>
    </row>
    <row r="18" spans="1:31" s="2" customFormat="1" ht="12" customHeight="1">
      <c r="A18" s="271"/>
      <c r="B18" s="270"/>
      <c r="C18" s="271"/>
      <c r="D18" s="268" t="s">
        <v>22</v>
      </c>
      <c r="E18" s="271"/>
      <c r="F18" s="271"/>
      <c r="G18" s="271"/>
      <c r="H18" s="271"/>
      <c r="I18" s="268" t="s">
        <v>23</v>
      </c>
      <c r="J18" s="273" t="s">
        <v>3</v>
      </c>
      <c r="K18" s="271"/>
      <c r="L18" s="64"/>
      <c r="S18" s="23"/>
      <c r="T18" s="23"/>
      <c r="U18" s="23"/>
      <c r="V18" s="23"/>
      <c r="W18" s="23"/>
      <c r="X18" s="23"/>
      <c r="Y18" s="23"/>
      <c r="Z18" s="23"/>
      <c r="AA18" s="23"/>
      <c r="AB18" s="23"/>
      <c r="AC18" s="23"/>
      <c r="AD18" s="23"/>
      <c r="AE18" s="23"/>
    </row>
    <row r="19" spans="1:31" s="2" customFormat="1" ht="18" customHeight="1">
      <c r="A19" s="271"/>
      <c r="B19" s="270"/>
      <c r="C19" s="271"/>
      <c r="D19" s="271"/>
      <c r="E19" s="273" t="s">
        <v>24</v>
      </c>
      <c r="F19" s="271"/>
      <c r="G19" s="271"/>
      <c r="H19" s="271"/>
      <c r="I19" s="268" t="s">
        <v>25</v>
      </c>
      <c r="J19" s="273" t="s">
        <v>3</v>
      </c>
      <c r="K19" s="271"/>
      <c r="L19" s="64"/>
      <c r="S19" s="23"/>
      <c r="T19" s="23"/>
      <c r="U19" s="23"/>
      <c r="V19" s="23"/>
      <c r="W19" s="23"/>
      <c r="X19" s="23"/>
      <c r="Y19" s="23"/>
      <c r="Z19" s="23"/>
      <c r="AA19" s="23"/>
      <c r="AB19" s="23"/>
      <c r="AC19" s="23"/>
      <c r="AD19" s="23"/>
      <c r="AE19" s="23"/>
    </row>
    <row r="20" spans="1:31" s="2" customFormat="1" ht="6.95" customHeight="1">
      <c r="A20" s="271"/>
      <c r="B20" s="270"/>
      <c r="C20" s="271"/>
      <c r="D20" s="271"/>
      <c r="E20" s="271"/>
      <c r="F20" s="271"/>
      <c r="G20" s="271"/>
      <c r="H20" s="271"/>
      <c r="I20" s="271"/>
      <c r="J20" s="271"/>
      <c r="K20" s="271"/>
      <c r="L20" s="64"/>
      <c r="S20" s="23"/>
      <c r="T20" s="23"/>
      <c r="U20" s="23"/>
      <c r="V20" s="23"/>
      <c r="W20" s="23"/>
      <c r="X20" s="23"/>
      <c r="Y20" s="23"/>
      <c r="Z20" s="23"/>
      <c r="AA20" s="23"/>
      <c r="AB20" s="23"/>
      <c r="AC20" s="23"/>
      <c r="AD20" s="23"/>
      <c r="AE20" s="23"/>
    </row>
    <row r="21" spans="1:31" s="2" customFormat="1" ht="12" customHeight="1">
      <c r="A21" s="271"/>
      <c r="B21" s="270"/>
      <c r="C21" s="271"/>
      <c r="D21" s="268" t="s">
        <v>26</v>
      </c>
      <c r="E21" s="271"/>
      <c r="F21" s="271"/>
      <c r="G21" s="271"/>
      <c r="H21" s="271"/>
      <c r="I21" s="268" t="s">
        <v>23</v>
      </c>
      <c r="J21" s="273" t="str">
        <f>'Rekapitulace stavby'!AN13</f>
        <v/>
      </c>
      <c r="K21" s="271"/>
      <c r="L21" s="64"/>
      <c r="S21" s="23"/>
      <c r="T21" s="23"/>
      <c r="U21" s="23"/>
      <c r="V21" s="23"/>
      <c r="W21" s="23"/>
      <c r="X21" s="23"/>
      <c r="Y21" s="23"/>
      <c r="Z21" s="23"/>
      <c r="AA21" s="23"/>
      <c r="AB21" s="23"/>
      <c r="AC21" s="23"/>
      <c r="AD21" s="23"/>
      <c r="AE21" s="23"/>
    </row>
    <row r="22" spans="1:31" s="2" customFormat="1" ht="18" customHeight="1">
      <c r="A22" s="271"/>
      <c r="B22" s="270"/>
      <c r="C22" s="271"/>
      <c r="D22" s="271"/>
      <c r="E22" s="714" t="str">
        <f>'Rekapitulace stavby'!E14</f>
        <v xml:space="preserve"> </v>
      </c>
      <c r="F22" s="714"/>
      <c r="G22" s="714"/>
      <c r="H22" s="714"/>
      <c r="I22" s="268" t="s">
        <v>25</v>
      </c>
      <c r="J22" s="273" t="str">
        <f>'Rekapitulace stavby'!AN14</f>
        <v/>
      </c>
      <c r="K22" s="271"/>
      <c r="L22" s="64"/>
      <c r="S22" s="23"/>
      <c r="T22" s="23"/>
      <c r="U22" s="23"/>
      <c r="V22" s="23"/>
      <c r="W22" s="23"/>
      <c r="X22" s="23"/>
      <c r="Y22" s="23"/>
      <c r="Z22" s="23"/>
      <c r="AA22" s="23"/>
      <c r="AB22" s="23"/>
      <c r="AC22" s="23"/>
      <c r="AD22" s="23"/>
      <c r="AE22" s="23"/>
    </row>
    <row r="23" spans="1:31" s="2" customFormat="1" ht="6.95" customHeight="1">
      <c r="A23" s="271"/>
      <c r="B23" s="270"/>
      <c r="C23" s="271"/>
      <c r="D23" s="271"/>
      <c r="E23" s="271"/>
      <c r="F23" s="271"/>
      <c r="G23" s="271"/>
      <c r="H23" s="271"/>
      <c r="I23" s="271"/>
      <c r="J23" s="271"/>
      <c r="K23" s="271"/>
      <c r="L23" s="64"/>
      <c r="S23" s="23"/>
      <c r="T23" s="23"/>
      <c r="U23" s="23"/>
      <c r="V23" s="23"/>
      <c r="W23" s="23"/>
      <c r="X23" s="23"/>
      <c r="Y23" s="23"/>
      <c r="Z23" s="23"/>
      <c r="AA23" s="23"/>
      <c r="AB23" s="23"/>
      <c r="AC23" s="23"/>
      <c r="AD23" s="23"/>
      <c r="AE23" s="23"/>
    </row>
    <row r="24" spans="1:31" s="2" customFormat="1" ht="12" customHeight="1">
      <c r="A24" s="271"/>
      <c r="B24" s="270"/>
      <c r="C24" s="271"/>
      <c r="D24" s="268" t="s">
        <v>28</v>
      </c>
      <c r="E24" s="271"/>
      <c r="F24" s="271"/>
      <c r="G24" s="271"/>
      <c r="H24" s="271"/>
      <c r="I24" s="268" t="s">
        <v>23</v>
      </c>
      <c r="J24" s="273" t="s">
        <v>3</v>
      </c>
      <c r="K24" s="271"/>
      <c r="L24" s="64"/>
      <c r="S24" s="23"/>
      <c r="T24" s="23"/>
      <c r="U24" s="23"/>
      <c r="V24" s="23"/>
      <c r="W24" s="23"/>
      <c r="X24" s="23"/>
      <c r="Y24" s="23"/>
      <c r="Z24" s="23"/>
      <c r="AA24" s="23"/>
      <c r="AB24" s="23"/>
      <c r="AC24" s="23"/>
      <c r="AD24" s="23"/>
      <c r="AE24" s="23"/>
    </row>
    <row r="25" spans="1:31" s="2" customFormat="1" ht="18" customHeight="1">
      <c r="A25" s="271"/>
      <c r="B25" s="270"/>
      <c r="C25" s="271"/>
      <c r="D25" s="271"/>
      <c r="E25" s="273" t="s">
        <v>29</v>
      </c>
      <c r="F25" s="271"/>
      <c r="G25" s="271"/>
      <c r="H25" s="271"/>
      <c r="I25" s="268" t="s">
        <v>25</v>
      </c>
      <c r="J25" s="273" t="s">
        <v>3</v>
      </c>
      <c r="K25" s="271"/>
      <c r="L25" s="64"/>
      <c r="S25" s="23"/>
      <c r="T25" s="23"/>
      <c r="U25" s="23"/>
      <c r="V25" s="23"/>
      <c r="W25" s="23"/>
      <c r="X25" s="23"/>
      <c r="Y25" s="23"/>
      <c r="Z25" s="23"/>
      <c r="AA25" s="23"/>
      <c r="AB25" s="23"/>
      <c r="AC25" s="23"/>
      <c r="AD25" s="23"/>
      <c r="AE25" s="23"/>
    </row>
    <row r="26" spans="1:31" s="2" customFormat="1" ht="6.95" customHeight="1">
      <c r="A26" s="271"/>
      <c r="B26" s="270"/>
      <c r="C26" s="271"/>
      <c r="D26" s="271"/>
      <c r="E26" s="271"/>
      <c r="F26" s="271"/>
      <c r="G26" s="271"/>
      <c r="H26" s="271"/>
      <c r="I26" s="271"/>
      <c r="J26" s="271"/>
      <c r="K26" s="271"/>
      <c r="L26" s="64"/>
      <c r="S26" s="23"/>
      <c r="T26" s="23"/>
      <c r="U26" s="23"/>
      <c r="V26" s="23"/>
      <c r="W26" s="23"/>
      <c r="X26" s="23"/>
      <c r="Y26" s="23"/>
      <c r="Z26" s="23"/>
      <c r="AA26" s="23"/>
      <c r="AB26" s="23"/>
      <c r="AC26" s="23"/>
      <c r="AD26" s="23"/>
      <c r="AE26" s="23"/>
    </row>
    <row r="27" spans="1:31" s="2" customFormat="1" ht="12" customHeight="1">
      <c r="A27" s="271"/>
      <c r="B27" s="270"/>
      <c r="C27" s="271"/>
      <c r="D27" s="268" t="s">
        <v>31</v>
      </c>
      <c r="E27" s="271"/>
      <c r="F27" s="271"/>
      <c r="G27" s="271"/>
      <c r="H27" s="271"/>
      <c r="I27" s="268" t="s">
        <v>23</v>
      </c>
      <c r="J27" s="273" t="s">
        <v>3</v>
      </c>
      <c r="K27" s="271"/>
      <c r="L27" s="64"/>
      <c r="S27" s="23"/>
      <c r="T27" s="23"/>
      <c r="U27" s="23"/>
      <c r="V27" s="23"/>
      <c r="W27" s="23"/>
      <c r="X27" s="23"/>
      <c r="Y27" s="23"/>
      <c r="Z27" s="23"/>
      <c r="AA27" s="23"/>
      <c r="AB27" s="23"/>
      <c r="AC27" s="23"/>
      <c r="AD27" s="23"/>
      <c r="AE27" s="23"/>
    </row>
    <row r="28" spans="1:31" s="2" customFormat="1" ht="18" customHeight="1">
      <c r="A28" s="271"/>
      <c r="B28" s="270"/>
      <c r="C28" s="271"/>
      <c r="D28" s="271"/>
      <c r="E28" s="273" t="s">
        <v>29</v>
      </c>
      <c r="F28" s="271"/>
      <c r="G28" s="271"/>
      <c r="H28" s="271"/>
      <c r="I28" s="268" t="s">
        <v>25</v>
      </c>
      <c r="J28" s="273" t="s">
        <v>3</v>
      </c>
      <c r="K28" s="271"/>
      <c r="L28" s="64"/>
      <c r="S28" s="23"/>
      <c r="T28" s="23"/>
      <c r="U28" s="23"/>
      <c r="V28" s="23"/>
      <c r="W28" s="23"/>
      <c r="X28" s="23"/>
      <c r="Y28" s="23"/>
      <c r="Z28" s="23"/>
      <c r="AA28" s="23"/>
      <c r="AB28" s="23"/>
      <c r="AC28" s="23"/>
      <c r="AD28" s="23"/>
      <c r="AE28" s="23"/>
    </row>
    <row r="29" spans="1:31" s="2" customFormat="1" ht="6.95" customHeight="1">
      <c r="A29" s="271"/>
      <c r="B29" s="270"/>
      <c r="C29" s="271"/>
      <c r="D29" s="271"/>
      <c r="E29" s="271"/>
      <c r="F29" s="271"/>
      <c r="G29" s="271"/>
      <c r="H29" s="271"/>
      <c r="I29" s="271"/>
      <c r="J29" s="271"/>
      <c r="K29" s="271"/>
      <c r="L29" s="64"/>
      <c r="S29" s="23"/>
      <c r="T29" s="23"/>
      <c r="U29" s="23"/>
      <c r="V29" s="23"/>
      <c r="W29" s="23"/>
      <c r="X29" s="23"/>
      <c r="Y29" s="23"/>
      <c r="Z29" s="23"/>
      <c r="AA29" s="23"/>
      <c r="AB29" s="23"/>
      <c r="AC29" s="23"/>
      <c r="AD29" s="23"/>
      <c r="AE29" s="23"/>
    </row>
    <row r="30" spans="1:31" s="2" customFormat="1" ht="12" customHeight="1">
      <c r="A30" s="271"/>
      <c r="B30" s="270"/>
      <c r="C30" s="271"/>
      <c r="D30" s="268" t="s">
        <v>32</v>
      </c>
      <c r="E30" s="271"/>
      <c r="F30" s="271"/>
      <c r="G30" s="271"/>
      <c r="H30" s="271"/>
      <c r="I30" s="271"/>
      <c r="J30" s="271"/>
      <c r="K30" s="271"/>
      <c r="L30" s="64"/>
      <c r="S30" s="23"/>
      <c r="T30" s="23"/>
      <c r="U30" s="23"/>
      <c r="V30" s="23"/>
      <c r="W30" s="23"/>
      <c r="X30" s="23"/>
      <c r="Y30" s="23"/>
      <c r="Z30" s="23"/>
      <c r="AA30" s="23"/>
      <c r="AB30" s="23"/>
      <c r="AC30" s="23"/>
      <c r="AD30" s="23"/>
      <c r="AE30" s="23"/>
    </row>
    <row r="31" spans="1:31" s="8" customFormat="1" ht="14.45" customHeight="1">
      <c r="A31" s="274"/>
      <c r="B31" s="275"/>
      <c r="C31" s="274"/>
      <c r="D31" s="274"/>
      <c r="E31" s="707" t="s">
        <v>3</v>
      </c>
      <c r="F31" s="707"/>
      <c r="G31" s="707"/>
      <c r="H31" s="707"/>
      <c r="I31" s="274"/>
      <c r="J31" s="274"/>
      <c r="K31" s="274"/>
      <c r="L31" s="66"/>
      <c r="S31" s="65"/>
      <c r="T31" s="65"/>
      <c r="U31" s="65"/>
      <c r="V31" s="65"/>
      <c r="W31" s="65"/>
      <c r="X31" s="65"/>
      <c r="Y31" s="65"/>
      <c r="Z31" s="65"/>
      <c r="AA31" s="65"/>
      <c r="AB31" s="65"/>
      <c r="AC31" s="65"/>
      <c r="AD31" s="65"/>
      <c r="AE31" s="65"/>
    </row>
    <row r="32" spans="1:31" s="2" customFormat="1" ht="6.95" customHeight="1">
      <c r="A32" s="271"/>
      <c r="B32" s="270"/>
      <c r="C32" s="271"/>
      <c r="D32" s="271"/>
      <c r="E32" s="271"/>
      <c r="F32" s="271"/>
      <c r="G32" s="271"/>
      <c r="H32" s="271"/>
      <c r="I32" s="271"/>
      <c r="J32" s="271"/>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25.35" customHeight="1">
      <c r="A34" s="271"/>
      <c r="B34" s="270"/>
      <c r="C34" s="271"/>
      <c r="D34" s="277" t="s">
        <v>34</v>
      </c>
      <c r="E34" s="271"/>
      <c r="F34" s="271"/>
      <c r="G34" s="271"/>
      <c r="H34" s="271"/>
      <c r="I34" s="271"/>
      <c r="J34" s="388">
        <f>ROUND(J93, 2)</f>
        <v>0</v>
      </c>
      <c r="K34" s="271"/>
      <c r="L34" s="64"/>
      <c r="S34" s="23"/>
      <c r="T34" s="23"/>
      <c r="U34" s="23"/>
      <c r="V34" s="23"/>
      <c r="W34" s="23"/>
      <c r="X34" s="23"/>
      <c r="Y34" s="23"/>
      <c r="Z34" s="23"/>
      <c r="AA34" s="23"/>
      <c r="AB34" s="23"/>
      <c r="AC34" s="23"/>
      <c r="AD34" s="23"/>
      <c r="AE34" s="23"/>
    </row>
    <row r="35" spans="1:31" s="2" customFormat="1" ht="6.95" customHeight="1">
      <c r="A35" s="271"/>
      <c r="B35" s="270"/>
      <c r="C35" s="271"/>
      <c r="D35" s="276"/>
      <c r="E35" s="276"/>
      <c r="F35" s="276"/>
      <c r="G35" s="276"/>
      <c r="H35" s="276"/>
      <c r="I35" s="276"/>
      <c r="J35" s="276"/>
      <c r="K35" s="276"/>
      <c r="L35" s="64"/>
      <c r="S35" s="23"/>
      <c r="T35" s="23"/>
      <c r="U35" s="23"/>
      <c r="V35" s="23"/>
      <c r="W35" s="23"/>
      <c r="X35" s="23"/>
      <c r="Y35" s="23"/>
      <c r="Z35" s="23"/>
      <c r="AA35" s="23"/>
      <c r="AB35" s="23"/>
      <c r="AC35" s="23"/>
      <c r="AD35" s="23"/>
      <c r="AE35" s="23"/>
    </row>
    <row r="36" spans="1:31" s="2" customFormat="1" ht="14.45" customHeight="1">
      <c r="A36" s="271"/>
      <c r="B36" s="270"/>
      <c r="C36" s="271"/>
      <c r="D36" s="271"/>
      <c r="E36" s="271"/>
      <c r="F36" s="278" t="s">
        <v>36</v>
      </c>
      <c r="G36" s="271"/>
      <c r="H36" s="271"/>
      <c r="I36" s="278" t="s">
        <v>35</v>
      </c>
      <c r="J36" s="278" t="s">
        <v>37</v>
      </c>
      <c r="K36" s="271"/>
      <c r="L36" s="64"/>
      <c r="S36" s="23"/>
      <c r="T36" s="23"/>
      <c r="U36" s="23"/>
      <c r="V36" s="23"/>
      <c r="W36" s="23"/>
      <c r="X36" s="23"/>
      <c r="Y36" s="23"/>
      <c r="Z36" s="23"/>
      <c r="AA36" s="23"/>
      <c r="AB36" s="23"/>
      <c r="AC36" s="23"/>
      <c r="AD36" s="23"/>
      <c r="AE36" s="23"/>
    </row>
    <row r="37" spans="1:31" s="2" customFormat="1" ht="14.45" customHeight="1">
      <c r="A37" s="271"/>
      <c r="B37" s="270"/>
      <c r="C37" s="271"/>
      <c r="D37" s="279" t="s">
        <v>38</v>
      </c>
      <c r="E37" s="268" t="s">
        <v>39</v>
      </c>
      <c r="F37" s="280">
        <f>ROUND((SUM(BE93:BE96)),  2)</f>
        <v>0</v>
      </c>
      <c r="G37" s="271"/>
      <c r="H37" s="271"/>
      <c r="I37" s="389">
        <v>0.21</v>
      </c>
      <c r="J37" s="280">
        <f>ROUND(((SUM(BE93:BE96))*I37),  2)</f>
        <v>0</v>
      </c>
      <c r="K37" s="271"/>
      <c r="L37" s="64"/>
      <c r="S37" s="23"/>
      <c r="T37" s="23"/>
      <c r="U37" s="23"/>
      <c r="V37" s="23"/>
      <c r="W37" s="23"/>
      <c r="X37" s="23"/>
      <c r="Y37" s="23"/>
      <c r="Z37" s="23"/>
      <c r="AA37" s="23"/>
      <c r="AB37" s="23"/>
      <c r="AC37" s="23"/>
      <c r="AD37" s="23"/>
      <c r="AE37" s="23"/>
    </row>
    <row r="38" spans="1:31" s="2" customFormat="1" ht="14.45" customHeight="1">
      <c r="A38" s="271"/>
      <c r="B38" s="270"/>
      <c r="C38" s="271"/>
      <c r="D38" s="271"/>
      <c r="E38" s="268" t="s">
        <v>40</v>
      </c>
      <c r="F38" s="280">
        <f>ROUND((SUM(BF93:BF96)),  2)</f>
        <v>0</v>
      </c>
      <c r="G38" s="271"/>
      <c r="H38" s="271"/>
      <c r="I38" s="389">
        <v>0.15</v>
      </c>
      <c r="J38" s="280">
        <f>ROUND(((SUM(BF93:BF96))*I38),  2)</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41</v>
      </c>
      <c r="F39" s="280">
        <f>ROUND((SUM(BG93:BG96)),  2)</f>
        <v>0</v>
      </c>
      <c r="G39" s="271"/>
      <c r="H39" s="271"/>
      <c r="I39" s="389">
        <v>0.21</v>
      </c>
      <c r="J39" s="280">
        <f>0</f>
        <v>0</v>
      </c>
      <c r="K39" s="271"/>
      <c r="L39" s="64"/>
      <c r="S39" s="23"/>
      <c r="T39" s="23"/>
      <c r="U39" s="23"/>
      <c r="V39" s="23"/>
      <c r="W39" s="23"/>
      <c r="X39" s="23"/>
      <c r="Y39" s="23"/>
      <c r="Z39" s="23"/>
      <c r="AA39" s="23"/>
      <c r="AB39" s="23"/>
      <c r="AC39" s="23"/>
      <c r="AD39" s="23"/>
      <c r="AE39" s="23"/>
    </row>
    <row r="40" spans="1:31" s="2" customFormat="1" ht="14.45" hidden="1" customHeight="1">
      <c r="A40" s="271"/>
      <c r="B40" s="270"/>
      <c r="C40" s="271"/>
      <c r="D40" s="271"/>
      <c r="E40" s="268" t="s">
        <v>42</v>
      </c>
      <c r="F40" s="280">
        <f>ROUND((SUM(BH93:BH96)),  2)</f>
        <v>0</v>
      </c>
      <c r="G40" s="271"/>
      <c r="H40" s="271"/>
      <c r="I40" s="389">
        <v>0.15</v>
      </c>
      <c r="J40" s="280">
        <f>0</f>
        <v>0</v>
      </c>
      <c r="K40" s="271"/>
      <c r="L40" s="64"/>
      <c r="S40" s="23"/>
      <c r="T40" s="23"/>
      <c r="U40" s="23"/>
      <c r="V40" s="23"/>
      <c r="W40" s="23"/>
      <c r="X40" s="23"/>
      <c r="Y40" s="23"/>
      <c r="Z40" s="23"/>
      <c r="AA40" s="23"/>
      <c r="AB40" s="23"/>
      <c r="AC40" s="23"/>
      <c r="AD40" s="23"/>
      <c r="AE40" s="23"/>
    </row>
    <row r="41" spans="1:31" s="2" customFormat="1" ht="14.45" hidden="1" customHeight="1">
      <c r="A41" s="271"/>
      <c r="B41" s="270"/>
      <c r="C41" s="271"/>
      <c r="D41" s="271"/>
      <c r="E41" s="268" t="s">
        <v>43</v>
      </c>
      <c r="F41" s="280">
        <f>ROUND((SUM(BI93:BI96)),  2)</f>
        <v>0</v>
      </c>
      <c r="G41" s="271"/>
      <c r="H41" s="271"/>
      <c r="I41" s="389">
        <v>0</v>
      </c>
      <c r="J41" s="280">
        <f>0</f>
        <v>0</v>
      </c>
      <c r="K41" s="271"/>
      <c r="L41" s="64"/>
      <c r="S41" s="23"/>
      <c r="T41" s="23"/>
      <c r="U41" s="23"/>
      <c r="V41" s="23"/>
      <c r="W41" s="23"/>
      <c r="X41" s="23"/>
      <c r="Y41" s="23"/>
      <c r="Z41" s="23"/>
      <c r="AA41" s="23"/>
      <c r="AB41" s="23"/>
      <c r="AC41" s="23"/>
      <c r="AD41" s="23"/>
      <c r="AE41" s="23"/>
    </row>
    <row r="42" spans="1:31" s="2" customFormat="1" ht="6.95" customHeight="1">
      <c r="A42" s="271"/>
      <c r="B42" s="270"/>
      <c r="C42" s="271"/>
      <c r="D42" s="271"/>
      <c r="E42" s="271"/>
      <c r="F42" s="271"/>
      <c r="G42" s="271"/>
      <c r="H42" s="271"/>
      <c r="I42" s="271"/>
      <c r="J42" s="271"/>
      <c r="K42" s="271"/>
      <c r="L42" s="64"/>
      <c r="S42" s="23"/>
      <c r="T42" s="23"/>
      <c r="U42" s="23"/>
      <c r="V42" s="23"/>
      <c r="W42" s="23"/>
      <c r="X42" s="23"/>
      <c r="Y42" s="23"/>
      <c r="Z42" s="23"/>
      <c r="AA42" s="23"/>
      <c r="AB42" s="23"/>
      <c r="AC42" s="23"/>
      <c r="AD42" s="23"/>
      <c r="AE42" s="23"/>
    </row>
    <row r="43" spans="1:31" s="2" customFormat="1" ht="25.35" customHeight="1">
      <c r="A43" s="271"/>
      <c r="B43" s="270"/>
      <c r="C43" s="281"/>
      <c r="D43" s="282" t="s">
        <v>44</v>
      </c>
      <c r="E43" s="283"/>
      <c r="F43" s="283"/>
      <c r="G43" s="284" t="s">
        <v>45</v>
      </c>
      <c r="H43" s="285" t="s">
        <v>46</v>
      </c>
      <c r="I43" s="283"/>
      <c r="J43" s="390">
        <f>SUM(J34:J41)</f>
        <v>0</v>
      </c>
      <c r="K43" s="339"/>
      <c r="L43" s="64"/>
      <c r="S43" s="23"/>
      <c r="T43" s="23"/>
      <c r="U43" s="23"/>
      <c r="V43" s="23"/>
      <c r="W43" s="23"/>
      <c r="X43" s="23"/>
      <c r="Y43" s="23"/>
      <c r="Z43" s="23"/>
      <c r="AA43" s="23"/>
      <c r="AB43" s="23"/>
      <c r="AC43" s="23"/>
      <c r="AD43" s="23"/>
      <c r="AE43" s="23"/>
    </row>
    <row r="44" spans="1:31" s="2" customFormat="1" ht="14.45" customHeight="1">
      <c r="A44" s="271"/>
      <c r="B44" s="286"/>
      <c r="C44" s="287"/>
      <c r="D44" s="287"/>
      <c r="E44" s="287"/>
      <c r="F44" s="287"/>
      <c r="G44" s="287"/>
      <c r="H44" s="287"/>
      <c r="I44" s="287"/>
      <c r="J44" s="287"/>
      <c r="K44" s="287"/>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1"/>
      <c r="B48" s="288"/>
      <c r="C48" s="289"/>
      <c r="D48" s="289"/>
      <c r="E48" s="289"/>
      <c r="F48" s="289"/>
      <c r="G48" s="289"/>
      <c r="H48" s="289"/>
      <c r="I48" s="289"/>
      <c r="J48" s="289"/>
      <c r="K48" s="289"/>
      <c r="L48" s="64"/>
      <c r="S48" s="23"/>
      <c r="T48" s="23"/>
      <c r="U48" s="23"/>
      <c r="V48" s="23"/>
      <c r="W48" s="23"/>
      <c r="X48" s="23"/>
      <c r="Y48" s="23"/>
      <c r="Z48" s="23"/>
      <c r="AA48" s="23"/>
      <c r="AB48" s="23"/>
      <c r="AC48" s="23"/>
      <c r="AD48" s="23"/>
      <c r="AE48" s="23"/>
    </row>
    <row r="49" spans="1:31" s="2" customFormat="1" ht="24.95" customHeight="1">
      <c r="A49" s="271"/>
      <c r="B49" s="270"/>
      <c r="C49" s="266" t="s">
        <v>167</v>
      </c>
      <c r="D49" s="271"/>
      <c r="E49" s="271"/>
      <c r="F49" s="271"/>
      <c r="G49" s="271"/>
      <c r="H49" s="271"/>
      <c r="I49" s="271"/>
      <c r="J49" s="271"/>
      <c r="K49" s="271"/>
      <c r="L49" s="64"/>
      <c r="S49" s="23"/>
      <c r="T49" s="23"/>
      <c r="U49" s="23"/>
      <c r="V49" s="23"/>
      <c r="W49" s="23"/>
      <c r="X49" s="23"/>
      <c r="Y49" s="23"/>
      <c r="Z49" s="23"/>
      <c r="AA49" s="23"/>
      <c r="AB49" s="23"/>
      <c r="AC49" s="23"/>
      <c r="AD49" s="23"/>
      <c r="AE49" s="23"/>
    </row>
    <row r="50" spans="1:31" s="2" customFormat="1" ht="6.95" customHeight="1">
      <c r="A50" s="271"/>
      <c r="B50" s="270"/>
      <c r="C50" s="271"/>
      <c r="D50" s="271"/>
      <c r="E50" s="271"/>
      <c r="F50" s="271"/>
      <c r="G50" s="271"/>
      <c r="H50" s="271"/>
      <c r="I50" s="271"/>
      <c r="J50" s="271"/>
      <c r="K50" s="271"/>
      <c r="L50" s="64"/>
      <c r="S50" s="23"/>
      <c r="T50" s="23"/>
      <c r="U50" s="23"/>
      <c r="V50" s="23"/>
      <c r="W50" s="23"/>
      <c r="X50" s="23"/>
      <c r="Y50" s="23"/>
      <c r="Z50" s="23"/>
      <c r="AA50" s="23"/>
      <c r="AB50" s="23"/>
      <c r="AC50" s="23"/>
      <c r="AD50" s="23"/>
      <c r="AE50" s="23"/>
    </row>
    <row r="51" spans="1:31" s="2" customFormat="1" ht="12" customHeight="1">
      <c r="A51" s="271"/>
      <c r="B51" s="270"/>
      <c r="C51" s="268" t="s">
        <v>15</v>
      </c>
      <c r="D51" s="271"/>
      <c r="E51" s="271"/>
      <c r="F51" s="271"/>
      <c r="G51" s="271"/>
      <c r="H51" s="271"/>
      <c r="I51" s="271"/>
      <c r="J51" s="271"/>
      <c r="K51" s="271"/>
      <c r="L51" s="64"/>
      <c r="S51" s="23"/>
      <c r="T51" s="23"/>
      <c r="U51" s="23"/>
      <c r="V51" s="23"/>
      <c r="W51" s="23"/>
      <c r="X51" s="23"/>
      <c r="Y51" s="23"/>
      <c r="Z51" s="23"/>
      <c r="AA51" s="23"/>
      <c r="AB51" s="23"/>
      <c r="AC51" s="23"/>
      <c r="AD51" s="23"/>
      <c r="AE51" s="23"/>
    </row>
    <row r="52" spans="1:31" s="2" customFormat="1" ht="14.45" customHeight="1">
      <c r="A52" s="271"/>
      <c r="B52" s="270"/>
      <c r="C52" s="271"/>
      <c r="D52" s="271"/>
      <c r="E52" s="722" t="str">
        <f>E7</f>
        <v>Úpravy gastroprovozu Úřadu vlády ČR v 1.pp Strakovy akademie</v>
      </c>
      <c r="F52" s="723"/>
      <c r="G52" s="723"/>
      <c r="H52" s="723"/>
      <c r="I52" s="271"/>
      <c r="J52" s="271"/>
      <c r="K52" s="271"/>
      <c r="L52" s="64"/>
      <c r="S52" s="23"/>
      <c r="T52" s="23"/>
      <c r="U52" s="23"/>
      <c r="V52" s="23"/>
      <c r="W52" s="23"/>
      <c r="X52" s="23"/>
      <c r="Y52" s="23"/>
      <c r="Z52" s="23"/>
      <c r="AA52" s="23"/>
      <c r="AB52" s="23"/>
      <c r="AC52" s="23"/>
      <c r="AD52" s="23"/>
      <c r="AE52" s="23"/>
    </row>
    <row r="53" spans="1:31" s="1" customFormat="1" ht="12" customHeight="1">
      <c r="A53" s="61"/>
      <c r="B53" s="265"/>
      <c r="C53" s="268" t="s">
        <v>151</v>
      </c>
      <c r="D53" s="61"/>
      <c r="E53" s="61"/>
      <c r="F53" s="61"/>
      <c r="G53" s="61"/>
      <c r="H53" s="61"/>
      <c r="I53" s="61"/>
      <c r="J53" s="61"/>
      <c r="K53" s="61"/>
      <c r="L53" s="20"/>
    </row>
    <row r="54" spans="1:31" s="1" customFormat="1" ht="14.45" customHeight="1">
      <c r="A54" s="61"/>
      <c r="B54" s="265"/>
      <c r="C54" s="61"/>
      <c r="D54" s="61"/>
      <c r="E54" s="722" t="s">
        <v>1759</v>
      </c>
      <c r="F54" s="715"/>
      <c r="G54" s="715"/>
      <c r="H54" s="715"/>
      <c r="I54" s="61"/>
      <c r="J54" s="61"/>
      <c r="K54" s="61"/>
      <c r="L54" s="20"/>
    </row>
    <row r="55" spans="1:31" s="1" customFormat="1" ht="12" customHeight="1">
      <c r="A55" s="61"/>
      <c r="B55" s="265"/>
      <c r="C55" s="268" t="s">
        <v>157</v>
      </c>
      <c r="D55" s="61"/>
      <c r="E55" s="61"/>
      <c r="F55" s="61"/>
      <c r="G55" s="61"/>
      <c r="H55" s="61"/>
      <c r="I55" s="61"/>
      <c r="J55" s="61"/>
      <c r="K55" s="61"/>
      <c r="L55" s="20"/>
    </row>
    <row r="56" spans="1:31" s="2" customFormat="1" ht="14.45" customHeight="1">
      <c r="A56" s="271"/>
      <c r="B56" s="270"/>
      <c r="C56" s="271"/>
      <c r="D56" s="271"/>
      <c r="E56" s="762" t="s">
        <v>1776</v>
      </c>
      <c r="F56" s="721"/>
      <c r="G56" s="721"/>
      <c r="H56" s="721"/>
      <c r="I56" s="271"/>
      <c r="J56" s="271"/>
      <c r="K56" s="271"/>
      <c r="L56" s="64"/>
      <c r="S56" s="23"/>
      <c r="T56" s="23"/>
      <c r="U56" s="23"/>
      <c r="V56" s="23"/>
      <c r="W56" s="23"/>
      <c r="X56" s="23"/>
      <c r="Y56" s="23"/>
      <c r="Z56" s="23"/>
      <c r="AA56" s="23"/>
      <c r="AB56" s="23"/>
      <c r="AC56" s="23"/>
      <c r="AD56" s="23"/>
      <c r="AE56" s="23"/>
    </row>
    <row r="57" spans="1:31" s="2" customFormat="1" ht="12" customHeight="1">
      <c r="A57" s="271"/>
      <c r="B57" s="270"/>
      <c r="C57" s="268" t="s">
        <v>1777</v>
      </c>
      <c r="D57" s="271"/>
      <c r="E57" s="271"/>
      <c r="F57" s="271"/>
      <c r="G57" s="271"/>
      <c r="H57" s="271"/>
      <c r="I57" s="271"/>
      <c r="J57" s="271"/>
      <c r="K57" s="271"/>
      <c r="L57" s="64"/>
      <c r="S57" s="23"/>
      <c r="T57" s="23"/>
      <c r="U57" s="23"/>
      <c r="V57" s="23"/>
      <c r="W57" s="23"/>
      <c r="X57" s="23"/>
      <c r="Y57" s="23"/>
      <c r="Z57" s="23"/>
      <c r="AA57" s="23"/>
      <c r="AB57" s="23"/>
      <c r="AC57" s="23"/>
      <c r="AD57" s="23"/>
      <c r="AE57" s="23"/>
    </row>
    <row r="58" spans="1:31" s="2" customFormat="1" ht="14.45" customHeight="1">
      <c r="A58" s="271"/>
      <c r="B58" s="270"/>
      <c r="C58" s="271"/>
      <c r="D58" s="271"/>
      <c r="E58" s="689" t="str">
        <f>E13</f>
        <v>D.1.4.04.3 - Soupis prací - PZTS</v>
      </c>
      <c r="F58" s="721"/>
      <c r="G58" s="721"/>
      <c r="H58" s="721"/>
      <c r="I58" s="271"/>
      <c r="J58" s="271"/>
      <c r="K58" s="271"/>
      <c r="L58" s="64"/>
      <c r="S58" s="23"/>
      <c r="T58" s="23"/>
      <c r="U58" s="23"/>
      <c r="V58" s="23"/>
      <c r="W58" s="23"/>
      <c r="X58" s="23"/>
      <c r="Y58" s="23"/>
      <c r="Z58" s="23"/>
      <c r="AA58" s="23"/>
      <c r="AB58" s="23"/>
      <c r="AC58" s="23"/>
      <c r="AD58" s="23"/>
      <c r="AE58" s="23"/>
    </row>
    <row r="59" spans="1:31" s="2" customFormat="1" ht="6.95" customHeight="1">
      <c r="A59" s="271"/>
      <c r="B59" s="270"/>
      <c r="C59" s="271"/>
      <c r="D59" s="271"/>
      <c r="E59" s="271"/>
      <c r="F59" s="271"/>
      <c r="G59" s="271"/>
      <c r="H59" s="271"/>
      <c r="I59" s="271"/>
      <c r="J59" s="271"/>
      <c r="K59" s="271"/>
      <c r="L59" s="64"/>
      <c r="S59" s="23"/>
      <c r="T59" s="23"/>
      <c r="U59" s="23"/>
      <c r="V59" s="23"/>
      <c r="W59" s="23"/>
      <c r="X59" s="23"/>
      <c r="Y59" s="23"/>
      <c r="Z59" s="23"/>
      <c r="AA59" s="23"/>
      <c r="AB59" s="23"/>
      <c r="AC59" s="23"/>
      <c r="AD59" s="23"/>
      <c r="AE59" s="23"/>
    </row>
    <row r="60" spans="1:31" s="2" customFormat="1" ht="12" customHeight="1">
      <c r="A60" s="271"/>
      <c r="B60" s="270"/>
      <c r="C60" s="268" t="s">
        <v>19</v>
      </c>
      <c r="D60" s="271"/>
      <c r="E60" s="271"/>
      <c r="F60" s="273" t="str">
        <f>F16</f>
        <v xml:space="preserve"> </v>
      </c>
      <c r="G60" s="271"/>
      <c r="H60" s="271"/>
      <c r="I60" s="268" t="s">
        <v>21</v>
      </c>
      <c r="J60" s="387">
        <f>IF(J16="","",J16)</f>
        <v>44077</v>
      </c>
      <c r="K60" s="271"/>
      <c r="L60" s="64"/>
      <c r="S60" s="23"/>
      <c r="T60" s="23"/>
      <c r="U60" s="23"/>
      <c r="V60" s="23"/>
      <c r="W60" s="23"/>
      <c r="X60" s="23"/>
      <c r="Y60" s="23"/>
      <c r="Z60" s="23"/>
      <c r="AA60" s="23"/>
      <c r="AB60" s="23"/>
      <c r="AC60" s="23"/>
      <c r="AD60" s="23"/>
      <c r="AE60" s="23"/>
    </row>
    <row r="61" spans="1:31" s="2" customFormat="1" ht="6.95" customHeight="1">
      <c r="A61" s="271"/>
      <c r="B61" s="270"/>
      <c r="C61" s="271"/>
      <c r="D61" s="271"/>
      <c r="E61" s="271"/>
      <c r="F61" s="271"/>
      <c r="G61" s="271"/>
      <c r="H61" s="271"/>
      <c r="I61" s="271"/>
      <c r="J61" s="271"/>
      <c r="K61" s="271"/>
      <c r="L61" s="64"/>
      <c r="S61" s="23"/>
      <c r="T61" s="23"/>
      <c r="U61" s="23"/>
      <c r="V61" s="23"/>
      <c r="W61" s="23"/>
      <c r="X61" s="23"/>
      <c r="Y61" s="23"/>
      <c r="Z61" s="23"/>
      <c r="AA61" s="23"/>
      <c r="AB61" s="23"/>
      <c r="AC61" s="23"/>
      <c r="AD61" s="23"/>
      <c r="AE61" s="23"/>
    </row>
    <row r="62" spans="1:31" s="2" customFormat="1" ht="26.45" customHeight="1">
      <c r="A62" s="271"/>
      <c r="B62" s="270"/>
      <c r="C62" s="268" t="s">
        <v>22</v>
      </c>
      <c r="D62" s="271"/>
      <c r="E62" s="271"/>
      <c r="F62" s="273" t="str">
        <f>E19</f>
        <v xml:space="preserve">Úřad vlády České republiky </v>
      </c>
      <c r="G62" s="271"/>
      <c r="H62" s="271"/>
      <c r="I62" s="268" t="s">
        <v>28</v>
      </c>
      <c r="J62" s="391" t="str">
        <f>E25</f>
        <v>Ateliér Simona Group</v>
      </c>
      <c r="K62" s="271"/>
      <c r="L62" s="64"/>
      <c r="S62" s="23"/>
      <c r="T62" s="23"/>
      <c r="U62" s="23"/>
      <c r="V62" s="23"/>
      <c r="W62" s="23"/>
      <c r="X62" s="23"/>
      <c r="Y62" s="23"/>
      <c r="Z62" s="23"/>
      <c r="AA62" s="23"/>
      <c r="AB62" s="23"/>
      <c r="AC62" s="23"/>
      <c r="AD62" s="23"/>
      <c r="AE62" s="23"/>
    </row>
    <row r="63" spans="1:31" s="2" customFormat="1" ht="26.45" customHeight="1">
      <c r="A63" s="271"/>
      <c r="B63" s="270"/>
      <c r="C63" s="268" t="s">
        <v>26</v>
      </c>
      <c r="D63" s="271"/>
      <c r="E63" s="271"/>
      <c r="F63" s="273" t="str">
        <f>IF(E22="","",E22)</f>
        <v xml:space="preserve"> </v>
      </c>
      <c r="G63" s="271"/>
      <c r="H63" s="271"/>
      <c r="I63" s="268" t="s">
        <v>31</v>
      </c>
      <c r="J63" s="391" t="str">
        <f>E28</f>
        <v>Ateliér Simona Group</v>
      </c>
      <c r="K63" s="271"/>
      <c r="L63" s="64"/>
      <c r="S63" s="23"/>
      <c r="T63" s="23"/>
      <c r="U63" s="23"/>
      <c r="V63" s="23"/>
      <c r="W63" s="23"/>
      <c r="X63" s="23"/>
      <c r="Y63" s="23"/>
      <c r="Z63" s="23"/>
      <c r="AA63" s="23"/>
      <c r="AB63" s="23"/>
      <c r="AC63" s="23"/>
      <c r="AD63" s="23"/>
      <c r="AE63" s="23"/>
    </row>
    <row r="64" spans="1:31" s="2" customFormat="1" ht="10.35" customHeight="1">
      <c r="A64" s="271"/>
      <c r="B64" s="270"/>
      <c r="C64" s="271"/>
      <c r="D64" s="271"/>
      <c r="E64" s="271"/>
      <c r="F64" s="271"/>
      <c r="G64" s="271"/>
      <c r="H64" s="271"/>
      <c r="I64" s="271"/>
      <c r="J64" s="271"/>
      <c r="K64" s="271"/>
      <c r="L64" s="64"/>
      <c r="S64" s="23"/>
      <c r="T64" s="23"/>
      <c r="U64" s="23"/>
      <c r="V64" s="23"/>
      <c r="W64" s="23"/>
      <c r="X64" s="23"/>
      <c r="Y64" s="23"/>
      <c r="Z64" s="23"/>
      <c r="AA64" s="23"/>
      <c r="AB64" s="23"/>
      <c r="AC64" s="23"/>
      <c r="AD64" s="23"/>
      <c r="AE64" s="23"/>
    </row>
    <row r="65" spans="1:47" s="2" customFormat="1" ht="29.25" customHeight="1">
      <c r="A65" s="271"/>
      <c r="B65" s="270"/>
      <c r="C65" s="290" t="s">
        <v>168</v>
      </c>
      <c r="D65" s="281"/>
      <c r="E65" s="281"/>
      <c r="F65" s="281"/>
      <c r="G65" s="281"/>
      <c r="H65" s="281"/>
      <c r="I65" s="281"/>
      <c r="J65" s="392" t="s">
        <v>169</v>
      </c>
      <c r="K65" s="281"/>
      <c r="L65" s="64"/>
      <c r="S65" s="23"/>
      <c r="T65" s="23"/>
      <c r="U65" s="23"/>
      <c r="V65" s="23"/>
      <c r="W65" s="23"/>
      <c r="X65" s="23"/>
      <c r="Y65" s="23"/>
      <c r="Z65" s="23"/>
      <c r="AA65" s="23"/>
      <c r="AB65" s="23"/>
      <c r="AC65" s="23"/>
      <c r="AD65" s="23"/>
      <c r="AE65" s="23"/>
    </row>
    <row r="66" spans="1:47" s="2" customFormat="1" ht="10.35" customHeight="1">
      <c r="A66" s="271"/>
      <c r="B66" s="270"/>
      <c r="C66" s="271"/>
      <c r="D66" s="271"/>
      <c r="E66" s="271"/>
      <c r="F66" s="271"/>
      <c r="G66" s="271"/>
      <c r="H66" s="271"/>
      <c r="I66" s="271"/>
      <c r="J66" s="271"/>
      <c r="K66" s="271"/>
      <c r="L66" s="64"/>
      <c r="S66" s="23"/>
      <c r="T66" s="23"/>
      <c r="U66" s="23"/>
      <c r="V66" s="23"/>
      <c r="W66" s="23"/>
      <c r="X66" s="23"/>
      <c r="Y66" s="23"/>
      <c r="Z66" s="23"/>
      <c r="AA66" s="23"/>
      <c r="AB66" s="23"/>
      <c r="AC66" s="23"/>
      <c r="AD66" s="23"/>
      <c r="AE66" s="23"/>
    </row>
    <row r="67" spans="1:47" s="2" customFormat="1" ht="22.9" customHeight="1">
      <c r="A67" s="271"/>
      <c r="B67" s="270"/>
      <c r="C67" s="291" t="s">
        <v>66</v>
      </c>
      <c r="D67" s="271"/>
      <c r="E67" s="271"/>
      <c r="F67" s="271"/>
      <c r="G67" s="271"/>
      <c r="H67" s="271"/>
      <c r="I67" s="271"/>
      <c r="J67" s="388">
        <f>J93</f>
        <v>0</v>
      </c>
      <c r="K67" s="271"/>
      <c r="L67" s="64"/>
      <c r="S67" s="23"/>
      <c r="T67" s="23"/>
      <c r="U67" s="23"/>
      <c r="V67" s="23"/>
      <c r="W67" s="23"/>
      <c r="X67" s="23"/>
      <c r="Y67" s="23"/>
      <c r="Z67" s="23"/>
      <c r="AA67" s="23"/>
      <c r="AB67" s="23"/>
      <c r="AC67" s="23"/>
      <c r="AD67" s="23"/>
      <c r="AE67" s="23"/>
      <c r="AU67" s="19" t="s">
        <v>170</v>
      </c>
    </row>
    <row r="68" spans="1:47" s="9" customFormat="1" ht="24.95" customHeight="1">
      <c r="A68" s="292"/>
      <c r="B68" s="293"/>
      <c r="C68" s="292"/>
      <c r="D68" s="294" t="s">
        <v>181</v>
      </c>
      <c r="E68" s="295"/>
      <c r="F68" s="295"/>
      <c r="G68" s="295"/>
      <c r="H68" s="295"/>
      <c r="I68" s="295"/>
      <c r="J68" s="393">
        <f>J94</f>
        <v>0</v>
      </c>
      <c r="K68" s="292"/>
      <c r="L68" s="67"/>
    </row>
    <row r="69" spans="1:47" s="10" customFormat="1" ht="19.899999999999999" customHeight="1">
      <c r="A69" s="246"/>
      <c r="B69" s="296"/>
      <c r="C69" s="246"/>
      <c r="D69" s="297" t="s">
        <v>185</v>
      </c>
      <c r="E69" s="298"/>
      <c r="F69" s="298"/>
      <c r="G69" s="298"/>
      <c r="H69" s="298"/>
      <c r="I69" s="298"/>
      <c r="J69" s="394">
        <f>J95</f>
        <v>0</v>
      </c>
      <c r="K69" s="246"/>
      <c r="L69" s="68"/>
    </row>
    <row r="70" spans="1:47" s="2" customFormat="1" ht="21.75" customHeight="1">
      <c r="A70" s="271"/>
      <c r="B70" s="270"/>
      <c r="C70" s="271"/>
      <c r="D70" s="271"/>
      <c r="E70" s="271"/>
      <c r="F70" s="271"/>
      <c r="G70" s="271"/>
      <c r="H70" s="271"/>
      <c r="I70" s="271"/>
      <c r="J70" s="271"/>
      <c r="K70" s="271"/>
      <c r="L70" s="64"/>
      <c r="S70" s="23"/>
      <c r="T70" s="23"/>
      <c r="U70" s="23"/>
      <c r="V70" s="23"/>
      <c r="W70" s="23"/>
      <c r="X70" s="23"/>
      <c r="Y70" s="23"/>
      <c r="Z70" s="23"/>
      <c r="AA70" s="23"/>
      <c r="AB70" s="23"/>
      <c r="AC70" s="23"/>
      <c r="AD70" s="23"/>
      <c r="AE70" s="23"/>
    </row>
    <row r="71" spans="1:47" s="2" customFormat="1" ht="6.95" customHeight="1">
      <c r="A71" s="271"/>
      <c r="B71" s="286"/>
      <c r="C71" s="287"/>
      <c r="D71" s="287"/>
      <c r="E71" s="287"/>
      <c r="F71" s="287"/>
      <c r="G71" s="287"/>
      <c r="H71" s="287"/>
      <c r="I71" s="287"/>
      <c r="J71" s="287"/>
      <c r="K71" s="287"/>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1"/>
      <c r="B75" s="288"/>
      <c r="C75" s="289"/>
      <c r="D75" s="289"/>
      <c r="E75" s="289"/>
      <c r="F75" s="289"/>
      <c r="G75" s="289"/>
      <c r="H75" s="289"/>
      <c r="I75" s="289"/>
      <c r="J75" s="289"/>
      <c r="K75" s="289"/>
      <c r="L75" s="64"/>
      <c r="S75" s="23"/>
      <c r="T75" s="23"/>
      <c r="U75" s="23"/>
      <c r="V75" s="23"/>
      <c r="W75" s="23"/>
      <c r="X75" s="23"/>
      <c r="Y75" s="23"/>
      <c r="Z75" s="23"/>
      <c r="AA75" s="23"/>
      <c r="AB75" s="23"/>
      <c r="AC75" s="23"/>
      <c r="AD75" s="23"/>
      <c r="AE75" s="23"/>
    </row>
    <row r="76" spans="1:47" s="2" customFormat="1" ht="24.95" customHeight="1">
      <c r="A76" s="271"/>
      <c r="B76" s="270"/>
      <c r="C76" s="266" t="s">
        <v>201</v>
      </c>
      <c r="D76" s="271"/>
      <c r="E76" s="271"/>
      <c r="F76" s="271"/>
      <c r="G76" s="271"/>
      <c r="H76" s="271"/>
      <c r="I76" s="271"/>
      <c r="J76" s="271"/>
      <c r="K76" s="271"/>
      <c r="L76" s="64"/>
      <c r="S76" s="23"/>
      <c r="T76" s="23"/>
      <c r="U76" s="23"/>
      <c r="V76" s="23"/>
      <c r="W76" s="23"/>
      <c r="X76" s="23"/>
      <c r="Y76" s="23"/>
      <c r="Z76" s="23"/>
      <c r="AA76" s="23"/>
      <c r="AB76" s="23"/>
      <c r="AC76" s="23"/>
      <c r="AD76" s="23"/>
      <c r="AE76" s="23"/>
    </row>
    <row r="77" spans="1:47" s="2" customFormat="1" ht="6.95" customHeight="1">
      <c r="A77" s="271"/>
      <c r="B77" s="270"/>
      <c r="C77" s="271"/>
      <c r="D77" s="271"/>
      <c r="E77" s="271"/>
      <c r="F77" s="271"/>
      <c r="G77" s="271"/>
      <c r="H77" s="271"/>
      <c r="I77" s="271"/>
      <c r="J77" s="271"/>
      <c r="K77" s="271"/>
      <c r="L77" s="64"/>
      <c r="S77" s="23"/>
      <c r="T77" s="23"/>
      <c r="U77" s="23"/>
      <c r="V77" s="23"/>
      <c r="W77" s="23"/>
      <c r="X77" s="23"/>
      <c r="Y77" s="23"/>
      <c r="Z77" s="23"/>
      <c r="AA77" s="23"/>
      <c r="AB77" s="23"/>
      <c r="AC77" s="23"/>
      <c r="AD77" s="23"/>
      <c r="AE77" s="23"/>
    </row>
    <row r="78" spans="1:47" s="2" customFormat="1" ht="12" customHeight="1">
      <c r="A78" s="271"/>
      <c r="B78" s="270"/>
      <c r="C78" s="268" t="s">
        <v>15</v>
      </c>
      <c r="D78" s="271"/>
      <c r="E78" s="271"/>
      <c r="F78" s="271"/>
      <c r="G78" s="271"/>
      <c r="H78" s="271"/>
      <c r="I78" s="271"/>
      <c r="J78" s="271"/>
      <c r="K78" s="271"/>
      <c r="L78" s="64"/>
      <c r="S78" s="23"/>
      <c r="T78" s="23"/>
      <c r="U78" s="23"/>
      <c r="V78" s="23"/>
      <c r="W78" s="23"/>
      <c r="X78" s="23"/>
      <c r="Y78" s="23"/>
      <c r="Z78" s="23"/>
      <c r="AA78" s="23"/>
      <c r="AB78" s="23"/>
      <c r="AC78" s="23"/>
      <c r="AD78" s="23"/>
      <c r="AE78" s="23"/>
    </row>
    <row r="79" spans="1:47" s="2" customFormat="1" ht="14.45" customHeight="1">
      <c r="A79" s="271"/>
      <c r="B79" s="270"/>
      <c r="C79" s="271"/>
      <c r="D79" s="271"/>
      <c r="E79" s="722" t="str">
        <f>E7</f>
        <v>Úpravy gastroprovozu Úřadu vlády ČR v 1.pp Strakovy akademie</v>
      </c>
      <c r="F79" s="723"/>
      <c r="G79" s="723"/>
      <c r="H79" s="723"/>
      <c r="I79" s="271"/>
      <c r="J79" s="271"/>
      <c r="K79" s="271"/>
      <c r="L79" s="64"/>
      <c r="S79" s="23"/>
      <c r="T79" s="23"/>
      <c r="U79" s="23"/>
      <c r="V79" s="23"/>
      <c r="W79" s="23"/>
      <c r="X79" s="23"/>
      <c r="Y79" s="23"/>
      <c r="Z79" s="23"/>
      <c r="AA79" s="23"/>
      <c r="AB79" s="23"/>
      <c r="AC79" s="23"/>
      <c r="AD79" s="23"/>
      <c r="AE79" s="23"/>
    </row>
    <row r="80" spans="1:47" s="1" customFormat="1" ht="12" customHeight="1">
      <c r="A80" s="61"/>
      <c r="B80" s="265"/>
      <c r="C80" s="268" t="s">
        <v>151</v>
      </c>
      <c r="D80" s="61"/>
      <c r="E80" s="61"/>
      <c r="F80" s="61"/>
      <c r="G80" s="61"/>
      <c r="H80" s="61"/>
      <c r="I80" s="61"/>
      <c r="J80" s="61"/>
      <c r="K80" s="61"/>
      <c r="L80" s="20"/>
    </row>
    <row r="81" spans="1:65" s="1" customFormat="1" ht="14.45" customHeight="1">
      <c r="A81" s="61"/>
      <c r="B81" s="265"/>
      <c r="C81" s="61"/>
      <c r="D81" s="61"/>
      <c r="E81" s="722" t="s">
        <v>1759</v>
      </c>
      <c r="F81" s="715"/>
      <c r="G81" s="715"/>
      <c r="H81" s="715"/>
      <c r="I81" s="61"/>
      <c r="J81" s="61"/>
      <c r="K81" s="61"/>
      <c r="L81" s="20"/>
    </row>
    <row r="82" spans="1:65" s="1" customFormat="1" ht="12" customHeight="1">
      <c r="A82" s="61"/>
      <c r="B82" s="265"/>
      <c r="C82" s="268" t="s">
        <v>157</v>
      </c>
      <c r="D82" s="61"/>
      <c r="E82" s="61"/>
      <c r="F82" s="61"/>
      <c r="G82" s="61"/>
      <c r="H82" s="61"/>
      <c r="I82" s="61"/>
      <c r="J82" s="61"/>
      <c r="K82" s="61"/>
      <c r="L82" s="20"/>
    </row>
    <row r="83" spans="1:65" s="2" customFormat="1" ht="14.45" customHeight="1">
      <c r="A83" s="271"/>
      <c r="B83" s="270"/>
      <c r="C83" s="271"/>
      <c r="D83" s="271"/>
      <c r="E83" s="762" t="s">
        <v>1776</v>
      </c>
      <c r="F83" s="721"/>
      <c r="G83" s="721"/>
      <c r="H83" s="721"/>
      <c r="I83" s="271"/>
      <c r="J83" s="271"/>
      <c r="K83" s="271"/>
      <c r="L83" s="64"/>
      <c r="S83" s="23"/>
      <c r="T83" s="23"/>
      <c r="U83" s="23"/>
      <c r="V83" s="23"/>
      <c r="W83" s="23"/>
      <c r="X83" s="23"/>
      <c r="Y83" s="23"/>
      <c r="Z83" s="23"/>
      <c r="AA83" s="23"/>
      <c r="AB83" s="23"/>
      <c r="AC83" s="23"/>
      <c r="AD83" s="23"/>
      <c r="AE83" s="23"/>
    </row>
    <row r="84" spans="1:65" s="2" customFormat="1" ht="12" customHeight="1">
      <c r="A84" s="271"/>
      <c r="B84" s="270"/>
      <c r="C84" s="268" t="s">
        <v>1777</v>
      </c>
      <c r="D84" s="271"/>
      <c r="E84" s="271"/>
      <c r="F84" s="271"/>
      <c r="G84" s="271"/>
      <c r="H84" s="271"/>
      <c r="I84" s="271"/>
      <c r="J84" s="271"/>
      <c r="K84" s="271"/>
      <c r="L84" s="64"/>
      <c r="S84" s="23"/>
      <c r="T84" s="23"/>
      <c r="U84" s="23"/>
      <c r="V84" s="23"/>
      <c r="W84" s="23"/>
      <c r="X84" s="23"/>
      <c r="Y84" s="23"/>
      <c r="Z84" s="23"/>
      <c r="AA84" s="23"/>
      <c r="AB84" s="23"/>
      <c r="AC84" s="23"/>
      <c r="AD84" s="23"/>
      <c r="AE84" s="23"/>
    </row>
    <row r="85" spans="1:65" s="2" customFormat="1" ht="14.45" customHeight="1">
      <c r="A85" s="271"/>
      <c r="B85" s="270"/>
      <c r="C85" s="271"/>
      <c r="D85" s="271"/>
      <c r="E85" s="689" t="str">
        <f>E13</f>
        <v>D.1.4.04.3 - Soupis prací - PZTS</v>
      </c>
      <c r="F85" s="721"/>
      <c r="G85" s="721"/>
      <c r="H85" s="721"/>
      <c r="I85" s="271"/>
      <c r="J85" s="271"/>
      <c r="K85" s="271"/>
      <c r="L85" s="64"/>
      <c r="S85" s="23"/>
      <c r="T85" s="23"/>
      <c r="U85" s="23"/>
      <c r="V85" s="23"/>
      <c r="W85" s="23"/>
      <c r="X85" s="23"/>
      <c r="Y85" s="23"/>
      <c r="Z85" s="23"/>
      <c r="AA85" s="23"/>
      <c r="AB85" s="23"/>
      <c r="AC85" s="23"/>
      <c r="AD85" s="23"/>
      <c r="AE85" s="23"/>
    </row>
    <row r="86" spans="1:65" s="2" customFormat="1" ht="6.95" customHeight="1">
      <c r="A86" s="271"/>
      <c r="B86" s="270"/>
      <c r="C86" s="271"/>
      <c r="D86" s="271"/>
      <c r="E86" s="271"/>
      <c r="F86" s="271"/>
      <c r="G86" s="271"/>
      <c r="H86" s="271"/>
      <c r="I86" s="271"/>
      <c r="J86" s="271"/>
      <c r="K86" s="271"/>
      <c r="L86" s="64"/>
      <c r="S86" s="23"/>
      <c r="T86" s="23"/>
      <c r="U86" s="23"/>
      <c r="V86" s="23"/>
      <c r="W86" s="23"/>
      <c r="X86" s="23"/>
      <c r="Y86" s="23"/>
      <c r="Z86" s="23"/>
      <c r="AA86" s="23"/>
      <c r="AB86" s="23"/>
      <c r="AC86" s="23"/>
      <c r="AD86" s="23"/>
      <c r="AE86" s="23"/>
    </row>
    <row r="87" spans="1:65" s="2" customFormat="1" ht="12" customHeight="1">
      <c r="A87" s="271"/>
      <c r="B87" s="270"/>
      <c r="C87" s="268" t="s">
        <v>19</v>
      </c>
      <c r="D87" s="271"/>
      <c r="E87" s="271"/>
      <c r="F87" s="273" t="str">
        <f>F16</f>
        <v xml:space="preserve"> </v>
      </c>
      <c r="G87" s="271"/>
      <c r="H87" s="271"/>
      <c r="I87" s="268" t="s">
        <v>21</v>
      </c>
      <c r="J87" s="387">
        <f>IF(J16="","",J16)</f>
        <v>44077</v>
      </c>
      <c r="K87" s="271"/>
      <c r="L87" s="64"/>
      <c r="S87" s="23"/>
      <c r="T87" s="23"/>
      <c r="U87" s="23"/>
      <c r="V87" s="23"/>
      <c r="W87" s="23"/>
      <c r="X87" s="23"/>
      <c r="Y87" s="23"/>
      <c r="Z87" s="23"/>
      <c r="AA87" s="23"/>
      <c r="AB87" s="23"/>
      <c r="AC87" s="23"/>
      <c r="AD87" s="23"/>
      <c r="AE87" s="23"/>
    </row>
    <row r="88" spans="1:65" s="2" customFormat="1" ht="6.95" customHeight="1">
      <c r="A88" s="271"/>
      <c r="B88" s="270"/>
      <c r="C88" s="271"/>
      <c r="D88" s="271"/>
      <c r="E88" s="271"/>
      <c r="F88" s="271"/>
      <c r="G88" s="271"/>
      <c r="H88" s="271"/>
      <c r="I88" s="271"/>
      <c r="J88" s="271"/>
      <c r="K88" s="271"/>
      <c r="L88" s="64"/>
      <c r="S88" s="23"/>
      <c r="T88" s="23"/>
      <c r="U88" s="23"/>
      <c r="V88" s="23"/>
      <c r="W88" s="23"/>
      <c r="X88" s="23"/>
      <c r="Y88" s="23"/>
      <c r="Z88" s="23"/>
      <c r="AA88" s="23"/>
      <c r="AB88" s="23"/>
      <c r="AC88" s="23"/>
      <c r="AD88" s="23"/>
      <c r="AE88" s="23"/>
    </row>
    <row r="89" spans="1:65" s="2" customFormat="1" ht="26.45" customHeight="1">
      <c r="A89" s="271"/>
      <c r="B89" s="270"/>
      <c r="C89" s="268" t="s">
        <v>22</v>
      </c>
      <c r="D89" s="271"/>
      <c r="E89" s="271"/>
      <c r="F89" s="273" t="str">
        <f>E19</f>
        <v xml:space="preserve">Úřad vlády České republiky </v>
      </c>
      <c r="G89" s="271"/>
      <c r="H89" s="271"/>
      <c r="I89" s="268" t="s">
        <v>28</v>
      </c>
      <c r="J89" s="391" t="str">
        <f>E25</f>
        <v>Ateliér Simona Group</v>
      </c>
      <c r="K89" s="271"/>
      <c r="L89" s="64"/>
      <c r="S89" s="23"/>
      <c r="T89" s="23"/>
      <c r="U89" s="23"/>
      <c r="V89" s="23"/>
      <c r="W89" s="23"/>
      <c r="X89" s="23"/>
      <c r="Y89" s="23"/>
      <c r="Z89" s="23"/>
      <c r="AA89" s="23"/>
      <c r="AB89" s="23"/>
      <c r="AC89" s="23"/>
      <c r="AD89" s="23"/>
      <c r="AE89" s="23"/>
    </row>
    <row r="90" spans="1:65" s="2" customFormat="1" ht="26.45" customHeight="1">
      <c r="A90" s="271"/>
      <c r="B90" s="270"/>
      <c r="C90" s="268" t="s">
        <v>26</v>
      </c>
      <c r="D90" s="271"/>
      <c r="E90" s="271"/>
      <c r="F90" s="273" t="str">
        <f>IF(E22="","",E22)</f>
        <v xml:space="preserve"> </v>
      </c>
      <c r="G90" s="271"/>
      <c r="H90" s="271"/>
      <c r="I90" s="268" t="s">
        <v>31</v>
      </c>
      <c r="J90" s="391" t="str">
        <f>E28</f>
        <v>Ateliér Simona Group</v>
      </c>
      <c r="K90" s="271"/>
      <c r="L90" s="64"/>
      <c r="S90" s="23"/>
      <c r="T90" s="23"/>
      <c r="U90" s="23"/>
      <c r="V90" s="23"/>
      <c r="W90" s="23"/>
      <c r="X90" s="23"/>
      <c r="Y90" s="23"/>
      <c r="Z90" s="23"/>
      <c r="AA90" s="23"/>
      <c r="AB90" s="23"/>
      <c r="AC90" s="23"/>
      <c r="AD90" s="23"/>
      <c r="AE90" s="23"/>
    </row>
    <row r="91" spans="1:65" s="2" customFormat="1" ht="10.35" customHeight="1">
      <c r="A91" s="271"/>
      <c r="B91" s="270"/>
      <c r="C91" s="271"/>
      <c r="D91" s="271"/>
      <c r="E91" s="271"/>
      <c r="F91" s="271"/>
      <c r="G91" s="271"/>
      <c r="H91" s="271"/>
      <c r="I91" s="271"/>
      <c r="J91" s="271"/>
      <c r="K91" s="271"/>
      <c r="L91" s="64"/>
      <c r="S91" s="23"/>
      <c r="T91" s="23"/>
      <c r="U91" s="23"/>
      <c r="V91" s="23"/>
      <c r="W91" s="23"/>
      <c r="X91" s="23"/>
      <c r="Y91" s="23"/>
      <c r="Z91" s="23"/>
      <c r="AA91" s="23"/>
      <c r="AB91" s="23"/>
      <c r="AC91" s="23"/>
      <c r="AD91" s="23"/>
      <c r="AE91" s="23"/>
    </row>
    <row r="92" spans="1:65" s="11" customFormat="1" ht="29.25" customHeight="1">
      <c r="A92" s="299"/>
      <c r="B92" s="300"/>
      <c r="C92" s="301" t="s">
        <v>202</v>
      </c>
      <c r="D92" s="302" t="s">
        <v>53</v>
      </c>
      <c r="E92" s="302" t="s">
        <v>49</v>
      </c>
      <c r="F92" s="302" t="s">
        <v>50</v>
      </c>
      <c r="G92" s="302" t="s">
        <v>203</v>
      </c>
      <c r="H92" s="302" t="s">
        <v>204</v>
      </c>
      <c r="I92" s="302" t="s">
        <v>205</v>
      </c>
      <c r="J92" s="302" t="s">
        <v>169</v>
      </c>
      <c r="K92" s="340" t="s">
        <v>206</v>
      </c>
      <c r="L92" s="70"/>
      <c r="M92" s="34" t="s">
        <v>3</v>
      </c>
      <c r="N92" s="35" t="s">
        <v>38</v>
      </c>
      <c r="O92" s="35" t="s">
        <v>207</v>
      </c>
      <c r="P92" s="35" t="s">
        <v>208</v>
      </c>
      <c r="Q92" s="35" t="s">
        <v>209</v>
      </c>
      <c r="R92" s="35" t="s">
        <v>210</v>
      </c>
      <c r="S92" s="35" t="s">
        <v>211</v>
      </c>
      <c r="T92" s="36" t="s">
        <v>212</v>
      </c>
      <c r="U92" s="69"/>
      <c r="V92" s="69"/>
      <c r="W92" s="69"/>
      <c r="X92" s="69"/>
      <c r="Y92" s="69"/>
      <c r="Z92" s="69"/>
      <c r="AA92" s="69"/>
      <c r="AB92" s="69"/>
      <c r="AC92" s="69"/>
      <c r="AD92" s="69"/>
      <c r="AE92" s="69"/>
    </row>
    <row r="93" spans="1:65" s="2" customFormat="1" ht="22.9" customHeight="1">
      <c r="A93" s="271"/>
      <c r="B93" s="270"/>
      <c r="C93" s="243" t="s">
        <v>213</v>
      </c>
      <c r="D93" s="271"/>
      <c r="E93" s="271"/>
      <c r="F93" s="271"/>
      <c r="G93" s="271"/>
      <c r="H93" s="271"/>
      <c r="I93" s="271"/>
      <c r="J93" s="410">
        <f>BK93</f>
        <v>0</v>
      </c>
      <c r="K93" s="271"/>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170</v>
      </c>
      <c r="BK93" s="73">
        <f>BK94</f>
        <v>0</v>
      </c>
    </row>
    <row r="94" spans="1:65" s="12" customFormat="1" ht="25.9" customHeight="1">
      <c r="A94" s="303"/>
      <c r="B94" s="304"/>
      <c r="C94" s="303"/>
      <c r="D94" s="305" t="s">
        <v>67</v>
      </c>
      <c r="E94" s="306" t="s">
        <v>895</v>
      </c>
      <c r="F94" s="306" t="s">
        <v>896</v>
      </c>
      <c r="G94" s="303"/>
      <c r="H94" s="303"/>
      <c r="I94" s="303"/>
      <c r="J94" s="411">
        <f>BK94</f>
        <v>0</v>
      </c>
      <c r="K94" s="303"/>
      <c r="L94" s="74"/>
      <c r="M94" s="76"/>
      <c r="N94" s="77"/>
      <c r="O94" s="77"/>
      <c r="P94" s="78">
        <f>P95</f>
        <v>0</v>
      </c>
      <c r="Q94" s="77"/>
      <c r="R94" s="78">
        <f>R95</f>
        <v>0</v>
      </c>
      <c r="S94" s="77"/>
      <c r="T94" s="79">
        <f>T95</f>
        <v>0</v>
      </c>
      <c r="AR94" s="75" t="s">
        <v>77</v>
      </c>
      <c r="AT94" s="80" t="s">
        <v>67</v>
      </c>
      <c r="AU94" s="80" t="s">
        <v>68</v>
      </c>
      <c r="AY94" s="75" t="s">
        <v>216</v>
      </c>
      <c r="BK94" s="81">
        <f>BK95</f>
        <v>0</v>
      </c>
    </row>
    <row r="95" spans="1:65" s="12" customFormat="1" ht="22.9" customHeight="1">
      <c r="A95" s="303"/>
      <c r="B95" s="304"/>
      <c r="C95" s="303"/>
      <c r="D95" s="305" t="s">
        <v>67</v>
      </c>
      <c r="E95" s="307" t="s">
        <v>961</v>
      </c>
      <c r="F95" s="307" t="s">
        <v>962</v>
      </c>
      <c r="G95" s="303"/>
      <c r="H95" s="303"/>
      <c r="I95" s="303"/>
      <c r="J95" s="412">
        <f>BK95</f>
        <v>0</v>
      </c>
      <c r="K95" s="303"/>
      <c r="L95" s="74"/>
      <c r="M95" s="76"/>
      <c r="N95" s="77"/>
      <c r="O95" s="77"/>
      <c r="P95" s="78">
        <f>P96</f>
        <v>0</v>
      </c>
      <c r="Q95" s="77"/>
      <c r="R95" s="78">
        <f>R96</f>
        <v>0</v>
      </c>
      <c r="S95" s="77"/>
      <c r="T95" s="79">
        <f>T96</f>
        <v>0</v>
      </c>
      <c r="AR95" s="75" t="s">
        <v>77</v>
      </c>
      <c r="AT95" s="80" t="s">
        <v>67</v>
      </c>
      <c r="AU95" s="80" t="s">
        <v>75</v>
      </c>
      <c r="AY95" s="75" t="s">
        <v>216</v>
      </c>
      <c r="BK95" s="81">
        <f>BK96</f>
        <v>0</v>
      </c>
    </row>
    <row r="96" spans="1:65" s="2" customFormat="1" ht="14.45" customHeight="1">
      <c r="A96" s="271"/>
      <c r="B96" s="270"/>
      <c r="C96" s="308" t="s">
        <v>75</v>
      </c>
      <c r="D96" s="308" t="s">
        <v>218</v>
      </c>
      <c r="E96" s="309" t="s">
        <v>1785</v>
      </c>
      <c r="F96" s="310" t="s">
        <v>2589</v>
      </c>
      <c r="G96" s="311" t="s">
        <v>1766</v>
      </c>
      <c r="H96" s="312">
        <v>1</v>
      </c>
      <c r="I96" s="413">
        <f>PZTS!F73</f>
        <v>0</v>
      </c>
      <c r="J96" s="413">
        <f>ROUND(I96*H96,2)</f>
        <v>0</v>
      </c>
      <c r="K96" s="310"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305</v>
      </c>
      <c r="AT96" s="87" t="s">
        <v>218</v>
      </c>
      <c r="AU96" s="87" t="s">
        <v>77</v>
      </c>
      <c r="AY96" s="19" t="s">
        <v>216</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305</v>
      </c>
      <c r="BM96" s="87" t="s">
        <v>1786</v>
      </c>
    </row>
    <row r="97" spans="1:31" s="2" customFormat="1" ht="6.95" customHeight="1">
      <c r="A97" s="271"/>
      <c r="B97" s="286"/>
      <c r="C97" s="287"/>
      <c r="D97" s="287"/>
      <c r="E97" s="287"/>
      <c r="F97" s="287"/>
      <c r="G97" s="287"/>
      <c r="H97" s="287"/>
      <c r="I97" s="287"/>
      <c r="J97" s="287"/>
      <c r="K97" s="287"/>
      <c r="L97" s="24"/>
      <c r="M97" s="23"/>
      <c r="O97" s="23"/>
      <c r="P97" s="23"/>
      <c r="Q97" s="23"/>
      <c r="R97" s="23"/>
      <c r="S97" s="23"/>
      <c r="T97" s="23"/>
      <c r="U97" s="23"/>
      <c r="V97" s="23"/>
      <c r="W97" s="23"/>
      <c r="X97" s="23"/>
      <c r="Y97" s="23"/>
      <c r="Z97" s="23"/>
      <c r="AA97" s="23"/>
      <c r="AB97" s="23"/>
      <c r="AC97" s="23"/>
      <c r="AD97" s="23"/>
      <c r="AE97" s="23"/>
    </row>
  </sheetData>
  <sheetProtection password="C97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77"/>
  <sheetViews>
    <sheetView workbookViewId="0">
      <selection activeCell="B10" sqref="B10"/>
    </sheetView>
  </sheetViews>
  <sheetFormatPr defaultRowHeight="12.75"/>
  <cols>
    <col min="1" max="1" width="17.1640625" style="227" customWidth="1"/>
    <col min="2" max="2" width="51" style="226" customWidth="1"/>
    <col min="3" max="3" width="6.6640625" style="206" customWidth="1"/>
    <col min="4" max="4" width="5.5" style="206" customWidth="1"/>
    <col min="5" max="5" width="16" style="206" customWidth="1"/>
    <col min="6" max="6" width="17.1640625" style="206" customWidth="1"/>
    <col min="7" max="7" width="13.33203125" style="206" bestFit="1" customWidth="1"/>
    <col min="8" max="16384" width="9.33203125" style="206"/>
  </cols>
  <sheetData>
    <row r="1" spans="1:6" ht="15.75">
      <c r="A1" s="516" t="s">
        <v>2546</v>
      </c>
      <c r="B1" s="517"/>
      <c r="C1" s="518"/>
      <c r="D1" s="518"/>
      <c r="E1" s="518"/>
      <c r="F1" s="526" t="s">
        <v>2588</v>
      </c>
    </row>
    <row r="2" spans="1:6" ht="15">
      <c r="A2" s="491"/>
      <c r="B2" s="529" t="s">
        <v>2544</v>
      </c>
      <c r="C2" s="493"/>
      <c r="D2" s="493"/>
      <c r="E2" s="493"/>
      <c r="F2" s="493"/>
    </row>
    <row r="3" spans="1:6">
      <c r="A3" s="519" t="s">
        <v>2338</v>
      </c>
      <c r="B3" s="520" t="s">
        <v>2509</v>
      </c>
      <c r="C3" s="521" t="s">
        <v>2508</v>
      </c>
      <c r="D3" s="521" t="s">
        <v>203</v>
      </c>
      <c r="E3" s="527" t="s">
        <v>2507</v>
      </c>
      <c r="F3" s="527" t="s">
        <v>2264</v>
      </c>
    </row>
    <row r="4" spans="1:6">
      <c r="A4" s="480"/>
      <c r="B4" s="481" t="s">
        <v>2264</v>
      </c>
      <c r="C4" s="482"/>
      <c r="D4" s="482"/>
      <c r="E4" s="482"/>
      <c r="F4" s="483">
        <v>0</v>
      </c>
    </row>
    <row r="5" spans="1:6">
      <c r="A5" s="484" t="s">
        <v>2453</v>
      </c>
      <c r="B5" s="485" t="s">
        <v>2054</v>
      </c>
      <c r="C5" s="486"/>
      <c r="D5" s="486"/>
      <c r="E5" s="487"/>
      <c r="F5" s="488">
        <f>F4*0.21</f>
        <v>0</v>
      </c>
    </row>
    <row r="6" spans="1:6">
      <c r="A6" s="489"/>
      <c r="B6" s="490"/>
      <c r="C6" s="423"/>
      <c r="D6" s="423"/>
      <c r="E6" s="423"/>
      <c r="F6" s="423"/>
    </row>
    <row r="7" spans="1:6" ht="15">
      <c r="A7" s="491"/>
      <c r="B7" s="529" t="s">
        <v>2587</v>
      </c>
      <c r="C7" s="493"/>
      <c r="D7" s="493"/>
      <c r="E7" s="493"/>
      <c r="F7" s="493"/>
    </row>
    <row r="8" spans="1:6">
      <c r="A8" s="519" t="s">
        <v>2338</v>
      </c>
      <c r="B8" s="520" t="s">
        <v>2509</v>
      </c>
      <c r="C8" s="521" t="s">
        <v>2508</v>
      </c>
      <c r="D8" s="521" t="s">
        <v>203</v>
      </c>
      <c r="E8" s="527" t="s">
        <v>2507</v>
      </c>
      <c r="F8" s="527" t="s">
        <v>2264</v>
      </c>
    </row>
    <row r="9" spans="1:6">
      <c r="A9" s="522" t="s">
        <v>2586</v>
      </c>
      <c r="B9" s="523" t="s">
        <v>2585</v>
      </c>
      <c r="C9" s="524">
        <v>2</v>
      </c>
      <c r="D9" s="525" t="s">
        <v>2353</v>
      </c>
      <c r="E9" s="479">
        <v>0</v>
      </c>
      <c r="F9" s="528">
        <f t="shared" ref="F9:F14" si="0">C9*E9</f>
        <v>0</v>
      </c>
    </row>
    <row r="10" spans="1:6">
      <c r="A10" s="522" t="s">
        <v>2584</v>
      </c>
      <c r="B10" s="523" t="s">
        <v>2583</v>
      </c>
      <c r="C10" s="524">
        <v>2</v>
      </c>
      <c r="D10" s="525" t="s">
        <v>2353</v>
      </c>
      <c r="E10" s="479">
        <v>0</v>
      </c>
      <c r="F10" s="528">
        <f t="shared" si="0"/>
        <v>0</v>
      </c>
    </row>
    <row r="11" spans="1:6">
      <c r="A11" s="522" t="s">
        <v>2582</v>
      </c>
      <c r="B11" s="523" t="s">
        <v>2581</v>
      </c>
      <c r="C11" s="524">
        <v>11</v>
      </c>
      <c r="D11" s="525" t="s">
        <v>2353</v>
      </c>
      <c r="E11" s="479">
        <v>0</v>
      </c>
      <c r="F11" s="528">
        <f t="shared" si="0"/>
        <v>0</v>
      </c>
    </row>
    <row r="12" spans="1:6" ht="24">
      <c r="A12" s="522" t="s">
        <v>2580</v>
      </c>
      <c r="B12" s="523" t="s">
        <v>2579</v>
      </c>
      <c r="C12" s="524">
        <v>1</v>
      </c>
      <c r="D12" s="525" t="s">
        <v>2353</v>
      </c>
      <c r="E12" s="479">
        <v>0</v>
      </c>
      <c r="F12" s="528">
        <f t="shared" si="0"/>
        <v>0</v>
      </c>
    </row>
    <row r="13" spans="1:6" ht="24">
      <c r="A13" s="522" t="s">
        <v>2578</v>
      </c>
      <c r="B13" s="523" t="s">
        <v>2577</v>
      </c>
      <c r="C13" s="524">
        <v>1</v>
      </c>
      <c r="D13" s="525" t="s">
        <v>2353</v>
      </c>
      <c r="E13" s="479">
        <v>0</v>
      </c>
      <c r="F13" s="528">
        <f t="shared" si="0"/>
        <v>0</v>
      </c>
    </row>
    <row r="14" spans="1:6">
      <c r="A14" s="522" t="s">
        <v>2576</v>
      </c>
      <c r="B14" s="523" t="s">
        <v>2575</v>
      </c>
      <c r="C14" s="524">
        <v>1</v>
      </c>
      <c r="D14" s="525" t="s">
        <v>2353</v>
      </c>
      <c r="E14" s="479">
        <v>0</v>
      </c>
      <c r="F14" s="528">
        <f t="shared" si="0"/>
        <v>0</v>
      </c>
    </row>
    <row r="15" spans="1:6">
      <c r="A15" s="480"/>
      <c r="B15" s="481" t="s">
        <v>2264</v>
      </c>
      <c r="C15" s="482"/>
      <c r="D15" s="482"/>
      <c r="E15" s="476"/>
      <c r="F15" s="483">
        <f>SUM(F9:F14)</f>
        <v>0</v>
      </c>
    </row>
    <row r="16" spans="1:6">
      <c r="A16" s="484" t="s">
        <v>2453</v>
      </c>
      <c r="B16" s="485" t="s">
        <v>2054</v>
      </c>
      <c r="C16" s="486"/>
      <c r="D16" s="486"/>
      <c r="E16" s="477"/>
      <c r="F16" s="488">
        <f>F15*0.21</f>
        <v>0</v>
      </c>
    </row>
    <row r="17" spans="1:6">
      <c r="A17" s="489"/>
      <c r="B17" s="490"/>
      <c r="C17" s="423"/>
      <c r="D17" s="423"/>
      <c r="E17" s="418"/>
      <c r="F17" s="423"/>
    </row>
    <row r="18" spans="1:6" ht="15">
      <c r="A18" s="491"/>
      <c r="B18" s="529" t="s">
        <v>2574</v>
      </c>
      <c r="C18" s="493"/>
      <c r="D18" s="493"/>
      <c r="E18" s="475"/>
      <c r="F18" s="493"/>
    </row>
    <row r="19" spans="1:6">
      <c r="A19" s="519" t="s">
        <v>2338</v>
      </c>
      <c r="B19" s="520" t="s">
        <v>2509</v>
      </c>
      <c r="C19" s="521" t="s">
        <v>2508</v>
      </c>
      <c r="D19" s="521" t="s">
        <v>203</v>
      </c>
      <c r="E19" s="478" t="s">
        <v>2507</v>
      </c>
      <c r="F19" s="527" t="s">
        <v>2264</v>
      </c>
    </row>
    <row r="20" spans="1:6">
      <c r="A20" s="522" t="s">
        <v>2573</v>
      </c>
      <c r="B20" s="523" t="s">
        <v>2572</v>
      </c>
      <c r="C20" s="524">
        <v>480</v>
      </c>
      <c r="D20" s="525" t="s">
        <v>364</v>
      </c>
      <c r="E20" s="479">
        <v>0</v>
      </c>
      <c r="F20" s="528">
        <f t="shared" ref="F20:F30" si="1">E20*C20</f>
        <v>0</v>
      </c>
    </row>
    <row r="21" spans="1:6">
      <c r="A21" s="522" t="s">
        <v>2571</v>
      </c>
      <c r="B21" s="523" t="s">
        <v>2570</v>
      </c>
      <c r="C21" s="524">
        <v>50</v>
      </c>
      <c r="D21" s="525" t="s">
        <v>364</v>
      </c>
      <c r="E21" s="479">
        <v>0</v>
      </c>
      <c r="F21" s="528">
        <f t="shared" si="1"/>
        <v>0</v>
      </c>
    </row>
    <row r="22" spans="1:6">
      <c r="A22" s="522" t="s">
        <v>2506</v>
      </c>
      <c r="B22" s="523" t="s">
        <v>2569</v>
      </c>
      <c r="C22" s="524">
        <v>50</v>
      </c>
      <c r="D22" s="525" t="s">
        <v>364</v>
      </c>
      <c r="E22" s="479">
        <v>0</v>
      </c>
      <c r="F22" s="528">
        <f t="shared" si="1"/>
        <v>0</v>
      </c>
    </row>
    <row r="23" spans="1:6">
      <c r="A23" s="522" t="s">
        <v>2568</v>
      </c>
      <c r="B23" s="523" t="s">
        <v>2567</v>
      </c>
      <c r="C23" s="524">
        <v>30</v>
      </c>
      <c r="D23" s="525" t="s">
        <v>364</v>
      </c>
      <c r="E23" s="479">
        <v>0</v>
      </c>
      <c r="F23" s="528">
        <f t="shared" si="1"/>
        <v>0</v>
      </c>
    </row>
    <row r="24" spans="1:6">
      <c r="A24" s="522">
        <v>2207028</v>
      </c>
      <c r="B24" s="523" t="s">
        <v>2566</v>
      </c>
      <c r="C24" s="524">
        <v>30</v>
      </c>
      <c r="D24" s="525" t="s">
        <v>2353</v>
      </c>
      <c r="E24" s="479">
        <v>0</v>
      </c>
      <c r="F24" s="528">
        <f t="shared" si="1"/>
        <v>0</v>
      </c>
    </row>
    <row r="25" spans="1:6">
      <c r="A25" s="522" t="s">
        <v>2494</v>
      </c>
      <c r="B25" s="523" t="s">
        <v>2493</v>
      </c>
      <c r="C25" s="524">
        <v>30</v>
      </c>
      <c r="D25" s="525" t="s">
        <v>364</v>
      </c>
      <c r="E25" s="479">
        <v>0</v>
      </c>
      <c r="F25" s="528">
        <f t="shared" si="1"/>
        <v>0</v>
      </c>
    </row>
    <row r="26" spans="1:6">
      <c r="A26" s="522">
        <v>19857</v>
      </c>
      <c r="B26" s="523" t="s">
        <v>2492</v>
      </c>
      <c r="C26" s="524">
        <v>90</v>
      </c>
      <c r="D26" s="525" t="s">
        <v>364</v>
      </c>
      <c r="E26" s="479">
        <v>0</v>
      </c>
      <c r="F26" s="528">
        <f t="shared" si="1"/>
        <v>0</v>
      </c>
    </row>
    <row r="27" spans="1:6">
      <c r="A27" s="522">
        <v>19858</v>
      </c>
      <c r="B27" s="523" t="s">
        <v>2565</v>
      </c>
      <c r="C27" s="524">
        <v>70</v>
      </c>
      <c r="D27" s="525" t="s">
        <v>364</v>
      </c>
      <c r="E27" s="479">
        <v>0</v>
      </c>
      <c r="F27" s="528">
        <f t="shared" si="1"/>
        <v>0</v>
      </c>
    </row>
    <row r="28" spans="1:6">
      <c r="A28" s="522" t="s">
        <v>2564</v>
      </c>
      <c r="B28" s="523" t="s">
        <v>2563</v>
      </c>
      <c r="C28" s="524">
        <v>9</v>
      </c>
      <c r="D28" s="525" t="s">
        <v>2353</v>
      </c>
      <c r="E28" s="479">
        <v>0</v>
      </c>
      <c r="F28" s="528">
        <f t="shared" si="1"/>
        <v>0</v>
      </c>
    </row>
    <row r="29" spans="1:6">
      <c r="A29" s="522" t="s">
        <v>2491</v>
      </c>
      <c r="B29" s="523" t="s">
        <v>2490</v>
      </c>
      <c r="C29" s="524">
        <v>21</v>
      </c>
      <c r="D29" s="525" t="s">
        <v>2353</v>
      </c>
      <c r="E29" s="479">
        <v>0</v>
      </c>
      <c r="F29" s="528">
        <f t="shared" si="1"/>
        <v>0</v>
      </c>
    </row>
    <row r="30" spans="1:6">
      <c r="A30" s="522" t="s">
        <v>2463</v>
      </c>
      <c r="B30" s="523" t="s">
        <v>2462</v>
      </c>
      <c r="C30" s="524">
        <v>1</v>
      </c>
      <c r="D30" s="525" t="s">
        <v>2461</v>
      </c>
      <c r="E30" s="479">
        <v>0</v>
      </c>
      <c r="F30" s="528">
        <f t="shared" si="1"/>
        <v>0</v>
      </c>
    </row>
    <row r="31" spans="1:6">
      <c r="A31" s="480"/>
      <c r="B31" s="481" t="s">
        <v>2264</v>
      </c>
      <c r="C31" s="482"/>
      <c r="D31" s="482"/>
      <c r="E31" s="482"/>
      <c r="F31" s="483">
        <f>SUM(F20:F30)</f>
        <v>0</v>
      </c>
    </row>
    <row r="32" spans="1:6">
      <c r="A32" s="484" t="s">
        <v>2453</v>
      </c>
      <c r="B32" s="485" t="s">
        <v>2054</v>
      </c>
      <c r="C32" s="486"/>
      <c r="D32" s="486"/>
      <c r="E32" s="487"/>
      <c r="F32" s="488">
        <f>F31*0.21</f>
        <v>0</v>
      </c>
    </row>
    <row r="33" spans="1:6">
      <c r="A33" s="489"/>
      <c r="B33" s="490"/>
      <c r="C33" s="423"/>
      <c r="D33" s="423"/>
      <c r="E33" s="423"/>
      <c r="F33" s="423"/>
    </row>
    <row r="34" spans="1:6" ht="15">
      <c r="A34" s="491"/>
      <c r="B34" s="529" t="s">
        <v>2460</v>
      </c>
      <c r="C34" s="493"/>
      <c r="D34" s="493"/>
      <c r="E34" s="493"/>
      <c r="F34" s="493"/>
    </row>
    <row r="35" spans="1:6">
      <c r="A35" s="519" t="s">
        <v>2338</v>
      </c>
      <c r="B35" s="520" t="s">
        <v>2509</v>
      </c>
      <c r="C35" s="521" t="s">
        <v>2508</v>
      </c>
      <c r="D35" s="521" t="s">
        <v>203</v>
      </c>
      <c r="E35" s="527" t="s">
        <v>2507</v>
      </c>
      <c r="F35" s="527" t="s">
        <v>2264</v>
      </c>
    </row>
    <row r="36" spans="1:6">
      <c r="A36" s="480"/>
      <c r="B36" s="481" t="s">
        <v>2264</v>
      </c>
      <c r="C36" s="482"/>
      <c r="D36" s="482"/>
      <c r="E36" s="482"/>
      <c r="F36" s="483">
        <v>0</v>
      </c>
    </row>
    <row r="37" spans="1:6">
      <c r="A37" s="484" t="s">
        <v>2453</v>
      </c>
      <c r="B37" s="485" t="s">
        <v>2054</v>
      </c>
      <c r="C37" s="486"/>
      <c r="D37" s="486"/>
      <c r="E37" s="487"/>
      <c r="F37" s="488">
        <f>F36*0.21</f>
        <v>0</v>
      </c>
    </row>
    <row r="38" spans="1:6">
      <c r="A38" s="489"/>
      <c r="B38" s="490"/>
      <c r="C38" s="423"/>
      <c r="D38" s="423"/>
      <c r="E38" s="423"/>
      <c r="F38" s="423"/>
    </row>
    <row r="39" spans="1:6" ht="15">
      <c r="A39" s="491"/>
      <c r="B39" s="529" t="s">
        <v>2552</v>
      </c>
      <c r="C39" s="493"/>
      <c r="D39" s="493"/>
      <c r="E39" s="493"/>
      <c r="F39" s="493"/>
    </row>
    <row r="40" spans="1:6">
      <c r="A40" s="519" t="s">
        <v>2338</v>
      </c>
      <c r="B40" s="520" t="s">
        <v>2509</v>
      </c>
      <c r="C40" s="521" t="s">
        <v>2508</v>
      </c>
      <c r="D40" s="521" t="s">
        <v>203</v>
      </c>
      <c r="E40" s="527" t="s">
        <v>2507</v>
      </c>
      <c r="F40" s="527" t="s">
        <v>2264</v>
      </c>
    </row>
    <row r="41" spans="1:6">
      <c r="A41" s="480"/>
      <c r="B41" s="481" t="s">
        <v>2264</v>
      </c>
      <c r="C41" s="482"/>
      <c r="D41" s="482"/>
      <c r="E41" s="482"/>
      <c r="F41" s="483">
        <v>0</v>
      </c>
    </row>
    <row r="42" spans="1:6">
      <c r="A42" s="484" t="s">
        <v>2453</v>
      </c>
      <c r="B42" s="485" t="s">
        <v>2054</v>
      </c>
      <c r="C42" s="486"/>
      <c r="D42" s="486"/>
      <c r="E42" s="487"/>
      <c r="F42" s="488">
        <f>F41*0.21</f>
        <v>0</v>
      </c>
    </row>
    <row r="43" spans="1:6">
      <c r="A43" s="489"/>
      <c r="B43" s="490"/>
      <c r="C43" s="423"/>
      <c r="D43" s="423"/>
      <c r="E43" s="423"/>
      <c r="F43" s="423"/>
    </row>
    <row r="44" spans="1:6" ht="15">
      <c r="A44" s="491"/>
      <c r="B44" s="529" t="s">
        <v>2457</v>
      </c>
      <c r="C44" s="493"/>
      <c r="D44" s="493"/>
      <c r="E44" s="493"/>
      <c r="F44" s="493"/>
    </row>
    <row r="45" spans="1:6">
      <c r="A45" s="519" t="s">
        <v>2338</v>
      </c>
      <c r="B45" s="520" t="s">
        <v>2509</v>
      </c>
      <c r="C45" s="521" t="s">
        <v>2508</v>
      </c>
      <c r="D45" s="521" t="s">
        <v>203</v>
      </c>
      <c r="E45" s="527" t="s">
        <v>2507</v>
      </c>
      <c r="F45" s="527" t="s">
        <v>2264</v>
      </c>
    </row>
    <row r="46" spans="1:6">
      <c r="A46" s="480"/>
      <c r="B46" s="481" t="s">
        <v>2264</v>
      </c>
      <c r="C46" s="482"/>
      <c r="D46" s="482"/>
      <c r="E46" s="482"/>
      <c r="F46" s="483">
        <v>0</v>
      </c>
    </row>
    <row r="47" spans="1:6">
      <c r="A47" s="484" t="s">
        <v>2453</v>
      </c>
      <c r="B47" s="485" t="s">
        <v>2054</v>
      </c>
      <c r="C47" s="486"/>
      <c r="D47" s="486"/>
      <c r="E47" s="487"/>
      <c r="F47" s="488">
        <f>F46*0.21</f>
        <v>0</v>
      </c>
    </row>
    <row r="48" spans="1:6">
      <c r="A48" s="489"/>
      <c r="B48" s="490"/>
      <c r="C48" s="423"/>
      <c r="D48" s="423"/>
      <c r="E48" s="423"/>
      <c r="F48" s="423"/>
    </row>
    <row r="49" spans="1:6" ht="15">
      <c r="A49" s="491"/>
      <c r="B49" s="529" t="s">
        <v>2551</v>
      </c>
      <c r="C49" s="493"/>
      <c r="D49" s="493"/>
      <c r="E49" s="493"/>
      <c r="F49" s="493"/>
    </row>
    <row r="50" spans="1:6">
      <c r="A50" s="519" t="s">
        <v>2338</v>
      </c>
      <c r="B50" s="520" t="s">
        <v>2509</v>
      </c>
      <c r="C50" s="521" t="s">
        <v>2508</v>
      </c>
      <c r="D50" s="521" t="s">
        <v>203</v>
      </c>
      <c r="E50" s="527" t="s">
        <v>2507</v>
      </c>
      <c r="F50" s="527" t="s">
        <v>2264</v>
      </c>
    </row>
    <row r="51" spans="1:6">
      <c r="A51" s="480"/>
      <c r="B51" s="481" t="s">
        <v>2264</v>
      </c>
      <c r="C51" s="482"/>
      <c r="D51" s="482"/>
      <c r="E51" s="482"/>
      <c r="F51" s="483">
        <v>0</v>
      </c>
    </row>
    <row r="52" spans="1:6">
      <c r="A52" s="484" t="s">
        <v>2453</v>
      </c>
      <c r="B52" s="485" t="s">
        <v>2054</v>
      </c>
      <c r="C52" s="486"/>
      <c r="D52" s="486"/>
      <c r="E52" s="487"/>
      <c r="F52" s="488">
        <f>F51*0.21</f>
        <v>0</v>
      </c>
    </row>
    <row r="53" spans="1:6">
      <c r="A53" s="489"/>
      <c r="B53" s="490"/>
      <c r="C53" s="423"/>
      <c r="D53" s="423"/>
      <c r="E53" s="423"/>
      <c r="F53" s="423"/>
    </row>
    <row r="54" spans="1:6" ht="15">
      <c r="A54" s="491"/>
      <c r="B54" s="529" t="s">
        <v>1855</v>
      </c>
      <c r="C54" s="493"/>
      <c r="D54" s="493"/>
      <c r="E54" s="493"/>
      <c r="F54" s="493"/>
    </row>
    <row r="55" spans="1:6">
      <c r="A55" s="519" t="s">
        <v>2338</v>
      </c>
      <c r="B55" s="520" t="s">
        <v>2509</v>
      </c>
      <c r="C55" s="521" t="s">
        <v>2508</v>
      </c>
      <c r="D55" s="521" t="s">
        <v>203</v>
      </c>
      <c r="E55" s="527" t="s">
        <v>2507</v>
      </c>
      <c r="F55" s="527" t="s">
        <v>2264</v>
      </c>
    </row>
    <row r="56" spans="1:6">
      <c r="A56" s="480"/>
      <c r="B56" s="481" t="s">
        <v>2264</v>
      </c>
      <c r="C56" s="482"/>
      <c r="D56" s="482"/>
      <c r="E56" s="482"/>
      <c r="F56" s="483">
        <v>0</v>
      </c>
    </row>
    <row r="57" spans="1:6">
      <c r="A57" s="484" t="s">
        <v>2453</v>
      </c>
      <c r="B57" s="485" t="s">
        <v>2054</v>
      </c>
      <c r="C57" s="486"/>
      <c r="D57" s="486"/>
      <c r="E57" s="487"/>
      <c r="F57" s="488">
        <f>F56*0.21</f>
        <v>0</v>
      </c>
    </row>
    <row r="58" spans="1:6">
      <c r="A58" s="489"/>
      <c r="B58" s="490"/>
      <c r="C58" s="423"/>
      <c r="D58" s="423"/>
      <c r="E58" s="423"/>
      <c r="F58" s="423"/>
    </row>
    <row r="59" spans="1:6" ht="15">
      <c r="A59" s="491"/>
      <c r="B59" s="529" t="s">
        <v>2454</v>
      </c>
      <c r="C59" s="493"/>
      <c r="D59" s="493"/>
      <c r="E59" s="493"/>
      <c r="F59" s="493"/>
    </row>
    <row r="60" spans="1:6">
      <c r="A60" s="519" t="s">
        <v>2338</v>
      </c>
      <c r="B60" s="520" t="s">
        <v>2509</v>
      </c>
      <c r="C60" s="521" t="s">
        <v>2508</v>
      </c>
      <c r="D60" s="521" t="s">
        <v>203</v>
      </c>
      <c r="E60" s="527" t="s">
        <v>2507</v>
      </c>
      <c r="F60" s="527" t="s">
        <v>2264</v>
      </c>
    </row>
    <row r="61" spans="1:6">
      <c r="A61" s="480"/>
      <c r="B61" s="481" t="s">
        <v>2264</v>
      </c>
      <c r="C61" s="482"/>
      <c r="D61" s="482"/>
      <c r="E61" s="482"/>
      <c r="F61" s="483">
        <v>0</v>
      </c>
    </row>
    <row r="62" spans="1:6">
      <c r="A62" s="484" t="s">
        <v>2453</v>
      </c>
      <c r="B62" s="485" t="s">
        <v>2054</v>
      </c>
      <c r="C62" s="486"/>
      <c r="D62" s="486"/>
      <c r="E62" s="487"/>
      <c r="F62" s="488">
        <f>F61*0.21</f>
        <v>0</v>
      </c>
    </row>
    <row r="63" spans="1:6">
      <c r="A63" s="489"/>
      <c r="B63" s="490"/>
      <c r="C63" s="423"/>
      <c r="D63" s="423"/>
      <c r="E63" s="423"/>
      <c r="F63" s="423"/>
    </row>
    <row r="64" spans="1:6">
      <c r="A64" s="489"/>
      <c r="B64" s="490"/>
      <c r="C64" s="423"/>
      <c r="D64" s="423"/>
      <c r="E64" s="423"/>
      <c r="F64" s="423"/>
    </row>
    <row r="65" spans="1:6" ht="20.25">
      <c r="A65" s="530" t="s">
        <v>2452</v>
      </c>
      <c r="B65" s="530"/>
      <c r="C65" s="531"/>
      <c r="D65" s="531"/>
      <c r="E65" s="531"/>
      <c r="F65" s="531"/>
    </row>
    <row r="66" spans="1:6" ht="14.25">
      <c r="A66" s="499" t="s">
        <v>2451</v>
      </c>
      <c r="B66" s="499" t="s">
        <v>2450</v>
      </c>
      <c r="C66" s="500"/>
      <c r="D66" s="500"/>
      <c r="E66" s="500"/>
      <c r="F66" s="500"/>
    </row>
    <row r="67" spans="1:6">
      <c r="A67" s="423"/>
      <c r="B67" s="503" t="s">
        <v>2449</v>
      </c>
      <c r="C67" s="503"/>
      <c r="D67" s="503"/>
      <c r="E67" s="503"/>
      <c r="F67" s="532">
        <f>F15+F31</f>
        <v>0</v>
      </c>
    </row>
    <row r="68" spans="1:6">
      <c r="A68" s="423"/>
      <c r="B68" s="503" t="s">
        <v>2448</v>
      </c>
      <c r="C68" s="503"/>
      <c r="D68" s="503"/>
      <c r="E68" s="503"/>
      <c r="F68" s="532">
        <f>F4+F36+F41+F46+F51+F56+F61</f>
        <v>0</v>
      </c>
    </row>
    <row r="69" spans="1:6">
      <c r="A69" s="423"/>
      <c r="B69" s="503" t="s">
        <v>2447</v>
      </c>
      <c r="C69" s="503"/>
      <c r="D69" s="503"/>
      <c r="E69" s="503"/>
      <c r="F69" s="532">
        <v>0</v>
      </c>
    </row>
    <row r="70" spans="1:6">
      <c r="A70" s="423"/>
      <c r="B70" s="503" t="s">
        <v>2446</v>
      </c>
      <c r="C70" s="503"/>
      <c r="D70" s="503"/>
      <c r="E70" s="503"/>
      <c r="F70" s="532">
        <v>0</v>
      </c>
    </row>
    <row r="71" spans="1:6">
      <c r="A71" s="423"/>
      <c r="B71" s="503" t="s">
        <v>2445</v>
      </c>
      <c r="C71" s="503"/>
      <c r="D71" s="503"/>
      <c r="E71" s="503"/>
      <c r="F71" s="532">
        <v>0</v>
      </c>
    </row>
    <row r="72" spans="1:6">
      <c r="A72" s="423"/>
      <c r="B72" s="503" t="s">
        <v>2444</v>
      </c>
      <c r="C72" s="503"/>
      <c r="D72" s="503"/>
      <c r="E72" s="503"/>
      <c r="F72" s="532">
        <v>0</v>
      </c>
    </row>
    <row r="73" spans="1:6" ht="15.75" thickBot="1">
      <c r="A73" s="507"/>
      <c r="B73" s="506" t="s">
        <v>2343</v>
      </c>
      <c r="C73" s="507"/>
      <c r="D73" s="507"/>
      <c r="E73" s="507"/>
      <c r="F73" s="533">
        <f>SUM(F67:F72)</f>
        <v>0</v>
      </c>
    </row>
    <row r="74" spans="1:6">
      <c r="A74" s="423"/>
      <c r="B74" s="423"/>
      <c r="C74" s="423"/>
      <c r="D74" s="423"/>
      <c r="E74" s="423"/>
      <c r="F74" s="423"/>
    </row>
    <row r="75" spans="1:6" ht="15">
      <c r="A75" s="423"/>
      <c r="B75" s="510" t="s">
        <v>2443</v>
      </c>
      <c r="C75" s="503"/>
      <c r="D75" s="503"/>
      <c r="E75" s="503"/>
      <c r="F75" s="503"/>
    </row>
    <row r="76" spans="1:6">
      <c r="A76" s="423"/>
      <c r="B76" s="512" t="s">
        <v>2054</v>
      </c>
      <c r="C76" s="513"/>
      <c r="D76" s="534">
        <v>0.21</v>
      </c>
      <c r="E76" s="513"/>
      <c r="F76" s="535">
        <f>F73*0.21</f>
        <v>0</v>
      </c>
    </row>
    <row r="77" spans="1:6" ht="15.75" thickBot="1">
      <c r="A77" s="507"/>
      <c r="B77" s="506" t="s">
        <v>2442</v>
      </c>
      <c r="C77" s="507"/>
      <c r="D77" s="507"/>
      <c r="E77" s="507"/>
      <c r="F77" s="533">
        <f>SUM(F73:F76)</f>
        <v>0</v>
      </c>
    </row>
  </sheetData>
  <sheetProtection password="CAB1" sheet="1" objects="1" scenarios="1"/>
  <printOptions horizontalCentered="1"/>
  <pageMargins left="0.39370078740157483" right="0.23622047244094491" top="0.39370078740157483" bottom="0.39370078740157483"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M97"/>
  <sheetViews>
    <sheetView showGridLines="0" topLeftCell="A75" workbookViewId="0">
      <selection activeCell="E85" sqref="E85:H85"/>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110</v>
      </c>
    </row>
    <row r="3" spans="1:46" s="1" customFormat="1" ht="6.95" customHeight="1">
      <c r="A3" s="61"/>
      <c r="B3" s="263"/>
      <c r="C3" s="264"/>
      <c r="D3" s="264"/>
      <c r="E3" s="264"/>
      <c r="F3" s="264"/>
      <c r="G3" s="264"/>
      <c r="H3" s="264"/>
      <c r="I3" s="264"/>
      <c r="J3" s="264"/>
      <c r="K3" s="264"/>
      <c r="L3" s="20"/>
      <c r="AT3" s="19" t="s">
        <v>77</v>
      </c>
    </row>
    <row r="4" spans="1:46" s="1" customFormat="1" ht="24.95" customHeight="1">
      <c r="A4" s="61"/>
      <c r="B4" s="265"/>
      <c r="C4" s="61"/>
      <c r="D4" s="266" t="s">
        <v>142</v>
      </c>
      <c r="E4" s="61"/>
      <c r="F4" s="61"/>
      <c r="G4" s="61"/>
      <c r="H4" s="61"/>
      <c r="I4" s="61"/>
      <c r="J4" s="61"/>
      <c r="K4" s="61"/>
      <c r="L4" s="20"/>
      <c r="M4" s="63" t="s">
        <v>11</v>
      </c>
      <c r="AT4" s="19" t="s">
        <v>4</v>
      </c>
    </row>
    <row r="5" spans="1:46" s="1" customFormat="1" ht="6.95" customHeight="1">
      <c r="A5" s="61"/>
      <c r="B5" s="265"/>
      <c r="C5" s="61"/>
      <c r="D5" s="61"/>
      <c r="E5" s="61"/>
      <c r="F5" s="61"/>
      <c r="G5" s="61"/>
      <c r="H5" s="61"/>
      <c r="I5" s="61"/>
      <c r="J5" s="61"/>
      <c r="K5" s="61"/>
      <c r="L5" s="20"/>
    </row>
    <row r="6" spans="1:46" s="1" customFormat="1" ht="12" customHeight="1">
      <c r="A6" s="61"/>
      <c r="B6" s="265"/>
      <c r="C6" s="61"/>
      <c r="D6" s="268" t="s">
        <v>15</v>
      </c>
      <c r="E6" s="61"/>
      <c r="F6" s="61"/>
      <c r="G6" s="61"/>
      <c r="H6" s="61"/>
      <c r="I6" s="61"/>
      <c r="J6" s="61"/>
      <c r="K6" s="61"/>
      <c r="L6" s="20"/>
    </row>
    <row r="7" spans="1:46" s="1" customFormat="1" ht="14.45" customHeight="1">
      <c r="A7" s="61"/>
      <c r="B7" s="265"/>
      <c r="C7" s="61"/>
      <c r="D7" s="61"/>
      <c r="E7" s="722" t="str">
        <f>'Rekapitulace stavby'!K6</f>
        <v>Úpravy gastroprovozu Úřadu vlády ČR v 1.pp Strakovy akademie</v>
      </c>
      <c r="F7" s="723"/>
      <c r="G7" s="723"/>
      <c r="H7" s="723"/>
      <c r="I7" s="61"/>
      <c r="J7" s="61"/>
      <c r="K7" s="61"/>
      <c r="L7" s="20"/>
    </row>
    <row r="8" spans="1:46" ht="12.75">
      <c r="A8" s="61"/>
      <c r="B8" s="265"/>
      <c r="C8" s="61"/>
      <c r="D8" s="268" t="s">
        <v>151</v>
      </c>
      <c r="E8" s="61"/>
      <c r="F8" s="61"/>
      <c r="G8" s="61"/>
      <c r="H8" s="61"/>
      <c r="I8" s="61"/>
      <c r="J8" s="61"/>
      <c r="K8" s="61"/>
      <c r="L8" s="20"/>
    </row>
    <row r="9" spans="1:46" s="1" customFormat="1" ht="14.45" customHeight="1">
      <c r="A9" s="61"/>
      <c r="B9" s="265"/>
      <c r="C9" s="61"/>
      <c r="D9" s="61"/>
      <c r="E9" s="722" t="s">
        <v>1759</v>
      </c>
      <c r="F9" s="715"/>
      <c r="G9" s="715"/>
      <c r="H9" s="715"/>
      <c r="I9" s="61"/>
      <c r="J9" s="61"/>
      <c r="K9" s="61"/>
      <c r="L9" s="20"/>
    </row>
    <row r="10" spans="1:46" s="1" customFormat="1" ht="12" customHeight="1">
      <c r="A10" s="61"/>
      <c r="B10" s="265"/>
      <c r="C10" s="61"/>
      <c r="D10" s="268" t="s">
        <v>157</v>
      </c>
      <c r="E10" s="61"/>
      <c r="F10" s="61"/>
      <c r="G10" s="61"/>
      <c r="H10" s="61"/>
      <c r="I10" s="61"/>
      <c r="J10" s="61"/>
      <c r="K10" s="61"/>
      <c r="L10" s="20"/>
    </row>
    <row r="11" spans="1:46" s="2" customFormat="1" ht="14.45" customHeight="1">
      <c r="A11" s="271"/>
      <c r="B11" s="270"/>
      <c r="C11" s="271"/>
      <c r="D11" s="271"/>
      <c r="E11" s="762" t="s">
        <v>1776</v>
      </c>
      <c r="F11" s="721"/>
      <c r="G11" s="721"/>
      <c r="H11" s="721"/>
      <c r="I11" s="271"/>
      <c r="J11" s="271"/>
      <c r="K11" s="271"/>
      <c r="L11" s="64"/>
      <c r="S11" s="23"/>
      <c r="T11" s="23"/>
      <c r="U11" s="23"/>
      <c r="V11" s="23"/>
      <c r="W11" s="23"/>
      <c r="X11" s="23"/>
      <c r="Y11" s="23"/>
      <c r="Z11" s="23"/>
      <c r="AA11" s="23"/>
      <c r="AB11" s="23"/>
      <c r="AC11" s="23"/>
      <c r="AD11" s="23"/>
      <c r="AE11" s="23"/>
    </row>
    <row r="12" spans="1:46" s="2" customFormat="1" ht="12" customHeight="1">
      <c r="A12" s="271"/>
      <c r="B12" s="270"/>
      <c r="C12" s="271"/>
      <c r="D12" s="268" t="s">
        <v>1777</v>
      </c>
      <c r="E12" s="271"/>
      <c r="F12" s="271"/>
      <c r="G12" s="271"/>
      <c r="H12" s="271"/>
      <c r="I12" s="271"/>
      <c r="J12" s="271"/>
      <c r="K12" s="271"/>
      <c r="L12" s="64"/>
      <c r="S12" s="23"/>
      <c r="T12" s="23"/>
      <c r="U12" s="23"/>
      <c r="V12" s="23"/>
      <c r="W12" s="23"/>
      <c r="X12" s="23"/>
      <c r="Y12" s="23"/>
      <c r="Z12" s="23"/>
      <c r="AA12" s="23"/>
      <c r="AB12" s="23"/>
      <c r="AC12" s="23"/>
      <c r="AD12" s="23"/>
      <c r="AE12" s="23"/>
    </row>
    <row r="13" spans="1:46" s="2" customFormat="1" ht="14.45" customHeight="1">
      <c r="A13" s="271"/>
      <c r="B13" s="270"/>
      <c r="C13" s="271"/>
      <c r="D13" s="271"/>
      <c r="E13" s="689" t="s">
        <v>1787</v>
      </c>
      <c r="F13" s="721"/>
      <c r="G13" s="721"/>
      <c r="H13" s="721"/>
      <c r="I13" s="271"/>
      <c r="J13" s="271"/>
      <c r="K13" s="271"/>
      <c r="L13" s="64"/>
      <c r="S13" s="23"/>
      <c r="T13" s="23"/>
      <c r="U13" s="23"/>
      <c r="V13" s="23"/>
      <c r="W13" s="23"/>
      <c r="X13" s="23"/>
      <c r="Y13" s="23"/>
      <c r="Z13" s="23"/>
      <c r="AA13" s="23"/>
      <c r="AB13" s="23"/>
      <c r="AC13" s="23"/>
      <c r="AD13" s="23"/>
      <c r="AE13" s="23"/>
    </row>
    <row r="14" spans="1:46" s="2" customFormat="1">
      <c r="A14" s="271"/>
      <c r="B14" s="270"/>
      <c r="C14" s="271"/>
      <c r="D14" s="271"/>
      <c r="E14" s="271"/>
      <c r="F14" s="271"/>
      <c r="G14" s="271"/>
      <c r="H14" s="271"/>
      <c r="I14" s="271"/>
      <c r="J14" s="271"/>
      <c r="K14" s="271"/>
      <c r="L14" s="64"/>
      <c r="S14" s="23"/>
      <c r="T14" s="23"/>
      <c r="U14" s="23"/>
      <c r="V14" s="23"/>
      <c r="W14" s="23"/>
      <c r="X14" s="23"/>
      <c r="Y14" s="23"/>
      <c r="Z14" s="23"/>
      <c r="AA14" s="23"/>
      <c r="AB14" s="23"/>
      <c r="AC14" s="23"/>
      <c r="AD14" s="23"/>
      <c r="AE14" s="23"/>
    </row>
    <row r="15" spans="1:46" s="2" customFormat="1" ht="12" customHeight="1">
      <c r="A15" s="271"/>
      <c r="B15" s="270"/>
      <c r="C15" s="271"/>
      <c r="D15" s="268" t="s">
        <v>17</v>
      </c>
      <c r="E15" s="271"/>
      <c r="F15" s="273" t="s">
        <v>3</v>
      </c>
      <c r="G15" s="271"/>
      <c r="H15" s="271"/>
      <c r="I15" s="268" t="s">
        <v>18</v>
      </c>
      <c r="J15" s="273" t="s">
        <v>3</v>
      </c>
      <c r="K15" s="271"/>
      <c r="L15" s="64"/>
      <c r="S15" s="23"/>
      <c r="T15" s="23"/>
      <c r="U15" s="23"/>
      <c r="V15" s="23"/>
      <c r="W15" s="23"/>
      <c r="X15" s="23"/>
      <c r="Y15" s="23"/>
      <c r="Z15" s="23"/>
      <c r="AA15" s="23"/>
      <c r="AB15" s="23"/>
      <c r="AC15" s="23"/>
      <c r="AD15" s="23"/>
      <c r="AE15" s="23"/>
    </row>
    <row r="16" spans="1:46" s="2" customFormat="1" ht="12" customHeight="1">
      <c r="A16" s="271"/>
      <c r="B16" s="270"/>
      <c r="C16" s="271"/>
      <c r="D16" s="268" t="s">
        <v>19</v>
      </c>
      <c r="E16" s="271"/>
      <c r="F16" s="273" t="s">
        <v>27</v>
      </c>
      <c r="G16" s="271"/>
      <c r="H16" s="271"/>
      <c r="I16" s="268" t="s">
        <v>21</v>
      </c>
      <c r="J16" s="387">
        <f>'Rekapitulace stavby'!AN8</f>
        <v>44077</v>
      </c>
      <c r="K16" s="271"/>
      <c r="L16" s="64"/>
      <c r="S16" s="23"/>
      <c r="T16" s="23"/>
      <c r="U16" s="23"/>
      <c r="V16" s="23"/>
      <c r="W16" s="23"/>
      <c r="X16" s="23"/>
      <c r="Y16" s="23"/>
      <c r="Z16" s="23"/>
      <c r="AA16" s="23"/>
      <c r="AB16" s="23"/>
      <c r="AC16" s="23"/>
      <c r="AD16" s="23"/>
      <c r="AE16" s="23"/>
    </row>
    <row r="17" spans="1:31" s="2" customFormat="1" ht="10.9" customHeight="1">
      <c r="A17" s="271"/>
      <c r="B17" s="270"/>
      <c r="C17" s="271"/>
      <c r="D17" s="271"/>
      <c r="E17" s="271"/>
      <c r="F17" s="271"/>
      <c r="G17" s="271"/>
      <c r="H17" s="271"/>
      <c r="I17" s="271"/>
      <c r="J17" s="271"/>
      <c r="K17" s="271"/>
      <c r="L17" s="64"/>
      <c r="S17" s="23"/>
      <c r="T17" s="23"/>
      <c r="U17" s="23"/>
      <c r="V17" s="23"/>
      <c r="W17" s="23"/>
      <c r="X17" s="23"/>
      <c r="Y17" s="23"/>
      <c r="Z17" s="23"/>
      <c r="AA17" s="23"/>
      <c r="AB17" s="23"/>
      <c r="AC17" s="23"/>
      <c r="AD17" s="23"/>
      <c r="AE17" s="23"/>
    </row>
    <row r="18" spans="1:31" s="2" customFormat="1" ht="12" customHeight="1">
      <c r="A18" s="271"/>
      <c r="B18" s="270"/>
      <c r="C18" s="271"/>
      <c r="D18" s="268" t="s">
        <v>22</v>
      </c>
      <c r="E18" s="271"/>
      <c r="F18" s="271"/>
      <c r="G18" s="271"/>
      <c r="H18" s="271"/>
      <c r="I18" s="268" t="s">
        <v>23</v>
      </c>
      <c r="J18" s="273" t="s">
        <v>3</v>
      </c>
      <c r="K18" s="271"/>
      <c r="L18" s="64"/>
      <c r="S18" s="23"/>
      <c r="T18" s="23"/>
      <c r="U18" s="23"/>
      <c r="V18" s="23"/>
      <c r="W18" s="23"/>
      <c r="X18" s="23"/>
      <c r="Y18" s="23"/>
      <c r="Z18" s="23"/>
      <c r="AA18" s="23"/>
      <c r="AB18" s="23"/>
      <c r="AC18" s="23"/>
      <c r="AD18" s="23"/>
      <c r="AE18" s="23"/>
    </row>
    <row r="19" spans="1:31" s="2" customFormat="1" ht="18" customHeight="1">
      <c r="A19" s="271"/>
      <c r="B19" s="270"/>
      <c r="C19" s="271"/>
      <c r="D19" s="271"/>
      <c r="E19" s="273" t="s">
        <v>24</v>
      </c>
      <c r="F19" s="271"/>
      <c r="G19" s="271"/>
      <c r="H19" s="271"/>
      <c r="I19" s="268" t="s">
        <v>25</v>
      </c>
      <c r="J19" s="273" t="s">
        <v>3</v>
      </c>
      <c r="K19" s="271"/>
      <c r="L19" s="64"/>
      <c r="S19" s="23"/>
      <c r="T19" s="23"/>
      <c r="U19" s="23"/>
      <c r="V19" s="23"/>
      <c r="W19" s="23"/>
      <c r="X19" s="23"/>
      <c r="Y19" s="23"/>
      <c r="Z19" s="23"/>
      <c r="AA19" s="23"/>
      <c r="AB19" s="23"/>
      <c r="AC19" s="23"/>
      <c r="AD19" s="23"/>
      <c r="AE19" s="23"/>
    </row>
    <row r="20" spans="1:31" s="2" customFormat="1" ht="6.95" customHeight="1">
      <c r="A20" s="271"/>
      <c r="B20" s="270"/>
      <c r="C20" s="271"/>
      <c r="D20" s="271"/>
      <c r="E20" s="271"/>
      <c r="F20" s="271"/>
      <c r="G20" s="271"/>
      <c r="H20" s="271"/>
      <c r="I20" s="271"/>
      <c r="J20" s="271"/>
      <c r="K20" s="271"/>
      <c r="L20" s="64"/>
      <c r="S20" s="23"/>
      <c r="T20" s="23"/>
      <c r="U20" s="23"/>
      <c r="V20" s="23"/>
      <c r="W20" s="23"/>
      <c r="X20" s="23"/>
      <c r="Y20" s="23"/>
      <c r="Z20" s="23"/>
      <c r="AA20" s="23"/>
      <c r="AB20" s="23"/>
      <c r="AC20" s="23"/>
      <c r="AD20" s="23"/>
      <c r="AE20" s="23"/>
    </row>
    <row r="21" spans="1:31" s="2" customFormat="1" ht="12" customHeight="1">
      <c r="A21" s="271"/>
      <c r="B21" s="270"/>
      <c r="C21" s="271"/>
      <c r="D21" s="268" t="s">
        <v>26</v>
      </c>
      <c r="E21" s="271"/>
      <c r="F21" s="271"/>
      <c r="G21" s="271"/>
      <c r="H21" s="271"/>
      <c r="I21" s="268" t="s">
        <v>23</v>
      </c>
      <c r="J21" s="273" t="str">
        <f>'Rekapitulace stavby'!AN13</f>
        <v/>
      </c>
      <c r="K21" s="271"/>
      <c r="L21" s="64"/>
      <c r="S21" s="23"/>
      <c r="T21" s="23"/>
      <c r="U21" s="23"/>
      <c r="V21" s="23"/>
      <c r="W21" s="23"/>
      <c r="X21" s="23"/>
      <c r="Y21" s="23"/>
      <c r="Z21" s="23"/>
      <c r="AA21" s="23"/>
      <c r="AB21" s="23"/>
      <c r="AC21" s="23"/>
      <c r="AD21" s="23"/>
      <c r="AE21" s="23"/>
    </row>
    <row r="22" spans="1:31" s="2" customFormat="1" ht="18" customHeight="1">
      <c r="A22" s="271"/>
      <c r="B22" s="270"/>
      <c r="C22" s="271"/>
      <c r="D22" s="271"/>
      <c r="E22" s="714" t="str">
        <f>'Rekapitulace stavby'!E14</f>
        <v xml:space="preserve"> </v>
      </c>
      <c r="F22" s="714"/>
      <c r="G22" s="714"/>
      <c r="H22" s="714"/>
      <c r="I22" s="268" t="s">
        <v>25</v>
      </c>
      <c r="J22" s="273" t="str">
        <f>'Rekapitulace stavby'!AN14</f>
        <v/>
      </c>
      <c r="K22" s="271"/>
      <c r="L22" s="64"/>
      <c r="S22" s="23"/>
      <c r="T22" s="23"/>
      <c r="U22" s="23"/>
      <c r="V22" s="23"/>
      <c r="W22" s="23"/>
      <c r="X22" s="23"/>
      <c r="Y22" s="23"/>
      <c r="Z22" s="23"/>
      <c r="AA22" s="23"/>
      <c r="AB22" s="23"/>
      <c r="AC22" s="23"/>
      <c r="AD22" s="23"/>
      <c r="AE22" s="23"/>
    </row>
    <row r="23" spans="1:31" s="2" customFormat="1" ht="6.95" customHeight="1">
      <c r="A23" s="271"/>
      <c r="B23" s="270"/>
      <c r="C23" s="271"/>
      <c r="D23" s="271"/>
      <c r="E23" s="271"/>
      <c r="F23" s="271"/>
      <c r="G23" s="271"/>
      <c r="H23" s="271"/>
      <c r="I23" s="271"/>
      <c r="J23" s="271"/>
      <c r="K23" s="271"/>
      <c r="L23" s="64"/>
      <c r="S23" s="23"/>
      <c r="T23" s="23"/>
      <c r="U23" s="23"/>
      <c r="V23" s="23"/>
      <c r="W23" s="23"/>
      <c r="X23" s="23"/>
      <c r="Y23" s="23"/>
      <c r="Z23" s="23"/>
      <c r="AA23" s="23"/>
      <c r="AB23" s="23"/>
      <c r="AC23" s="23"/>
      <c r="AD23" s="23"/>
      <c r="AE23" s="23"/>
    </row>
    <row r="24" spans="1:31" s="2" customFormat="1" ht="12" customHeight="1">
      <c r="A24" s="271"/>
      <c r="B24" s="270"/>
      <c r="C24" s="271"/>
      <c r="D24" s="268" t="s">
        <v>28</v>
      </c>
      <c r="E24" s="271"/>
      <c r="F24" s="271"/>
      <c r="G24" s="271"/>
      <c r="H24" s="271"/>
      <c r="I24" s="268" t="s">
        <v>23</v>
      </c>
      <c r="J24" s="273" t="s">
        <v>3</v>
      </c>
      <c r="K24" s="271"/>
      <c r="L24" s="64"/>
      <c r="S24" s="23"/>
      <c r="T24" s="23"/>
      <c r="U24" s="23"/>
      <c r="V24" s="23"/>
      <c r="W24" s="23"/>
      <c r="X24" s="23"/>
      <c r="Y24" s="23"/>
      <c r="Z24" s="23"/>
      <c r="AA24" s="23"/>
      <c r="AB24" s="23"/>
      <c r="AC24" s="23"/>
      <c r="AD24" s="23"/>
      <c r="AE24" s="23"/>
    </row>
    <row r="25" spans="1:31" s="2" customFormat="1" ht="18" customHeight="1">
      <c r="A25" s="271"/>
      <c r="B25" s="270"/>
      <c r="C25" s="271"/>
      <c r="D25" s="271"/>
      <c r="E25" s="273" t="s">
        <v>29</v>
      </c>
      <c r="F25" s="271"/>
      <c r="G25" s="271"/>
      <c r="H25" s="271"/>
      <c r="I25" s="268" t="s">
        <v>25</v>
      </c>
      <c r="J25" s="273" t="s">
        <v>3</v>
      </c>
      <c r="K25" s="271"/>
      <c r="L25" s="64"/>
      <c r="S25" s="23"/>
      <c r="T25" s="23"/>
      <c r="U25" s="23"/>
      <c r="V25" s="23"/>
      <c r="W25" s="23"/>
      <c r="X25" s="23"/>
      <c r="Y25" s="23"/>
      <c r="Z25" s="23"/>
      <c r="AA25" s="23"/>
      <c r="AB25" s="23"/>
      <c r="AC25" s="23"/>
      <c r="AD25" s="23"/>
      <c r="AE25" s="23"/>
    </row>
    <row r="26" spans="1:31" s="2" customFormat="1" ht="6.95" customHeight="1">
      <c r="A26" s="271"/>
      <c r="B26" s="270"/>
      <c r="C26" s="271"/>
      <c r="D26" s="271"/>
      <c r="E26" s="271"/>
      <c r="F26" s="271"/>
      <c r="G26" s="271"/>
      <c r="H26" s="271"/>
      <c r="I26" s="271"/>
      <c r="J26" s="271"/>
      <c r="K26" s="271"/>
      <c r="L26" s="64"/>
      <c r="S26" s="23"/>
      <c r="T26" s="23"/>
      <c r="U26" s="23"/>
      <c r="V26" s="23"/>
      <c r="W26" s="23"/>
      <c r="X26" s="23"/>
      <c r="Y26" s="23"/>
      <c r="Z26" s="23"/>
      <c r="AA26" s="23"/>
      <c r="AB26" s="23"/>
      <c r="AC26" s="23"/>
      <c r="AD26" s="23"/>
      <c r="AE26" s="23"/>
    </row>
    <row r="27" spans="1:31" s="2" customFormat="1" ht="12" customHeight="1">
      <c r="A27" s="271"/>
      <c r="B27" s="270"/>
      <c r="C27" s="271"/>
      <c r="D27" s="268" t="s">
        <v>31</v>
      </c>
      <c r="E27" s="271"/>
      <c r="F27" s="271"/>
      <c r="G27" s="271"/>
      <c r="H27" s="271"/>
      <c r="I27" s="268" t="s">
        <v>23</v>
      </c>
      <c r="J27" s="273" t="s">
        <v>3</v>
      </c>
      <c r="K27" s="271"/>
      <c r="L27" s="64"/>
      <c r="S27" s="23"/>
      <c r="T27" s="23"/>
      <c r="U27" s="23"/>
      <c r="V27" s="23"/>
      <c r="W27" s="23"/>
      <c r="X27" s="23"/>
      <c r="Y27" s="23"/>
      <c r="Z27" s="23"/>
      <c r="AA27" s="23"/>
      <c r="AB27" s="23"/>
      <c r="AC27" s="23"/>
      <c r="AD27" s="23"/>
      <c r="AE27" s="23"/>
    </row>
    <row r="28" spans="1:31" s="2" customFormat="1" ht="18" customHeight="1">
      <c r="A28" s="271"/>
      <c r="B28" s="270"/>
      <c r="C28" s="271"/>
      <c r="D28" s="271"/>
      <c r="E28" s="273" t="s">
        <v>29</v>
      </c>
      <c r="F28" s="271"/>
      <c r="G28" s="271"/>
      <c r="H28" s="271"/>
      <c r="I28" s="268" t="s">
        <v>25</v>
      </c>
      <c r="J28" s="273" t="s">
        <v>3</v>
      </c>
      <c r="K28" s="271"/>
      <c r="L28" s="64"/>
      <c r="S28" s="23"/>
      <c r="T28" s="23"/>
      <c r="U28" s="23"/>
      <c r="V28" s="23"/>
      <c r="W28" s="23"/>
      <c r="X28" s="23"/>
      <c r="Y28" s="23"/>
      <c r="Z28" s="23"/>
      <c r="AA28" s="23"/>
      <c r="AB28" s="23"/>
      <c r="AC28" s="23"/>
      <c r="AD28" s="23"/>
      <c r="AE28" s="23"/>
    </row>
    <row r="29" spans="1:31" s="2" customFormat="1" ht="6.95" customHeight="1">
      <c r="A29" s="271"/>
      <c r="B29" s="270"/>
      <c r="C29" s="271"/>
      <c r="D29" s="271"/>
      <c r="E29" s="271"/>
      <c r="F29" s="271"/>
      <c r="G29" s="271"/>
      <c r="H29" s="271"/>
      <c r="I29" s="271"/>
      <c r="J29" s="271"/>
      <c r="K29" s="271"/>
      <c r="L29" s="64"/>
      <c r="S29" s="23"/>
      <c r="T29" s="23"/>
      <c r="U29" s="23"/>
      <c r="V29" s="23"/>
      <c r="W29" s="23"/>
      <c r="X29" s="23"/>
      <c r="Y29" s="23"/>
      <c r="Z29" s="23"/>
      <c r="AA29" s="23"/>
      <c r="AB29" s="23"/>
      <c r="AC29" s="23"/>
      <c r="AD29" s="23"/>
      <c r="AE29" s="23"/>
    </row>
    <row r="30" spans="1:31" s="2" customFormat="1" ht="12" customHeight="1">
      <c r="A30" s="271"/>
      <c r="B30" s="270"/>
      <c r="C30" s="271"/>
      <c r="D30" s="268" t="s">
        <v>32</v>
      </c>
      <c r="E30" s="271"/>
      <c r="F30" s="271"/>
      <c r="G30" s="271"/>
      <c r="H30" s="271"/>
      <c r="I30" s="271"/>
      <c r="J30" s="271"/>
      <c r="K30" s="271"/>
      <c r="L30" s="64"/>
      <c r="S30" s="23"/>
      <c r="T30" s="23"/>
      <c r="U30" s="23"/>
      <c r="V30" s="23"/>
      <c r="W30" s="23"/>
      <c r="X30" s="23"/>
      <c r="Y30" s="23"/>
      <c r="Z30" s="23"/>
      <c r="AA30" s="23"/>
      <c r="AB30" s="23"/>
      <c r="AC30" s="23"/>
      <c r="AD30" s="23"/>
      <c r="AE30" s="23"/>
    </row>
    <row r="31" spans="1:31" s="8" customFormat="1" ht="14.45" customHeight="1">
      <c r="A31" s="274"/>
      <c r="B31" s="275"/>
      <c r="C31" s="274"/>
      <c r="D31" s="274"/>
      <c r="E31" s="707" t="s">
        <v>3</v>
      </c>
      <c r="F31" s="707"/>
      <c r="G31" s="707"/>
      <c r="H31" s="707"/>
      <c r="I31" s="274"/>
      <c r="J31" s="274"/>
      <c r="K31" s="274"/>
      <c r="L31" s="66"/>
      <c r="S31" s="65"/>
      <c r="T31" s="65"/>
      <c r="U31" s="65"/>
      <c r="V31" s="65"/>
      <c r="W31" s="65"/>
      <c r="X31" s="65"/>
      <c r="Y31" s="65"/>
      <c r="Z31" s="65"/>
      <c r="AA31" s="65"/>
      <c r="AB31" s="65"/>
      <c r="AC31" s="65"/>
      <c r="AD31" s="65"/>
      <c r="AE31" s="65"/>
    </row>
    <row r="32" spans="1:31" s="2" customFormat="1" ht="6.95" customHeight="1">
      <c r="A32" s="271"/>
      <c r="B32" s="270"/>
      <c r="C32" s="271"/>
      <c r="D32" s="271"/>
      <c r="E32" s="271"/>
      <c r="F32" s="271"/>
      <c r="G32" s="271"/>
      <c r="H32" s="271"/>
      <c r="I32" s="271"/>
      <c r="J32" s="271"/>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25.35" customHeight="1">
      <c r="A34" s="271"/>
      <c r="B34" s="270"/>
      <c r="C34" s="271"/>
      <c r="D34" s="277" t="s">
        <v>34</v>
      </c>
      <c r="E34" s="271"/>
      <c r="F34" s="271"/>
      <c r="G34" s="271"/>
      <c r="H34" s="271"/>
      <c r="I34" s="271"/>
      <c r="J34" s="388">
        <f>ROUND(J93, 2)</f>
        <v>0</v>
      </c>
      <c r="K34" s="271"/>
      <c r="L34" s="64"/>
      <c r="S34" s="23"/>
      <c r="T34" s="23"/>
      <c r="U34" s="23"/>
      <c r="V34" s="23"/>
      <c r="W34" s="23"/>
      <c r="X34" s="23"/>
      <c r="Y34" s="23"/>
      <c r="Z34" s="23"/>
      <c r="AA34" s="23"/>
      <c r="AB34" s="23"/>
      <c r="AC34" s="23"/>
      <c r="AD34" s="23"/>
      <c r="AE34" s="23"/>
    </row>
    <row r="35" spans="1:31" s="2" customFormat="1" ht="6.95" customHeight="1">
      <c r="A35" s="271"/>
      <c r="B35" s="270"/>
      <c r="C35" s="271"/>
      <c r="D35" s="276"/>
      <c r="E35" s="276"/>
      <c r="F35" s="276"/>
      <c r="G35" s="276"/>
      <c r="H35" s="276"/>
      <c r="I35" s="276"/>
      <c r="J35" s="276"/>
      <c r="K35" s="276"/>
      <c r="L35" s="64"/>
      <c r="S35" s="23"/>
      <c r="T35" s="23"/>
      <c r="U35" s="23"/>
      <c r="V35" s="23"/>
      <c r="W35" s="23"/>
      <c r="X35" s="23"/>
      <c r="Y35" s="23"/>
      <c r="Z35" s="23"/>
      <c r="AA35" s="23"/>
      <c r="AB35" s="23"/>
      <c r="AC35" s="23"/>
      <c r="AD35" s="23"/>
      <c r="AE35" s="23"/>
    </row>
    <row r="36" spans="1:31" s="2" customFormat="1" ht="14.45" customHeight="1">
      <c r="A36" s="271"/>
      <c r="B36" s="270"/>
      <c r="C36" s="271"/>
      <c r="D36" s="271"/>
      <c r="E36" s="271"/>
      <c r="F36" s="278" t="s">
        <v>36</v>
      </c>
      <c r="G36" s="271"/>
      <c r="H36" s="271"/>
      <c r="I36" s="278" t="s">
        <v>35</v>
      </c>
      <c r="J36" s="278" t="s">
        <v>37</v>
      </c>
      <c r="K36" s="271"/>
      <c r="L36" s="64"/>
      <c r="S36" s="23"/>
      <c r="T36" s="23"/>
      <c r="U36" s="23"/>
      <c r="V36" s="23"/>
      <c r="W36" s="23"/>
      <c r="X36" s="23"/>
      <c r="Y36" s="23"/>
      <c r="Z36" s="23"/>
      <c r="AA36" s="23"/>
      <c r="AB36" s="23"/>
      <c r="AC36" s="23"/>
      <c r="AD36" s="23"/>
      <c r="AE36" s="23"/>
    </row>
    <row r="37" spans="1:31" s="2" customFormat="1" ht="14.45" customHeight="1">
      <c r="A37" s="271"/>
      <c r="B37" s="270"/>
      <c r="C37" s="271"/>
      <c r="D37" s="279" t="s">
        <v>38</v>
      </c>
      <c r="E37" s="268" t="s">
        <v>39</v>
      </c>
      <c r="F37" s="280">
        <f>ROUND((SUM(BE93:BE96)),  2)</f>
        <v>0</v>
      </c>
      <c r="G37" s="271"/>
      <c r="H37" s="271"/>
      <c r="I37" s="389">
        <v>0.21</v>
      </c>
      <c r="J37" s="280">
        <f>ROUND(((SUM(BE93:BE96))*I37),  2)</f>
        <v>0</v>
      </c>
      <c r="K37" s="271"/>
      <c r="L37" s="64"/>
      <c r="S37" s="23"/>
      <c r="T37" s="23"/>
      <c r="U37" s="23"/>
      <c r="V37" s="23"/>
      <c r="W37" s="23"/>
      <c r="X37" s="23"/>
      <c r="Y37" s="23"/>
      <c r="Z37" s="23"/>
      <c r="AA37" s="23"/>
      <c r="AB37" s="23"/>
      <c r="AC37" s="23"/>
      <c r="AD37" s="23"/>
      <c r="AE37" s="23"/>
    </row>
    <row r="38" spans="1:31" s="2" customFormat="1" ht="14.45" customHeight="1">
      <c r="A38" s="271"/>
      <c r="B38" s="270"/>
      <c r="C38" s="271"/>
      <c r="D38" s="271"/>
      <c r="E38" s="268" t="s">
        <v>40</v>
      </c>
      <c r="F38" s="280">
        <f>ROUND((SUM(BF93:BF96)),  2)</f>
        <v>0</v>
      </c>
      <c r="G38" s="271"/>
      <c r="H38" s="271"/>
      <c r="I38" s="389">
        <v>0.15</v>
      </c>
      <c r="J38" s="280">
        <f>ROUND(((SUM(BF93:BF96))*I38),  2)</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41</v>
      </c>
      <c r="F39" s="280">
        <f>ROUND((SUM(BG93:BG96)),  2)</f>
        <v>0</v>
      </c>
      <c r="G39" s="271"/>
      <c r="H39" s="271"/>
      <c r="I39" s="389">
        <v>0.21</v>
      </c>
      <c r="J39" s="280">
        <f>0</f>
        <v>0</v>
      </c>
      <c r="K39" s="271"/>
      <c r="L39" s="64"/>
      <c r="S39" s="23"/>
      <c r="T39" s="23"/>
      <c r="U39" s="23"/>
      <c r="V39" s="23"/>
      <c r="W39" s="23"/>
      <c r="X39" s="23"/>
      <c r="Y39" s="23"/>
      <c r="Z39" s="23"/>
      <c r="AA39" s="23"/>
      <c r="AB39" s="23"/>
      <c r="AC39" s="23"/>
      <c r="AD39" s="23"/>
      <c r="AE39" s="23"/>
    </row>
    <row r="40" spans="1:31" s="2" customFormat="1" ht="14.45" hidden="1" customHeight="1">
      <c r="A40" s="271"/>
      <c r="B40" s="270"/>
      <c r="C40" s="271"/>
      <c r="D40" s="271"/>
      <c r="E40" s="268" t="s">
        <v>42</v>
      </c>
      <c r="F40" s="280">
        <f>ROUND((SUM(BH93:BH96)),  2)</f>
        <v>0</v>
      </c>
      <c r="G40" s="271"/>
      <c r="H40" s="271"/>
      <c r="I40" s="389">
        <v>0.15</v>
      </c>
      <c r="J40" s="280">
        <f>0</f>
        <v>0</v>
      </c>
      <c r="K40" s="271"/>
      <c r="L40" s="64"/>
      <c r="S40" s="23"/>
      <c r="T40" s="23"/>
      <c r="U40" s="23"/>
      <c r="V40" s="23"/>
      <c r="W40" s="23"/>
      <c r="X40" s="23"/>
      <c r="Y40" s="23"/>
      <c r="Z40" s="23"/>
      <c r="AA40" s="23"/>
      <c r="AB40" s="23"/>
      <c r="AC40" s="23"/>
      <c r="AD40" s="23"/>
      <c r="AE40" s="23"/>
    </row>
    <row r="41" spans="1:31" s="2" customFormat="1" ht="14.45" hidden="1" customHeight="1">
      <c r="A41" s="271"/>
      <c r="B41" s="270"/>
      <c r="C41" s="271"/>
      <c r="D41" s="271"/>
      <c r="E41" s="268" t="s">
        <v>43</v>
      </c>
      <c r="F41" s="280">
        <f>ROUND((SUM(BI93:BI96)),  2)</f>
        <v>0</v>
      </c>
      <c r="G41" s="271"/>
      <c r="H41" s="271"/>
      <c r="I41" s="389">
        <v>0</v>
      </c>
      <c r="J41" s="280">
        <f>0</f>
        <v>0</v>
      </c>
      <c r="K41" s="271"/>
      <c r="L41" s="64"/>
      <c r="S41" s="23"/>
      <c r="T41" s="23"/>
      <c r="U41" s="23"/>
      <c r="V41" s="23"/>
      <c r="W41" s="23"/>
      <c r="X41" s="23"/>
      <c r="Y41" s="23"/>
      <c r="Z41" s="23"/>
      <c r="AA41" s="23"/>
      <c r="AB41" s="23"/>
      <c r="AC41" s="23"/>
      <c r="AD41" s="23"/>
      <c r="AE41" s="23"/>
    </row>
    <row r="42" spans="1:31" s="2" customFormat="1" ht="6.95" customHeight="1">
      <c r="A42" s="271"/>
      <c r="B42" s="270"/>
      <c r="C42" s="271"/>
      <c r="D42" s="271"/>
      <c r="E42" s="271"/>
      <c r="F42" s="271"/>
      <c r="G42" s="271"/>
      <c r="H42" s="271"/>
      <c r="I42" s="271"/>
      <c r="J42" s="271"/>
      <c r="K42" s="271"/>
      <c r="L42" s="64"/>
      <c r="S42" s="23"/>
      <c r="T42" s="23"/>
      <c r="U42" s="23"/>
      <c r="V42" s="23"/>
      <c r="W42" s="23"/>
      <c r="X42" s="23"/>
      <c r="Y42" s="23"/>
      <c r="Z42" s="23"/>
      <c r="AA42" s="23"/>
      <c r="AB42" s="23"/>
      <c r="AC42" s="23"/>
      <c r="AD42" s="23"/>
      <c r="AE42" s="23"/>
    </row>
    <row r="43" spans="1:31" s="2" customFormat="1" ht="25.35" customHeight="1">
      <c r="A43" s="271"/>
      <c r="B43" s="270"/>
      <c r="C43" s="281"/>
      <c r="D43" s="282" t="s">
        <v>44</v>
      </c>
      <c r="E43" s="283"/>
      <c r="F43" s="283"/>
      <c r="G43" s="284" t="s">
        <v>45</v>
      </c>
      <c r="H43" s="285" t="s">
        <v>46</v>
      </c>
      <c r="I43" s="283"/>
      <c r="J43" s="390">
        <f>SUM(J34:J41)</f>
        <v>0</v>
      </c>
      <c r="K43" s="339"/>
      <c r="L43" s="64"/>
      <c r="S43" s="23"/>
      <c r="T43" s="23"/>
      <c r="U43" s="23"/>
      <c r="V43" s="23"/>
      <c r="W43" s="23"/>
      <c r="X43" s="23"/>
      <c r="Y43" s="23"/>
      <c r="Z43" s="23"/>
      <c r="AA43" s="23"/>
      <c r="AB43" s="23"/>
      <c r="AC43" s="23"/>
      <c r="AD43" s="23"/>
      <c r="AE43" s="23"/>
    </row>
    <row r="44" spans="1:31" s="2" customFormat="1" ht="14.45" customHeight="1">
      <c r="A44" s="271"/>
      <c r="B44" s="286"/>
      <c r="C44" s="287"/>
      <c r="D44" s="287"/>
      <c r="E44" s="287"/>
      <c r="F44" s="287"/>
      <c r="G44" s="287"/>
      <c r="H44" s="287"/>
      <c r="I44" s="287"/>
      <c r="J44" s="287"/>
      <c r="K44" s="287"/>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1"/>
      <c r="B48" s="288"/>
      <c r="C48" s="289"/>
      <c r="D48" s="289"/>
      <c r="E48" s="289"/>
      <c r="F48" s="289"/>
      <c r="G48" s="289"/>
      <c r="H48" s="289"/>
      <c r="I48" s="289"/>
      <c r="J48" s="289"/>
      <c r="K48" s="289"/>
      <c r="L48" s="64"/>
      <c r="S48" s="23"/>
      <c r="T48" s="23"/>
      <c r="U48" s="23"/>
      <c r="V48" s="23"/>
      <c r="W48" s="23"/>
      <c r="X48" s="23"/>
      <c r="Y48" s="23"/>
      <c r="Z48" s="23"/>
      <c r="AA48" s="23"/>
      <c r="AB48" s="23"/>
      <c r="AC48" s="23"/>
      <c r="AD48" s="23"/>
      <c r="AE48" s="23"/>
    </row>
    <row r="49" spans="1:31" s="2" customFormat="1" ht="24.95" customHeight="1">
      <c r="A49" s="271"/>
      <c r="B49" s="270"/>
      <c r="C49" s="266" t="s">
        <v>167</v>
      </c>
      <c r="D49" s="271"/>
      <c r="E49" s="271"/>
      <c r="F49" s="271"/>
      <c r="G49" s="271"/>
      <c r="H49" s="271"/>
      <c r="I49" s="271"/>
      <c r="J49" s="271"/>
      <c r="K49" s="271"/>
      <c r="L49" s="64"/>
      <c r="S49" s="23"/>
      <c r="T49" s="23"/>
      <c r="U49" s="23"/>
      <c r="V49" s="23"/>
      <c r="W49" s="23"/>
      <c r="X49" s="23"/>
      <c r="Y49" s="23"/>
      <c r="Z49" s="23"/>
      <c r="AA49" s="23"/>
      <c r="AB49" s="23"/>
      <c r="AC49" s="23"/>
      <c r="AD49" s="23"/>
      <c r="AE49" s="23"/>
    </row>
    <row r="50" spans="1:31" s="2" customFormat="1" ht="6.95" customHeight="1">
      <c r="A50" s="271"/>
      <c r="B50" s="270"/>
      <c r="C50" s="271"/>
      <c r="D50" s="271"/>
      <c r="E50" s="271"/>
      <c r="F50" s="271"/>
      <c r="G50" s="271"/>
      <c r="H50" s="271"/>
      <c r="I50" s="271"/>
      <c r="J50" s="271"/>
      <c r="K50" s="271"/>
      <c r="L50" s="64"/>
      <c r="S50" s="23"/>
      <c r="T50" s="23"/>
      <c r="U50" s="23"/>
      <c r="V50" s="23"/>
      <c r="W50" s="23"/>
      <c r="X50" s="23"/>
      <c r="Y50" s="23"/>
      <c r="Z50" s="23"/>
      <c r="AA50" s="23"/>
      <c r="AB50" s="23"/>
      <c r="AC50" s="23"/>
      <c r="AD50" s="23"/>
      <c r="AE50" s="23"/>
    </row>
    <row r="51" spans="1:31" s="2" customFormat="1" ht="12" customHeight="1">
      <c r="A51" s="271"/>
      <c r="B51" s="270"/>
      <c r="C51" s="268" t="s">
        <v>15</v>
      </c>
      <c r="D51" s="271"/>
      <c r="E51" s="271"/>
      <c r="F51" s="271"/>
      <c r="G51" s="271"/>
      <c r="H51" s="271"/>
      <c r="I51" s="271"/>
      <c r="J51" s="271"/>
      <c r="K51" s="271"/>
      <c r="L51" s="64"/>
      <c r="S51" s="23"/>
      <c r="T51" s="23"/>
      <c r="U51" s="23"/>
      <c r="V51" s="23"/>
      <c r="W51" s="23"/>
      <c r="X51" s="23"/>
      <c r="Y51" s="23"/>
      <c r="Z51" s="23"/>
      <c r="AA51" s="23"/>
      <c r="AB51" s="23"/>
      <c r="AC51" s="23"/>
      <c r="AD51" s="23"/>
      <c r="AE51" s="23"/>
    </row>
    <row r="52" spans="1:31" s="2" customFormat="1" ht="14.45" customHeight="1">
      <c r="A52" s="271"/>
      <c r="B52" s="270"/>
      <c r="C52" s="271"/>
      <c r="D52" s="271"/>
      <c r="E52" s="722" t="str">
        <f>E7</f>
        <v>Úpravy gastroprovozu Úřadu vlády ČR v 1.pp Strakovy akademie</v>
      </c>
      <c r="F52" s="723"/>
      <c r="G52" s="723"/>
      <c r="H52" s="723"/>
      <c r="I52" s="271"/>
      <c r="J52" s="271"/>
      <c r="K52" s="271"/>
      <c r="L52" s="64"/>
      <c r="S52" s="23"/>
      <c r="T52" s="23"/>
      <c r="U52" s="23"/>
      <c r="V52" s="23"/>
      <c r="W52" s="23"/>
      <c r="X52" s="23"/>
      <c r="Y52" s="23"/>
      <c r="Z52" s="23"/>
      <c r="AA52" s="23"/>
      <c r="AB52" s="23"/>
      <c r="AC52" s="23"/>
      <c r="AD52" s="23"/>
      <c r="AE52" s="23"/>
    </row>
    <row r="53" spans="1:31" s="1" customFormat="1" ht="12" customHeight="1">
      <c r="A53" s="61"/>
      <c r="B53" s="265"/>
      <c r="C53" s="268" t="s">
        <v>151</v>
      </c>
      <c r="D53" s="61"/>
      <c r="E53" s="61"/>
      <c r="F53" s="61"/>
      <c r="G53" s="61"/>
      <c r="H53" s="61"/>
      <c r="I53" s="61"/>
      <c r="J53" s="61"/>
      <c r="K53" s="61"/>
      <c r="L53" s="20"/>
    </row>
    <row r="54" spans="1:31" s="1" customFormat="1" ht="14.45" customHeight="1">
      <c r="A54" s="61"/>
      <c r="B54" s="265"/>
      <c r="C54" s="61"/>
      <c r="D54" s="61"/>
      <c r="E54" s="722" t="s">
        <v>1759</v>
      </c>
      <c r="F54" s="715"/>
      <c r="G54" s="715"/>
      <c r="H54" s="715"/>
      <c r="I54" s="61"/>
      <c r="J54" s="61"/>
      <c r="K54" s="61"/>
      <c r="L54" s="20"/>
    </row>
    <row r="55" spans="1:31" s="1" customFormat="1" ht="12" customHeight="1">
      <c r="A55" s="61"/>
      <c r="B55" s="265"/>
      <c r="C55" s="268" t="s">
        <v>157</v>
      </c>
      <c r="D55" s="61"/>
      <c r="E55" s="61"/>
      <c r="F55" s="61"/>
      <c r="G55" s="61"/>
      <c r="H55" s="61"/>
      <c r="I55" s="61"/>
      <c r="J55" s="61"/>
      <c r="K55" s="61"/>
      <c r="L55" s="20"/>
    </row>
    <row r="56" spans="1:31" s="2" customFormat="1" ht="14.45" customHeight="1">
      <c r="A56" s="271"/>
      <c r="B56" s="270"/>
      <c r="C56" s="271"/>
      <c r="D56" s="271"/>
      <c r="E56" s="762" t="s">
        <v>1776</v>
      </c>
      <c r="F56" s="721"/>
      <c r="G56" s="721"/>
      <c r="H56" s="721"/>
      <c r="I56" s="271"/>
      <c r="J56" s="271"/>
      <c r="K56" s="271"/>
      <c r="L56" s="64"/>
      <c r="S56" s="23"/>
      <c r="T56" s="23"/>
      <c r="U56" s="23"/>
      <c r="V56" s="23"/>
      <c r="W56" s="23"/>
      <c r="X56" s="23"/>
      <c r="Y56" s="23"/>
      <c r="Z56" s="23"/>
      <c r="AA56" s="23"/>
      <c r="AB56" s="23"/>
      <c r="AC56" s="23"/>
      <c r="AD56" s="23"/>
      <c r="AE56" s="23"/>
    </row>
    <row r="57" spans="1:31" s="2" customFormat="1" ht="12" customHeight="1">
      <c r="A57" s="271"/>
      <c r="B57" s="270"/>
      <c r="C57" s="268" t="s">
        <v>1777</v>
      </c>
      <c r="D57" s="271"/>
      <c r="E57" s="271"/>
      <c r="F57" s="271"/>
      <c r="G57" s="271"/>
      <c r="H57" s="271"/>
      <c r="I57" s="271"/>
      <c r="J57" s="271"/>
      <c r="K57" s="271"/>
      <c r="L57" s="64"/>
      <c r="S57" s="23"/>
      <c r="T57" s="23"/>
      <c r="U57" s="23"/>
      <c r="V57" s="23"/>
      <c r="W57" s="23"/>
      <c r="X57" s="23"/>
      <c r="Y57" s="23"/>
      <c r="Z57" s="23"/>
      <c r="AA57" s="23"/>
      <c r="AB57" s="23"/>
      <c r="AC57" s="23"/>
      <c r="AD57" s="23"/>
      <c r="AE57" s="23"/>
    </row>
    <row r="58" spans="1:31" s="2" customFormat="1" ht="14.45" customHeight="1">
      <c r="A58" s="271"/>
      <c r="B58" s="270"/>
      <c r="C58" s="271"/>
      <c r="D58" s="271"/>
      <c r="E58" s="689" t="str">
        <f>E13</f>
        <v>D.1.4.04.4 - Soupis prací - SLB-IT</v>
      </c>
      <c r="F58" s="721"/>
      <c r="G58" s="721"/>
      <c r="H58" s="721"/>
      <c r="I58" s="271"/>
      <c r="J58" s="271"/>
      <c r="K58" s="271"/>
      <c r="L58" s="64"/>
      <c r="S58" s="23"/>
      <c r="T58" s="23"/>
      <c r="U58" s="23"/>
      <c r="V58" s="23"/>
      <c r="W58" s="23"/>
      <c r="X58" s="23"/>
      <c r="Y58" s="23"/>
      <c r="Z58" s="23"/>
      <c r="AA58" s="23"/>
      <c r="AB58" s="23"/>
      <c r="AC58" s="23"/>
      <c r="AD58" s="23"/>
      <c r="AE58" s="23"/>
    </row>
    <row r="59" spans="1:31" s="2" customFormat="1" ht="6.95" customHeight="1">
      <c r="A59" s="271"/>
      <c r="B59" s="270"/>
      <c r="C59" s="271"/>
      <c r="D59" s="271"/>
      <c r="E59" s="271"/>
      <c r="F59" s="271"/>
      <c r="G59" s="271"/>
      <c r="H59" s="271"/>
      <c r="I59" s="271"/>
      <c r="J59" s="271"/>
      <c r="K59" s="271"/>
      <c r="L59" s="64"/>
      <c r="S59" s="23"/>
      <c r="T59" s="23"/>
      <c r="U59" s="23"/>
      <c r="V59" s="23"/>
      <c r="W59" s="23"/>
      <c r="X59" s="23"/>
      <c r="Y59" s="23"/>
      <c r="Z59" s="23"/>
      <c r="AA59" s="23"/>
      <c r="AB59" s="23"/>
      <c r="AC59" s="23"/>
      <c r="AD59" s="23"/>
      <c r="AE59" s="23"/>
    </row>
    <row r="60" spans="1:31" s="2" customFormat="1" ht="12" customHeight="1">
      <c r="A60" s="271"/>
      <c r="B60" s="270"/>
      <c r="C60" s="268" t="s">
        <v>19</v>
      </c>
      <c r="D60" s="271"/>
      <c r="E60" s="271"/>
      <c r="F60" s="273" t="str">
        <f>F16</f>
        <v xml:space="preserve"> </v>
      </c>
      <c r="G60" s="271"/>
      <c r="H60" s="271"/>
      <c r="I60" s="268" t="s">
        <v>21</v>
      </c>
      <c r="J60" s="387">
        <f>IF(J16="","",J16)</f>
        <v>44077</v>
      </c>
      <c r="K60" s="271"/>
      <c r="L60" s="64"/>
      <c r="S60" s="23"/>
      <c r="T60" s="23"/>
      <c r="U60" s="23"/>
      <c r="V60" s="23"/>
      <c r="W60" s="23"/>
      <c r="X60" s="23"/>
      <c r="Y60" s="23"/>
      <c r="Z60" s="23"/>
      <c r="AA60" s="23"/>
      <c r="AB60" s="23"/>
      <c r="AC60" s="23"/>
      <c r="AD60" s="23"/>
      <c r="AE60" s="23"/>
    </row>
    <row r="61" spans="1:31" s="2" customFormat="1" ht="6.95" customHeight="1">
      <c r="A61" s="271"/>
      <c r="B61" s="270"/>
      <c r="C61" s="271"/>
      <c r="D61" s="271"/>
      <c r="E61" s="271"/>
      <c r="F61" s="271"/>
      <c r="G61" s="271"/>
      <c r="H61" s="271"/>
      <c r="I61" s="271"/>
      <c r="J61" s="271"/>
      <c r="K61" s="271"/>
      <c r="L61" s="64"/>
      <c r="S61" s="23"/>
      <c r="T61" s="23"/>
      <c r="U61" s="23"/>
      <c r="V61" s="23"/>
      <c r="W61" s="23"/>
      <c r="X61" s="23"/>
      <c r="Y61" s="23"/>
      <c r="Z61" s="23"/>
      <c r="AA61" s="23"/>
      <c r="AB61" s="23"/>
      <c r="AC61" s="23"/>
      <c r="AD61" s="23"/>
      <c r="AE61" s="23"/>
    </row>
    <row r="62" spans="1:31" s="2" customFormat="1" ht="26.45" customHeight="1">
      <c r="A62" s="271"/>
      <c r="B62" s="270"/>
      <c r="C62" s="268" t="s">
        <v>22</v>
      </c>
      <c r="D62" s="271"/>
      <c r="E62" s="271"/>
      <c r="F62" s="273" t="str">
        <f>E19</f>
        <v xml:space="preserve">Úřad vlády České republiky </v>
      </c>
      <c r="G62" s="271"/>
      <c r="H62" s="271"/>
      <c r="I62" s="268" t="s">
        <v>28</v>
      </c>
      <c r="J62" s="391" t="str">
        <f>E25</f>
        <v>Ateliér Simona Group</v>
      </c>
      <c r="K62" s="271"/>
      <c r="L62" s="64"/>
      <c r="S62" s="23"/>
      <c r="T62" s="23"/>
      <c r="U62" s="23"/>
      <c r="V62" s="23"/>
      <c r="W62" s="23"/>
      <c r="X62" s="23"/>
      <c r="Y62" s="23"/>
      <c r="Z62" s="23"/>
      <c r="AA62" s="23"/>
      <c r="AB62" s="23"/>
      <c r="AC62" s="23"/>
      <c r="AD62" s="23"/>
      <c r="AE62" s="23"/>
    </row>
    <row r="63" spans="1:31" s="2" customFormat="1" ht="26.45" customHeight="1">
      <c r="A63" s="271"/>
      <c r="B63" s="270"/>
      <c r="C63" s="268" t="s">
        <v>26</v>
      </c>
      <c r="D63" s="271"/>
      <c r="E63" s="271"/>
      <c r="F63" s="273" t="str">
        <f>IF(E22="","",E22)</f>
        <v xml:space="preserve"> </v>
      </c>
      <c r="G63" s="271"/>
      <c r="H63" s="271"/>
      <c r="I63" s="268" t="s">
        <v>31</v>
      </c>
      <c r="J63" s="391" t="str">
        <f>E28</f>
        <v>Ateliér Simona Group</v>
      </c>
      <c r="K63" s="271"/>
      <c r="L63" s="64"/>
      <c r="S63" s="23"/>
      <c r="T63" s="23"/>
      <c r="U63" s="23"/>
      <c r="V63" s="23"/>
      <c r="W63" s="23"/>
      <c r="X63" s="23"/>
      <c r="Y63" s="23"/>
      <c r="Z63" s="23"/>
      <c r="AA63" s="23"/>
      <c r="AB63" s="23"/>
      <c r="AC63" s="23"/>
      <c r="AD63" s="23"/>
      <c r="AE63" s="23"/>
    </row>
    <row r="64" spans="1:31" s="2" customFormat="1" ht="10.35" customHeight="1">
      <c r="A64" s="271"/>
      <c r="B64" s="270"/>
      <c r="C64" s="271"/>
      <c r="D64" s="271"/>
      <c r="E64" s="271"/>
      <c r="F64" s="271"/>
      <c r="G64" s="271"/>
      <c r="H64" s="271"/>
      <c r="I64" s="271"/>
      <c r="J64" s="271"/>
      <c r="K64" s="271"/>
      <c r="L64" s="64"/>
      <c r="S64" s="23"/>
      <c r="T64" s="23"/>
      <c r="U64" s="23"/>
      <c r="V64" s="23"/>
      <c r="W64" s="23"/>
      <c r="X64" s="23"/>
      <c r="Y64" s="23"/>
      <c r="Z64" s="23"/>
      <c r="AA64" s="23"/>
      <c r="AB64" s="23"/>
      <c r="AC64" s="23"/>
      <c r="AD64" s="23"/>
      <c r="AE64" s="23"/>
    </row>
    <row r="65" spans="1:47" s="2" customFormat="1" ht="29.25" customHeight="1">
      <c r="A65" s="271"/>
      <c r="B65" s="270"/>
      <c r="C65" s="290" t="s">
        <v>168</v>
      </c>
      <c r="D65" s="281"/>
      <c r="E65" s="281"/>
      <c r="F65" s="281"/>
      <c r="G65" s="281"/>
      <c r="H65" s="281"/>
      <c r="I65" s="281"/>
      <c r="J65" s="392" t="s">
        <v>169</v>
      </c>
      <c r="K65" s="281"/>
      <c r="L65" s="64"/>
      <c r="S65" s="23"/>
      <c r="T65" s="23"/>
      <c r="U65" s="23"/>
      <c r="V65" s="23"/>
      <c r="W65" s="23"/>
      <c r="X65" s="23"/>
      <c r="Y65" s="23"/>
      <c r="Z65" s="23"/>
      <c r="AA65" s="23"/>
      <c r="AB65" s="23"/>
      <c r="AC65" s="23"/>
      <c r="AD65" s="23"/>
      <c r="AE65" s="23"/>
    </row>
    <row r="66" spans="1:47" s="2" customFormat="1" ht="10.35" customHeight="1">
      <c r="A66" s="271"/>
      <c r="B66" s="270"/>
      <c r="C66" s="271"/>
      <c r="D66" s="271"/>
      <c r="E66" s="271"/>
      <c r="F66" s="271"/>
      <c r="G66" s="271"/>
      <c r="H66" s="271"/>
      <c r="I66" s="271"/>
      <c r="J66" s="271"/>
      <c r="K66" s="271"/>
      <c r="L66" s="64"/>
      <c r="S66" s="23"/>
      <c r="T66" s="23"/>
      <c r="U66" s="23"/>
      <c r="V66" s="23"/>
      <c r="W66" s="23"/>
      <c r="X66" s="23"/>
      <c r="Y66" s="23"/>
      <c r="Z66" s="23"/>
      <c r="AA66" s="23"/>
      <c r="AB66" s="23"/>
      <c r="AC66" s="23"/>
      <c r="AD66" s="23"/>
      <c r="AE66" s="23"/>
    </row>
    <row r="67" spans="1:47" s="2" customFormat="1" ht="22.9" customHeight="1">
      <c r="A67" s="271"/>
      <c r="B67" s="270"/>
      <c r="C67" s="291" t="s">
        <v>66</v>
      </c>
      <c r="D67" s="271"/>
      <c r="E67" s="271"/>
      <c r="F67" s="271"/>
      <c r="G67" s="271"/>
      <c r="H67" s="271"/>
      <c r="I67" s="271"/>
      <c r="J67" s="388">
        <f>J93</f>
        <v>0</v>
      </c>
      <c r="K67" s="271"/>
      <c r="L67" s="64"/>
      <c r="S67" s="23"/>
      <c r="T67" s="23"/>
      <c r="U67" s="23"/>
      <c r="V67" s="23"/>
      <c r="W67" s="23"/>
      <c r="X67" s="23"/>
      <c r="Y67" s="23"/>
      <c r="Z67" s="23"/>
      <c r="AA67" s="23"/>
      <c r="AB67" s="23"/>
      <c r="AC67" s="23"/>
      <c r="AD67" s="23"/>
      <c r="AE67" s="23"/>
      <c r="AU67" s="19" t="s">
        <v>170</v>
      </c>
    </row>
    <row r="68" spans="1:47" s="9" customFormat="1" ht="24.95" customHeight="1">
      <c r="A68" s="292"/>
      <c r="B68" s="293"/>
      <c r="C68" s="292"/>
      <c r="D68" s="294" t="s">
        <v>181</v>
      </c>
      <c r="E68" s="295"/>
      <c r="F68" s="295"/>
      <c r="G68" s="295"/>
      <c r="H68" s="295"/>
      <c r="I68" s="295"/>
      <c r="J68" s="393">
        <f>J94</f>
        <v>0</v>
      </c>
      <c r="K68" s="292"/>
      <c r="L68" s="67"/>
    </row>
    <row r="69" spans="1:47" s="10" customFormat="1" ht="19.899999999999999" customHeight="1">
      <c r="A69" s="246"/>
      <c r="B69" s="296"/>
      <c r="C69" s="246"/>
      <c r="D69" s="297" t="s">
        <v>185</v>
      </c>
      <c r="E69" s="298"/>
      <c r="F69" s="298"/>
      <c r="G69" s="298"/>
      <c r="H69" s="298"/>
      <c r="I69" s="298"/>
      <c r="J69" s="394">
        <f>J95</f>
        <v>0</v>
      </c>
      <c r="K69" s="246"/>
      <c r="L69" s="68"/>
    </row>
    <row r="70" spans="1:47" s="2" customFormat="1" ht="21.75" customHeight="1">
      <c r="A70" s="271"/>
      <c r="B70" s="270"/>
      <c r="C70" s="271"/>
      <c r="D70" s="271"/>
      <c r="E70" s="271"/>
      <c r="F70" s="271"/>
      <c r="G70" s="271"/>
      <c r="H70" s="271"/>
      <c r="I70" s="271"/>
      <c r="J70" s="271"/>
      <c r="K70" s="271"/>
      <c r="L70" s="64"/>
      <c r="S70" s="23"/>
      <c r="T70" s="23"/>
      <c r="U70" s="23"/>
      <c r="V70" s="23"/>
      <c r="W70" s="23"/>
      <c r="X70" s="23"/>
      <c r="Y70" s="23"/>
      <c r="Z70" s="23"/>
      <c r="AA70" s="23"/>
      <c r="AB70" s="23"/>
      <c r="AC70" s="23"/>
      <c r="AD70" s="23"/>
      <c r="AE70" s="23"/>
    </row>
    <row r="71" spans="1:47" s="2" customFormat="1" ht="6.95" customHeight="1">
      <c r="A71" s="271"/>
      <c r="B71" s="286"/>
      <c r="C71" s="287"/>
      <c r="D71" s="287"/>
      <c r="E71" s="287"/>
      <c r="F71" s="287"/>
      <c r="G71" s="287"/>
      <c r="H71" s="287"/>
      <c r="I71" s="287"/>
      <c r="J71" s="287"/>
      <c r="K71" s="287"/>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1"/>
      <c r="B75" s="288"/>
      <c r="C75" s="289"/>
      <c r="D75" s="289"/>
      <c r="E75" s="289"/>
      <c r="F75" s="289"/>
      <c r="G75" s="289"/>
      <c r="H75" s="289"/>
      <c r="I75" s="289"/>
      <c r="J75" s="289"/>
      <c r="K75" s="289"/>
      <c r="L75" s="64"/>
      <c r="S75" s="23"/>
      <c r="T75" s="23"/>
      <c r="U75" s="23"/>
      <c r="V75" s="23"/>
      <c r="W75" s="23"/>
      <c r="X75" s="23"/>
      <c r="Y75" s="23"/>
      <c r="Z75" s="23"/>
      <c r="AA75" s="23"/>
      <c r="AB75" s="23"/>
      <c r="AC75" s="23"/>
      <c r="AD75" s="23"/>
      <c r="AE75" s="23"/>
    </row>
    <row r="76" spans="1:47" s="2" customFormat="1" ht="24.95" customHeight="1">
      <c r="A76" s="271"/>
      <c r="B76" s="270"/>
      <c r="C76" s="266" t="s">
        <v>201</v>
      </c>
      <c r="D76" s="271"/>
      <c r="E76" s="271"/>
      <c r="F76" s="271"/>
      <c r="G76" s="271"/>
      <c r="H76" s="271"/>
      <c r="I76" s="271"/>
      <c r="J76" s="271"/>
      <c r="K76" s="271"/>
      <c r="L76" s="64"/>
      <c r="S76" s="23"/>
      <c r="T76" s="23"/>
      <c r="U76" s="23"/>
      <c r="V76" s="23"/>
      <c r="W76" s="23"/>
      <c r="X76" s="23"/>
      <c r="Y76" s="23"/>
      <c r="Z76" s="23"/>
      <c r="AA76" s="23"/>
      <c r="AB76" s="23"/>
      <c r="AC76" s="23"/>
      <c r="AD76" s="23"/>
      <c r="AE76" s="23"/>
    </row>
    <row r="77" spans="1:47" s="2" customFormat="1" ht="6.95" customHeight="1">
      <c r="A77" s="271"/>
      <c r="B77" s="270"/>
      <c r="C77" s="271"/>
      <c r="D77" s="271"/>
      <c r="E77" s="271"/>
      <c r="F77" s="271"/>
      <c r="G77" s="271"/>
      <c r="H77" s="271"/>
      <c r="I77" s="271"/>
      <c r="J77" s="271"/>
      <c r="K77" s="271"/>
      <c r="L77" s="64"/>
      <c r="S77" s="23"/>
      <c r="T77" s="23"/>
      <c r="U77" s="23"/>
      <c r="V77" s="23"/>
      <c r="W77" s="23"/>
      <c r="X77" s="23"/>
      <c r="Y77" s="23"/>
      <c r="Z77" s="23"/>
      <c r="AA77" s="23"/>
      <c r="AB77" s="23"/>
      <c r="AC77" s="23"/>
      <c r="AD77" s="23"/>
      <c r="AE77" s="23"/>
    </row>
    <row r="78" spans="1:47" s="2" customFormat="1" ht="12" customHeight="1">
      <c r="A78" s="271"/>
      <c r="B78" s="270"/>
      <c r="C78" s="268" t="s">
        <v>15</v>
      </c>
      <c r="D78" s="271"/>
      <c r="E78" s="271"/>
      <c r="F78" s="271"/>
      <c r="G78" s="271"/>
      <c r="H78" s="271"/>
      <c r="I78" s="271"/>
      <c r="J78" s="271"/>
      <c r="K78" s="271"/>
      <c r="L78" s="64"/>
      <c r="S78" s="23"/>
      <c r="T78" s="23"/>
      <c r="U78" s="23"/>
      <c r="V78" s="23"/>
      <c r="W78" s="23"/>
      <c r="X78" s="23"/>
      <c r="Y78" s="23"/>
      <c r="Z78" s="23"/>
      <c r="AA78" s="23"/>
      <c r="AB78" s="23"/>
      <c r="AC78" s="23"/>
      <c r="AD78" s="23"/>
      <c r="AE78" s="23"/>
    </row>
    <row r="79" spans="1:47" s="2" customFormat="1" ht="14.45" customHeight="1">
      <c r="A79" s="271"/>
      <c r="B79" s="270"/>
      <c r="C79" s="271"/>
      <c r="D79" s="271"/>
      <c r="E79" s="722" t="str">
        <f>E7</f>
        <v>Úpravy gastroprovozu Úřadu vlády ČR v 1.pp Strakovy akademie</v>
      </c>
      <c r="F79" s="723"/>
      <c r="G79" s="723"/>
      <c r="H79" s="723"/>
      <c r="I79" s="271"/>
      <c r="J79" s="271"/>
      <c r="K79" s="271"/>
      <c r="L79" s="64"/>
      <c r="S79" s="23"/>
      <c r="T79" s="23"/>
      <c r="U79" s="23"/>
      <c r="V79" s="23"/>
      <c r="W79" s="23"/>
      <c r="X79" s="23"/>
      <c r="Y79" s="23"/>
      <c r="Z79" s="23"/>
      <c r="AA79" s="23"/>
      <c r="AB79" s="23"/>
      <c r="AC79" s="23"/>
      <c r="AD79" s="23"/>
      <c r="AE79" s="23"/>
    </row>
    <row r="80" spans="1:47" s="1" customFormat="1" ht="12" customHeight="1">
      <c r="A80" s="61"/>
      <c r="B80" s="265"/>
      <c r="C80" s="268" t="s">
        <v>151</v>
      </c>
      <c r="D80" s="61"/>
      <c r="E80" s="61"/>
      <c r="F80" s="61"/>
      <c r="G80" s="61"/>
      <c r="H80" s="61"/>
      <c r="I80" s="61"/>
      <c r="J80" s="61"/>
      <c r="K80" s="61"/>
      <c r="L80" s="20"/>
    </row>
    <row r="81" spans="1:65" s="1" customFormat="1" ht="14.45" customHeight="1">
      <c r="A81" s="61"/>
      <c r="B81" s="265"/>
      <c r="C81" s="61"/>
      <c r="D81" s="61"/>
      <c r="E81" s="722" t="s">
        <v>1759</v>
      </c>
      <c r="F81" s="715"/>
      <c r="G81" s="715"/>
      <c r="H81" s="715"/>
      <c r="I81" s="61"/>
      <c r="J81" s="61"/>
      <c r="K81" s="61"/>
      <c r="L81" s="20"/>
    </row>
    <row r="82" spans="1:65" s="1" customFormat="1" ht="12" customHeight="1">
      <c r="A82" s="61"/>
      <c r="B82" s="265"/>
      <c r="C82" s="268" t="s">
        <v>157</v>
      </c>
      <c r="D82" s="61"/>
      <c r="E82" s="61"/>
      <c r="F82" s="61"/>
      <c r="G82" s="61"/>
      <c r="H82" s="61"/>
      <c r="I82" s="61"/>
      <c r="J82" s="61"/>
      <c r="K82" s="61"/>
      <c r="L82" s="20"/>
    </row>
    <row r="83" spans="1:65" s="2" customFormat="1" ht="14.45" customHeight="1">
      <c r="A83" s="271"/>
      <c r="B83" s="270"/>
      <c r="C83" s="271"/>
      <c r="D83" s="271"/>
      <c r="E83" s="762" t="s">
        <v>1776</v>
      </c>
      <c r="F83" s="721"/>
      <c r="G83" s="721"/>
      <c r="H83" s="721"/>
      <c r="I83" s="271"/>
      <c r="J83" s="271"/>
      <c r="K83" s="271"/>
      <c r="L83" s="64"/>
      <c r="S83" s="23"/>
      <c r="T83" s="23"/>
      <c r="U83" s="23"/>
      <c r="V83" s="23"/>
      <c r="W83" s="23"/>
      <c r="X83" s="23"/>
      <c r="Y83" s="23"/>
      <c r="Z83" s="23"/>
      <c r="AA83" s="23"/>
      <c r="AB83" s="23"/>
      <c r="AC83" s="23"/>
      <c r="AD83" s="23"/>
      <c r="AE83" s="23"/>
    </row>
    <row r="84" spans="1:65" s="2" customFormat="1" ht="12" customHeight="1">
      <c r="A84" s="271"/>
      <c r="B84" s="270"/>
      <c r="C84" s="268" t="s">
        <v>1777</v>
      </c>
      <c r="D84" s="271"/>
      <c r="E84" s="271"/>
      <c r="F84" s="271"/>
      <c r="G84" s="271"/>
      <c r="H84" s="271"/>
      <c r="I84" s="271"/>
      <c r="J84" s="271"/>
      <c r="K84" s="271"/>
      <c r="L84" s="64"/>
      <c r="S84" s="23"/>
      <c r="T84" s="23"/>
      <c r="U84" s="23"/>
      <c r="V84" s="23"/>
      <c r="W84" s="23"/>
      <c r="X84" s="23"/>
      <c r="Y84" s="23"/>
      <c r="Z84" s="23"/>
      <c r="AA84" s="23"/>
      <c r="AB84" s="23"/>
      <c r="AC84" s="23"/>
      <c r="AD84" s="23"/>
      <c r="AE84" s="23"/>
    </row>
    <row r="85" spans="1:65" s="2" customFormat="1" ht="14.45" customHeight="1">
      <c r="A85" s="271"/>
      <c r="B85" s="270"/>
      <c r="C85" s="271"/>
      <c r="D85" s="271"/>
      <c r="E85" s="689" t="str">
        <f>E13</f>
        <v>D.1.4.04.4 - Soupis prací - SLB-IT</v>
      </c>
      <c r="F85" s="721"/>
      <c r="G85" s="721"/>
      <c r="H85" s="721"/>
      <c r="I85" s="271"/>
      <c r="J85" s="271"/>
      <c r="K85" s="271"/>
      <c r="L85" s="64"/>
      <c r="S85" s="23"/>
      <c r="T85" s="23"/>
      <c r="U85" s="23"/>
      <c r="V85" s="23"/>
      <c r="W85" s="23"/>
      <c r="X85" s="23"/>
      <c r="Y85" s="23"/>
      <c r="Z85" s="23"/>
      <c r="AA85" s="23"/>
      <c r="AB85" s="23"/>
      <c r="AC85" s="23"/>
      <c r="AD85" s="23"/>
      <c r="AE85" s="23"/>
    </row>
    <row r="86" spans="1:65" s="2" customFormat="1" ht="6.95" customHeight="1">
      <c r="A86" s="271"/>
      <c r="B86" s="270"/>
      <c r="C86" s="271"/>
      <c r="D86" s="271"/>
      <c r="E86" s="271"/>
      <c r="F86" s="271"/>
      <c r="G86" s="271"/>
      <c r="H86" s="271"/>
      <c r="I86" s="271"/>
      <c r="J86" s="271"/>
      <c r="K86" s="271"/>
      <c r="L86" s="64"/>
      <c r="S86" s="23"/>
      <c r="T86" s="23"/>
      <c r="U86" s="23"/>
      <c r="V86" s="23"/>
      <c r="W86" s="23"/>
      <c r="X86" s="23"/>
      <c r="Y86" s="23"/>
      <c r="Z86" s="23"/>
      <c r="AA86" s="23"/>
      <c r="AB86" s="23"/>
      <c r="AC86" s="23"/>
      <c r="AD86" s="23"/>
      <c r="AE86" s="23"/>
    </row>
    <row r="87" spans="1:65" s="2" customFormat="1" ht="12" customHeight="1">
      <c r="A87" s="271"/>
      <c r="B87" s="270"/>
      <c r="C87" s="268" t="s">
        <v>19</v>
      </c>
      <c r="D87" s="271"/>
      <c r="E87" s="271"/>
      <c r="F87" s="273" t="str">
        <f>F16</f>
        <v xml:space="preserve"> </v>
      </c>
      <c r="G87" s="271"/>
      <c r="H87" s="271"/>
      <c r="I87" s="268" t="s">
        <v>21</v>
      </c>
      <c r="J87" s="387">
        <f>IF(J16="","",J16)</f>
        <v>44077</v>
      </c>
      <c r="K87" s="271"/>
      <c r="L87" s="64"/>
      <c r="S87" s="23"/>
      <c r="T87" s="23"/>
      <c r="U87" s="23"/>
      <c r="V87" s="23"/>
      <c r="W87" s="23"/>
      <c r="X87" s="23"/>
      <c r="Y87" s="23"/>
      <c r="Z87" s="23"/>
      <c r="AA87" s="23"/>
      <c r="AB87" s="23"/>
      <c r="AC87" s="23"/>
      <c r="AD87" s="23"/>
      <c r="AE87" s="23"/>
    </row>
    <row r="88" spans="1:65" s="2" customFormat="1" ht="6.95" customHeight="1">
      <c r="A88" s="271"/>
      <c r="B88" s="270"/>
      <c r="C88" s="271"/>
      <c r="D88" s="271"/>
      <c r="E88" s="271"/>
      <c r="F88" s="271"/>
      <c r="G88" s="271"/>
      <c r="H88" s="271"/>
      <c r="I88" s="271"/>
      <c r="J88" s="271"/>
      <c r="K88" s="271"/>
      <c r="L88" s="64"/>
      <c r="S88" s="23"/>
      <c r="T88" s="23"/>
      <c r="U88" s="23"/>
      <c r="V88" s="23"/>
      <c r="W88" s="23"/>
      <c r="X88" s="23"/>
      <c r="Y88" s="23"/>
      <c r="Z88" s="23"/>
      <c r="AA88" s="23"/>
      <c r="AB88" s="23"/>
      <c r="AC88" s="23"/>
      <c r="AD88" s="23"/>
      <c r="AE88" s="23"/>
    </row>
    <row r="89" spans="1:65" s="2" customFormat="1" ht="26.45" customHeight="1">
      <c r="A89" s="271"/>
      <c r="B89" s="270"/>
      <c r="C89" s="268" t="s">
        <v>22</v>
      </c>
      <c r="D89" s="271"/>
      <c r="E89" s="271"/>
      <c r="F89" s="273" t="str">
        <f>E19</f>
        <v xml:space="preserve">Úřad vlády České republiky </v>
      </c>
      <c r="G89" s="271"/>
      <c r="H89" s="271"/>
      <c r="I89" s="268" t="s">
        <v>28</v>
      </c>
      <c r="J89" s="391" t="str">
        <f>E25</f>
        <v>Ateliér Simona Group</v>
      </c>
      <c r="K89" s="271"/>
      <c r="L89" s="64"/>
      <c r="S89" s="23"/>
      <c r="T89" s="23"/>
      <c r="U89" s="23"/>
      <c r="V89" s="23"/>
      <c r="W89" s="23"/>
      <c r="X89" s="23"/>
      <c r="Y89" s="23"/>
      <c r="Z89" s="23"/>
      <c r="AA89" s="23"/>
      <c r="AB89" s="23"/>
      <c r="AC89" s="23"/>
      <c r="AD89" s="23"/>
      <c r="AE89" s="23"/>
    </row>
    <row r="90" spans="1:65" s="2" customFormat="1" ht="26.45" customHeight="1">
      <c r="A90" s="271"/>
      <c r="B90" s="270"/>
      <c r="C90" s="268" t="s">
        <v>26</v>
      </c>
      <c r="D90" s="271"/>
      <c r="E90" s="271"/>
      <c r="F90" s="273" t="str">
        <f>IF(E22="","",E22)</f>
        <v xml:space="preserve"> </v>
      </c>
      <c r="G90" s="271"/>
      <c r="H90" s="271"/>
      <c r="I90" s="268" t="s">
        <v>31</v>
      </c>
      <c r="J90" s="391" t="str">
        <f>E28</f>
        <v>Ateliér Simona Group</v>
      </c>
      <c r="K90" s="271"/>
      <c r="L90" s="64"/>
      <c r="S90" s="23"/>
      <c r="T90" s="23"/>
      <c r="U90" s="23"/>
      <c r="V90" s="23"/>
      <c r="W90" s="23"/>
      <c r="X90" s="23"/>
      <c r="Y90" s="23"/>
      <c r="Z90" s="23"/>
      <c r="AA90" s="23"/>
      <c r="AB90" s="23"/>
      <c r="AC90" s="23"/>
      <c r="AD90" s="23"/>
      <c r="AE90" s="23"/>
    </row>
    <row r="91" spans="1:65" s="2" customFormat="1" ht="10.35" customHeight="1">
      <c r="A91" s="271"/>
      <c r="B91" s="270"/>
      <c r="C91" s="271"/>
      <c r="D91" s="271"/>
      <c r="E91" s="271"/>
      <c r="F91" s="271"/>
      <c r="G91" s="271"/>
      <c r="H91" s="271"/>
      <c r="I91" s="271"/>
      <c r="J91" s="271"/>
      <c r="K91" s="271"/>
      <c r="L91" s="64"/>
      <c r="S91" s="23"/>
      <c r="T91" s="23"/>
      <c r="U91" s="23"/>
      <c r="V91" s="23"/>
      <c r="W91" s="23"/>
      <c r="X91" s="23"/>
      <c r="Y91" s="23"/>
      <c r="Z91" s="23"/>
      <c r="AA91" s="23"/>
      <c r="AB91" s="23"/>
      <c r="AC91" s="23"/>
      <c r="AD91" s="23"/>
      <c r="AE91" s="23"/>
    </row>
    <row r="92" spans="1:65" s="11" customFormat="1" ht="29.25" customHeight="1">
      <c r="A92" s="299"/>
      <c r="B92" s="300"/>
      <c r="C92" s="301" t="s">
        <v>202</v>
      </c>
      <c r="D92" s="302" t="s">
        <v>53</v>
      </c>
      <c r="E92" s="302" t="s">
        <v>49</v>
      </c>
      <c r="F92" s="302" t="s">
        <v>50</v>
      </c>
      <c r="G92" s="302" t="s">
        <v>203</v>
      </c>
      <c r="H92" s="302" t="s">
        <v>204</v>
      </c>
      <c r="I92" s="302" t="s">
        <v>205</v>
      </c>
      <c r="J92" s="302" t="s">
        <v>169</v>
      </c>
      <c r="K92" s="340" t="s">
        <v>206</v>
      </c>
      <c r="L92" s="70"/>
      <c r="M92" s="34" t="s">
        <v>3</v>
      </c>
      <c r="N92" s="35" t="s">
        <v>38</v>
      </c>
      <c r="O92" s="35" t="s">
        <v>207</v>
      </c>
      <c r="P92" s="35" t="s">
        <v>208</v>
      </c>
      <c r="Q92" s="35" t="s">
        <v>209</v>
      </c>
      <c r="R92" s="35" t="s">
        <v>210</v>
      </c>
      <c r="S92" s="35" t="s">
        <v>211</v>
      </c>
      <c r="T92" s="36" t="s">
        <v>212</v>
      </c>
      <c r="U92" s="69"/>
      <c r="V92" s="69"/>
      <c r="W92" s="69"/>
      <c r="X92" s="69"/>
      <c r="Y92" s="69"/>
      <c r="Z92" s="69"/>
      <c r="AA92" s="69"/>
      <c r="AB92" s="69"/>
      <c r="AC92" s="69"/>
      <c r="AD92" s="69"/>
      <c r="AE92" s="69"/>
    </row>
    <row r="93" spans="1:65" s="2" customFormat="1" ht="22.9" customHeight="1">
      <c r="A93" s="271"/>
      <c r="B93" s="270"/>
      <c r="C93" s="243" t="s">
        <v>213</v>
      </c>
      <c r="D93" s="271"/>
      <c r="E93" s="271"/>
      <c r="F93" s="271"/>
      <c r="G93" s="271"/>
      <c r="H93" s="271"/>
      <c r="I93" s="271"/>
      <c r="J93" s="410">
        <f>BK93</f>
        <v>0</v>
      </c>
      <c r="K93" s="271"/>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170</v>
      </c>
      <c r="BK93" s="73">
        <f>BK94</f>
        <v>0</v>
      </c>
    </row>
    <row r="94" spans="1:65" s="12" customFormat="1" ht="25.9" customHeight="1">
      <c r="A94" s="303"/>
      <c r="B94" s="304"/>
      <c r="C94" s="303"/>
      <c r="D94" s="305" t="s">
        <v>67</v>
      </c>
      <c r="E94" s="306" t="s">
        <v>895</v>
      </c>
      <c r="F94" s="306" t="s">
        <v>896</v>
      </c>
      <c r="G94" s="303"/>
      <c r="H94" s="303"/>
      <c r="I94" s="303"/>
      <c r="J94" s="411">
        <f>BK94</f>
        <v>0</v>
      </c>
      <c r="K94" s="303"/>
      <c r="L94" s="74"/>
      <c r="M94" s="76"/>
      <c r="N94" s="77"/>
      <c r="O94" s="77"/>
      <c r="P94" s="78">
        <f>P95</f>
        <v>0</v>
      </c>
      <c r="Q94" s="77"/>
      <c r="R94" s="78">
        <f>R95</f>
        <v>0</v>
      </c>
      <c r="S94" s="77"/>
      <c r="T94" s="79">
        <f>T95</f>
        <v>0</v>
      </c>
      <c r="AR94" s="75" t="s">
        <v>77</v>
      </c>
      <c r="AT94" s="80" t="s">
        <v>67</v>
      </c>
      <c r="AU94" s="80" t="s">
        <v>68</v>
      </c>
      <c r="AY94" s="75" t="s">
        <v>216</v>
      </c>
      <c r="BK94" s="81">
        <f>BK95</f>
        <v>0</v>
      </c>
    </row>
    <row r="95" spans="1:65" s="12" customFormat="1" ht="22.9" customHeight="1">
      <c r="A95" s="303"/>
      <c r="B95" s="304"/>
      <c r="C95" s="303"/>
      <c r="D95" s="305" t="s">
        <v>67</v>
      </c>
      <c r="E95" s="307" t="s">
        <v>961</v>
      </c>
      <c r="F95" s="307" t="s">
        <v>962</v>
      </c>
      <c r="G95" s="303"/>
      <c r="H95" s="303"/>
      <c r="I95" s="303"/>
      <c r="J95" s="412">
        <f>BK95</f>
        <v>0</v>
      </c>
      <c r="K95" s="303"/>
      <c r="L95" s="74"/>
      <c r="M95" s="76"/>
      <c r="N95" s="77"/>
      <c r="O95" s="77"/>
      <c r="P95" s="78">
        <f>P96</f>
        <v>0</v>
      </c>
      <c r="Q95" s="77"/>
      <c r="R95" s="78">
        <f>R96</f>
        <v>0</v>
      </c>
      <c r="S95" s="77"/>
      <c r="T95" s="79">
        <f>T96</f>
        <v>0</v>
      </c>
      <c r="AR95" s="75" t="s">
        <v>77</v>
      </c>
      <c r="AT95" s="80" t="s">
        <v>67</v>
      </c>
      <c r="AU95" s="80" t="s">
        <v>75</v>
      </c>
      <c r="AY95" s="75" t="s">
        <v>216</v>
      </c>
      <c r="BK95" s="81">
        <f>BK96</f>
        <v>0</v>
      </c>
    </row>
    <row r="96" spans="1:65" s="2" customFormat="1" ht="14.45" customHeight="1">
      <c r="A96" s="271"/>
      <c r="B96" s="270"/>
      <c r="C96" s="308" t="s">
        <v>75</v>
      </c>
      <c r="D96" s="308" t="s">
        <v>218</v>
      </c>
      <c r="E96" s="309" t="s">
        <v>1788</v>
      </c>
      <c r="F96" s="310" t="s">
        <v>2065</v>
      </c>
      <c r="G96" s="311" t="s">
        <v>1766</v>
      </c>
      <c r="H96" s="312">
        <v>1</v>
      </c>
      <c r="I96" s="413">
        <f>SLB!F81</f>
        <v>0</v>
      </c>
      <c r="J96" s="413">
        <f>ROUND(I96*H96,2)</f>
        <v>0</v>
      </c>
      <c r="K96" s="310"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305</v>
      </c>
      <c r="AT96" s="87" t="s">
        <v>218</v>
      </c>
      <c r="AU96" s="87" t="s">
        <v>77</v>
      </c>
      <c r="AY96" s="19" t="s">
        <v>216</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305</v>
      </c>
      <c r="BM96" s="87" t="s">
        <v>1789</v>
      </c>
    </row>
    <row r="97" spans="1:31" s="2" customFormat="1" ht="6.95" customHeight="1">
      <c r="A97" s="271"/>
      <c r="B97" s="286"/>
      <c r="C97" s="287"/>
      <c r="D97" s="287"/>
      <c r="E97" s="287"/>
      <c r="F97" s="287"/>
      <c r="G97" s="287"/>
      <c r="H97" s="287"/>
      <c r="I97" s="287"/>
      <c r="J97" s="287"/>
      <c r="K97" s="287"/>
      <c r="L97" s="24"/>
      <c r="M97" s="23"/>
      <c r="O97" s="23"/>
      <c r="P97" s="23"/>
      <c r="Q97" s="23"/>
      <c r="R97" s="23"/>
      <c r="S97" s="23"/>
      <c r="T97" s="23"/>
      <c r="U97" s="23"/>
      <c r="V97" s="23"/>
      <c r="W97" s="23"/>
      <c r="X97" s="23"/>
      <c r="Y97" s="23"/>
      <c r="Z97" s="23"/>
      <c r="AA97" s="23"/>
      <c r="AB97" s="23"/>
      <c r="AC97" s="23"/>
      <c r="AD97" s="23"/>
      <c r="AE97" s="23"/>
    </row>
  </sheetData>
  <sheetProtection password="C97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87"/>
  <sheetViews>
    <sheetView workbookViewId="0">
      <selection activeCell="E7" sqref="E7"/>
    </sheetView>
  </sheetViews>
  <sheetFormatPr defaultRowHeight="12.75"/>
  <cols>
    <col min="1" max="1" width="17.1640625" style="227" customWidth="1"/>
    <col min="2" max="2" width="51" style="226" customWidth="1"/>
    <col min="3" max="3" width="6.6640625" style="206" customWidth="1"/>
    <col min="4" max="4" width="5.5" style="206" customWidth="1"/>
    <col min="5" max="5" width="16" style="206" customWidth="1"/>
    <col min="6" max="6" width="17.1640625" style="206" customWidth="1"/>
    <col min="7" max="7" width="13.33203125" style="206" bestFit="1" customWidth="1"/>
    <col min="8" max="16384" width="9.33203125" style="206"/>
  </cols>
  <sheetData>
    <row r="1" spans="1:6" ht="15.75">
      <c r="A1" s="516" t="s">
        <v>2546</v>
      </c>
      <c r="B1" s="517"/>
      <c r="C1" s="518"/>
      <c r="D1" s="518"/>
      <c r="E1" s="474"/>
      <c r="F1" s="526" t="s">
        <v>2625</v>
      </c>
    </row>
    <row r="2" spans="1:6" ht="15">
      <c r="A2" s="491"/>
      <c r="B2" s="492" t="s">
        <v>2624</v>
      </c>
      <c r="C2" s="493"/>
      <c r="D2" s="493"/>
      <c r="E2" s="493"/>
      <c r="F2" s="493"/>
    </row>
    <row r="3" spans="1:6">
      <c r="A3" s="519" t="s">
        <v>2338</v>
      </c>
      <c r="B3" s="520" t="s">
        <v>2509</v>
      </c>
      <c r="C3" s="521" t="s">
        <v>2508</v>
      </c>
      <c r="D3" s="521" t="s">
        <v>203</v>
      </c>
      <c r="E3" s="527" t="s">
        <v>2507</v>
      </c>
      <c r="F3" s="527" t="s">
        <v>2264</v>
      </c>
    </row>
    <row r="4" spans="1:6">
      <c r="A4" s="536" t="s">
        <v>2623</v>
      </c>
      <c r="B4" s="523" t="s">
        <v>2622</v>
      </c>
      <c r="C4" s="524">
        <v>2</v>
      </c>
      <c r="D4" s="525" t="s">
        <v>2353</v>
      </c>
      <c r="E4" s="479">
        <v>0</v>
      </c>
      <c r="F4" s="528">
        <f t="shared" ref="F4:F18" si="0">C4*E4</f>
        <v>0</v>
      </c>
    </row>
    <row r="5" spans="1:6">
      <c r="A5" s="536" t="s">
        <v>2621</v>
      </c>
      <c r="B5" s="523" t="s">
        <v>2620</v>
      </c>
      <c r="C5" s="524">
        <v>2</v>
      </c>
      <c r="D5" s="525" t="s">
        <v>2353</v>
      </c>
      <c r="E5" s="479">
        <v>0</v>
      </c>
      <c r="F5" s="528">
        <f t="shared" si="0"/>
        <v>0</v>
      </c>
    </row>
    <row r="6" spans="1:6">
      <c r="A6" s="536" t="s">
        <v>2619</v>
      </c>
      <c r="B6" s="523" t="s">
        <v>2618</v>
      </c>
      <c r="C6" s="524">
        <v>4</v>
      </c>
      <c r="D6" s="525" t="s">
        <v>2353</v>
      </c>
      <c r="E6" s="479">
        <v>0</v>
      </c>
      <c r="F6" s="528">
        <f t="shared" si="0"/>
        <v>0</v>
      </c>
    </row>
    <row r="7" spans="1:6">
      <c r="A7" s="536" t="s">
        <v>2617</v>
      </c>
      <c r="B7" s="523" t="s">
        <v>2616</v>
      </c>
      <c r="C7" s="524">
        <v>28</v>
      </c>
      <c r="D7" s="525" t="s">
        <v>2353</v>
      </c>
      <c r="E7" s="479">
        <v>0</v>
      </c>
      <c r="F7" s="528">
        <f t="shared" si="0"/>
        <v>0</v>
      </c>
    </row>
    <row r="8" spans="1:6">
      <c r="A8" s="536" t="s">
        <v>2615</v>
      </c>
      <c r="B8" s="523" t="s">
        <v>2614</v>
      </c>
      <c r="C8" s="524">
        <v>28</v>
      </c>
      <c r="D8" s="525" t="s">
        <v>2353</v>
      </c>
      <c r="E8" s="479">
        <v>0</v>
      </c>
      <c r="F8" s="528">
        <f t="shared" si="0"/>
        <v>0</v>
      </c>
    </row>
    <row r="9" spans="1:6">
      <c r="A9" s="536" t="s">
        <v>2613</v>
      </c>
      <c r="B9" s="523" t="s">
        <v>2612</v>
      </c>
      <c r="C9" s="524">
        <v>25</v>
      </c>
      <c r="D9" s="525" t="s">
        <v>2353</v>
      </c>
      <c r="E9" s="479">
        <v>0</v>
      </c>
      <c r="F9" s="528">
        <f t="shared" si="0"/>
        <v>0</v>
      </c>
    </row>
    <row r="10" spans="1:6">
      <c r="A10" s="536" t="s">
        <v>2611</v>
      </c>
      <c r="B10" s="523" t="s">
        <v>2610</v>
      </c>
      <c r="C10" s="524">
        <v>4</v>
      </c>
      <c r="D10" s="525" t="s">
        <v>2353</v>
      </c>
      <c r="E10" s="479">
        <v>0</v>
      </c>
      <c r="F10" s="528">
        <f t="shared" si="0"/>
        <v>0</v>
      </c>
    </row>
    <row r="11" spans="1:6">
      <c r="A11" s="536" t="s">
        <v>2609</v>
      </c>
      <c r="B11" s="523" t="s">
        <v>2608</v>
      </c>
      <c r="C11" s="524">
        <v>33</v>
      </c>
      <c r="D11" s="525" t="s">
        <v>2353</v>
      </c>
      <c r="E11" s="479">
        <v>0</v>
      </c>
      <c r="F11" s="528">
        <f t="shared" si="0"/>
        <v>0</v>
      </c>
    </row>
    <row r="12" spans="1:6">
      <c r="A12" s="536"/>
      <c r="B12" s="523" t="s">
        <v>2607</v>
      </c>
      <c r="C12" s="524">
        <v>28</v>
      </c>
      <c r="D12" s="525" t="s">
        <v>2353</v>
      </c>
      <c r="E12" s="479">
        <v>0</v>
      </c>
      <c r="F12" s="528">
        <f t="shared" si="0"/>
        <v>0</v>
      </c>
    </row>
    <row r="13" spans="1:6">
      <c r="A13" s="536" t="s">
        <v>2606</v>
      </c>
      <c r="B13" s="523" t="s">
        <v>2605</v>
      </c>
      <c r="C13" s="524">
        <v>10</v>
      </c>
      <c r="D13" s="525" t="s">
        <v>2353</v>
      </c>
      <c r="E13" s="479">
        <v>0</v>
      </c>
      <c r="F13" s="528">
        <f t="shared" si="0"/>
        <v>0</v>
      </c>
    </row>
    <row r="14" spans="1:6">
      <c r="A14" s="536" t="s">
        <v>2604</v>
      </c>
      <c r="B14" s="523" t="s">
        <v>2603</v>
      </c>
      <c r="C14" s="524">
        <v>10</v>
      </c>
      <c r="D14" s="525" t="s">
        <v>2353</v>
      </c>
      <c r="E14" s="479">
        <v>0</v>
      </c>
      <c r="F14" s="528">
        <f t="shared" si="0"/>
        <v>0</v>
      </c>
    </row>
    <row r="15" spans="1:6">
      <c r="A15" s="536">
        <v>88060</v>
      </c>
      <c r="B15" s="523" t="s">
        <v>2602</v>
      </c>
      <c r="C15" s="524">
        <v>5</v>
      </c>
      <c r="D15" s="525" t="s">
        <v>2353</v>
      </c>
      <c r="E15" s="479">
        <v>0</v>
      </c>
      <c r="F15" s="528">
        <f t="shared" si="0"/>
        <v>0</v>
      </c>
    </row>
    <row r="16" spans="1:6">
      <c r="A16" s="536">
        <v>88069</v>
      </c>
      <c r="B16" s="523" t="s">
        <v>2601</v>
      </c>
      <c r="C16" s="524">
        <v>5</v>
      </c>
      <c r="D16" s="525" t="s">
        <v>2353</v>
      </c>
      <c r="E16" s="479">
        <v>0</v>
      </c>
      <c r="F16" s="528">
        <f t="shared" si="0"/>
        <v>0</v>
      </c>
    </row>
    <row r="17" spans="1:6">
      <c r="A17" s="536">
        <v>76564</v>
      </c>
      <c r="B17" s="523" t="s">
        <v>2600</v>
      </c>
      <c r="C17" s="524">
        <v>5</v>
      </c>
      <c r="D17" s="525" t="s">
        <v>2353</v>
      </c>
      <c r="E17" s="479">
        <v>0</v>
      </c>
      <c r="F17" s="528">
        <f t="shared" si="0"/>
        <v>0</v>
      </c>
    </row>
    <row r="18" spans="1:6">
      <c r="A18" s="536">
        <v>78721</v>
      </c>
      <c r="B18" s="523" t="s">
        <v>2599</v>
      </c>
      <c r="C18" s="524">
        <v>5</v>
      </c>
      <c r="D18" s="525" t="s">
        <v>2353</v>
      </c>
      <c r="E18" s="479">
        <v>0</v>
      </c>
      <c r="F18" s="528">
        <f t="shared" si="0"/>
        <v>0</v>
      </c>
    </row>
    <row r="19" spans="1:6">
      <c r="A19" s="480"/>
      <c r="B19" s="481" t="s">
        <v>2264</v>
      </c>
      <c r="C19" s="482"/>
      <c r="D19" s="482"/>
      <c r="E19" s="482"/>
      <c r="F19" s="483">
        <f>SUM(F4:F18)</f>
        <v>0</v>
      </c>
    </row>
    <row r="20" spans="1:6">
      <c r="A20" s="484" t="s">
        <v>2453</v>
      </c>
      <c r="B20" s="485" t="s">
        <v>2054</v>
      </c>
      <c r="C20" s="486"/>
      <c r="D20" s="486"/>
      <c r="E20" s="487"/>
      <c r="F20" s="488">
        <f>F19*0.21</f>
        <v>0</v>
      </c>
    </row>
    <row r="21" spans="1:6">
      <c r="A21" s="489"/>
      <c r="B21" s="490"/>
      <c r="C21" s="423"/>
      <c r="D21" s="423"/>
      <c r="E21" s="423"/>
      <c r="F21" s="423"/>
    </row>
    <row r="22" spans="1:6" ht="15">
      <c r="A22" s="491"/>
      <c r="B22" s="492" t="s">
        <v>2598</v>
      </c>
      <c r="C22" s="493"/>
      <c r="D22" s="493"/>
      <c r="E22" s="493"/>
      <c r="F22" s="493"/>
    </row>
    <row r="23" spans="1:6">
      <c r="A23" s="519" t="s">
        <v>2338</v>
      </c>
      <c r="B23" s="520" t="s">
        <v>2509</v>
      </c>
      <c r="C23" s="521" t="s">
        <v>2508</v>
      </c>
      <c r="D23" s="521" t="s">
        <v>203</v>
      </c>
      <c r="E23" s="527" t="s">
        <v>2507</v>
      </c>
      <c r="F23" s="527" t="s">
        <v>2264</v>
      </c>
    </row>
    <row r="24" spans="1:6">
      <c r="A24" s="536" t="s">
        <v>3498</v>
      </c>
      <c r="B24" s="523" t="s">
        <v>2597</v>
      </c>
      <c r="C24" s="524">
        <v>4180</v>
      </c>
      <c r="D24" s="525" t="s">
        <v>364</v>
      </c>
      <c r="E24" s="479">
        <v>0</v>
      </c>
      <c r="F24" s="528">
        <f t="shared" ref="F24:F45" si="1">E24*C24</f>
        <v>0</v>
      </c>
    </row>
    <row r="25" spans="1:6">
      <c r="A25" s="536" t="s">
        <v>3499</v>
      </c>
      <c r="B25" s="523" t="s">
        <v>2596</v>
      </c>
      <c r="C25" s="524">
        <v>20</v>
      </c>
      <c r="D25" s="525" t="s">
        <v>2353</v>
      </c>
      <c r="E25" s="479">
        <v>0</v>
      </c>
      <c r="F25" s="528">
        <f t="shared" si="1"/>
        <v>0</v>
      </c>
    </row>
    <row r="26" spans="1:6">
      <c r="A26" s="536" t="s">
        <v>3500</v>
      </c>
      <c r="B26" s="523" t="s">
        <v>2595</v>
      </c>
      <c r="C26" s="524">
        <v>20</v>
      </c>
      <c r="D26" s="525" t="s">
        <v>2353</v>
      </c>
      <c r="E26" s="479">
        <v>0</v>
      </c>
      <c r="F26" s="528">
        <f t="shared" si="1"/>
        <v>0</v>
      </c>
    </row>
    <row r="27" spans="1:6">
      <c r="A27" s="536">
        <v>2207028</v>
      </c>
      <c r="B27" s="523" t="s">
        <v>2566</v>
      </c>
      <c r="C27" s="524">
        <v>40</v>
      </c>
      <c r="D27" s="525" t="s">
        <v>2353</v>
      </c>
      <c r="E27" s="479">
        <v>0</v>
      </c>
      <c r="F27" s="528">
        <f t="shared" si="1"/>
        <v>0</v>
      </c>
    </row>
    <row r="28" spans="1:6">
      <c r="A28" s="536" t="s">
        <v>3501</v>
      </c>
      <c r="B28" s="523" t="s">
        <v>2565</v>
      </c>
      <c r="C28" s="524">
        <v>60</v>
      </c>
      <c r="D28" s="525" t="s">
        <v>364</v>
      </c>
      <c r="E28" s="479">
        <v>0</v>
      </c>
      <c r="F28" s="528">
        <f t="shared" si="1"/>
        <v>0</v>
      </c>
    </row>
    <row r="29" spans="1:6">
      <c r="A29" s="536" t="s">
        <v>3502</v>
      </c>
      <c r="B29" s="523" t="s">
        <v>2594</v>
      </c>
      <c r="C29" s="524">
        <v>120</v>
      </c>
      <c r="D29" s="525" t="s">
        <v>364</v>
      </c>
      <c r="E29" s="479">
        <v>0</v>
      </c>
      <c r="F29" s="528">
        <f t="shared" si="1"/>
        <v>0</v>
      </c>
    </row>
    <row r="30" spans="1:6">
      <c r="A30" s="536" t="s">
        <v>3503</v>
      </c>
      <c r="B30" s="523" t="s">
        <v>2492</v>
      </c>
      <c r="C30" s="524">
        <v>220</v>
      </c>
      <c r="D30" s="525" t="s">
        <v>364</v>
      </c>
      <c r="E30" s="479">
        <v>0</v>
      </c>
      <c r="F30" s="528">
        <f t="shared" si="1"/>
        <v>0</v>
      </c>
    </row>
    <row r="31" spans="1:6">
      <c r="A31" s="536" t="s">
        <v>2593</v>
      </c>
      <c r="B31" s="523" t="s">
        <v>2592</v>
      </c>
      <c r="C31" s="524">
        <v>20</v>
      </c>
      <c r="D31" s="525" t="s">
        <v>2353</v>
      </c>
      <c r="E31" s="479">
        <v>0</v>
      </c>
      <c r="F31" s="528">
        <f t="shared" si="1"/>
        <v>0</v>
      </c>
    </row>
    <row r="32" spans="1:6">
      <c r="A32" s="536" t="s">
        <v>2564</v>
      </c>
      <c r="B32" s="523" t="s">
        <v>2563</v>
      </c>
      <c r="C32" s="524">
        <v>31</v>
      </c>
      <c r="D32" s="525" t="s">
        <v>2353</v>
      </c>
      <c r="E32" s="479">
        <v>0</v>
      </c>
      <c r="F32" s="528">
        <f t="shared" si="1"/>
        <v>0</v>
      </c>
    </row>
    <row r="33" spans="1:6">
      <c r="A33" s="536" t="s">
        <v>2491</v>
      </c>
      <c r="B33" s="523" t="s">
        <v>2490</v>
      </c>
      <c r="C33" s="524">
        <v>51</v>
      </c>
      <c r="D33" s="525" t="s">
        <v>2353</v>
      </c>
      <c r="E33" s="479">
        <v>0</v>
      </c>
      <c r="F33" s="528">
        <f t="shared" si="1"/>
        <v>0</v>
      </c>
    </row>
    <row r="34" spans="1:6" ht="24">
      <c r="A34" s="536" t="s">
        <v>2483</v>
      </c>
      <c r="B34" s="523" t="s">
        <v>2482</v>
      </c>
      <c r="C34" s="524">
        <v>6</v>
      </c>
      <c r="D34" s="525" t="s">
        <v>364</v>
      </c>
      <c r="E34" s="479">
        <v>0</v>
      </c>
      <c r="F34" s="528">
        <f t="shared" si="1"/>
        <v>0</v>
      </c>
    </row>
    <row r="35" spans="1:6">
      <c r="A35" s="536" t="s">
        <v>2469</v>
      </c>
      <c r="B35" s="523" t="s">
        <v>2468</v>
      </c>
      <c r="C35" s="524">
        <v>6</v>
      </c>
      <c r="D35" s="525" t="s">
        <v>2353</v>
      </c>
      <c r="E35" s="479">
        <v>0</v>
      </c>
      <c r="F35" s="528">
        <f t="shared" si="1"/>
        <v>0</v>
      </c>
    </row>
    <row r="36" spans="1:6">
      <c r="A36" s="536" t="s">
        <v>2481</v>
      </c>
      <c r="B36" s="523" t="s">
        <v>2480</v>
      </c>
      <c r="C36" s="524">
        <v>2</v>
      </c>
      <c r="D36" s="525" t="s">
        <v>2353</v>
      </c>
      <c r="E36" s="479">
        <v>0</v>
      </c>
      <c r="F36" s="528">
        <f t="shared" si="1"/>
        <v>0</v>
      </c>
    </row>
    <row r="37" spans="1:6">
      <c r="A37" s="536" t="s">
        <v>2469</v>
      </c>
      <c r="B37" s="523" t="s">
        <v>2468</v>
      </c>
      <c r="C37" s="524">
        <v>8</v>
      </c>
      <c r="D37" s="525" t="s">
        <v>2353</v>
      </c>
      <c r="E37" s="479">
        <v>0</v>
      </c>
      <c r="F37" s="528">
        <f t="shared" si="1"/>
        <v>0</v>
      </c>
    </row>
    <row r="38" spans="1:6">
      <c r="A38" s="536" t="s">
        <v>2479</v>
      </c>
      <c r="B38" s="523" t="s">
        <v>2478</v>
      </c>
      <c r="C38" s="524">
        <v>8</v>
      </c>
      <c r="D38" s="525" t="s">
        <v>2353</v>
      </c>
      <c r="E38" s="479">
        <v>0</v>
      </c>
      <c r="F38" s="528">
        <f t="shared" si="1"/>
        <v>0</v>
      </c>
    </row>
    <row r="39" spans="1:6">
      <c r="A39" s="536" t="s">
        <v>2477</v>
      </c>
      <c r="B39" s="523" t="s">
        <v>2476</v>
      </c>
      <c r="C39" s="524">
        <v>8</v>
      </c>
      <c r="D39" s="525" t="s">
        <v>2353</v>
      </c>
      <c r="E39" s="479">
        <v>0</v>
      </c>
      <c r="F39" s="528">
        <f t="shared" si="1"/>
        <v>0</v>
      </c>
    </row>
    <row r="40" spans="1:6">
      <c r="A40" s="536" t="s">
        <v>2475</v>
      </c>
      <c r="B40" s="523" t="s">
        <v>2474</v>
      </c>
      <c r="C40" s="524">
        <v>6</v>
      </c>
      <c r="D40" s="525" t="s">
        <v>2353</v>
      </c>
      <c r="E40" s="479">
        <v>0</v>
      </c>
      <c r="F40" s="528">
        <f t="shared" si="1"/>
        <v>0</v>
      </c>
    </row>
    <row r="41" spans="1:6">
      <c r="A41" s="536" t="s">
        <v>2473</v>
      </c>
      <c r="B41" s="523" t="s">
        <v>2472</v>
      </c>
      <c r="C41" s="524">
        <v>6</v>
      </c>
      <c r="D41" s="525" t="s">
        <v>2353</v>
      </c>
      <c r="E41" s="479">
        <v>0</v>
      </c>
      <c r="F41" s="528">
        <f t="shared" si="1"/>
        <v>0</v>
      </c>
    </row>
    <row r="42" spans="1:6">
      <c r="A42" s="536" t="s">
        <v>2471</v>
      </c>
      <c r="B42" s="523" t="s">
        <v>2470</v>
      </c>
      <c r="C42" s="524">
        <v>18</v>
      </c>
      <c r="D42" s="525" t="s">
        <v>2353</v>
      </c>
      <c r="E42" s="479">
        <v>0</v>
      </c>
      <c r="F42" s="528">
        <f t="shared" si="1"/>
        <v>0</v>
      </c>
    </row>
    <row r="43" spans="1:6">
      <c r="A43" s="522" t="s">
        <v>2469</v>
      </c>
      <c r="B43" s="523" t="s">
        <v>2468</v>
      </c>
      <c r="C43" s="524">
        <v>6</v>
      </c>
      <c r="D43" s="525" t="s">
        <v>2353</v>
      </c>
      <c r="E43" s="479">
        <v>0</v>
      </c>
      <c r="F43" s="528">
        <f t="shared" si="1"/>
        <v>0</v>
      </c>
    </row>
    <row r="44" spans="1:6">
      <c r="A44" s="522" t="s">
        <v>2467</v>
      </c>
      <c r="B44" s="523" t="s">
        <v>2466</v>
      </c>
      <c r="C44" s="524">
        <v>6</v>
      </c>
      <c r="D44" s="525" t="s">
        <v>2353</v>
      </c>
      <c r="E44" s="479">
        <v>0</v>
      </c>
      <c r="F44" s="528">
        <f t="shared" si="1"/>
        <v>0</v>
      </c>
    </row>
    <row r="45" spans="1:6">
      <c r="A45" s="522" t="s">
        <v>2463</v>
      </c>
      <c r="B45" s="523" t="s">
        <v>2462</v>
      </c>
      <c r="C45" s="524">
        <v>1</v>
      </c>
      <c r="D45" s="525" t="s">
        <v>2461</v>
      </c>
      <c r="E45" s="479">
        <v>0</v>
      </c>
      <c r="F45" s="528">
        <f t="shared" si="1"/>
        <v>0</v>
      </c>
    </row>
    <row r="46" spans="1:6">
      <c r="A46" s="480"/>
      <c r="B46" s="481" t="s">
        <v>2264</v>
      </c>
      <c r="C46" s="482"/>
      <c r="D46" s="482"/>
      <c r="E46" s="482"/>
      <c r="F46" s="483">
        <f>SUM(F24:F45)</f>
        <v>0</v>
      </c>
    </row>
    <row r="47" spans="1:6">
      <c r="A47" s="484" t="s">
        <v>2453</v>
      </c>
      <c r="B47" s="485" t="s">
        <v>2054</v>
      </c>
      <c r="C47" s="486"/>
      <c r="D47" s="486"/>
      <c r="E47" s="487"/>
      <c r="F47" s="488">
        <f>F46*0.21</f>
        <v>0</v>
      </c>
    </row>
    <row r="48" spans="1:6">
      <c r="A48" s="489"/>
      <c r="B48" s="490"/>
      <c r="C48" s="423"/>
      <c r="D48" s="423"/>
      <c r="E48" s="423"/>
      <c r="F48" s="423"/>
    </row>
    <row r="49" spans="1:6" ht="15">
      <c r="A49" s="491"/>
      <c r="B49" s="492" t="s">
        <v>2460</v>
      </c>
      <c r="C49" s="493"/>
      <c r="D49" s="493"/>
      <c r="E49" s="493"/>
      <c r="F49" s="493"/>
    </row>
    <row r="50" spans="1:6">
      <c r="A50" s="480"/>
      <c r="B50" s="481" t="s">
        <v>2264</v>
      </c>
      <c r="C50" s="482"/>
      <c r="D50" s="482"/>
      <c r="E50" s="482"/>
      <c r="F50" s="483">
        <v>0</v>
      </c>
    </row>
    <row r="51" spans="1:6">
      <c r="A51" s="484" t="s">
        <v>2453</v>
      </c>
      <c r="B51" s="485" t="s">
        <v>2054</v>
      </c>
      <c r="C51" s="486"/>
      <c r="D51" s="486"/>
      <c r="E51" s="487"/>
      <c r="F51" s="488">
        <f>F50*0.21</f>
        <v>0</v>
      </c>
    </row>
    <row r="52" spans="1:6">
      <c r="A52" s="489"/>
      <c r="B52" s="490"/>
      <c r="C52" s="423"/>
      <c r="D52" s="423"/>
      <c r="E52" s="423"/>
      <c r="F52" s="423"/>
    </row>
    <row r="53" spans="1:6" ht="15">
      <c r="A53" s="491"/>
      <c r="B53" s="492" t="s">
        <v>2552</v>
      </c>
      <c r="C53" s="493"/>
      <c r="D53" s="493"/>
      <c r="E53" s="493"/>
      <c r="F53" s="493"/>
    </row>
    <row r="54" spans="1:6">
      <c r="A54" s="480"/>
      <c r="B54" s="481" t="s">
        <v>2264</v>
      </c>
      <c r="C54" s="482"/>
      <c r="D54" s="482"/>
      <c r="E54" s="482"/>
      <c r="F54" s="483">
        <v>0</v>
      </c>
    </row>
    <row r="55" spans="1:6">
      <c r="A55" s="484" t="s">
        <v>2453</v>
      </c>
      <c r="B55" s="485" t="s">
        <v>2054</v>
      </c>
      <c r="C55" s="486"/>
      <c r="D55" s="486"/>
      <c r="E55" s="487"/>
      <c r="F55" s="488">
        <f>F54*0.21</f>
        <v>0</v>
      </c>
    </row>
    <row r="56" spans="1:6">
      <c r="A56" s="489"/>
      <c r="B56" s="490"/>
      <c r="C56" s="423"/>
      <c r="D56" s="423"/>
      <c r="E56" s="423"/>
      <c r="F56" s="423"/>
    </row>
    <row r="57" spans="1:6" ht="15">
      <c r="A57" s="491"/>
      <c r="B57" s="492" t="s">
        <v>2591</v>
      </c>
      <c r="C57" s="493"/>
      <c r="D57" s="493"/>
      <c r="E57" s="493"/>
      <c r="F57" s="493"/>
    </row>
    <row r="58" spans="1:6">
      <c r="A58" s="480"/>
      <c r="B58" s="481" t="s">
        <v>2264</v>
      </c>
      <c r="C58" s="482"/>
      <c r="D58" s="482"/>
      <c r="E58" s="482"/>
      <c r="F58" s="483">
        <v>0</v>
      </c>
    </row>
    <row r="59" spans="1:6">
      <c r="A59" s="484" t="s">
        <v>2453</v>
      </c>
      <c r="B59" s="485" t="s">
        <v>2054</v>
      </c>
      <c r="C59" s="486"/>
      <c r="D59" s="486"/>
      <c r="E59" s="487"/>
      <c r="F59" s="488">
        <f>F58*0.21</f>
        <v>0</v>
      </c>
    </row>
    <row r="60" spans="1:6">
      <c r="A60" s="489"/>
      <c r="B60" s="490"/>
      <c r="C60" s="423"/>
      <c r="D60" s="423"/>
      <c r="E60" s="423"/>
      <c r="F60" s="423"/>
    </row>
    <row r="61" spans="1:6" ht="15">
      <c r="A61" s="491"/>
      <c r="B61" s="492" t="s">
        <v>2551</v>
      </c>
      <c r="C61" s="493"/>
      <c r="D61" s="493"/>
      <c r="E61" s="493"/>
      <c r="F61" s="493"/>
    </row>
    <row r="62" spans="1:6">
      <c r="A62" s="480"/>
      <c r="B62" s="481" t="s">
        <v>2264</v>
      </c>
      <c r="C62" s="482"/>
      <c r="D62" s="482"/>
      <c r="E62" s="482"/>
      <c r="F62" s="483">
        <v>0</v>
      </c>
    </row>
    <row r="63" spans="1:6">
      <c r="A63" s="484" t="s">
        <v>2453</v>
      </c>
      <c r="B63" s="485" t="s">
        <v>2054</v>
      </c>
      <c r="C63" s="486"/>
      <c r="D63" s="486"/>
      <c r="E63" s="487"/>
      <c r="F63" s="488">
        <f>F62*0.21</f>
        <v>0</v>
      </c>
    </row>
    <row r="64" spans="1:6">
      <c r="A64" s="489"/>
      <c r="B64" s="490"/>
      <c r="C64" s="423"/>
      <c r="D64" s="423"/>
      <c r="E64" s="423"/>
      <c r="F64" s="423"/>
    </row>
    <row r="65" spans="1:6" ht="15">
      <c r="A65" s="491"/>
      <c r="B65" s="492" t="s">
        <v>2590</v>
      </c>
      <c r="C65" s="493"/>
      <c r="D65" s="493"/>
      <c r="E65" s="493"/>
      <c r="F65" s="493"/>
    </row>
    <row r="66" spans="1:6">
      <c r="A66" s="480"/>
      <c r="B66" s="481" t="s">
        <v>2264</v>
      </c>
      <c r="C66" s="482"/>
      <c r="D66" s="482"/>
      <c r="E66" s="482"/>
      <c r="F66" s="483">
        <v>0</v>
      </c>
    </row>
    <row r="67" spans="1:6">
      <c r="A67" s="484" t="s">
        <v>2453</v>
      </c>
      <c r="B67" s="485" t="s">
        <v>2054</v>
      </c>
      <c r="C67" s="486"/>
      <c r="D67" s="486"/>
      <c r="E67" s="487"/>
      <c r="F67" s="488">
        <f>F66*0.21</f>
        <v>0</v>
      </c>
    </row>
    <row r="68" spans="1:6">
      <c r="A68" s="489"/>
      <c r="B68" s="490"/>
      <c r="C68" s="423"/>
      <c r="D68" s="423"/>
      <c r="E68" s="423"/>
      <c r="F68" s="423"/>
    </row>
    <row r="69" spans="1:6" ht="15">
      <c r="A69" s="491"/>
      <c r="B69" s="492" t="s">
        <v>2454</v>
      </c>
      <c r="C69" s="493"/>
      <c r="D69" s="493"/>
      <c r="E69" s="493"/>
      <c r="F69" s="493"/>
    </row>
    <row r="70" spans="1:6">
      <c r="A70" s="480"/>
      <c r="B70" s="481" t="s">
        <v>2264</v>
      </c>
      <c r="C70" s="482"/>
      <c r="D70" s="482"/>
      <c r="E70" s="482"/>
      <c r="F70" s="483">
        <v>0</v>
      </c>
    </row>
    <row r="71" spans="1:6">
      <c r="A71" s="484" t="s">
        <v>2453</v>
      </c>
      <c r="B71" s="485" t="s">
        <v>2054</v>
      </c>
      <c r="C71" s="486"/>
      <c r="D71" s="486"/>
      <c r="E71" s="487"/>
      <c r="F71" s="488">
        <f>F70*0.21</f>
        <v>0</v>
      </c>
    </row>
    <row r="72" spans="1:6">
      <c r="A72" s="489"/>
      <c r="B72" s="490"/>
      <c r="C72" s="423"/>
      <c r="D72" s="423"/>
      <c r="E72" s="423"/>
      <c r="F72" s="423"/>
    </row>
    <row r="73" spans="1:6" ht="20.25">
      <c r="A73" s="530" t="s">
        <v>2452</v>
      </c>
      <c r="B73" s="530"/>
      <c r="C73" s="531"/>
      <c r="D73" s="531"/>
      <c r="E73" s="531"/>
      <c r="F73" s="531"/>
    </row>
    <row r="74" spans="1:6" ht="14.25">
      <c r="A74" s="499" t="s">
        <v>2451</v>
      </c>
      <c r="B74" s="499" t="s">
        <v>2450</v>
      </c>
      <c r="C74" s="500"/>
      <c r="D74" s="500"/>
      <c r="E74" s="500"/>
      <c r="F74" s="500"/>
    </row>
    <row r="75" spans="1:6">
      <c r="A75" s="423"/>
      <c r="B75" s="503" t="s">
        <v>2449</v>
      </c>
      <c r="C75" s="503"/>
      <c r="D75" s="503"/>
      <c r="E75" s="503"/>
      <c r="F75" s="532">
        <f>F19+F46</f>
        <v>0</v>
      </c>
    </row>
    <row r="76" spans="1:6">
      <c r="A76" s="423"/>
      <c r="B76" s="503" t="s">
        <v>2448</v>
      </c>
      <c r="C76" s="503"/>
      <c r="D76" s="503"/>
      <c r="E76" s="503"/>
      <c r="F76" s="532">
        <f>F50+F54+F58+F62+F66+F70</f>
        <v>0</v>
      </c>
    </row>
    <row r="77" spans="1:6">
      <c r="A77" s="423"/>
      <c r="B77" s="503" t="s">
        <v>2447</v>
      </c>
      <c r="C77" s="503"/>
      <c r="D77" s="503"/>
      <c r="E77" s="503"/>
      <c r="F77" s="532">
        <v>0</v>
      </c>
    </row>
    <row r="78" spans="1:6">
      <c r="A78" s="423"/>
      <c r="B78" s="503" t="s">
        <v>2446</v>
      </c>
      <c r="C78" s="503"/>
      <c r="D78" s="503"/>
      <c r="E78" s="503"/>
      <c r="F78" s="532">
        <v>0</v>
      </c>
    </row>
    <row r="79" spans="1:6">
      <c r="A79" s="423"/>
      <c r="B79" s="503" t="s">
        <v>2445</v>
      </c>
      <c r="C79" s="503"/>
      <c r="D79" s="503"/>
      <c r="E79" s="503"/>
      <c r="F79" s="532">
        <v>0</v>
      </c>
    </row>
    <row r="80" spans="1:6">
      <c r="A80" s="423"/>
      <c r="B80" s="503" t="s">
        <v>2444</v>
      </c>
      <c r="C80" s="503"/>
      <c r="D80" s="503"/>
      <c r="E80" s="503"/>
      <c r="F80" s="532">
        <v>0</v>
      </c>
    </row>
    <row r="81" spans="1:6" ht="15.75" thickBot="1">
      <c r="A81" s="507"/>
      <c r="B81" s="506" t="s">
        <v>2343</v>
      </c>
      <c r="C81" s="507"/>
      <c r="D81" s="507"/>
      <c r="E81" s="507"/>
      <c r="F81" s="533">
        <f>SUM(F75:F80)</f>
        <v>0</v>
      </c>
    </row>
    <row r="82" spans="1:6">
      <c r="A82" s="423"/>
      <c r="B82" s="423"/>
      <c r="C82" s="423"/>
      <c r="D82" s="423"/>
      <c r="E82" s="423"/>
      <c r="F82" s="423"/>
    </row>
    <row r="83" spans="1:6" ht="15">
      <c r="A83" s="423"/>
      <c r="B83" s="510" t="s">
        <v>2443</v>
      </c>
      <c r="C83" s="503"/>
      <c r="D83" s="503"/>
      <c r="E83" s="503"/>
      <c r="F83" s="503"/>
    </row>
    <row r="84" spans="1:6">
      <c r="A84" s="423"/>
      <c r="B84" s="512" t="s">
        <v>2054</v>
      </c>
      <c r="C84" s="513"/>
      <c r="D84" s="514"/>
      <c r="E84" s="513"/>
      <c r="F84" s="535">
        <f>F81*0.21</f>
        <v>0</v>
      </c>
    </row>
    <row r="85" spans="1:6" ht="15.75" thickBot="1">
      <c r="A85" s="507"/>
      <c r="B85" s="506" t="s">
        <v>2442</v>
      </c>
      <c r="C85" s="507"/>
      <c r="D85" s="507"/>
      <c r="E85" s="507"/>
      <c r="F85" s="533">
        <f>SUM(F81:F84)</f>
        <v>0</v>
      </c>
    </row>
    <row r="87" spans="1:6" ht="153">
      <c r="B87" s="681" t="s">
        <v>3469</v>
      </c>
    </row>
  </sheetData>
  <sheetProtection password="CAB1" sheet="1" objects="1" scenarios="1"/>
  <printOptions horizontalCentered="1"/>
  <pageMargins left="0.39370078740157483" right="0.23622047244094491" top="0.39370078740157483" bottom="0.39370078740157483"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M91"/>
  <sheetViews>
    <sheetView showGridLines="0" workbookViewId="0">
      <selection activeCell="I90" sqref="I90"/>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113</v>
      </c>
    </row>
    <row r="3" spans="1:46" s="1" customFormat="1" ht="6.95" customHeight="1">
      <c r="A3" s="61"/>
      <c r="B3" s="263"/>
      <c r="C3" s="264"/>
      <c r="D3" s="264"/>
      <c r="E3" s="264"/>
      <c r="F3" s="264"/>
      <c r="G3" s="264"/>
      <c r="H3" s="264"/>
      <c r="I3" s="264"/>
      <c r="J3" s="264"/>
      <c r="K3" s="264"/>
      <c r="L3" s="20"/>
      <c r="AT3" s="19" t="s">
        <v>77</v>
      </c>
    </row>
    <row r="4" spans="1:46" s="1" customFormat="1" ht="24.95" customHeight="1">
      <c r="A4" s="61"/>
      <c r="B4" s="265"/>
      <c r="C4" s="61"/>
      <c r="D4" s="266" t="s">
        <v>142</v>
      </c>
      <c r="E4" s="61"/>
      <c r="F4" s="61"/>
      <c r="G4" s="61"/>
      <c r="H4" s="61"/>
      <c r="I4" s="61"/>
      <c r="J4" s="61"/>
      <c r="K4" s="61"/>
      <c r="L4" s="20"/>
      <c r="M4" s="63" t="s">
        <v>11</v>
      </c>
      <c r="AT4" s="19" t="s">
        <v>4</v>
      </c>
    </row>
    <row r="5" spans="1:46" s="1" customFormat="1" ht="6.95" customHeight="1">
      <c r="A5" s="61"/>
      <c r="B5" s="265"/>
      <c r="C5" s="61"/>
      <c r="D5" s="61"/>
      <c r="E5" s="61"/>
      <c r="F5" s="61"/>
      <c r="G5" s="61"/>
      <c r="H5" s="61"/>
      <c r="I5" s="61"/>
      <c r="J5" s="61"/>
      <c r="K5" s="61"/>
      <c r="L5" s="20"/>
    </row>
    <row r="6" spans="1:46" s="1" customFormat="1" ht="12" customHeight="1">
      <c r="A6" s="61"/>
      <c r="B6" s="265"/>
      <c r="C6" s="61"/>
      <c r="D6" s="268" t="s">
        <v>15</v>
      </c>
      <c r="E6" s="61"/>
      <c r="F6" s="61"/>
      <c r="G6" s="61"/>
      <c r="H6" s="61"/>
      <c r="I6" s="61"/>
      <c r="J6" s="61"/>
      <c r="K6" s="61"/>
      <c r="L6" s="20"/>
    </row>
    <row r="7" spans="1:46" s="1" customFormat="1" ht="14.45" customHeight="1">
      <c r="A7" s="61"/>
      <c r="B7" s="265"/>
      <c r="C7" s="61"/>
      <c r="D7" s="61"/>
      <c r="E7" s="722" t="str">
        <f>'Rekapitulace stavby'!K6</f>
        <v>Úpravy gastroprovozu Úřadu vlády ČR v 1.pp Strakovy akademie</v>
      </c>
      <c r="F7" s="723"/>
      <c r="G7" s="723"/>
      <c r="H7" s="723"/>
      <c r="I7" s="61"/>
      <c r="J7" s="61"/>
      <c r="K7" s="61"/>
      <c r="L7" s="20"/>
    </row>
    <row r="8" spans="1:46" s="1" customFormat="1" ht="12" customHeight="1">
      <c r="A8" s="61"/>
      <c r="B8" s="265"/>
      <c r="C8" s="61"/>
      <c r="D8" s="268" t="s">
        <v>151</v>
      </c>
      <c r="E8" s="61"/>
      <c r="F8" s="61"/>
      <c r="G8" s="61"/>
      <c r="H8" s="61"/>
      <c r="I8" s="61"/>
      <c r="J8" s="61"/>
      <c r="K8" s="61"/>
      <c r="L8" s="20"/>
    </row>
    <row r="9" spans="1:46" s="2" customFormat="1" ht="14.45" customHeight="1">
      <c r="A9" s="271"/>
      <c r="B9" s="270"/>
      <c r="C9" s="271"/>
      <c r="D9" s="271"/>
      <c r="E9" s="722" t="s">
        <v>1759</v>
      </c>
      <c r="F9" s="721"/>
      <c r="G9" s="721"/>
      <c r="H9" s="721"/>
      <c r="I9" s="271"/>
      <c r="J9" s="271"/>
      <c r="K9" s="271"/>
      <c r="L9" s="64"/>
      <c r="S9" s="23"/>
      <c r="T9" s="23"/>
      <c r="U9" s="23"/>
      <c r="V9" s="23"/>
      <c r="W9" s="23"/>
      <c r="X9" s="23"/>
      <c r="Y9" s="23"/>
      <c r="Z9" s="23"/>
      <c r="AA9" s="23"/>
      <c r="AB9" s="23"/>
      <c r="AC9" s="23"/>
      <c r="AD9" s="23"/>
      <c r="AE9" s="23"/>
    </row>
    <row r="10" spans="1:46" s="2" customFormat="1" ht="12" customHeight="1">
      <c r="A10" s="271"/>
      <c r="B10" s="270"/>
      <c r="C10" s="271"/>
      <c r="D10" s="268" t="s">
        <v>157</v>
      </c>
      <c r="E10" s="271"/>
      <c r="F10" s="271"/>
      <c r="G10" s="271"/>
      <c r="H10" s="271"/>
      <c r="I10" s="271"/>
      <c r="J10" s="271"/>
      <c r="K10" s="271"/>
      <c r="L10" s="64"/>
      <c r="S10" s="23"/>
      <c r="T10" s="23"/>
      <c r="U10" s="23"/>
      <c r="V10" s="23"/>
      <c r="W10" s="23"/>
      <c r="X10" s="23"/>
      <c r="Y10" s="23"/>
      <c r="Z10" s="23"/>
      <c r="AA10" s="23"/>
      <c r="AB10" s="23"/>
      <c r="AC10" s="23"/>
      <c r="AD10" s="23"/>
      <c r="AE10" s="23"/>
    </row>
    <row r="11" spans="1:46" s="2" customFormat="1" ht="14.45" customHeight="1">
      <c r="A11" s="271"/>
      <c r="B11" s="270"/>
      <c r="C11" s="271"/>
      <c r="D11" s="271"/>
      <c r="E11" s="689" t="s">
        <v>1790</v>
      </c>
      <c r="F11" s="721"/>
      <c r="G11" s="721"/>
      <c r="H11" s="721"/>
      <c r="I11" s="271"/>
      <c r="J11" s="271"/>
      <c r="K11" s="271"/>
      <c r="L11" s="64"/>
      <c r="S11" s="23"/>
      <c r="T11" s="23"/>
      <c r="U11" s="23"/>
      <c r="V11" s="23"/>
      <c r="W11" s="23"/>
      <c r="X11" s="23"/>
      <c r="Y11" s="23"/>
      <c r="Z11" s="23"/>
      <c r="AA11" s="23"/>
      <c r="AB11" s="23"/>
      <c r="AC11" s="23"/>
      <c r="AD11" s="23"/>
      <c r="AE11" s="23"/>
    </row>
    <row r="12" spans="1:46" s="2" customFormat="1">
      <c r="A12" s="271"/>
      <c r="B12" s="270"/>
      <c r="C12" s="271"/>
      <c r="D12" s="271"/>
      <c r="E12" s="271"/>
      <c r="F12" s="271"/>
      <c r="G12" s="271"/>
      <c r="H12" s="271"/>
      <c r="I12" s="271"/>
      <c r="J12" s="271"/>
      <c r="K12" s="271"/>
      <c r="L12" s="64"/>
      <c r="S12" s="23"/>
      <c r="T12" s="23"/>
      <c r="U12" s="23"/>
      <c r="V12" s="23"/>
      <c r="W12" s="23"/>
      <c r="X12" s="23"/>
      <c r="Y12" s="23"/>
      <c r="Z12" s="23"/>
      <c r="AA12" s="23"/>
      <c r="AB12" s="23"/>
      <c r="AC12" s="23"/>
      <c r="AD12" s="23"/>
      <c r="AE12" s="23"/>
    </row>
    <row r="13" spans="1:46" s="2" customFormat="1" ht="12" customHeight="1">
      <c r="A13" s="271"/>
      <c r="B13" s="270"/>
      <c r="C13" s="271"/>
      <c r="D13" s="268" t="s">
        <v>17</v>
      </c>
      <c r="E13" s="271"/>
      <c r="F13" s="273" t="s">
        <v>3</v>
      </c>
      <c r="G13" s="271"/>
      <c r="H13" s="271"/>
      <c r="I13" s="268" t="s">
        <v>18</v>
      </c>
      <c r="J13" s="273" t="s">
        <v>3</v>
      </c>
      <c r="K13" s="271"/>
      <c r="L13" s="64"/>
      <c r="S13" s="23"/>
      <c r="T13" s="23"/>
      <c r="U13" s="23"/>
      <c r="V13" s="23"/>
      <c r="W13" s="23"/>
      <c r="X13" s="23"/>
      <c r="Y13" s="23"/>
      <c r="Z13" s="23"/>
      <c r="AA13" s="23"/>
      <c r="AB13" s="23"/>
      <c r="AC13" s="23"/>
      <c r="AD13" s="23"/>
      <c r="AE13" s="23"/>
    </row>
    <row r="14" spans="1:46" s="2" customFormat="1" ht="12" customHeight="1">
      <c r="A14" s="271"/>
      <c r="B14" s="270"/>
      <c r="C14" s="271"/>
      <c r="D14" s="268" t="s">
        <v>19</v>
      </c>
      <c r="E14" s="271"/>
      <c r="F14" s="273" t="s">
        <v>27</v>
      </c>
      <c r="G14" s="271"/>
      <c r="H14" s="271"/>
      <c r="I14" s="268" t="s">
        <v>21</v>
      </c>
      <c r="J14" s="387">
        <f>'Rekapitulace stavby'!AN8</f>
        <v>44077</v>
      </c>
      <c r="K14" s="271"/>
      <c r="L14" s="64"/>
      <c r="S14" s="23"/>
      <c r="T14" s="23"/>
      <c r="U14" s="23"/>
      <c r="V14" s="23"/>
      <c r="W14" s="23"/>
      <c r="X14" s="23"/>
      <c r="Y14" s="23"/>
      <c r="Z14" s="23"/>
      <c r="AA14" s="23"/>
      <c r="AB14" s="23"/>
      <c r="AC14" s="23"/>
      <c r="AD14" s="23"/>
      <c r="AE14" s="23"/>
    </row>
    <row r="15" spans="1:46" s="2" customFormat="1" ht="10.9" customHeight="1">
      <c r="A15" s="271"/>
      <c r="B15" s="270"/>
      <c r="C15" s="271"/>
      <c r="D15" s="271"/>
      <c r="E15" s="271"/>
      <c r="F15" s="271"/>
      <c r="G15" s="271"/>
      <c r="H15" s="271"/>
      <c r="I15" s="271"/>
      <c r="J15" s="271"/>
      <c r="K15" s="271"/>
      <c r="L15" s="64"/>
      <c r="S15" s="23"/>
      <c r="T15" s="23"/>
      <c r="U15" s="23"/>
      <c r="V15" s="23"/>
      <c r="W15" s="23"/>
      <c r="X15" s="23"/>
      <c r="Y15" s="23"/>
      <c r="Z15" s="23"/>
      <c r="AA15" s="23"/>
      <c r="AB15" s="23"/>
      <c r="AC15" s="23"/>
      <c r="AD15" s="23"/>
      <c r="AE15" s="23"/>
    </row>
    <row r="16" spans="1:46" s="2" customFormat="1" ht="12" customHeight="1">
      <c r="A16" s="271"/>
      <c r="B16" s="270"/>
      <c r="C16" s="271"/>
      <c r="D16" s="268" t="s">
        <v>22</v>
      </c>
      <c r="E16" s="271"/>
      <c r="F16" s="271"/>
      <c r="G16" s="271"/>
      <c r="H16" s="271"/>
      <c r="I16" s="268" t="s">
        <v>23</v>
      </c>
      <c r="J16" s="273" t="s">
        <v>3</v>
      </c>
      <c r="K16" s="271"/>
      <c r="L16" s="64"/>
      <c r="S16" s="23"/>
      <c r="T16" s="23"/>
      <c r="U16" s="23"/>
      <c r="V16" s="23"/>
      <c r="W16" s="23"/>
      <c r="X16" s="23"/>
      <c r="Y16" s="23"/>
      <c r="Z16" s="23"/>
      <c r="AA16" s="23"/>
      <c r="AB16" s="23"/>
      <c r="AC16" s="23"/>
      <c r="AD16" s="23"/>
      <c r="AE16" s="23"/>
    </row>
    <row r="17" spans="1:31" s="2" customFormat="1" ht="18" customHeight="1">
      <c r="A17" s="271"/>
      <c r="B17" s="270"/>
      <c r="C17" s="271"/>
      <c r="D17" s="271"/>
      <c r="E17" s="273" t="s">
        <v>24</v>
      </c>
      <c r="F17" s="271"/>
      <c r="G17" s="271"/>
      <c r="H17" s="271"/>
      <c r="I17" s="268" t="s">
        <v>25</v>
      </c>
      <c r="J17" s="273" t="s">
        <v>3</v>
      </c>
      <c r="K17" s="271"/>
      <c r="L17" s="64"/>
      <c r="S17" s="23"/>
      <c r="T17" s="23"/>
      <c r="U17" s="23"/>
      <c r="V17" s="23"/>
      <c r="W17" s="23"/>
      <c r="X17" s="23"/>
      <c r="Y17" s="23"/>
      <c r="Z17" s="23"/>
      <c r="AA17" s="23"/>
      <c r="AB17" s="23"/>
      <c r="AC17" s="23"/>
      <c r="AD17" s="23"/>
      <c r="AE17" s="23"/>
    </row>
    <row r="18" spans="1:31" s="2" customFormat="1" ht="6.95" customHeight="1">
      <c r="A18" s="271"/>
      <c r="B18" s="270"/>
      <c r="C18" s="271"/>
      <c r="D18" s="271"/>
      <c r="E18" s="271"/>
      <c r="F18" s="271"/>
      <c r="G18" s="271"/>
      <c r="H18" s="271"/>
      <c r="I18" s="271"/>
      <c r="J18" s="271"/>
      <c r="K18" s="271"/>
      <c r="L18" s="64"/>
      <c r="S18" s="23"/>
      <c r="T18" s="23"/>
      <c r="U18" s="23"/>
      <c r="V18" s="23"/>
      <c r="W18" s="23"/>
      <c r="X18" s="23"/>
      <c r="Y18" s="23"/>
      <c r="Z18" s="23"/>
      <c r="AA18" s="23"/>
      <c r="AB18" s="23"/>
      <c r="AC18" s="23"/>
      <c r="AD18" s="23"/>
      <c r="AE18" s="23"/>
    </row>
    <row r="19" spans="1:31" s="2" customFormat="1" ht="12" customHeight="1">
      <c r="A19" s="271"/>
      <c r="B19" s="270"/>
      <c r="C19" s="271"/>
      <c r="D19" s="268" t="s">
        <v>26</v>
      </c>
      <c r="E19" s="271"/>
      <c r="F19" s="271"/>
      <c r="G19" s="271"/>
      <c r="H19" s="271"/>
      <c r="I19" s="268" t="s">
        <v>23</v>
      </c>
      <c r="J19" s="273" t="str">
        <f>'Rekapitulace stavby'!AN13</f>
        <v/>
      </c>
      <c r="K19" s="271"/>
      <c r="L19" s="64"/>
      <c r="S19" s="23"/>
      <c r="T19" s="23"/>
      <c r="U19" s="23"/>
      <c r="V19" s="23"/>
      <c r="W19" s="23"/>
      <c r="X19" s="23"/>
      <c r="Y19" s="23"/>
      <c r="Z19" s="23"/>
      <c r="AA19" s="23"/>
      <c r="AB19" s="23"/>
      <c r="AC19" s="23"/>
      <c r="AD19" s="23"/>
      <c r="AE19" s="23"/>
    </row>
    <row r="20" spans="1:31" s="2" customFormat="1" ht="18" customHeight="1">
      <c r="A20" s="271"/>
      <c r="B20" s="270"/>
      <c r="C20" s="271"/>
      <c r="D20" s="271"/>
      <c r="E20" s="714" t="str">
        <f>'Rekapitulace stavby'!E14</f>
        <v xml:space="preserve"> </v>
      </c>
      <c r="F20" s="714"/>
      <c r="G20" s="714"/>
      <c r="H20" s="714"/>
      <c r="I20" s="268" t="s">
        <v>25</v>
      </c>
      <c r="J20" s="273" t="str">
        <f>'Rekapitulace stavby'!AN14</f>
        <v/>
      </c>
      <c r="K20" s="271"/>
      <c r="L20" s="64"/>
      <c r="S20" s="23"/>
      <c r="T20" s="23"/>
      <c r="U20" s="23"/>
      <c r="V20" s="23"/>
      <c r="W20" s="23"/>
      <c r="X20" s="23"/>
      <c r="Y20" s="23"/>
      <c r="Z20" s="23"/>
      <c r="AA20" s="23"/>
      <c r="AB20" s="23"/>
      <c r="AC20" s="23"/>
      <c r="AD20" s="23"/>
      <c r="AE20" s="23"/>
    </row>
    <row r="21" spans="1:31" s="2" customFormat="1" ht="6.95" customHeight="1">
      <c r="A21" s="271"/>
      <c r="B21" s="270"/>
      <c r="C21" s="271"/>
      <c r="D21" s="271"/>
      <c r="E21" s="271"/>
      <c r="F21" s="271"/>
      <c r="G21" s="271"/>
      <c r="H21" s="271"/>
      <c r="I21" s="271"/>
      <c r="J21" s="271"/>
      <c r="K21" s="271"/>
      <c r="L21" s="64"/>
      <c r="S21" s="23"/>
      <c r="T21" s="23"/>
      <c r="U21" s="23"/>
      <c r="V21" s="23"/>
      <c r="W21" s="23"/>
      <c r="X21" s="23"/>
      <c r="Y21" s="23"/>
      <c r="Z21" s="23"/>
      <c r="AA21" s="23"/>
      <c r="AB21" s="23"/>
      <c r="AC21" s="23"/>
      <c r="AD21" s="23"/>
      <c r="AE21" s="23"/>
    </row>
    <row r="22" spans="1:31" s="2" customFormat="1" ht="12" customHeight="1">
      <c r="A22" s="271"/>
      <c r="B22" s="270"/>
      <c r="C22" s="271"/>
      <c r="D22" s="268" t="s">
        <v>28</v>
      </c>
      <c r="E22" s="271"/>
      <c r="F22" s="271"/>
      <c r="G22" s="271"/>
      <c r="H22" s="271"/>
      <c r="I22" s="268" t="s">
        <v>23</v>
      </c>
      <c r="J22" s="273" t="s">
        <v>3</v>
      </c>
      <c r="K22" s="271"/>
      <c r="L22" s="64"/>
      <c r="S22" s="23"/>
      <c r="T22" s="23"/>
      <c r="U22" s="23"/>
      <c r="V22" s="23"/>
      <c r="W22" s="23"/>
      <c r="X22" s="23"/>
      <c r="Y22" s="23"/>
      <c r="Z22" s="23"/>
      <c r="AA22" s="23"/>
      <c r="AB22" s="23"/>
      <c r="AC22" s="23"/>
      <c r="AD22" s="23"/>
      <c r="AE22" s="23"/>
    </row>
    <row r="23" spans="1:31" s="2" customFormat="1" ht="18" customHeight="1">
      <c r="A23" s="271"/>
      <c r="B23" s="270"/>
      <c r="C23" s="271"/>
      <c r="D23" s="271"/>
      <c r="E23" s="273" t="s">
        <v>29</v>
      </c>
      <c r="F23" s="271"/>
      <c r="G23" s="271"/>
      <c r="H23" s="271"/>
      <c r="I23" s="268" t="s">
        <v>25</v>
      </c>
      <c r="J23" s="273" t="s">
        <v>3</v>
      </c>
      <c r="K23" s="271"/>
      <c r="L23" s="64"/>
      <c r="S23" s="23"/>
      <c r="T23" s="23"/>
      <c r="U23" s="23"/>
      <c r="V23" s="23"/>
      <c r="W23" s="23"/>
      <c r="X23" s="23"/>
      <c r="Y23" s="23"/>
      <c r="Z23" s="23"/>
      <c r="AA23" s="23"/>
      <c r="AB23" s="23"/>
      <c r="AC23" s="23"/>
      <c r="AD23" s="23"/>
      <c r="AE23" s="23"/>
    </row>
    <row r="24" spans="1:31" s="2" customFormat="1" ht="6.95" customHeight="1">
      <c r="A24" s="271"/>
      <c r="B24" s="270"/>
      <c r="C24" s="271"/>
      <c r="D24" s="271"/>
      <c r="E24" s="271"/>
      <c r="F24" s="271"/>
      <c r="G24" s="271"/>
      <c r="H24" s="271"/>
      <c r="I24" s="271"/>
      <c r="J24" s="271"/>
      <c r="K24" s="271"/>
      <c r="L24" s="64"/>
      <c r="S24" s="23"/>
      <c r="T24" s="23"/>
      <c r="U24" s="23"/>
      <c r="V24" s="23"/>
      <c r="W24" s="23"/>
      <c r="X24" s="23"/>
      <c r="Y24" s="23"/>
      <c r="Z24" s="23"/>
      <c r="AA24" s="23"/>
      <c r="AB24" s="23"/>
      <c r="AC24" s="23"/>
      <c r="AD24" s="23"/>
      <c r="AE24" s="23"/>
    </row>
    <row r="25" spans="1:31" s="2" customFormat="1" ht="12" customHeight="1">
      <c r="A25" s="271"/>
      <c r="B25" s="270"/>
      <c r="C25" s="271"/>
      <c r="D25" s="268" t="s">
        <v>31</v>
      </c>
      <c r="E25" s="271"/>
      <c r="F25" s="271"/>
      <c r="G25" s="271"/>
      <c r="H25" s="271"/>
      <c r="I25" s="268" t="s">
        <v>23</v>
      </c>
      <c r="J25" s="273" t="s">
        <v>3</v>
      </c>
      <c r="K25" s="271"/>
      <c r="L25" s="64"/>
      <c r="S25" s="23"/>
      <c r="T25" s="23"/>
      <c r="U25" s="23"/>
      <c r="V25" s="23"/>
      <c r="W25" s="23"/>
      <c r="X25" s="23"/>
      <c r="Y25" s="23"/>
      <c r="Z25" s="23"/>
      <c r="AA25" s="23"/>
      <c r="AB25" s="23"/>
      <c r="AC25" s="23"/>
      <c r="AD25" s="23"/>
      <c r="AE25" s="23"/>
    </row>
    <row r="26" spans="1:31" s="2" customFormat="1" ht="18" customHeight="1">
      <c r="A26" s="271"/>
      <c r="B26" s="270"/>
      <c r="C26" s="271"/>
      <c r="D26" s="271"/>
      <c r="E26" s="273" t="s">
        <v>29</v>
      </c>
      <c r="F26" s="271"/>
      <c r="G26" s="271"/>
      <c r="H26" s="271"/>
      <c r="I26" s="268" t="s">
        <v>25</v>
      </c>
      <c r="J26" s="273" t="s">
        <v>3</v>
      </c>
      <c r="K26" s="271"/>
      <c r="L26" s="64"/>
      <c r="S26" s="23"/>
      <c r="T26" s="23"/>
      <c r="U26" s="23"/>
      <c r="V26" s="23"/>
      <c r="W26" s="23"/>
      <c r="X26" s="23"/>
      <c r="Y26" s="23"/>
      <c r="Z26" s="23"/>
      <c r="AA26" s="23"/>
      <c r="AB26" s="23"/>
      <c r="AC26" s="23"/>
      <c r="AD26" s="23"/>
      <c r="AE26" s="23"/>
    </row>
    <row r="27" spans="1:31" s="2" customFormat="1" ht="6.95" customHeight="1">
      <c r="A27" s="271"/>
      <c r="B27" s="270"/>
      <c r="C27" s="271"/>
      <c r="D27" s="271"/>
      <c r="E27" s="271"/>
      <c r="F27" s="271"/>
      <c r="G27" s="271"/>
      <c r="H27" s="271"/>
      <c r="I27" s="271"/>
      <c r="J27" s="271"/>
      <c r="K27" s="271"/>
      <c r="L27" s="64"/>
      <c r="S27" s="23"/>
      <c r="T27" s="23"/>
      <c r="U27" s="23"/>
      <c r="V27" s="23"/>
      <c r="W27" s="23"/>
      <c r="X27" s="23"/>
      <c r="Y27" s="23"/>
      <c r="Z27" s="23"/>
      <c r="AA27" s="23"/>
      <c r="AB27" s="23"/>
      <c r="AC27" s="23"/>
      <c r="AD27" s="23"/>
      <c r="AE27" s="23"/>
    </row>
    <row r="28" spans="1:31" s="2" customFormat="1" ht="12" customHeight="1">
      <c r="A28" s="271"/>
      <c r="B28" s="270"/>
      <c r="C28" s="271"/>
      <c r="D28" s="268" t="s">
        <v>32</v>
      </c>
      <c r="E28" s="271"/>
      <c r="F28" s="271"/>
      <c r="G28" s="271"/>
      <c r="H28" s="271"/>
      <c r="I28" s="271"/>
      <c r="J28" s="271"/>
      <c r="K28" s="271"/>
      <c r="L28" s="64"/>
      <c r="S28" s="23"/>
      <c r="T28" s="23"/>
      <c r="U28" s="23"/>
      <c r="V28" s="23"/>
      <c r="W28" s="23"/>
      <c r="X28" s="23"/>
      <c r="Y28" s="23"/>
      <c r="Z28" s="23"/>
      <c r="AA28" s="23"/>
      <c r="AB28" s="23"/>
      <c r="AC28" s="23"/>
      <c r="AD28" s="23"/>
      <c r="AE28" s="23"/>
    </row>
    <row r="29" spans="1:31" s="8" customFormat="1" ht="14.45" customHeight="1">
      <c r="A29" s="274"/>
      <c r="B29" s="275"/>
      <c r="C29" s="274"/>
      <c r="D29" s="274"/>
      <c r="E29" s="707" t="s">
        <v>3</v>
      </c>
      <c r="F29" s="707"/>
      <c r="G29" s="707"/>
      <c r="H29" s="707"/>
      <c r="I29" s="274"/>
      <c r="J29" s="274"/>
      <c r="K29" s="274"/>
      <c r="L29" s="66"/>
      <c r="S29" s="65"/>
      <c r="T29" s="65"/>
      <c r="U29" s="65"/>
      <c r="V29" s="65"/>
      <c r="W29" s="65"/>
      <c r="X29" s="65"/>
      <c r="Y29" s="65"/>
      <c r="Z29" s="65"/>
      <c r="AA29" s="65"/>
      <c r="AB29" s="65"/>
      <c r="AC29" s="65"/>
      <c r="AD29" s="65"/>
      <c r="AE29" s="65"/>
    </row>
    <row r="30" spans="1:31" s="2" customFormat="1" ht="6.95" customHeight="1">
      <c r="A30" s="271"/>
      <c r="B30" s="270"/>
      <c r="C30" s="271"/>
      <c r="D30" s="271"/>
      <c r="E30" s="271"/>
      <c r="F30" s="271"/>
      <c r="G30" s="271"/>
      <c r="H30" s="271"/>
      <c r="I30" s="271"/>
      <c r="J30" s="271"/>
      <c r="K30" s="271"/>
      <c r="L30" s="64"/>
      <c r="S30" s="23"/>
      <c r="T30" s="23"/>
      <c r="U30" s="23"/>
      <c r="V30" s="23"/>
      <c r="W30" s="23"/>
      <c r="X30" s="23"/>
      <c r="Y30" s="23"/>
      <c r="Z30" s="23"/>
      <c r="AA30" s="23"/>
      <c r="AB30" s="23"/>
      <c r="AC30" s="23"/>
      <c r="AD30" s="23"/>
      <c r="AE30" s="23"/>
    </row>
    <row r="31" spans="1:31" s="2" customFormat="1" ht="6.95" customHeight="1">
      <c r="A31" s="271"/>
      <c r="B31" s="270"/>
      <c r="C31" s="271"/>
      <c r="D31" s="276"/>
      <c r="E31" s="276"/>
      <c r="F31" s="276"/>
      <c r="G31" s="276"/>
      <c r="H31" s="276"/>
      <c r="I31" s="276"/>
      <c r="J31" s="276"/>
      <c r="K31" s="276"/>
      <c r="L31" s="64"/>
      <c r="S31" s="23"/>
      <c r="T31" s="23"/>
      <c r="U31" s="23"/>
      <c r="V31" s="23"/>
      <c r="W31" s="23"/>
      <c r="X31" s="23"/>
      <c r="Y31" s="23"/>
      <c r="Z31" s="23"/>
      <c r="AA31" s="23"/>
      <c r="AB31" s="23"/>
      <c r="AC31" s="23"/>
      <c r="AD31" s="23"/>
      <c r="AE31" s="23"/>
    </row>
    <row r="32" spans="1:31" s="2" customFormat="1" ht="25.35" customHeight="1">
      <c r="A32" s="271"/>
      <c r="B32" s="270"/>
      <c r="C32" s="271"/>
      <c r="D32" s="277" t="s">
        <v>34</v>
      </c>
      <c r="E32" s="271"/>
      <c r="F32" s="271"/>
      <c r="G32" s="271"/>
      <c r="H32" s="271"/>
      <c r="I32" s="271"/>
      <c r="J32" s="388">
        <f>ROUND(J87, 2)</f>
        <v>0</v>
      </c>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14.45" customHeight="1">
      <c r="A34" s="271"/>
      <c r="B34" s="270"/>
      <c r="C34" s="271"/>
      <c r="D34" s="271"/>
      <c r="E34" s="271"/>
      <c r="F34" s="278" t="s">
        <v>36</v>
      </c>
      <c r="G34" s="271"/>
      <c r="H34" s="271"/>
      <c r="I34" s="278" t="s">
        <v>35</v>
      </c>
      <c r="J34" s="278" t="s">
        <v>37</v>
      </c>
      <c r="K34" s="271"/>
      <c r="L34" s="64"/>
      <c r="S34" s="23"/>
      <c r="T34" s="23"/>
      <c r="U34" s="23"/>
      <c r="V34" s="23"/>
      <c r="W34" s="23"/>
      <c r="X34" s="23"/>
      <c r="Y34" s="23"/>
      <c r="Z34" s="23"/>
      <c r="AA34" s="23"/>
      <c r="AB34" s="23"/>
      <c r="AC34" s="23"/>
      <c r="AD34" s="23"/>
      <c r="AE34" s="23"/>
    </row>
    <row r="35" spans="1:31" s="2" customFormat="1" ht="14.45" customHeight="1">
      <c r="A35" s="271"/>
      <c r="B35" s="270"/>
      <c r="C35" s="271"/>
      <c r="D35" s="279" t="s">
        <v>38</v>
      </c>
      <c r="E35" s="268" t="s">
        <v>39</v>
      </c>
      <c r="F35" s="280">
        <f>ROUND((SUM(BE87:BE90)),  2)</f>
        <v>0</v>
      </c>
      <c r="G35" s="271"/>
      <c r="H35" s="271"/>
      <c r="I35" s="389">
        <v>0.21</v>
      </c>
      <c r="J35" s="280">
        <f>ROUND(((SUM(BE87:BE90))*I35),  2)</f>
        <v>0</v>
      </c>
      <c r="K35" s="271"/>
      <c r="L35" s="64"/>
      <c r="S35" s="23"/>
      <c r="T35" s="23"/>
      <c r="U35" s="23"/>
      <c r="V35" s="23"/>
      <c r="W35" s="23"/>
      <c r="X35" s="23"/>
      <c r="Y35" s="23"/>
      <c r="Z35" s="23"/>
      <c r="AA35" s="23"/>
      <c r="AB35" s="23"/>
      <c r="AC35" s="23"/>
      <c r="AD35" s="23"/>
      <c r="AE35" s="23"/>
    </row>
    <row r="36" spans="1:31" s="2" customFormat="1" ht="14.45" customHeight="1">
      <c r="A36" s="271"/>
      <c r="B36" s="270"/>
      <c r="C36" s="271"/>
      <c r="D36" s="271"/>
      <c r="E36" s="268" t="s">
        <v>40</v>
      </c>
      <c r="F36" s="280">
        <f>ROUND((SUM(BF87:BF90)),  2)</f>
        <v>0</v>
      </c>
      <c r="G36" s="271"/>
      <c r="H36" s="271"/>
      <c r="I36" s="389">
        <v>0.15</v>
      </c>
      <c r="J36" s="280">
        <f>ROUND(((SUM(BF87:BF90))*I36),  2)</f>
        <v>0</v>
      </c>
      <c r="K36" s="271"/>
      <c r="L36" s="64"/>
      <c r="S36" s="23"/>
      <c r="T36" s="23"/>
      <c r="U36" s="23"/>
      <c r="V36" s="23"/>
      <c r="W36" s="23"/>
      <c r="X36" s="23"/>
      <c r="Y36" s="23"/>
      <c r="Z36" s="23"/>
      <c r="AA36" s="23"/>
      <c r="AB36" s="23"/>
      <c r="AC36" s="23"/>
      <c r="AD36" s="23"/>
      <c r="AE36" s="23"/>
    </row>
    <row r="37" spans="1:31" s="2" customFormat="1" ht="14.45" hidden="1" customHeight="1">
      <c r="A37" s="271"/>
      <c r="B37" s="270"/>
      <c r="C37" s="271"/>
      <c r="D37" s="271"/>
      <c r="E37" s="268" t="s">
        <v>41</v>
      </c>
      <c r="F37" s="280">
        <f>ROUND((SUM(BG87:BG90)),  2)</f>
        <v>0</v>
      </c>
      <c r="G37" s="271"/>
      <c r="H37" s="271"/>
      <c r="I37" s="389">
        <v>0.21</v>
      </c>
      <c r="J37" s="280">
        <f>0</f>
        <v>0</v>
      </c>
      <c r="K37" s="271"/>
      <c r="L37" s="64"/>
      <c r="S37" s="23"/>
      <c r="T37" s="23"/>
      <c r="U37" s="23"/>
      <c r="V37" s="23"/>
      <c r="W37" s="23"/>
      <c r="X37" s="23"/>
      <c r="Y37" s="23"/>
      <c r="Z37" s="23"/>
      <c r="AA37" s="23"/>
      <c r="AB37" s="23"/>
      <c r="AC37" s="23"/>
      <c r="AD37" s="23"/>
      <c r="AE37" s="23"/>
    </row>
    <row r="38" spans="1:31" s="2" customFormat="1" ht="14.45" hidden="1" customHeight="1">
      <c r="A38" s="271"/>
      <c r="B38" s="270"/>
      <c r="C38" s="271"/>
      <c r="D38" s="271"/>
      <c r="E38" s="268" t="s">
        <v>42</v>
      </c>
      <c r="F38" s="280">
        <f>ROUND((SUM(BH87:BH90)),  2)</f>
        <v>0</v>
      </c>
      <c r="G38" s="271"/>
      <c r="H38" s="271"/>
      <c r="I38" s="389">
        <v>0.15</v>
      </c>
      <c r="J38" s="280">
        <f>0</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43</v>
      </c>
      <c r="F39" s="280">
        <f>ROUND((SUM(BI87:BI90)),  2)</f>
        <v>0</v>
      </c>
      <c r="G39" s="271"/>
      <c r="H39" s="271"/>
      <c r="I39" s="389">
        <v>0</v>
      </c>
      <c r="J39" s="280">
        <f>0</f>
        <v>0</v>
      </c>
      <c r="K39" s="271"/>
      <c r="L39" s="64"/>
      <c r="S39" s="23"/>
      <c r="T39" s="23"/>
      <c r="U39" s="23"/>
      <c r="V39" s="23"/>
      <c r="W39" s="23"/>
      <c r="X39" s="23"/>
      <c r="Y39" s="23"/>
      <c r="Z39" s="23"/>
      <c r="AA39" s="23"/>
      <c r="AB39" s="23"/>
      <c r="AC39" s="23"/>
      <c r="AD39" s="23"/>
      <c r="AE39" s="23"/>
    </row>
    <row r="40" spans="1:31" s="2" customFormat="1" ht="6.95" customHeight="1">
      <c r="A40" s="271"/>
      <c r="B40" s="270"/>
      <c r="C40" s="271"/>
      <c r="D40" s="271"/>
      <c r="E40" s="271"/>
      <c r="F40" s="271"/>
      <c r="G40" s="271"/>
      <c r="H40" s="271"/>
      <c r="I40" s="271"/>
      <c r="J40" s="271"/>
      <c r="K40" s="271"/>
      <c r="L40" s="64"/>
      <c r="S40" s="23"/>
      <c r="T40" s="23"/>
      <c r="U40" s="23"/>
      <c r="V40" s="23"/>
      <c r="W40" s="23"/>
      <c r="X40" s="23"/>
      <c r="Y40" s="23"/>
      <c r="Z40" s="23"/>
      <c r="AA40" s="23"/>
      <c r="AB40" s="23"/>
      <c r="AC40" s="23"/>
      <c r="AD40" s="23"/>
      <c r="AE40" s="23"/>
    </row>
    <row r="41" spans="1:31" s="2" customFormat="1" ht="25.35" customHeight="1">
      <c r="A41" s="271"/>
      <c r="B41" s="270"/>
      <c r="C41" s="281"/>
      <c r="D41" s="282" t="s">
        <v>44</v>
      </c>
      <c r="E41" s="283"/>
      <c r="F41" s="283"/>
      <c r="G41" s="284" t="s">
        <v>45</v>
      </c>
      <c r="H41" s="285" t="s">
        <v>46</v>
      </c>
      <c r="I41" s="283"/>
      <c r="J41" s="390">
        <f>SUM(J32:J39)</f>
        <v>0</v>
      </c>
      <c r="K41" s="339"/>
      <c r="L41" s="64"/>
      <c r="S41" s="23"/>
      <c r="T41" s="23"/>
      <c r="U41" s="23"/>
      <c r="V41" s="23"/>
      <c r="W41" s="23"/>
      <c r="X41" s="23"/>
      <c r="Y41" s="23"/>
      <c r="Z41" s="23"/>
      <c r="AA41" s="23"/>
      <c r="AB41" s="23"/>
      <c r="AC41" s="23"/>
      <c r="AD41" s="23"/>
      <c r="AE41" s="23"/>
    </row>
    <row r="42" spans="1:31" s="2" customFormat="1" ht="14.45" customHeight="1">
      <c r="A42" s="271"/>
      <c r="B42" s="286"/>
      <c r="C42" s="287"/>
      <c r="D42" s="287"/>
      <c r="E42" s="287"/>
      <c r="F42" s="287"/>
      <c r="G42" s="287"/>
      <c r="H42" s="287"/>
      <c r="I42" s="287"/>
      <c r="J42" s="287"/>
      <c r="K42" s="287"/>
      <c r="L42" s="64"/>
      <c r="S42" s="23"/>
      <c r="T42" s="23"/>
      <c r="U42" s="23"/>
      <c r="V42" s="23"/>
      <c r="W42" s="23"/>
      <c r="X42" s="23"/>
      <c r="Y42" s="23"/>
      <c r="Z42" s="23"/>
      <c r="AA42" s="23"/>
      <c r="AB42" s="23"/>
      <c r="AC42" s="23"/>
      <c r="AD42" s="23"/>
      <c r="AE42" s="23"/>
    </row>
    <row r="43" spans="1:31">
      <c r="A43" s="61"/>
      <c r="B43" s="61"/>
      <c r="C43" s="61"/>
      <c r="D43" s="61"/>
      <c r="E43" s="61"/>
      <c r="F43" s="61"/>
      <c r="G43" s="61"/>
      <c r="H43" s="61"/>
      <c r="I43" s="61"/>
      <c r="J43" s="61"/>
      <c r="K43" s="61"/>
    </row>
    <row r="44" spans="1:31">
      <c r="A44" s="61"/>
      <c r="B44" s="61"/>
      <c r="C44" s="61"/>
      <c r="D44" s="61"/>
      <c r="E44" s="61"/>
      <c r="F44" s="61"/>
      <c r="G44" s="61"/>
      <c r="H44" s="61"/>
      <c r="I44" s="61"/>
      <c r="J44" s="61"/>
      <c r="K44" s="61"/>
    </row>
    <row r="45" spans="1:31">
      <c r="A45" s="61"/>
      <c r="B45" s="61"/>
      <c r="C45" s="61"/>
      <c r="D45" s="61"/>
      <c r="E45" s="61"/>
      <c r="F45" s="61"/>
      <c r="G45" s="61"/>
      <c r="H45" s="61"/>
      <c r="I45" s="61"/>
      <c r="J45" s="61"/>
      <c r="K45" s="61"/>
    </row>
    <row r="46" spans="1:31" s="2" customFormat="1" ht="6.95" customHeight="1">
      <c r="A46" s="271"/>
      <c r="B46" s="288"/>
      <c r="C46" s="289"/>
      <c r="D46" s="289"/>
      <c r="E46" s="289"/>
      <c r="F46" s="289"/>
      <c r="G46" s="289"/>
      <c r="H46" s="289"/>
      <c r="I46" s="289"/>
      <c r="J46" s="289"/>
      <c r="K46" s="289"/>
      <c r="L46" s="64"/>
      <c r="S46" s="23"/>
      <c r="T46" s="23"/>
      <c r="U46" s="23"/>
      <c r="V46" s="23"/>
      <c r="W46" s="23"/>
      <c r="X46" s="23"/>
      <c r="Y46" s="23"/>
      <c r="Z46" s="23"/>
      <c r="AA46" s="23"/>
      <c r="AB46" s="23"/>
      <c r="AC46" s="23"/>
      <c r="AD46" s="23"/>
      <c r="AE46" s="23"/>
    </row>
    <row r="47" spans="1:31" s="2" customFormat="1" ht="24.95" customHeight="1">
      <c r="A47" s="271"/>
      <c r="B47" s="270"/>
      <c r="C47" s="266" t="s">
        <v>167</v>
      </c>
      <c r="D47" s="271"/>
      <c r="E47" s="271"/>
      <c r="F47" s="271"/>
      <c r="G47" s="271"/>
      <c r="H47" s="271"/>
      <c r="I47" s="271"/>
      <c r="J47" s="271"/>
      <c r="K47" s="271"/>
      <c r="L47" s="64"/>
      <c r="S47" s="23"/>
      <c r="T47" s="23"/>
      <c r="U47" s="23"/>
      <c r="V47" s="23"/>
      <c r="W47" s="23"/>
      <c r="X47" s="23"/>
      <c r="Y47" s="23"/>
      <c r="Z47" s="23"/>
      <c r="AA47" s="23"/>
      <c r="AB47" s="23"/>
      <c r="AC47" s="23"/>
      <c r="AD47" s="23"/>
      <c r="AE47" s="23"/>
    </row>
    <row r="48" spans="1:31" s="2" customFormat="1" ht="6.95" customHeight="1">
      <c r="A48" s="271"/>
      <c r="B48" s="270"/>
      <c r="C48" s="271"/>
      <c r="D48" s="271"/>
      <c r="E48" s="271"/>
      <c r="F48" s="271"/>
      <c r="G48" s="271"/>
      <c r="H48" s="271"/>
      <c r="I48" s="271"/>
      <c r="J48" s="271"/>
      <c r="K48" s="271"/>
      <c r="L48" s="64"/>
      <c r="S48" s="23"/>
      <c r="T48" s="23"/>
      <c r="U48" s="23"/>
      <c r="V48" s="23"/>
      <c r="W48" s="23"/>
      <c r="X48" s="23"/>
      <c r="Y48" s="23"/>
      <c r="Z48" s="23"/>
      <c r="AA48" s="23"/>
      <c r="AB48" s="23"/>
      <c r="AC48" s="23"/>
      <c r="AD48" s="23"/>
      <c r="AE48" s="23"/>
    </row>
    <row r="49" spans="1:47" s="2" customFormat="1" ht="12" customHeight="1">
      <c r="A49" s="271"/>
      <c r="B49" s="270"/>
      <c r="C49" s="268" t="s">
        <v>15</v>
      </c>
      <c r="D49" s="271"/>
      <c r="E49" s="271"/>
      <c r="F49" s="271"/>
      <c r="G49" s="271"/>
      <c r="H49" s="271"/>
      <c r="I49" s="271"/>
      <c r="J49" s="271"/>
      <c r="K49" s="271"/>
      <c r="L49" s="64"/>
      <c r="S49" s="23"/>
      <c r="T49" s="23"/>
      <c r="U49" s="23"/>
      <c r="V49" s="23"/>
      <c r="W49" s="23"/>
      <c r="X49" s="23"/>
      <c r="Y49" s="23"/>
      <c r="Z49" s="23"/>
      <c r="AA49" s="23"/>
      <c r="AB49" s="23"/>
      <c r="AC49" s="23"/>
      <c r="AD49" s="23"/>
      <c r="AE49" s="23"/>
    </row>
    <row r="50" spans="1:47" s="2" customFormat="1" ht="14.45" customHeight="1">
      <c r="A50" s="271"/>
      <c r="B50" s="270"/>
      <c r="C50" s="271"/>
      <c r="D50" s="271"/>
      <c r="E50" s="722" t="str">
        <f>E7</f>
        <v>Úpravy gastroprovozu Úřadu vlády ČR v 1.pp Strakovy akademie</v>
      </c>
      <c r="F50" s="723"/>
      <c r="G50" s="723"/>
      <c r="H50" s="723"/>
      <c r="I50" s="271"/>
      <c r="J50" s="271"/>
      <c r="K50" s="271"/>
      <c r="L50" s="64"/>
      <c r="S50" s="23"/>
      <c r="T50" s="23"/>
      <c r="U50" s="23"/>
      <c r="V50" s="23"/>
      <c r="W50" s="23"/>
      <c r="X50" s="23"/>
      <c r="Y50" s="23"/>
      <c r="Z50" s="23"/>
      <c r="AA50" s="23"/>
      <c r="AB50" s="23"/>
      <c r="AC50" s="23"/>
      <c r="AD50" s="23"/>
      <c r="AE50" s="23"/>
    </row>
    <row r="51" spans="1:47" s="1" customFormat="1" ht="12" customHeight="1">
      <c r="A51" s="61"/>
      <c r="B51" s="265"/>
      <c r="C51" s="268" t="s">
        <v>151</v>
      </c>
      <c r="D51" s="61"/>
      <c r="E51" s="61"/>
      <c r="F51" s="61"/>
      <c r="G51" s="61"/>
      <c r="H51" s="61"/>
      <c r="I51" s="61"/>
      <c r="J51" s="61"/>
      <c r="K51" s="61"/>
      <c r="L51" s="20"/>
    </row>
    <row r="52" spans="1:47" s="2" customFormat="1" ht="14.45" customHeight="1">
      <c r="A52" s="271"/>
      <c r="B52" s="270"/>
      <c r="C52" s="271"/>
      <c r="D52" s="271"/>
      <c r="E52" s="722" t="s">
        <v>1759</v>
      </c>
      <c r="F52" s="721"/>
      <c r="G52" s="721"/>
      <c r="H52" s="721"/>
      <c r="I52" s="271"/>
      <c r="J52" s="271"/>
      <c r="K52" s="271"/>
      <c r="L52" s="64"/>
      <c r="S52" s="23"/>
      <c r="T52" s="23"/>
      <c r="U52" s="23"/>
      <c r="V52" s="23"/>
      <c r="W52" s="23"/>
      <c r="X52" s="23"/>
      <c r="Y52" s="23"/>
      <c r="Z52" s="23"/>
      <c r="AA52" s="23"/>
      <c r="AB52" s="23"/>
      <c r="AC52" s="23"/>
      <c r="AD52" s="23"/>
      <c r="AE52" s="23"/>
    </row>
    <row r="53" spans="1:47" s="2" customFormat="1" ht="12" customHeight="1">
      <c r="A53" s="271"/>
      <c r="B53" s="270"/>
      <c r="C53" s="268" t="s">
        <v>157</v>
      </c>
      <c r="D53" s="271"/>
      <c r="E53" s="271"/>
      <c r="F53" s="271"/>
      <c r="G53" s="271"/>
      <c r="H53" s="271"/>
      <c r="I53" s="271"/>
      <c r="J53" s="271"/>
      <c r="K53" s="271"/>
      <c r="L53" s="64"/>
      <c r="S53" s="23"/>
      <c r="T53" s="23"/>
      <c r="U53" s="23"/>
      <c r="V53" s="23"/>
      <c r="W53" s="23"/>
      <c r="X53" s="23"/>
      <c r="Y53" s="23"/>
      <c r="Z53" s="23"/>
      <c r="AA53" s="23"/>
      <c r="AB53" s="23"/>
      <c r="AC53" s="23"/>
      <c r="AD53" s="23"/>
      <c r="AE53" s="23"/>
    </row>
    <row r="54" spans="1:47" s="2" customFormat="1" ht="14.45" customHeight="1">
      <c r="A54" s="271"/>
      <c r="B54" s="270"/>
      <c r="C54" s="271"/>
      <c r="D54" s="271"/>
      <c r="E54" s="689" t="str">
        <f>E11</f>
        <v xml:space="preserve">D.1.4.05 - Soupis prací - Vzduchotechnika </v>
      </c>
      <c r="F54" s="721"/>
      <c r="G54" s="721"/>
      <c r="H54" s="721"/>
      <c r="I54" s="271"/>
      <c r="J54" s="271"/>
      <c r="K54" s="271"/>
      <c r="L54" s="64"/>
      <c r="S54" s="23"/>
      <c r="T54" s="23"/>
      <c r="U54" s="23"/>
      <c r="V54" s="23"/>
      <c r="W54" s="23"/>
      <c r="X54" s="23"/>
      <c r="Y54" s="23"/>
      <c r="Z54" s="23"/>
      <c r="AA54" s="23"/>
      <c r="AB54" s="23"/>
      <c r="AC54" s="23"/>
      <c r="AD54" s="23"/>
      <c r="AE54" s="23"/>
    </row>
    <row r="55" spans="1:47" s="2" customFormat="1" ht="6.95" customHeight="1">
      <c r="A55" s="271"/>
      <c r="B55" s="270"/>
      <c r="C55" s="271"/>
      <c r="D55" s="271"/>
      <c r="E55" s="271"/>
      <c r="F55" s="271"/>
      <c r="G55" s="271"/>
      <c r="H55" s="271"/>
      <c r="I55" s="271"/>
      <c r="J55" s="271"/>
      <c r="K55" s="271"/>
      <c r="L55" s="64"/>
      <c r="S55" s="23"/>
      <c r="T55" s="23"/>
      <c r="U55" s="23"/>
      <c r="V55" s="23"/>
      <c r="W55" s="23"/>
      <c r="X55" s="23"/>
      <c r="Y55" s="23"/>
      <c r="Z55" s="23"/>
      <c r="AA55" s="23"/>
      <c r="AB55" s="23"/>
      <c r="AC55" s="23"/>
      <c r="AD55" s="23"/>
      <c r="AE55" s="23"/>
    </row>
    <row r="56" spans="1:47" s="2" customFormat="1" ht="12" customHeight="1">
      <c r="A56" s="271"/>
      <c r="B56" s="270"/>
      <c r="C56" s="268" t="s">
        <v>19</v>
      </c>
      <c r="D56" s="271"/>
      <c r="E56" s="271"/>
      <c r="F56" s="273" t="str">
        <f>F14</f>
        <v xml:space="preserve"> </v>
      </c>
      <c r="G56" s="271"/>
      <c r="H56" s="271"/>
      <c r="I56" s="268" t="s">
        <v>21</v>
      </c>
      <c r="J56" s="387">
        <f>IF(J14="","",J14)</f>
        <v>44077</v>
      </c>
      <c r="K56" s="271"/>
      <c r="L56" s="64"/>
      <c r="S56" s="23"/>
      <c r="T56" s="23"/>
      <c r="U56" s="23"/>
      <c r="V56" s="23"/>
      <c r="W56" s="23"/>
      <c r="X56" s="23"/>
      <c r="Y56" s="23"/>
      <c r="Z56" s="23"/>
      <c r="AA56" s="23"/>
      <c r="AB56" s="23"/>
      <c r="AC56" s="23"/>
      <c r="AD56" s="23"/>
      <c r="AE56" s="23"/>
    </row>
    <row r="57" spans="1:47" s="2" customFormat="1" ht="6.95" customHeight="1">
      <c r="A57" s="271"/>
      <c r="B57" s="270"/>
      <c r="C57" s="271"/>
      <c r="D57" s="271"/>
      <c r="E57" s="271"/>
      <c r="F57" s="271"/>
      <c r="G57" s="271"/>
      <c r="H57" s="271"/>
      <c r="I57" s="271"/>
      <c r="J57" s="271"/>
      <c r="K57" s="271"/>
      <c r="L57" s="64"/>
      <c r="S57" s="23"/>
      <c r="T57" s="23"/>
      <c r="U57" s="23"/>
      <c r="V57" s="23"/>
      <c r="W57" s="23"/>
      <c r="X57" s="23"/>
      <c r="Y57" s="23"/>
      <c r="Z57" s="23"/>
      <c r="AA57" s="23"/>
      <c r="AB57" s="23"/>
      <c r="AC57" s="23"/>
      <c r="AD57" s="23"/>
      <c r="AE57" s="23"/>
    </row>
    <row r="58" spans="1:47" s="2" customFormat="1" ht="26.45" customHeight="1">
      <c r="A58" s="271"/>
      <c r="B58" s="270"/>
      <c r="C58" s="268" t="s">
        <v>22</v>
      </c>
      <c r="D58" s="271"/>
      <c r="E58" s="271"/>
      <c r="F58" s="273" t="str">
        <f>E17</f>
        <v xml:space="preserve">Úřad vlády České republiky </v>
      </c>
      <c r="G58" s="271"/>
      <c r="H58" s="271"/>
      <c r="I58" s="268" t="s">
        <v>28</v>
      </c>
      <c r="J58" s="391" t="str">
        <f>E23</f>
        <v>Ateliér Simona Group</v>
      </c>
      <c r="K58" s="271"/>
      <c r="L58" s="64"/>
      <c r="S58" s="23"/>
      <c r="T58" s="23"/>
      <c r="U58" s="23"/>
      <c r="V58" s="23"/>
      <c r="W58" s="23"/>
      <c r="X58" s="23"/>
      <c r="Y58" s="23"/>
      <c r="Z58" s="23"/>
      <c r="AA58" s="23"/>
      <c r="AB58" s="23"/>
      <c r="AC58" s="23"/>
      <c r="AD58" s="23"/>
      <c r="AE58" s="23"/>
    </row>
    <row r="59" spans="1:47" s="2" customFormat="1" ht="26.45" customHeight="1">
      <c r="A59" s="271"/>
      <c r="B59" s="270"/>
      <c r="C59" s="268" t="s">
        <v>26</v>
      </c>
      <c r="D59" s="271"/>
      <c r="E59" s="271"/>
      <c r="F59" s="273" t="str">
        <f>IF(E20="","",E20)</f>
        <v xml:space="preserve"> </v>
      </c>
      <c r="G59" s="271"/>
      <c r="H59" s="271"/>
      <c r="I59" s="268" t="s">
        <v>31</v>
      </c>
      <c r="J59" s="391" t="str">
        <f>E26</f>
        <v>Ateliér Simona Group</v>
      </c>
      <c r="K59" s="271"/>
      <c r="L59" s="64"/>
      <c r="S59" s="23"/>
      <c r="T59" s="23"/>
      <c r="U59" s="23"/>
      <c r="V59" s="23"/>
      <c r="W59" s="23"/>
      <c r="X59" s="23"/>
      <c r="Y59" s="23"/>
      <c r="Z59" s="23"/>
      <c r="AA59" s="23"/>
      <c r="AB59" s="23"/>
      <c r="AC59" s="23"/>
      <c r="AD59" s="23"/>
      <c r="AE59" s="23"/>
    </row>
    <row r="60" spans="1:47" s="2" customFormat="1" ht="10.35" customHeight="1">
      <c r="A60" s="271"/>
      <c r="B60" s="270"/>
      <c r="C60" s="271"/>
      <c r="D60" s="271"/>
      <c r="E60" s="271"/>
      <c r="F60" s="271"/>
      <c r="G60" s="271"/>
      <c r="H60" s="271"/>
      <c r="I60" s="271"/>
      <c r="J60" s="271"/>
      <c r="K60" s="271"/>
      <c r="L60" s="64"/>
      <c r="S60" s="23"/>
      <c r="T60" s="23"/>
      <c r="U60" s="23"/>
      <c r="V60" s="23"/>
      <c r="W60" s="23"/>
      <c r="X60" s="23"/>
      <c r="Y60" s="23"/>
      <c r="Z60" s="23"/>
      <c r="AA60" s="23"/>
      <c r="AB60" s="23"/>
      <c r="AC60" s="23"/>
      <c r="AD60" s="23"/>
      <c r="AE60" s="23"/>
    </row>
    <row r="61" spans="1:47" s="2" customFormat="1" ht="29.25" customHeight="1">
      <c r="A61" s="271"/>
      <c r="B61" s="270"/>
      <c r="C61" s="290" t="s">
        <v>168</v>
      </c>
      <c r="D61" s="281"/>
      <c r="E61" s="281"/>
      <c r="F61" s="281"/>
      <c r="G61" s="281"/>
      <c r="H61" s="281"/>
      <c r="I61" s="281"/>
      <c r="J61" s="392" t="s">
        <v>169</v>
      </c>
      <c r="K61" s="281"/>
      <c r="L61" s="64"/>
      <c r="S61" s="23"/>
      <c r="T61" s="23"/>
      <c r="U61" s="23"/>
      <c r="V61" s="23"/>
      <c r="W61" s="23"/>
      <c r="X61" s="23"/>
      <c r="Y61" s="23"/>
      <c r="Z61" s="23"/>
      <c r="AA61" s="23"/>
      <c r="AB61" s="23"/>
      <c r="AC61" s="23"/>
      <c r="AD61" s="23"/>
      <c r="AE61" s="23"/>
    </row>
    <row r="62" spans="1:47" s="2" customFormat="1" ht="10.35" customHeight="1">
      <c r="A62" s="271"/>
      <c r="B62" s="270"/>
      <c r="C62" s="271"/>
      <c r="D62" s="271"/>
      <c r="E62" s="271"/>
      <c r="F62" s="271"/>
      <c r="G62" s="271"/>
      <c r="H62" s="271"/>
      <c r="I62" s="271"/>
      <c r="J62" s="271"/>
      <c r="K62" s="271"/>
      <c r="L62" s="64"/>
      <c r="S62" s="23"/>
      <c r="T62" s="23"/>
      <c r="U62" s="23"/>
      <c r="V62" s="23"/>
      <c r="W62" s="23"/>
      <c r="X62" s="23"/>
      <c r="Y62" s="23"/>
      <c r="Z62" s="23"/>
      <c r="AA62" s="23"/>
      <c r="AB62" s="23"/>
      <c r="AC62" s="23"/>
      <c r="AD62" s="23"/>
      <c r="AE62" s="23"/>
    </row>
    <row r="63" spans="1:47" s="2" customFormat="1" ht="22.9" customHeight="1">
      <c r="A63" s="271"/>
      <c r="B63" s="270"/>
      <c r="C63" s="291" t="s">
        <v>66</v>
      </c>
      <c r="D63" s="271"/>
      <c r="E63" s="271"/>
      <c r="F63" s="271"/>
      <c r="G63" s="271"/>
      <c r="H63" s="271"/>
      <c r="I63" s="271"/>
      <c r="J63" s="388">
        <f>J87</f>
        <v>0</v>
      </c>
      <c r="K63" s="271"/>
      <c r="L63" s="64"/>
      <c r="S63" s="23"/>
      <c r="T63" s="23"/>
      <c r="U63" s="23"/>
      <c r="V63" s="23"/>
      <c r="W63" s="23"/>
      <c r="X63" s="23"/>
      <c r="Y63" s="23"/>
      <c r="Z63" s="23"/>
      <c r="AA63" s="23"/>
      <c r="AB63" s="23"/>
      <c r="AC63" s="23"/>
      <c r="AD63" s="23"/>
      <c r="AE63" s="23"/>
      <c r="AU63" s="19" t="s">
        <v>170</v>
      </c>
    </row>
    <row r="64" spans="1:47" s="9" customFormat="1" ht="24.95" customHeight="1">
      <c r="A64" s="292"/>
      <c r="B64" s="293"/>
      <c r="C64" s="292"/>
      <c r="D64" s="294" t="s">
        <v>181</v>
      </c>
      <c r="E64" s="295"/>
      <c r="F64" s="295"/>
      <c r="G64" s="295"/>
      <c r="H64" s="295"/>
      <c r="I64" s="295"/>
      <c r="J64" s="393">
        <f>J88</f>
        <v>0</v>
      </c>
      <c r="K64" s="292"/>
      <c r="L64" s="67"/>
    </row>
    <row r="65" spans="1:31" s="10" customFormat="1" ht="19.899999999999999" customHeight="1">
      <c r="A65" s="246"/>
      <c r="B65" s="296"/>
      <c r="C65" s="246"/>
      <c r="D65" s="297" t="s">
        <v>1791</v>
      </c>
      <c r="E65" s="298"/>
      <c r="F65" s="298"/>
      <c r="G65" s="298"/>
      <c r="H65" s="298"/>
      <c r="I65" s="298"/>
      <c r="J65" s="394">
        <f>J89</f>
        <v>0</v>
      </c>
      <c r="K65" s="246"/>
      <c r="L65" s="68"/>
    </row>
    <row r="66" spans="1:31" s="2" customFormat="1" ht="21.75" customHeight="1">
      <c r="A66" s="271"/>
      <c r="B66" s="270"/>
      <c r="C66" s="271"/>
      <c r="D66" s="271"/>
      <c r="E66" s="271"/>
      <c r="F66" s="271"/>
      <c r="G66" s="271"/>
      <c r="H66" s="271"/>
      <c r="I66" s="271"/>
      <c r="J66" s="271"/>
      <c r="K66" s="271"/>
      <c r="L66" s="64"/>
      <c r="S66" s="23"/>
      <c r="T66" s="23"/>
      <c r="U66" s="23"/>
      <c r="V66" s="23"/>
      <c r="W66" s="23"/>
      <c r="X66" s="23"/>
      <c r="Y66" s="23"/>
      <c r="Z66" s="23"/>
      <c r="AA66" s="23"/>
      <c r="AB66" s="23"/>
      <c r="AC66" s="23"/>
      <c r="AD66" s="23"/>
      <c r="AE66" s="23"/>
    </row>
    <row r="67" spans="1:31" s="2" customFormat="1" ht="6.95" customHeight="1">
      <c r="A67" s="271"/>
      <c r="B67" s="286"/>
      <c r="C67" s="287"/>
      <c r="D67" s="287"/>
      <c r="E67" s="287"/>
      <c r="F67" s="287"/>
      <c r="G67" s="287"/>
      <c r="H67" s="287"/>
      <c r="I67" s="287"/>
      <c r="J67" s="287"/>
      <c r="K67" s="287"/>
      <c r="L67" s="64"/>
      <c r="S67" s="23"/>
      <c r="T67" s="23"/>
      <c r="U67" s="23"/>
      <c r="V67" s="23"/>
      <c r="W67" s="23"/>
      <c r="X67" s="23"/>
      <c r="Y67" s="23"/>
      <c r="Z67" s="23"/>
      <c r="AA67" s="23"/>
      <c r="AB67" s="23"/>
      <c r="AC67" s="23"/>
      <c r="AD67" s="23"/>
      <c r="AE67" s="23"/>
    </row>
    <row r="68" spans="1:31">
      <c r="A68" s="61"/>
      <c r="B68" s="61"/>
      <c r="C68" s="61"/>
      <c r="D68" s="61"/>
      <c r="E68" s="61"/>
      <c r="F68" s="61"/>
      <c r="G68" s="61"/>
      <c r="H68" s="61"/>
      <c r="I68" s="61"/>
      <c r="J68" s="61"/>
      <c r="K68" s="61"/>
    </row>
    <row r="69" spans="1:31">
      <c r="A69" s="61"/>
      <c r="B69" s="61"/>
      <c r="C69" s="61"/>
      <c r="D69" s="61"/>
      <c r="E69" s="61"/>
      <c r="F69" s="61"/>
      <c r="G69" s="61"/>
      <c r="H69" s="61"/>
      <c r="I69" s="61"/>
      <c r="J69" s="61"/>
      <c r="K69" s="61"/>
    </row>
    <row r="70" spans="1:31">
      <c r="A70" s="61"/>
      <c r="B70" s="61"/>
      <c r="C70" s="61"/>
      <c r="D70" s="61"/>
      <c r="E70" s="61"/>
      <c r="F70" s="61"/>
      <c r="G70" s="61"/>
      <c r="H70" s="61"/>
      <c r="I70" s="61"/>
      <c r="J70" s="61"/>
      <c r="K70" s="61"/>
    </row>
    <row r="71" spans="1:31" s="2" customFormat="1" ht="6.95" customHeight="1">
      <c r="A71" s="271"/>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31" s="2" customFormat="1" ht="24.95" customHeight="1">
      <c r="A72" s="271"/>
      <c r="B72" s="270"/>
      <c r="C72" s="266" t="s">
        <v>201</v>
      </c>
      <c r="D72" s="271"/>
      <c r="E72" s="271"/>
      <c r="F72" s="271"/>
      <c r="G72" s="271"/>
      <c r="H72" s="271"/>
      <c r="I72" s="271"/>
      <c r="J72" s="271"/>
      <c r="K72" s="271"/>
      <c r="L72" s="64"/>
      <c r="S72" s="23"/>
      <c r="T72" s="23"/>
      <c r="U72" s="23"/>
      <c r="V72" s="23"/>
      <c r="W72" s="23"/>
      <c r="X72" s="23"/>
      <c r="Y72" s="23"/>
      <c r="Z72" s="23"/>
      <c r="AA72" s="23"/>
      <c r="AB72" s="23"/>
      <c r="AC72" s="23"/>
      <c r="AD72" s="23"/>
      <c r="AE72" s="23"/>
    </row>
    <row r="73" spans="1:31" s="2" customFormat="1" ht="6.95" customHeight="1">
      <c r="A73" s="271"/>
      <c r="B73" s="270"/>
      <c r="C73" s="271"/>
      <c r="D73" s="271"/>
      <c r="E73" s="271"/>
      <c r="F73" s="271"/>
      <c r="G73" s="271"/>
      <c r="H73" s="271"/>
      <c r="I73" s="271"/>
      <c r="J73" s="271"/>
      <c r="K73" s="271"/>
      <c r="L73" s="64"/>
      <c r="S73" s="23"/>
      <c r="T73" s="23"/>
      <c r="U73" s="23"/>
      <c r="V73" s="23"/>
      <c r="W73" s="23"/>
      <c r="X73" s="23"/>
      <c r="Y73" s="23"/>
      <c r="Z73" s="23"/>
      <c r="AA73" s="23"/>
      <c r="AB73" s="23"/>
      <c r="AC73" s="23"/>
      <c r="AD73" s="23"/>
      <c r="AE73" s="23"/>
    </row>
    <row r="74" spans="1:31" s="2" customFormat="1" ht="12" customHeight="1">
      <c r="A74" s="271"/>
      <c r="B74" s="270"/>
      <c r="C74" s="268" t="s">
        <v>15</v>
      </c>
      <c r="D74" s="271"/>
      <c r="E74" s="271"/>
      <c r="F74" s="271"/>
      <c r="G74" s="271"/>
      <c r="H74" s="271"/>
      <c r="I74" s="271"/>
      <c r="J74" s="271"/>
      <c r="K74" s="271"/>
      <c r="L74" s="64"/>
      <c r="S74" s="23"/>
      <c r="T74" s="23"/>
      <c r="U74" s="23"/>
      <c r="V74" s="23"/>
      <c r="W74" s="23"/>
      <c r="X74" s="23"/>
      <c r="Y74" s="23"/>
      <c r="Z74" s="23"/>
      <c r="AA74" s="23"/>
      <c r="AB74" s="23"/>
      <c r="AC74" s="23"/>
      <c r="AD74" s="23"/>
      <c r="AE74" s="23"/>
    </row>
    <row r="75" spans="1:31" s="2" customFormat="1" ht="14.45" customHeight="1">
      <c r="A75" s="271"/>
      <c r="B75" s="270"/>
      <c r="C75" s="271"/>
      <c r="D75" s="271"/>
      <c r="E75" s="722" t="str">
        <f>E7</f>
        <v>Úpravy gastroprovozu Úřadu vlády ČR v 1.pp Strakovy akademie</v>
      </c>
      <c r="F75" s="723"/>
      <c r="G75" s="723"/>
      <c r="H75" s="723"/>
      <c r="I75" s="271"/>
      <c r="J75" s="271"/>
      <c r="K75" s="271"/>
      <c r="L75" s="64"/>
      <c r="S75" s="23"/>
      <c r="T75" s="23"/>
      <c r="U75" s="23"/>
      <c r="V75" s="23"/>
      <c r="W75" s="23"/>
      <c r="X75" s="23"/>
      <c r="Y75" s="23"/>
      <c r="Z75" s="23"/>
      <c r="AA75" s="23"/>
      <c r="AB75" s="23"/>
      <c r="AC75" s="23"/>
      <c r="AD75" s="23"/>
      <c r="AE75" s="23"/>
    </row>
    <row r="76" spans="1:31" s="1" customFormat="1" ht="12" customHeight="1">
      <c r="A76" s="61"/>
      <c r="B76" s="265"/>
      <c r="C76" s="268" t="s">
        <v>151</v>
      </c>
      <c r="D76" s="61"/>
      <c r="E76" s="61"/>
      <c r="F76" s="61"/>
      <c r="G76" s="61"/>
      <c r="H76" s="61"/>
      <c r="I76" s="61"/>
      <c r="J76" s="61"/>
      <c r="K76" s="61"/>
      <c r="L76" s="20"/>
    </row>
    <row r="77" spans="1:31" s="2" customFormat="1" ht="14.45" customHeight="1">
      <c r="A77" s="271"/>
      <c r="B77" s="270"/>
      <c r="C77" s="271"/>
      <c r="D77" s="271"/>
      <c r="E77" s="722" t="s">
        <v>1759</v>
      </c>
      <c r="F77" s="721"/>
      <c r="G77" s="721"/>
      <c r="H77" s="721"/>
      <c r="I77" s="271"/>
      <c r="J77" s="271"/>
      <c r="K77" s="271"/>
      <c r="L77" s="64"/>
      <c r="S77" s="23"/>
      <c r="T77" s="23"/>
      <c r="U77" s="23"/>
      <c r="V77" s="23"/>
      <c r="W77" s="23"/>
      <c r="X77" s="23"/>
      <c r="Y77" s="23"/>
      <c r="Z77" s="23"/>
      <c r="AA77" s="23"/>
      <c r="AB77" s="23"/>
      <c r="AC77" s="23"/>
      <c r="AD77" s="23"/>
      <c r="AE77" s="23"/>
    </row>
    <row r="78" spans="1:31" s="2" customFormat="1" ht="12" customHeight="1">
      <c r="A78" s="271"/>
      <c r="B78" s="270"/>
      <c r="C78" s="268" t="s">
        <v>157</v>
      </c>
      <c r="D78" s="271"/>
      <c r="E78" s="271"/>
      <c r="F78" s="271"/>
      <c r="G78" s="271"/>
      <c r="H78" s="271"/>
      <c r="I78" s="271"/>
      <c r="J78" s="271"/>
      <c r="K78" s="271"/>
      <c r="L78" s="64"/>
      <c r="S78" s="23"/>
      <c r="T78" s="23"/>
      <c r="U78" s="23"/>
      <c r="V78" s="23"/>
      <c r="W78" s="23"/>
      <c r="X78" s="23"/>
      <c r="Y78" s="23"/>
      <c r="Z78" s="23"/>
      <c r="AA78" s="23"/>
      <c r="AB78" s="23"/>
      <c r="AC78" s="23"/>
      <c r="AD78" s="23"/>
      <c r="AE78" s="23"/>
    </row>
    <row r="79" spans="1:31" s="2" customFormat="1" ht="14.45" customHeight="1">
      <c r="A79" s="271"/>
      <c r="B79" s="270"/>
      <c r="C79" s="271"/>
      <c r="D79" s="271"/>
      <c r="E79" s="689" t="str">
        <f>E11</f>
        <v xml:space="preserve">D.1.4.05 - Soupis prací - Vzduchotechnika </v>
      </c>
      <c r="F79" s="721"/>
      <c r="G79" s="721"/>
      <c r="H79" s="721"/>
      <c r="I79" s="271"/>
      <c r="J79" s="271"/>
      <c r="K79" s="271"/>
      <c r="L79" s="64"/>
      <c r="S79" s="23"/>
      <c r="T79" s="23"/>
      <c r="U79" s="23"/>
      <c r="V79" s="23"/>
      <c r="W79" s="23"/>
      <c r="X79" s="23"/>
      <c r="Y79" s="23"/>
      <c r="Z79" s="23"/>
      <c r="AA79" s="23"/>
      <c r="AB79" s="23"/>
      <c r="AC79" s="23"/>
      <c r="AD79" s="23"/>
      <c r="AE79" s="23"/>
    </row>
    <row r="80" spans="1:31" s="2" customFormat="1" ht="6.95" customHeight="1">
      <c r="A80" s="271"/>
      <c r="B80" s="270"/>
      <c r="C80" s="271"/>
      <c r="D80" s="271"/>
      <c r="E80" s="271"/>
      <c r="F80" s="271"/>
      <c r="G80" s="271"/>
      <c r="H80" s="271"/>
      <c r="I80" s="271"/>
      <c r="J80" s="271"/>
      <c r="K80" s="271"/>
      <c r="L80" s="64"/>
      <c r="S80" s="23"/>
      <c r="T80" s="23"/>
      <c r="U80" s="23"/>
      <c r="V80" s="23"/>
      <c r="W80" s="23"/>
      <c r="X80" s="23"/>
      <c r="Y80" s="23"/>
      <c r="Z80" s="23"/>
      <c r="AA80" s="23"/>
      <c r="AB80" s="23"/>
      <c r="AC80" s="23"/>
      <c r="AD80" s="23"/>
      <c r="AE80" s="23"/>
    </row>
    <row r="81" spans="1:65" s="2" customFormat="1" ht="12" customHeight="1">
      <c r="A81" s="271"/>
      <c r="B81" s="270"/>
      <c r="C81" s="268" t="s">
        <v>19</v>
      </c>
      <c r="D81" s="271"/>
      <c r="E81" s="271"/>
      <c r="F81" s="273" t="str">
        <f>F14</f>
        <v xml:space="preserve"> </v>
      </c>
      <c r="G81" s="271"/>
      <c r="H81" s="271"/>
      <c r="I81" s="268" t="s">
        <v>21</v>
      </c>
      <c r="J81" s="387">
        <f>IF(J14="","",J14)</f>
        <v>44077</v>
      </c>
      <c r="K81" s="271"/>
      <c r="L81" s="64"/>
      <c r="S81" s="23"/>
      <c r="T81" s="23"/>
      <c r="U81" s="23"/>
      <c r="V81" s="23"/>
      <c r="W81" s="23"/>
      <c r="X81" s="23"/>
      <c r="Y81" s="23"/>
      <c r="Z81" s="23"/>
      <c r="AA81" s="23"/>
      <c r="AB81" s="23"/>
      <c r="AC81" s="23"/>
      <c r="AD81" s="23"/>
      <c r="AE81" s="23"/>
    </row>
    <row r="82" spans="1:65" s="2" customFormat="1" ht="6.95" customHeight="1">
      <c r="A82" s="271"/>
      <c r="B82" s="270"/>
      <c r="C82" s="271"/>
      <c r="D82" s="271"/>
      <c r="E82" s="271"/>
      <c r="F82" s="271"/>
      <c r="G82" s="271"/>
      <c r="H82" s="271"/>
      <c r="I82" s="271"/>
      <c r="J82" s="271"/>
      <c r="K82" s="271"/>
      <c r="L82" s="64"/>
      <c r="S82" s="23"/>
      <c r="T82" s="23"/>
      <c r="U82" s="23"/>
      <c r="V82" s="23"/>
      <c r="W82" s="23"/>
      <c r="X82" s="23"/>
      <c r="Y82" s="23"/>
      <c r="Z82" s="23"/>
      <c r="AA82" s="23"/>
      <c r="AB82" s="23"/>
      <c r="AC82" s="23"/>
      <c r="AD82" s="23"/>
      <c r="AE82" s="23"/>
    </row>
    <row r="83" spans="1:65" s="2" customFormat="1" ht="26.45" customHeight="1">
      <c r="A83" s="271"/>
      <c r="B83" s="270"/>
      <c r="C83" s="268" t="s">
        <v>22</v>
      </c>
      <c r="D83" s="271"/>
      <c r="E83" s="271"/>
      <c r="F83" s="273" t="str">
        <f>E17</f>
        <v xml:space="preserve">Úřad vlády České republiky </v>
      </c>
      <c r="G83" s="271"/>
      <c r="H83" s="271"/>
      <c r="I83" s="268" t="s">
        <v>28</v>
      </c>
      <c r="J83" s="391" t="str">
        <f>E23</f>
        <v>Ateliér Simona Group</v>
      </c>
      <c r="K83" s="271"/>
      <c r="L83" s="64"/>
      <c r="S83" s="23"/>
      <c r="T83" s="23"/>
      <c r="U83" s="23"/>
      <c r="V83" s="23"/>
      <c r="W83" s="23"/>
      <c r="X83" s="23"/>
      <c r="Y83" s="23"/>
      <c r="Z83" s="23"/>
      <c r="AA83" s="23"/>
      <c r="AB83" s="23"/>
      <c r="AC83" s="23"/>
      <c r="AD83" s="23"/>
      <c r="AE83" s="23"/>
    </row>
    <row r="84" spans="1:65" s="2" customFormat="1" ht="26.45" customHeight="1">
      <c r="A84" s="271"/>
      <c r="B84" s="270"/>
      <c r="C84" s="268" t="s">
        <v>26</v>
      </c>
      <c r="D84" s="271"/>
      <c r="E84" s="271"/>
      <c r="F84" s="273" t="str">
        <f>IF(E20="","",E20)</f>
        <v xml:space="preserve"> </v>
      </c>
      <c r="G84" s="271"/>
      <c r="H84" s="271"/>
      <c r="I84" s="268" t="s">
        <v>31</v>
      </c>
      <c r="J84" s="391" t="str">
        <f>E26</f>
        <v>Ateliér Simona Group</v>
      </c>
      <c r="K84" s="271"/>
      <c r="L84" s="64"/>
      <c r="S84" s="23"/>
      <c r="T84" s="23"/>
      <c r="U84" s="23"/>
      <c r="V84" s="23"/>
      <c r="W84" s="23"/>
      <c r="X84" s="23"/>
      <c r="Y84" s="23"/>
      <c r="Z84" s="23"/>
      <c r="AA84" s="23"/>
      <c r="AB84" s="23"/>
      <c r="AC84" s="23"/>
      <c r="AD84" s="23"/>
      <c r="AE84" s="23"/>
    </row>
    <row r="85" spans="1:65" s="2" customFormat="1" ht="10.35" customHeight="1">
      <c r="A85" s="271"/>
      <c r="B85" s="270"/>
      <c r="C85" s="271"/>
      <c r="D85" s="271"/>
      <c r="E85" s="271"/>
      <c r="F85" s="271"/>
      <c r="G85" s="271"/>
      <c r="H85" s="271"/>
      <c r="I85" s="271"/>
      <c r="J85" s="271"/>
      <c r="K85" s="271"/>
      <c r="L85" s="64"/>
      <c r="S85" s="23"/>
      <c r="T85" s="23"/>
      <c r="U85" s="23"/>
      <c r="V85" s="23"/>
      <c r="W85" s="23"/>
      <c r="X85" s="23"/>
      <c r="Y85" s="23"/>
      <c r="Z85" s="23"/>
      <c r="AA85" s="23"/>
      <c r="AB85" s="23"/>
      <c r="AC85" s="23"/>
      <c r="AD85" s="23"/>
      <c r="AE85" s="23"/>
    </row>
    <row r="86" spans="1:65" s="11" customFormat="1" ht="29.25" customHeight="1">
      <c r="A86" s="299"/>
      <c r="B86" s="300"/>
      <c r="C86" s="301" t="s">
        <v>202</v>
      </c>
      <c r="D86" s="302" t="s">
        <v>53</v>
      </c>
      <c r="E86" s="302" t="s">
        <v>49</v>
      </c>
      <c r="F86" s="302" t="s">
        <v>50</v>
      </c>
      <c r="G86" s="302" t="s">
        <v>203</v>
      </c>
      <c r="H86" s="302" t="s">
        <v>204</v>
      </c>
      <c r="I86" s="302" t="s">
        <v>205</v>
      </c>
      <c r="J86" s="302" t="s">
        <v>169</v>
      </c>
      <c r="K86" s="340" t="s">
        <v>206</v>
      </c>
      <c r="L86" s="70"/>
      <c r="M86" s="34" t="s">
        <v>3</v>
      </c>
      <c r="N86" s="35" t="s">
        <v>38</v>
      </c>
      <c r="O86" s="35" t="s">
        <v>207</v>
      </c>
      <c r="P86" s="35" t="s">
        <v>208</v>
      </c>
      <c r="Q86" s="35" t="s">
        <v>209</v>
      </c>
      <c r="R86" s="35" t="s">
        <v>210</v>
      </c>
      <c r="S86" s="35" t="s">
        <v>211</v>
      </c>
      <c r="T86" s="36" t="s">
        <v>212</v>
      </c>
      <c r="U86" s="69"/>
      <c r="V86" s="69"/>
      <c r="W86" s="69"/>
      <c r="X86" s="69"/>
      <c r="Y86" s="69"/>
      <c r="Z86" s="69"/>
      <c r="AA86" s="69"/>
      <c r="AB86" s="69"/>
      <c r="AC86" s="69"/>
      <c r="AD86" s="69"/>
      <c r="AE86" s="69"/>
    </row>
    <row r="87" spans="1:65" s="2" customFormat="1" ht="22.9" customHeight="1">
      <c r="A87" s="271"/>
      <c r="B87" s="270"/>
      <c r="C87" s="243" t="s">
        <v>213</v>
      </c>
      <c r="D87" s="271"/>
      <c r="E87" s="271"/>
      <c r="F87" s="271"/>
      <c r="G87" s="271"/>
      <c r="H87" s="271"/>
      <c r="I87" s="271"/>
      <c r="J87" s="410">
        <f>BK87</f>
        <v>0</v>
      </c>
      <c r="K87" s="271"/>
      <c r="L87" s="24"/>
      <c r="M87" s="37"/>
      <c r="N87" s="30"/>
      <c r="O87" s="38"/>
      <c r="P87" s="71">
        <f>P88</f>
        <v>0</v>
      </c>
      <c r="Q87" s="38"/>
      <c r="R87" s="71">
        <f>R88</f>
        <v>0</v>
      </c>
      <c r="S87" s="38"/>
      <c r="T87" s="72">
        <f>T88</f>
        <v>0</v>
      </c>
      <c r="U87" s="23"/>
      <c r="V87" s="23"/>
      <c r="W87" s="23"/>
      <c r="X87" s="23"/>
      <c r="Y87" s="23"/>
      <c r="Z87" s="23"/>
      <c r="AA87" s="23"/>
      <c r="AB87" s="23"/>
      <c r="AC87" s="23"/>
      <c r="AD87" s="23"/>
      <c r="AE87" s="23"/>
      <c r="AT87" s="19" t="s">
        <v>67</v>
      </c>
      <c r="AU87" s="19" t="s">
        <v>170</v>
      </c>
      <c r="BK87" s="73">
        <f>BK88</f>
        <v>0</v>
      </c>
    </row>
    <row r="88" spans="1:65" s="12" customFormat="1" ht="25.9" customHeight="1">
      <c r="A88" s="303"/>
      <c r="B88" s="304"/>
      <c r="C88" s="303"/>
      <c r="D88" s="305" t="s">
        <v>67</v>
      </c>
      <c r="E88" s="306" t="s">
        <v>895</v>
      </c>
      <c r="F88" s="306" t="s">
        <v>896</v>
      </c>
      <c r="G88" s="303"/>
      <c r="H88" s="303"/>
      <c r="I88" s="303"/>
      <c r="J88" s="411">
        <f>BK88</f>
        <v>0</v>
      </c>
      <c r="K88" s="303"/>
      <c r="L88" s="74"/>
      <c r="M88" s="76"/>
      <c r="N88" s="77"/>
      <c r="O88" s="77"/>
      <c r="P88" s="78">
        <f>P89</f>
        <v>0</v>
      </c>
      <c r="Q88" s="77"/>
      <c r="R88" s="78">
        <f>R89</f>
        <v>0</v>
      </c>
      <c r="S88" s="77"/>
      <c r="T88" s="79">
        <f>T89</f>
        <v>0</v>
      </c>
      <c r="AR88" s="75" t="s">
        <v>77</v>
      </c>
      <c r="AT88" s="80" t="s">
        <v>67</v>
      </c>
      <c r="AU88" s="80" t="s">
        <v>68</v>
      </c>
      <c r="AY88" s="75" t="s">
        <v>216</v>
      </c>
      <c r="BK88" s="81">
        <f>BK89</f>
        <v>0</v>
      </c>
    </row>
    <row r="89" spans="1:65" s="12" customFormat="1" ht="22.9" customHeight="1">
      <c r="A89" s="303"/>
      <c r="B89" s="304"/>
      <c r="C89" s="303"/>
      <c r="D89" s="305" t="s">
        <v>67</v>
      </c>
      <c r="E89" s="307" t="s">
        <v>1792</v>
      </c>
      <c r="F89" s="307" t="s">
        <v>1793</v>
      </c>
      <c r="G89" s="303"/>
      <c r="H89" s="303"/>
      <c r="I89" s="303"/>
      <c r="J89" s="412">
        <f>BK89</f>
        <v>0</v>
      </c>
      <c r="K89" s="303"/>
      <c r="L89" s="74"/>
      <c r="M89" s="76"/>
      <c r="N89" s="77"/>
      <c r="O89" s="77"/>
      <c r="P89" s="78">
        <f>P90</f>
        <v>0</v>
      </c>
      <c r="Q89" s="77"/>
      <c r="R89" s="78">
        <f>R90</f>
        <v>0</v>
      </c>
      <c r="S89" s="77"/>
      <c r="T89" s="79">
        <f>T90</f>
        <v>0</v>
      </c>
      <c r="AR89" s="75" t="s">
        <v>77</v>
      </c>
      <c r="AT89" s="80" t="s">
        <v>67</v>
      </c>
      <c r="AU89" s="80" t="s">
        <v>75</v>
      </c>
      <c r="AY89" s="75" t="s">
        <v>216</v>
      </c>
      <c r="BK89" s="81">
        <f>BK90</f>
        <v>0</v>
      </c>
    </row>
    <row r="90" spans="1:65" s="2" customFormat="1" ht="14.45" customHeight="1">
      <c r="A90" s="271"/>
      <c r="B90" s="270"/>
      <c r="C90" s="308" t="s">
        <v>75</v>
      </c>
      <c r="D90" s="308" t="s">
        <v>218</v>
      </c>
      <c r="E90" s="309" t="s">
        <v>1792</v>
      </c>
      <c r="F90" s="310" t="s">
        <v>2857</v>
      </c>
      <c r="G90" s="311" t="s">
        <v>1766</v>
      </c>
      <c r="H90" s="312">
        <v>1</v>
      </c>
      <c r="I90" s="413">
        <f>VZT!J169</f>
        <v>0</v>
      </c>
      <c r="J90" s="413">
        <f>ROUND(I90*H90,2)</f>
        <v>0</v>
      </c>
      <c r="K90" s="310" t="s">
        <v>3</v>
      </c>
      <c r="L90" s="24"/>
      <c r="M90" s="115" t="s">
        <v>3</v>
      </c>
      <c r="N90" s="116" t="s">
        <v>39</v>
      </c>
      <c r="O90" s="117">
        <v>0</v>
      </c>
      <c r="P90" s="117">
        <f>O90*H90</f>
        <v>0</v>
      </c>
      <c r="Q90" s="117">
        <v>0</v>
      </c>
      <c r="R90" s="117">
        <f>Q90*H90</f>
        <v>0</v>
      </c>
      <c r="S90" s="117">
        <v>0</v>
      </c>
      <c r="T90" s="118">
        <f>S90*H90</f>
        <v>0</v>
      </c>
      <c r="U90" s="23"/>
      <c r="V90" s="23"/>
      <c r="W90" s="23"/>
      <c r="X90" s="23"/>
      <c r="Y90" s="23"/>
      <c r="Z90" s="23"/>
      <c r="AA90" s="23"/>
      <c r="AB90" s="23"/>
      <c r="AC90" s="23"/>
      <c r="AD90" s="23"/>
      <c r="AE90" s="23"/>
      <c r="AR90" s="87" t="s">
        <v>305</v>
      </c>
      <c r="AT90" s="87" t="s">
        <v>218</v>
      </c>
      <c r="AU90" s="87" t="s">
        <v>77</v>
      </c>
      <c r="AY90" s="19" t="s">
        <v>216</v>
      </c>
      <c r="BE90" s="88">
        <f>IF(N90="základní",J90,0)</f>
        <v>0</v>
      </c>
      <c r="BF90" s="88">
        <f>IF(N90="snížená",J90,0)</f>
        <v>0</v>
      </c>
      <c r="BG90" s="88">
        <f>IF(N90="zákl. přenesená",J90,0)</f>
        <v>0</v>
      </c>
      <c r="BH90" s="88">
        <f>IF(N90="sníž. přenesená",J90,0)</f>
        <v>0</v>
      </c>
      <c r="BI90" s="88">
        <f>IF(N90="nulová",J90,0)</f>
        <v>0</v>
      </c>
      <c r="BJ90" s="19" t="s">
        <v>75</v>
      </c>
      <c r="BK90" s="88">
        <f>ROUND(I90*H90,2)</f>
        <v>0</v>
      </c>
      <c r="BL90" s="19" t="s">
        <v>305</v>
      </c>
      <c r="BM90" s="87" t="s">
        <v>1794</v>
      </c>
    </row>
    <row r="91" spans="1:65" s="2" customFormat="1" ht="6.95" customHeight="1">
      <c r="A91" s="271"/>
      <c r="B91" s="286"/>
      <c r="C91" s="287"/>
      <c r="D91" s="287"/>
      <c r="E91" s="287"/>
      <c r="F91" s="287"/>
      <c r="G91" s="287"/>
      <c r="H91" s="287"/>
      <c r="I91" s="287"/>
      <c r="J91" s="287"/>
      <c r="K91" s="287"/>
      <c r="L91" s="24"/>
      <c r="M91" s="23"/>
      <c r="O91" s="23"/>
      <c r="P91" s="23"/>
      <c r="Q91" s="23"/>
      <c r="R91" s="23"/>
      <c r="S91" s="23"/>
      <c r="T91" s="23"/>
      <c r="U91" s="23"/>
      <c r="V91" s="23"/>
      <c r="W91" s="23"/>
      <c r="X91" s="23"/>
      <c r="Y91" s="23"/>
      <c r="Z91" s="23"/>
      <c r="AA91" s="23"/>
      <c r="AB91" s="23"/>
      <c r="AC91" s="23"/>
      <c r="AD91" s="23"/>
      <c r="AE91" s="23"/>
    </row>
  </sheetData>
  <sheetProtection password="CAB1" sheet="1" objects="1" scenarios="1"/>
  <autoFilter ref="C86:K9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G171"/>
  <sheetViews>
    <sheetView zoomScaleNormal="100" workbookViewId="0">
      <pane ySplit="11" topLeftCell="A92" activePane="bottomLeft" state="frozenSplit"/>
      <selection activeCell="W72" sqref="W72"/>
      <selection pane="bottomLeft" activeCell="A171" sqref="A171:L171"/>
    </sheetView>
  </sheetViews>
  <sheetFormatPr defaultColWidth="13.5" defaultRowHeight="12.75"/>
  <cols>
    <col min="1" max="1" width="4.33203125" style="190" customWidth="1"/>
    <col min="2" max="2" width="8.83203125" style="190" customWidth="1"/>
    <col min="3" max="3" width="16.6640625" style="190" customWidth="1"/>
    <col min="4" max="4" width="143.6640625" style="190" customWidth="1"/>
    <col min="5" max="5" width="5" style="190" customWidth="1"/>
    <col min="6" max="6" width="15" style="190" customWidth="1"/>
    <col min="7" max="7" width="14" style="190" customWidth="1"/>
    <col min="8" max="10" width="16.6640625" style="190" customWidth="1"/>
    <col min="11" max="21" width="13.5" style="190"/>
    <col min="22" max="59" width="14.33203125" style="190" hidden="1" customWidth="1"/>
    <col min="60" max="16384" width="13.5" style="190"/>
  </cols>
  <sheetData>
    <row r="1" spans="1:59" ht="73.150000000000006" customHeight="1">
      <c r="A1" s="737" t="s">
        <v>2293</v>
      </c>
      <c r="B1" s="738"/>
      <c r="C1" s="738"/>
      <c r="D1" s="738"/>
      <c r="E1" s="738"/>
      <c r="F1" s="738"/>
      <c r="G1" s="738"/>
      <c r="H1" s="738"/>
      <c r="I1" s="738"/>
      <c r="J1" s="738"/>
    </row>
    <row r="2" spans="1:59">
      <c r="A2" s="739" t="s">
        <v>2292</v>
      </c>
      <c r="B2" s="740"/>
      <c r="C2" s="740"/>
      <c r="D2" s="741" t="s">
        <v>2291</v>
      </c>
      <c r="E2" s="743" t="s">
        <v>2290</v>
      </c>
      <c r="F2" s="740"/>
      <c r="G2" s="743" t="s">
        <v>27</v>
      </c>
      <c r="H2" s="744" t="s">
        <v>2289</v>
      </c>
      <c r="I2" s="744" t="s">
        <v>2288</v>
      </c>
      <c r="J2" s="740"/>
      <c r="K2" s="204"/>
    </row>
    <row r="3" spans="1:59">
      <c r="A3" s="736"/>
      <c r="B3" s="730"/>
      <c r="C3" s="730"/>
      <c r="D3" s="742"/>
      <c r="E3" s="730"/>
      <c r="F3" s="730"/>
      <c r="G3" s="730"/>
      <c r="H3" s="730"/>
      <c r="I3" s="730"/>
      <c r="J3" s="730"/>
      <c r="K3" s="204"/>
    </row>
    <row r="4" spans="1:59">
      <c r="A4" s="731" t="s">
        <v>2287</v>
      </c>
      <c r="B4" s="730"/>
      <c r="C4" s="730"/>
      <c r="D4" s="729" t="s">
        <v>2855</v>
      </c>
      <c r="E4" s="735" t="s">
        <v>2285</v>
      </c>
      <c r="F4" s="730"/>
      <c r="G4" s="735" t="s">
        <v>2280</v>
      </c>
      <c r="H4" s="729" t="s">
        <v>28</v>
      </c>
      <c r="I4" s="729" t="s">
        <v>2275</v>
      </c>
      <c r="J4" s="730"/>
      <c r="K4" s="204"/>
    </row>
    <row r="5" spans="1:59">
      <c r="A5" s="736"/>
      <c r="B5" s="730"/>
      <c r="C5" s="730"/>
      <c r="D5" s="730"/>
      <c r="E5" s="730"/>
      <c r="F5" s="730"/>
      <c r="G5" s="730"/>
      <c r="H5" s="730"/>
      <c r="I5" s="730"/>
      <c r="J5" s="730"/>
      <c r="K5" s="204"/>
    </row>
    <row r="6" spans="1:59">
      <c r="A6" s="731" t="s">
        <v>2283</v>
      </c>
      <c r="B6" s="730"/>
      <c r="C6" s="730"/>
      <c r="D6" s="729" t="s">
        <v>2282</v>
      </c>
      <c r="E6" s="735" t="s">
        <v>2281</v>
      </c>
      <c r="F6" s="730"/>
      <c r="G6" s="735" t="s">
        <v>2280</v>
      </c>
      <c r="H6" s="729" t="s">
        <v>26</v>
      </c>
      <c r="I6" s="734">
        <v>0</v>
      </c>
      <c r="J6" s="730"/>
      <c r="K6" s="204"/>
    </row>
    <row r="7" spans="1:59">
      <c r="A7" s="736"/>
      <c r="B7" s="730"/>
      <c r="C7" s="730"/>
      <c r="D7" s="730"/>
      <c r="E7" s="730"/>
      <c r="F7" s="730"/>
      <c r="G7" s="730"/>
      <c r="H7" s="730"/>
      <c r="I7" s="730"/>
      <c r="J7" s="730"/>
      <c r="K7" s="204"/>
    </row>
    <row r="8" spans="1:59">
      <c r="A8" s="731" t="s">
        <v>2279</v>
      </c>
      <c r="B8" s="730"/>
      <c r="C8" s="730"/>
      <c r="D8" s="734">
        <v>0</v>
      </c>
      <c r="E8" s="735" t="s">
        <v>2278</v>
      </c>
      <c r="F8" s="730"/>
      <c r="G8" s="735" t="s">
        <v>2277</v>
      </c>
      <c r="H8" s="729" t="s">
        <v>2276</v>
      </c>
      <c r="I8" s="729" t="s">
        <v>2275</v>
      </c>
      <c r="J8" s="730"/>
      <c r="K8" s="204"/>
    </row>
    <row r="9" spans="1:59" ht="13.5" thickBot="1">
      <c r="A9" s="732"/>
      <c r="B9" s="733"/>
      <c r="C9" s="733"/>
      <c r="D9" s="733"/>
      <c r="E9" s="733"/>
      <c r="F9" s="733"/>
      <c r="G9" s="733"/>
      <c r="H9" s="733"/>
      <c r="I9" s="733"/>
      <c r="J9" s="733"/>
      <c r="K9" s="204"/>
    </row>
    <row r="10" spans="1:59">
      <c r="A10" s="361" t="s">
        <v>2274</v>
      </c>
      <c r="B10" s="362" t="s">
        <v>2001</v>
      </c>
      <c r="C10" s="362" t="s">
        <v>49</v>
      </c>
      <c r="D10" s="362" t="s">
        <v>2273</v>
      </c>
      <c r="E10" s="362" t="s">
        <v>2272</v>
      </c>
      <c r="F10" s="363" t="s">
        <v>204</v>
      </c>
      <c r="G10" s="416" t="s">
        <v>2265</v>
      </c>
      <c r="H10" s="724" t="s">
        <v>2271</v>
      </c>
      <c r="I10" s="725"/>
      <c r="J10" s="726"/>
      <c r="K10" s="203"/>
    </row>
    <row r="11" spans="1:59" ht="13.5" thickBot="1">
      <c r="A11" s="364" t="s">
        <v>27</v>
      </c>
      <c r="B11" s="365" t="s">
        <v>27</v>
      </c>
      <c r="C11" s="365" t="s">
        <v>27</v>
      </c>
      <c r="D11" s="366" t="s">
        <v>2269</v>
      </c>
      <c r="E11" s="365" t="s">
        <v>27</v>
      </c>
      <c r="F11" s="365" t="s">
        <v>27</v>
      </c>
      <c r="G11" s="417" t="s">
        <v>2268</v>
      </c>
      <c r="H11" s="381" t="s">
        <v>2267</v>
      </c>
      <c r="I11" s="414" t="s">
        <v>2266</v>
      </c>
      <c r="J11" s="382" t="s">
        <v>2264</v>
      </c>
      <c r="K11" s="203"/>
      <c r="W11" s="196" t="s">
        <v>2263</v>
      </c>
      <c r="X11" s="196" t="s">
        <v>2262</v>
      </c>
      <c r="Y11" s="196" t="s">
        <v>2261</v>
      </c>
      <c r="Z11" s="196" t="s">
        <v>2260</v>
      </c>
      <c r="AA11" s="196" t="s">
        <v>2259</v>
      </c>
      <c r="AB11" s="196" t="s">
        <v>2258</v>
      </c>
      <c r="AC11" s="196" t="s">
        <v>2257</v>
      </c>
      <c r="AD11" s="196" t="s">
        <v>2256</v>
      </c>
      <c r="AE11" s="196" t="s">
        <v>2255</v>
      </c>
      <c r="BE11" s="196" t="s">
        <v>2254</v>
      </c>
      <c r="BF11" s="196" t="s">
        <v>2253</v>
      </c>
      <c r="BG11" s="196" t="s">
        <v>2252</v>
      </c>
    </row>
    <row r="12" spans="1:59">
      <c r="A12" s="367"/>
      <c r="B12" s="368"/>
      <c r="C12" s="368" t="s">
        <v>2854</v>
      </c>
      <c r="D12" s="368" t="s">
        <v>2853</v>
      </c>
      <c r="E12" s="367" t="s">
        <v>27</v>
      </c>
      <c r="F12" s="367" t="s">
        <v>27</v>
      </c>
      <c r="G12" s="367" t="s">
        <v>27</v>
      </c>
      <c r="H12" s="384">
        <f>SUM(H13:H73)</f>
        <v>0</v>
      </c>
      <c r="I12" s="384">
        <f>SUM(I13:I73)</f>
        <v>0</v>
      </c>
      <c r="J12" s="384">
        <f>SUM(J13:J73)</f>
        <v>0</v>
      </c>
      <c r="AF12" s="196"/>
      <c r="AP12" s="199">
        <f>SUM(AG13:AG73)</f>
        <v>0</v>
      </c>
      <c r="AQ12" s="199">
        <f>SUM(AH13:AH73)</f>
        <v>0</v>
      </c>
      <c r="AR12" s="199">
        <f>SUM(AI13:AI73)</f>
        <v>0</v>
      </c>
    </row>
    <row r="13" spans="1:59">
      <c r="A13" s="369" t="s">
        <v>75</v>
      </c>
      <c r="B13" s="369"/>
      <c r="C13" s="369" t="s">
        <v>2852</v>
      </c>
      <c r="D13" s="369" t="s">
        <v>2851</v>
      </c>
      <c r="E13" s="369" t="s">
        <v>1766</v>
      </c>
      <c r="F13" s="370">
        <v>1</v>
      </c>
      <c r="G13" s="355">
        <v>0</v>
      </c>
      <c r="H13" s="370">
        <f>F13*AL13</f>
        <v>0</v>
      </c>
      <c r="I13" s="370">
        <f>F13*AM13</f>
        <v>0</v>
      </c>
      <c r="J13" s="370">
        <f>F13*G13</f>
        <v>0</v>
      </c>
      <c r="W13" s="195">
        <f>IF(AN13="5",BG13,0)</f>
        <v>0</v>
      </c>
      <c r="Y13" s="195">
        <f>IF(AN13="1",BE13,0)</f>
        <v>0</v>
      </c>
      <c r="Z13" s="195">
        <f>IF(AN13="1",BF13,0)</f>
        <v>0</v>
      </c>
      <c r="AA13" s="195">
        <f>IF(AN13="7",BE13,0)</f>
        <v>0</v>
      </c>
      <c r="AB13" s="195">
        <f>IF(AN13="7",BF13,0)</f>
        <v>0</v>
      </c>
      <c r="AC13" s="195">
        <f>IF(AN13="2",BE13,0)</f>
        <v>0</v>
      </c>
      <c r="AD13" s="195">
        <f>IF(AN13="2",BF13,0)</f>
        <v>0</v>
      </c>
      <c r="AE13" s="195">
        <f>IF(AN13="0",BG13,0)</f>
        <v>0</v>
      </c>
      <c r="AF13" s="196"/>
      <c r="AG13" s="194">
        <f>IF(AK13=0,J13,0)</f>
        <v>0</v>
      </c>
      <c r="AH13" s="194">
        <f>IF(AK13=15,J13,0)</f>
        <v>0</v>
      </c>
      <c r="AI13" s="194">
        <f>IF(AK13=21,J13,0)</f>
        <v>0</v>
      </c>
      <c r="AK13" s="195">
        <v>21</v>
      </c>
      <c r="AL13" s="195">
        <f>G13*0.907524512803775</f>
        <v>0</v>
      </c>
      <c r="AM13" s="195">
        <f>G13*(1-0.907524512803775)</f>
        <v>0</v>
      </c>
      <c r="AN13" s="198" t="s">
        <v>255</v>
      </c>
      <c r="AS13" s="195">
        <f>AT13+AU13</f>
        <v>0</v>
      </c>
      <c r="AT13" s="195">
        <f>F13*AL13</f>
        <v>0</v>
      </c>
      <c r="AU13" s="195">
        <f>F13*AM13</f>
        <v>0</v>
      </c>
      <c r="AV13" s="197" t="s">
        <v>2773</v>
      </c>
      <c r="AW13" s="197" t="s">
        <v>2073</v>
      </c>
      <c r="AX13" s="196" t="s">
        <v>2067</v>
      </c>
      <c r="AZ13" s="195">
        <f>AT13+AU13</f>
        <v>0</v>
      </c>
      <c r="BA13" s="195">
        <f>G13/(100-BB13)*100</f>
        <v>0</v>
      </c>
      <c r="BB13" s="195">
        <v>0</v>
      </c>
      <c r="BC13" s="195" t="e">
        <f>#REF!</f>
        <v>#REF!</v>
      </c>
      <c r="BE13" s="194">
        <f>F13*AL13</f>
        <v>0</v>
      </c>
      <c r="BF13" s="194">
        <f>F13*AM13</f>
        <v>0</v>
      </c>
      <c r="BG13" s="194">
        <f>F13*G13</f>
        <v>0</v>
      </c>
    </row>
    <row r="14" spans="1:59" ht="216.75">
      <c r="A14" s="375"/>
      <c r="B14" s="375"/>
      <c r="C14" s="375"/>
      <c r="D14" s="376" t="s">
        <v>2850</v>
      </c>
      <c r="E14" s="375"/>
      <c r="F14" s="375"/>
      <c r="G14" s="358"/>
      <c r="H14" s="375"/>
      <c r="I14" s="375"/>
      <c r="J14" s="375"/>
    </row>
    <row r="15" spans="1:59">
      <c r="A15" s="369" t="s">
        <v>77</v>
      </c>
      <c r="B15" s="369"/>
      <c r="C15" s="369" t="s">
        <v>2849</v>
      </c>
      <c r="D15" s="369" t="s">
        <v>2766</v>
      </c>
      <c r="E15" s="369" t="s">
        <v>2353</v>
      </c>
      <c r="F15" s="370">
        <v>3</v>
      </c>
      <c r="G15" s="355">
        <v>0</v>
      </c>
      <c r="H15" s="370">
        <f t="shared" ref="H15:H46" si="0">F15*AL15</f>
        <v>0</v>
      </c>
      <c r="I15" s="370">
        <f t="shared" ref="I15:I46" si="1">F15*AM15</f>
        <v>0</v>
      </c>
      <c r="J15" s="370">
        <f t="shared" ref="J15:J46" si="2">F15*G15</f>
        <v>0</v>
      </c>
      <c r="W15" s="195">
        <f t="shared" ref="W15:W46" si="3">IF(AN15="5",BG15,0)</f>
        <v>0</v>
      </c>
      <c r="Y15" s="195">
        <f t="shared" ref="Y15:Y46" si="4">IF(AN15="1",BE15,0)</f>
        <v>0</v>
      </c>
      <c r="Z15" s="195">
        <f t="shared" ref="Z15:Z46" si="5">IF(AN15="1",BF15,0)</f>
        <v>0</v>
      </c>
      <c r="AA15" s="195">
        <f t="shared" ref="AA15:AA46" si="6">IF(AN15="7",BE15,0)</f>
        <v>0</v>
      </c>
      <c r="AB15" s="195">
        <f t="shared" ref="AB15:AB46" si="7">IF(AN15="7",BF15,0)</f>
        <v>0</v>
      </c>
      <c r="AC15" s="195">
        <f t="shared" ref="AC15:AC46" si="8">IF(AN15="2",BE15,0)</f>
        <v>0</v>
      </c>
      <c r="AD15" s="195">
        <f t="shared" ref="AD15:AD46" si="9">IF(AN15="2",BF15,0)</f>
        <v>0</v>
      </c>
      <c r="AE15" s="195">
        <f t="shared" ref="AE15:AE46" si="10">IF(AN15="0",BG15,0)</f>
        <v>0</v>
      </c>
      <c r="AF15" s="196"/>
      <c r="AG15" s="194">
        <f t="shared" ref="AG15:AG46" si="11">IF(AK15=0,J15,0)</f>
        <v>0</v>
      </c>
      <c r="AH15" s="194">
        <f t="shared" ref="AH15:AH46" si="12">IF(AK15=15,J15,0)</f>
        <v>0</v>
      </c>
      <c r="AI15" s="194">
        <f t="shared" ref="AI15:AI46" si="13">IF(AK15=21,J15,0)</f>
        <v>0</v>
      </c>
      <c r="AK15" s="195">
        <v>21</v>
      </c>
      <c r="AL15" s="195">
        <f>G15*0.892857142857143</f>
        <v>0</v>
      </c>
      <c r="AM15" s="195">
        <f>G15*(1-0.892857142857143)</f>
        <v>0</v>
      </c>
      <c r="AN15" s="198" t="s">
        <v>255</v>
      </c>
      <c r="AS15" s="195">
        <f t="shared" ref="AS15:AS46" si="14">AT15+AU15</f>
        <v>0</v>
      </c>
      <c r="AT15" s="195">
        <f t="shared" ref="AT15:AT46" si="15">F15*AL15</f>
        <v>0</v>
      </c>
      <c r="AU15" s="195">
        <f t="shared" ref="AU15:AU46" si="16">F15*AM15</f>
        <v>0</v>
      </c>
      <c r="AV15" s="197" t="s">
        <v>2773</v>
      </c>
      <c r="AW15" s="197" t="s">
        <v>2073</v>
      </c>
      <c r="AX15" s="196" t="s">
        <v>2067</v>
      </c>
      <c r="AZ15" s="195">
        <f t="shared" ref="AZ15:AZ46" si="17">AT15+AU15</f>
        <v>0</v>
      </c>
      <c r="BA15" s="195">
        <f t="shared" ref="BA15:BA46" si="18">G15/(100-BB15)*100</f>
        <v>0</v>
      </c>
      <c r="BB15" s="195">
        <v>0</v>
      </c>
      <c r="BC15" s="195" t="e">
        <f>#REF!</f>
        <v>#REF!</v>
      </c>
      <c r="BE15" s="194">
        <f t="shared" ref="BE15:BE46" si="19">F15*AL15</f>
        <v>0</v>
      </c>
      <c r="BF15" s="194">
        <f t="shared" ref="BF15:BF46" si="20">F15*AM15</f>
        <v>0</v>
      </c>
      <c r="BG15" s="194">
        <f t="shared" ref="BG15:BG46" si="21">F15*G15</f>
        <v>0</v>
      </c>
    </row>
    <row r="16" spans="1:59">
      <c r="A16" s="369" t="s">
        <v>100</v>
      </c>
      <c r="B16" s="369"/>
      <c r="C16" s="369" t="s">
        <v>2848</v>
      </c>
      <c r="D16" s="369" t="s">
        <v>2847</v>
      </c>
      <c r="E16" s="369" t="s">
        <v>291</v>
      </c>
      <c r="F16" s="370">
        <v>1</v>
      </c>
      <c r="G16" s="355">
        <v>0</v>
      </c>
      <c r="H16" s="370">
        <f t="shared" si="0"/>
        <v>0</v>
      </c>
      <c r="I16" s="370">
        <f t="shared" si="1"/>
        <v>0</v>
      </c>
      <c r="J16" s="370">
        <f t="shared" si="2"/>
        <v>0</v>
      </c>
      <c r="W16" s="195">
        <f t="shared" si="3"/>
        <v>0</v>
      </c>
      <c r="Y16" s="195">
        <f t="shared" si="4"/>
        <v>0</v>
      </c>
      <c r="Z16" s="195">
        <f t="shared" si="5"/>
        <v>0</v>
      </c>
      <c r="AA16" s="195">
        <f t="shared" si="6"/>
        <v>0</v>
      </c>
      <c r="AB16" s="195">
        <f t="shared" si="7"/>
        <v>0</v>
      </c>
      <c r="AC16" s="195">
        <f t="shared" si="8"/>
        <v>0</v>
      </c>
      <c r="AD16" s="195">
        <f t="shared" si="9"/>
        <v>0</v>
      </c>
      <c r="AE16" s="195">
        <f t="shared" si="10"/>
        <v>0</v>
      </c>
      <c r="AF16" s="196"/>
      <c r="AG16" s="194">
        <f t="shared" si="11"/>
        <v>0</v>
      </c>
      <c r="AH16" s="194">
        <f t="shared" si="12"/>
        <v>0</v>
      </c>
      <c r="AI16" s="194">
        <f t="shared" si="13"/>
        <v>0</v>
      </c>
      <c r="AK16" s="195">
        <v>21</v>
      </c>
      <c r="AL16" s="195">
        <f>G16*0.865692667742155</f>
        <v>0</v>
      </c>
      <c r="AM16" s="195">
        <f>G16*(1-0.865692667742155)</f>
        <v>0</v>
      </c>
      <c r="AN16" s="198" t="s">
        <v>255</v>
      </c>
      <c r="AS16" s="195">
        <f t="shared" si="14"/>
        <v>0</v>
      </c>
      <c r="AT16" s="195">
        <f t="shared" si="15"/>
        <v>0</v>
      </c>
      <c r="AU16" s="195">
        <f t="shared" si="16"/>
        <v>0</v>
      </c>
      <c r="AV16" s="197" t="s">
        <v>2773</v>
      </c>
      <c r="AW16" s="197" t="s">
        <v>2073</v>
      </c>
      <c r="AX16" s="196" t="s">
        <v>2067</v>
      </c>
      <c r="AZ16" s="195">
        <f t="shared" si="17"/>
        <v>0</v>
      </c>
      <c r="BA16" s="195">
        <f t="shared" si="18"/>
        <v>0</v>
      </c>
      <c r="BB16" s="195">
        <v>0</v>
      </c>
      <c r="BC16" s="195" t="e">
        <f>#REF!</f>
        <v>#REF!</v>
      </c>
      <c r="BE16" s="194">
        <f t="shared" si="19"/>
        <v>0</v>
      </c>
      <c r="BF16" s="194">
        <f t="shared" si="20"/>
        <v>0</v>
      </c>
      <c r="BG16" s="194">
        <f t="shared" si="21"/>
        <v>0</v>
      </c>
    </row>
    <row r="17" spans="1:59">
      <c r="A17" s="369" t="s">
        <v>223</v>
      </c>
      <c r="B17" s="369"/>
      <c r="C17" s="369" t="s">
        <v>2846</v>
      </c>
      <c r="D17" s="369" t="s">
        <v>2762</v>
      </c>
      <c r="E17" s="369" t="s">
        <v>291</v>
      </c>
      <c r="F17" s="370">
        <v>1</v>
      </c>
      <c r="G17" s="355">
        <v>0</v>
      </c>
      <c r="H17" s="370">
        <f t="shared" si="0"/>
        <v>0</v>
      </c>
      <c r="I17" s="370">
        <f t="shared" si="1"/>
        <v>0</v>
      </c>
      <c r="J17" s="370">
        <f t="shared" si="2"/>
        <v>0</v>
      </c>
      <c r="W17" s="195">
        <f t="shared" si="3"/>
        <v>0</v>
      </c>
      <c r="Y17" s="195">
        <f t="shared" si="4"/>
        <v>0</v>
      </c>
      <c r="Z17" s="195">
        <f t="shared" si="5"/>
        <v>0</v>
      </c>
      <c r="AA17" s="195">
        <f t="shared" si="6"/>
        <v>0</v>
      </c>
      <c r="AB17" s="195">
        <f t="shared" si="7"/>
        <v>0</v>
      </c>
      <c r="AC17" s="195">
        <f t="shared" si="8"/>
        <v>0</v>
      </c>
      <c r="AD17" s="195">
        <f t="shared" si="9"/>
        <v>0</v>
      </c>
      <c r="AE17" s="195">
        <f t="shared" si="10"/>
        <v>0</v>
      </c>
      <c r="AF17" s="196"/>
      <c r="AG17" s="194">
        <f t="shared" si="11"/>
        <v>0</v>
      </c>
      <c r="AH17" s="194">
        <f t="shared" si="12"/>
        <v>0</v>
      </c>
      <c r="AI17" s="194">
        <f t="shared" si="13"/>
        <v>0</v>
      </c>
      <c r="AK17" s="195">
        <v>21</v>
      </c>
      <c r="AL17" s="195">
        <f>G17*0.943102451176654</f>
        <v>0</v>
      </c>
      <c r="AM17" s="195">
        <f>G17*(1-0.943102451176654)</f>
        <v>0</v>
      </c>
      <c r="AN17" s="198" t="s">
        <v>255</v>
      </c>
      <c r="AS17" s="195">
        <f t="shared" si="14"/>
        <v>0</v>
      </c>
      <c r="AT17" s="195">
        <f t="shared" si="15"/>
        <v>0</v>
      </c>
      <c r="AU17" s="195">
        <f t="shared" si="16"/>
        <v>0</v>
      </c>
      <c r="AV17" s="197" t="s">
        <v>2773</v>
      </c>
      <c r="AW17" s="197" t="s">
        <v>2073</v>
      </c>
      <c r="AX17" s="196" t="s">
        <v>2067</v>
      </c>
      <c r="AZ17" s="195">
        <f t="shared" si="17"/>
        <v>0</v>
      </c>
      <c r="BA17" s="195">
        <f t="shared" si="18"/>
        <v>0</v>
      </c>
      <c r="BB17" s="195">
        <v>0</v>
      </c>
      <c r="BC17" s="195" t="e">
        <f>#REF!</f>
        <v>#REF!</v>
      </c>
      <c r="BE17" s="194">
        <f t="shared" si="19"/>
        <v>0</v>
      </c>
      <c r="BF17" s="194">
        <f t="shared" si="20"/>
        <v>0</v>
      </c>
      <c r="BG17" s="194">
        <f t="shared" si="21"/>
        <v>0</v>
      </c>
    </row>
    <row r="18" spans="1:59">
      <c r="A18" s="369" t="s">
        <v>244</v>
      </c>
      <c r="B18" s="369"/>
      <c r="C18" s="369" t="s">
        <v>2845</v>
      </c>
      <c r="D18" s="369" t="s">
        <v>2760</v>
      </c>
      <c r="E18" s="369" t="s">
        <v>291</v>
      </c>
      <c r="F18" s="370">
        <v>1</v>
      </c>
      <c r="G18" s="355">
        <v>0</v>
      </c>
      <c r="H18" s="370">
        <f t="shared" si="0"/>
        <v>0</v>
      </c>
      <c r="I18" s="370">
        <f t="shared" si="1"/>
        <v>0</v>
      </c>
      <c r="J18" s="370">
        <f t="shared" si="2"/>
        <v>0</v>
      </c>
      <c r="W18" s="195">
        <f t="shared" si="3"/>
        <v>0</v>
      </c>
      <c r="Y18" s="195">
        <f t="shared" si="4"/>
        <v>0</v>
      </c>
      <c r="Z18" s="195">
        <f t="shared" si="5"/>
        <v>0</v>
      </c>
      <c r="AA18" s="195">
        <f t="shared" si="6"/>
        <v>0</v>
      </c>
      <c r="AB18" s="195">
        <f t="shared" si="7"/>
        <v>0</v>
      </c>
      <c r="AC18" s="195">
        <f t="shared" si="8"/>
        <v>0</v>
      </c>
      <c r="AD18" s="195">
        <f t="shared" si="9"/>
        <v>0</v>
      </c>
      <c r="AE18" s="195">
        <f t="shared" si="10"/>
        <v>0</v>
      </c>
      <c r="AF18" s="196"/>
      <c r="AG18" s="194">
        <f t="shared" si="11"/>
        <v>0</v>
      </c>
      <c r="AH18" s="194">
        <f t="shared" si="12"/>
        <v>0</v>
      </c>
      <c r="AI18" s="194">
        <f t="shared" si="13"/>
        <v>0</v>
      </c>
      <c r="AK18" s="195">
        <v>21</v>
      </c>
      <c r="AL18" s="195">
        <f>G18*0.874243443174176</f>
        <v>0</v>
      </c>
      <c r="AM18" s="195">
        <f>G18*(1-0.874243443174176)</f>
        <v>0</v>
      </c>
      <c r="AN18" s="198" t="s">
        <v>255</v>
      </c>
      <c r="AS18" s="195">
        <f t="shared" si="14"/>
        <v>0</v>
      </c>
      <c r="AT18" s="195">
        <f t="shared" si="15"/>
        <v>0</v>
      </c>
      <c r="AU18" s="195">
        <f t="shared" si="16"/>
        <v>0</v>
      </c>
      <c r="AV18" s="197" t="s">
        <v>2773</v>
      </c>
      <c r="AW18" s="197" t="s">
        <v>2073</v>
      </c>
      <c r="AX18" s="196" t="s">
        <v>2067</v>
      </c>
      <c r="AZ18" s="195">
        <f t="shared" si="17"/>
        <v>0</v>
      </c>
      <c r="BA18" s="195">
        <f t="shared" si="18"/>
        <v>0</v>
      </c>
      <c r="BB18" s="195">
        <v>0</v>
      </c>
      <c r="BC18" s="195" t="e">
        <f>#REF!</f>
        <v>#REF!</v>
      </c>
      <c r="BE18" s="194">
        <f t="shared" si="19"/>
        <v>0</v>
      </c>
      <c r="BF18" s="194">
        <f t="shared" si="20"/>
        <v>0</v>
      </c>
      <c r="BG18" s="194">
        <f t="shared" si="21"/>
        <v>0</v>
      </c>
    </row>
    <row r="19" spans="1:59">
      <c r="A19" s="369" t="s">
        <v>248</v>
      </c>
      <c r="B19" s="369"/>
      <c r="C19" s="369" t="s">
        <v>2844</v>
      </c>
      <c r="D19" s="369" t="s">
        <v>2758</v>
      </c>
      <c r="E19" s="369" t="s">
        <v>1766</v>
      </c>
      <c r="F19" s="370">
        <v>1</v>
      </c>
      <c r="G19" s="355">
        <v>0</v>
      </c>
      <c r="H19" s="370">
        <f t="shared" si="0"/>
        <v>0</v>
      </c>
      <c r="I19" s="370">
        <f t="shared" si="1"/>
        <v>0</v>
      </c>
      <c r="J19" s="370">
        <f t="shared" si="2"/>
        <v>0</v>
      </c>
      <c r="W19" s="195">
        <f t="shared" si="3"/>
        <v>0</v>
      </c>
      <c r="Y19" s="195">
        <f t="shared" si="4"/>
        <v>0</v>
      </c>
      <c r="Z19" s="195">
        <f t="shared" si="5"/>
        <v>0</v>
      </c>
      <c r="AA19" s="195">
        <f t="shared" si="6"/>
        <v>0</v>
      </c>
      <c r="AB19" s="195">
        <f t="shared" si="7"/>
        <v>0</v>
      </c>
      <c r="AC19" s="195">
        <f t="shared" si="8"/>
        <v>0</v>
      </c>
      <c r="AD19" s="195">
        <f t="shared" si="9"/>
        <v>0</v>
      </c>
      <c r="AE19" s="195">
        <f t="shared" si="10"/>
        <v>0</v>
      </c>
      <c r="AF19" s="196"/>
      <c r="AG19" s="194">
        <f t="shared" si="11"/>
        <v>0</v>
      </c>
      <c r="AH19" s="194">
        <f t="shared" si="12"/>
        <v>0</v>
      </c>
      <c r="AI19" s="194">
        <f t="shared" si="13"/>
        <v>0</v>
      </c>
      <c r="AK19" s="195">
        <v>21</v>
      </c>
      <c r="AL19" s="195">
        <f>G19*0.678562452877607</f>
        <v>0</v>
      </c>
      <c r="AM19" s="195">
        <f>G19*(1-0.678562452877607)</f>
        <v>0</v>
      </c>
      <c r="AN19" s="198" t="s">
        <v>255</v>
      </c>
      <c r="AS19" s="195">
        <f t="shared" si="14"/>
        <v>0</v>
      </c>
      <c r="AT19" s="195">
        <f t="shared" si="15"/>
        <v>0</v>
      </c>
      <c r="AU19" s="195">
        <f t="shared" si="16"/>
        <v>0</v>
      </c>
      <c r="AV19" s="197" t="s">
        <v>2773</v>
      </c>
      <c r="AW19" s="197" t="s">
        <v>2073</v>
      </c>
      <c r="AX19" s="196" t="s">
        <v>2067</v>
      </c>
      <c r="AZ19" s="195">
        <f t="shared" si="17"/>
        <v>0</v>
      </c>
      <c r="BA19" s="195">
        <f t="shared" si="18"/>
        <v>0</v>
      </c>
      <c r="BB19" s="195">
        <v>0</v>
      </c>
      <c r="BC19" s="195" t="e">
        <f>#REF!</f>
        <v>#REF!</v>
      </c>
      <c r="BE19" s="194">
        <f t="shared" si="19"/>
        <v>0</v>
      </c>
      <c r="BF19" s="194">
        <f t="shared" si="20"/>
        <v>0</v>
      </c>
      <c r="BG19" s="194">
        <f t="shared" si="21"/>
        <v>0</v>
      </c>
    </row>
    <row r="20" spans="1:59">
      <c r="A20" s="369" t="s">
        <v>255</v>
      </c>
      <c r="B20" s="369"/>
      <c r="C20" s="369" t="s">
        <v>2843</v>
      </c>
      <c r="D20" s="369" t="s">
        <v>2842</v>
      </c>
      <c r="E20" s="369" t="s">
        <v>1766</v>
      </c>
      <c r="F20" s="370">
        <v>1</v>
      </c>
      <c r="G20" s="355">
        <v>0</v>
      </c>
      <c r="H20" s="370">
        <f t="shared" si="0"/>
        <v>0</v>
      </c>
      <c r="I20" s="370">
        <f t="shared" si="1"/>
        <v>0</v>
      </c>
      <c r="J20" s="370">
        <f t="shared" si="2"/>
        <v>0</v>
      </c>
      <c r="W20" s="195">
        <f t="shared" si="3"/>
        <v>0</v>
      </c>
      <c r="Y20" s="195">
        <f t="shared" si="4"/>
        <v>0</v>
      </c>
      <c r="Z20" s="195">
        <f t="shared" si="5"/>
        <v>0</v>
      </c>
      <c r="AA20" s="195">
        <f t="shared" si="6"/>
        <v>0</v>
      </c>
      <c r="AB20" s="195">
        <f t="shared" si="7"/>
        <v>0</v>
      </c>
      <c r="AC20" s="195">
        <f t="shared" si="8"/>
        <v>0</v>
      </c>
      <c r="AD20" s="195">
        <f t="shared" si="9"/>
        <v>0</v>
      </c>
      <c r="AE20" s="195">
        <f t="shared" si="10"/>
        <v>0</v>
      </c>
      <c r="AF20" s="196"/>
      <c r="AG20" s="194">
        <f t="shared" si="11"/>
        <v>0</v>
      </c>
      <c r="AH20" s="194">
        <f t="shared" si="12"/>
        <v>0</v>
      </c>
      <c r="AI20" s="194">
        <f t="shared" si="13"/>
        <v>0</v>
      </c>
      <c r="AK20" s="195">
        <v>21</v>
      </c>
      <c r="AL20" s="195">
        <f>G20*0.921987230646448</f>
        <v>0</v>
      </c>
      <c r="AM20" s="195">
        <f>G20*(1-0.921987230646448)</f>
        <v>0</v>
      </c>
      <c r="AN20" s="198" t="s">
        <v>255</v>
      </c>
      <c r="AS20" s="195">
        <f t="shared" si="14"/>
        <v>0</v>
      </c>
      <c r="AT20" s="195">
        <f t="shared" si="15"/>
        <v>0</v>
      </c>
      <c r="AU20" s="195">
        <f t="shared" si="16"/>
        <v>0</v>
      </c>
      <c r="AV20" s="197" t="s">
        <v>2773</v>
      </c>
      <c r="AW20" s="197" t="s">
        <v>2073</v>
      </c>
      <c r="AX20" s="196" t="s">
        <v>2067</v>
      </c>
      <c r="AZ20" s="195">
        <f t="shared" si="17"/>
        <v>0</v>
      </c>
      <c r="BA20" s="195">
        <f t="shared" si="18"/>
        <v>0</v>
      </c>
      <c r="BB20" s="195">
        <v>0</v>
      </c>
      <c r="BC20" s="195" t="e">
        <f>#REF!</f>
        <v>#REF!</v>
      </c>
      <c r="BE20" s="194">
        <f t="shared" si="19"/>
        <v>0</v>
      </c>
      <c r="BF20" s="194">
        <f t="shared" si="20"/>
        <v>0</v>
      </c>
      <c r="BG20" s="194">
        <f t="shared" si="21"/>
        <v>0</v>
      </c>
    </row>
    <row r="21" spans="1:59">
      <c r="A21" s="369" t="s">
        <v>260</v>
      </c>
      <c r="B21" s="369"/>
      <c r="C21" s="369" t="s">
        <v>2757</v>
      </c>
      <c r="D21" s="369" t="s">
        <v>2756</v>
      </c>
      <c r="E21" s="369" t="s">
        <v>291</v>
      </c>
      <c r="F21" s="370">
        <v>3</v>
      </c>
      <c r="G21" s="355">
        <v>0</v>
      </c>
      <c r="H21" s="370">
        <f t="shared" si="0"/>
        <v>0</v>
      </c>
      <c r="I21" s="370">
        <f t="shared" si="1"/>
        <v>0</v>
      </c>
      <c r="J21" s="370">
        <f t="shared" si="2"/>
        <v>0</v>
      </c>
      <c r="W21" s="195">
        <f t="shared" si="3"/>
        <v>0</v>
      </c>
      <c r="Y21" s="195">
        <f t="shared" si="4"/>
        <v>0</v>
      </c>
      <c r="Z21" s="195">
        <f t="shared" si="5"/>
        <v>0</v>
      </c>
      <c r="AA21" s="195">
        <f t="shared" si="6"/>
        <v>0</v>
      </c>
      <c r="AB21" s="195">
        <f t="shared" si="7"/>
        <v>0</v>
      </c>
      <c r="AC21" s="195">
        <f t="shared" si="8"/>
        <v>0</v>
      </c>
      <c r="AD21" s="195">
        <f t="shared" si="9"/>
        <v>0</v>
      </c>
      <c r="AE21" s="195">
        <f t="shared" si="10"/>
        <v>0</v>
      </c>
      <c r="AF21" s="196"/>
      <c r="AG21" s="194">
        <f t="shared" si="11"/>
        <v>0</v>
      </c>
      <c r="AH21" s="194">
        <f t="shared" si="12"/>
        <v>0</v>
      </c>
      <c r="AI21" s="194">
        <f t="shared" si="13"/>
        <v>0</v>
      </c>
      <c r="AK21" s="195">
        <v>21</v>
      </c>
      <c r="AL21" s="195">
        <f>G21*0</f>
        <v>0</v>
      </c>
      <c r="AM21" s="195">
        <f>G21*(1-0)</f>
        <v>0</v>
      </c>
      <c r="AN21" s="198" t="s">
        <v>255</v>
      </c>
      <c r="AS21" s="195">
        <f t="shared" si="14"/>
        <v>0</v>
      </c>
      <c r="AT21" s="195">
        <f t="shared" si="15"/>
        <v>0</v>
      </c>
      <c r="AU21" s="195">
        <f t="shared" si="16"/>
        <v>0</v>
      </c>
      <c r="AV21" s="197" t="s">
        <v>2773</v>
      </c>
      <c r="AW21" s="197" t="s">
        <v>2073</v>
      </c>
      <c r="AX21" s="196" t="s">
        <v>2067</v>
      </c>
      <c r="AZ21" s="195">
        <f t="shared" si="17"/>
        <v>0</v>
      </c>
      <c r="BA21" s="195">
        <f t="shared" si="18"/>
        <v>0</v>
      </c>
      <c r="BB21" s="195">
        <v>0</v>
      </c>
      <c r="BC21" s="195" t="e">
        <f>#REF!</f>
        <v>#REF!</v>
      </c>
      <c r="BE21" s="194">
        <f t="shared" si="19"/>
        <v>0</v>
      </c>
      <c r="BF21" s="194">
        <f t="shared" si="20"/>
        <v>0</v>
      </c>
      <c r="BG21" s="194">
        <f t="shared" si="21"/>
        <v>0</v>
      </c>
    </row>
    <row r="22" spans="1:59">
      <c r="A22" s="369" t="s">
        <v>265</v>
      </c>
      <c r="B22" s="369"/>
      <c r="C22" s="369" t="s">
        <v>2841</v>
      </c>
      <c r="D22" s="369" t="s">
        <v>2840</v>
      </c>
      <c r="E22" s="369" t="s">
        <v>291</v>
      </c>
      <c r="F22" s="370">
        <v>1</v>
      </c>
      <c r="G22" s="355">
        <v>0</v>
      </c>
      <c r="H22" s="370">
        <f t="shared" si="0"/>
        <v>0</v>
      </c>
      <c r="I22" s="370">
        <f t="shared" si="1"/>
        <v>0</v>
      </c>
      <c r="J22" s="370">
        <f t="shared" si="2"/>
        <v>0</v>
      </c>
      <c r="W22" s="195">
        <f t="shared" si="3"/>
        <v>0</v>
      </c>
      <c r="Y22" s="195">
        <f t="shared" si="4"/>
        <v>0</v>
      </c>
      <c r="Z22" s="195">
        <f t="shared" si="5"/>
        <v>0</v>
      </c>
      <c r="AA22" s="195">
        <f t="shared" si="6"/>
        <v>0</v>
      </c>
      <c r="AB22" s="195">
        <f t="shared" si="7"/>
        <v>0</v>
      </c>
      <c r="AC22" s="195">
        <f t="shared" si="8"/>
        <v>0</v>
      </c>
      <c r="AD22" s="195">
        <f t="shared" si="9"/>
        <v>0</v>
      </c>
      <c r="AE22" s="195">
        <f t="shared" si="10"/>
        <v>0</v>
      </c>
      <c r="AF22" s="196"/>
      <c r="AG22" s="194">
        <f t="shared" si="11"/>
        <v>0</v>
      </c>
      <c r="AH22" s="194">
        <f t="shared" si="12"/>
        <v>0</v>
      </c>
      <c r="AI22" s="194">
        <f t="shared" si="13"/>
        <v>0</v>
      </c>
      <c r="AK22" s="195">
        <v>21</v>
      </c>
      <c r="AL22" s="195">
        <f>G22*0</f>
        <v>0</v>
      </c>
      <c r="AM22" s="195">
        <f>G22*(1-0)</f>
        <v>0</v>
      </c>
      <c r="AN22" s="198" t="s">
        <v>255</v>
      </c>
      <c r="AS22" s="195">
        <f t="shared" si="14"/>
        <v>0</v>
      </c>
      <c r="AT22" s="195">
        <f t="shared" si="15"/>
        <v>0</v>
      </c>
      <c r="AU22" s="195">
        <f t="shared" si="16"/>
        <v>0</v>
      </c>
      <c r="AV22" s="197" t="s">
        <v>2773</v>
      </c>
      <c r="AW22" s="197" t="s">
        <v>2073</v>
      </c>
      <c r="AX22" s="196" t="s">
        <v>2067</v>
      </c>
      <c r="AZ22" s="195">
        <f t="shared" si="17"/>
        <v>0</v>
      </c>
      <c r="BA22" s="195">
        <f t="shared" si="18"/>
        <v>0</v>
      </c>
      <c r="BB22" s="195">
        <v>0</v>
      </c>
      <c r="BC22" s="195" t="e">
        <f>#REF!</f>
        <v>#REF!</v>
      </c>
      <c r="BE22" s="194">
        <f t="shared" si="19"/>
        <v>0</v>
      </c>
      <c r="BF22" s="194">
        <f t="shared" si="20"/>
        <v>0</v>
      </c>
      <c r="BG22" s="194">
        <f t="shared" si="21"/>
        <v>0</v>
      </c>
    </row>
    <row r="23" spans="1:59">
      <c r="A23" s="373" t="s">
        <v>270</v>
      </c>
      <c r="B23" s="373"/>
      <c r="C23" s="373" t="s">
        <v>2839</v>
      </c>
      <c r="D23" s="373" t="s">
        <v>2838</v>
      </c>
      <c r="E23" s="373" t="s">
        <v>291</v>
      </c>
      <c r="F23" s="374">
        <v>6</v>
      </c>
      <c r="G23" s="357">
        <v>0</v>
      </c>
      <c r="H23" s="374">
        <f t="shared" si="0"/>
        <v>0</v>
      </c>
      <c r="I23" s="374">
        <f t="shared" si="1"/>
        <v>0</v>
      </c>
      <c r="J23" s="374">
        <f t="shared" si="2"/>
        <v>0</v>
      </c>
      <c r="W23" s="195">
        <f t="shared" si="3"/>
        <v>0</v>
      </c>
      <c r="Y23" s="195">
        <f t="shared" si="4"/>
        <v>0</v>
      </c>
      <c r="Z23" s="195">
        <f t="shared" si="5"/>
        <v>0</v>
      </c>
      <c r="AA23" s="195">
        <f t="shared" si="6"/>
        <v>0</v>
      </c>
      <c r="AB23" s="195">
        <f t="shared" si="7"/>
        <v>0</v>
      </c>
      <c r="AC23" s="195">
        <f t="shared" si="8"/>
        <v>0</v>
      </c>
      <c r="AD23" s="195">
        <f t="shared" si="9"/>
        <v>0</v>
      </c>
      <c r="AE23" s="195">
        <f t="shared" si="10"/>
        <v>0</v>
      </c>
      <c r="AF23" s="196"/>
      <c r="AG23" s="200">
        <f t="shared" si="11"/>
        <v>0</v>
      </c>
      <c r="AH23" s="200">
        <f t="shared" si="12"/>
        <v>0</v>
      </c>
      <c r="AI23" s="200">
        <f t="shared" si="13"/>
        <v>0</v>
      </c>
      <c r="AK23" s="195">
        <v>21</v>
      </c>
      <c r="AL23" s="195">
        <f>G23*1</f>
        <v>0</v>
      </c>
      <c r="AM23" s="195">
        <f>G23*(1-1)</f>
        <v>0</v>
      </c>
      <c r="AN23" s="201" t="s">
        <v>255</v>
      </c>
      <c r="AS23" s="195">
        <f t="shared" si="14"/>
        <v>0</v>
      </c>
      <c r="AT23" s="195">
        <f t="shared" si="15"/>
        <v>0</v>
      </c>
      <c r="AU23" s="195">
        <f t="shared" si="16"/>
        <v>0</v>
      </c>
      <c r="AV23" s="197" t="s">
        <v>2773</v>
      </c>
      <c r="AW23" s="197" t="s">
        <v>2073</v>
      </c>
      <c r="AX23" s="196" t="s">
        <v>2067</v>
      </c>
      <c r="AZ23" s="195">
        <f t="shared" si="17"/>
        <v>0</v>
      </c>
      <c r="BA23" s="195">
        <f t="shared" si="18"/>
        <v>0</v>
      </c>
      <c r="BB23" s="195">
        <v>0</v>
      </c>
      <c r="BC23" s="195" t="e">
        <f>#REF!</f>
        <v>#REF!</v>
      </c>
      <c r="BE23" s="200">
        <f t="shared" si="19"/>
        <v>0</v>
      </c>
      <c r="BF23" s="200">
        <f t="shared" si="20"/>
        <v>0</v>
      </c>
      <c r="BG23" s="200">
        <f t="shared" si="21"/>
        <v>0</v>
      </c>
    </row>
    <row r="24" spans="1:59">
      <c r="A24" s="373" t="s">
        <v>277</v>
      </c>
      <c r="B24" s="373"/>
      <c r="C24" s="373" t="s">
        <v>2837</v>
      </c>
      <c r="D24" s="373" t="s">
        <v>2836</v>
      </c>
      <c r="E24" s="373" t="s">
        <v>291</v>
      </c>
      <c r="F24" s="374">
        <v>2</v>
      </c>
      <c r="G24" s="357">
        <v>0</v>
      </c>
      <c r="H24" s="374">
        <f t="shared" si="0"/>
        <v>0</v>
      </c>
      <c r="I24" s="374">
        <f t="shared" si="1"/>
        <v>0</v>
      </c>
      <c r="J24" s="374">
        <f t="shared" si="2"/>
        <v>0</v>
      </c>
      <c r="W24" s="195">
        <f t="shared" si="3"/>
        <v>0</v>
      </c>
      <c r="Y24" s="195">
        <f t="shared" si="4"/>
        <v>0</v>
      </c>
      <c r="Z24" s="195">
        <f t="shared" si="5"/>
        <v>0</v>
      </c>
      <c r="AA24" s="195">
        <f t="shared" si="6"/>
        <v>0</v>
      </c>
      <c r="AB24" s="195">
        <f t="shared" si="7"/>
        <v>0</v>
      </c>
      <c r="AC24" s="195">
        <f t="shared" si="8"/>
        <v>0</v>
      </c>
      <c r="AD24" s="195">
        <f t="shared" si="9"/>
        <v>0</v>
      </c>
      <c r="AE24" s="195">
        <f t="shared" si="10"/>
        <v>0</v>
      </c>
      <c r="AF24" s="196"/>
      <c r="AG24" s="200">
        <f t="shared" si="11"/>
        <v>0</v>
      </c>
      <c r="AH24" s="200">
        <f t="shared" si="12"/>
        <v>0</v>
      </c>
      <c r="AI24" s="200">
        <f t="shared" si="13"/>
        <v>0</v>
      </c>
      <c r="AK24" s="195">
        <v>21</v>
      </c>
      <c r="AL24" s="195">
        <f>G24*1</f>
        <v>0</v>
      </c>
      <c r="AM24" s="195">
        <f>G24*(1-1)</f>
        <v>0</v>
      </c>
      <c r="AN24" s="201" t="s">
        <v>255</v>
      </c>
      <c r="AS24" s="195">
        <f t="shared" si="14"/>
        <v>0</v>
      </c>
      <c r="AT24" s="195">
        <f t="shared" si="15"/>
        <v>0</v>
      </c>
      <c r="AU24" s="195">
        <f t="shared" si="16"/>
        <v>0</v>
      </c>
      <c r="AV24" s="197" t="s">
        <v>2773</v>
      </c>
      <c r="AW24" s="197" t="s">
        <v>2073</v>
      </c>
      <c r="AX24" s="196" t="s">
        <v>2067</v>
      </c>
      <c r="AZ24" s="195">
        <f t="shared" si="17"/>
        <v>0</v>
      </c>
      <c r="BA24" s="195">
        <f t="shared" si="18"/>
        <v>0</v>
      </c>
      <c r="BB24" s="195">
        <v>0</v>
      </c>
      <c r="BC24" s="195" t="e">
        <f>#REF!</f>
        <v>#REF!</v>
      </c>
      <c r="BE24" s="200">
        <f t="shared" si="19"/>
        <v>0</v>
      </c>
      <c r="BF24" s="200">
        <f t="shared" si="20"/>
        <v>0</v>
      </c>
      <c r="BG24" s="200">
        <f t="shared" si="21"/>
        <v>0</v>
      </c>
    </row>
    <row r="25" spans="1:59">
      <c r="A25" s="373" t="s">
        <v>283</v>
      </c>
      <c r="B25" s="373"/>
      <c r="C25" s="373" t="s">
        <v>2835</v>
      </c>
      <c r="D25" s="373" t="s">
        <v>2834</v>
      </c>
      <c r="E25" s="373" t="s">
        <v>291</v>
      </c>
      <c r="F25" s="374">
        <v>1</v>
      </c>
      <c r="G25" s="357">
        <v>0</v>
      </c>
      <c r="H25" s="374">
        <f t="shared" si="0"/>
        <v>0</v>
      </c>
      <c r="I25" s="374">
        <f t="shared" si="1"/>
        <v>0</v>
      </c>
      <c r="J25" s="374">
        <f t="shared" si="2"/>
        <v>0</v>
      </c>
      <c r="W25" s="195">
        <f t="shared" si="3"/>
        <v>0</v>
      </c>
      <c r="Y25" s="195">
        <f t="shared" si="4"/>
        <v>0</v>
      </c>
      <c r="Z25" s="195">
        <f t="shared" si="5"/>
        <v>0</v>
      </c>
      <c r="AA25" s="195">
        <f t="shared" si="6"/>
        <v>0</v>
      </c>
      <c r="AB25" s="195">
        <f t="shared" si="7"/>
        <v>0</v>
      </c>
      <c r="AC25" s="195">
        <f t="shared" si="8"/>
        <v>0</v>
      </c>
      <c r="AD25" s="195">
        <f t="shared" si="9"/>
        <v>0</v>
      </c>
      <c r="AE25" s="195">
        <f t="shared" si="10"/>
        <v>0</v>
      </c>
      <c r="AF25" s="196"/>
      <c r="AG25" s="200">
        <f t="shared" si="11"/>
        <v>0</v>
      </c>
      <c r="AH25" s="200">
        <f t="shared" si="12"/>
        <v>0</v>
      </c>
      <c r="AI25" s="200">
        <f t="shared" si="13"/>
        <v>0</v>
      </c>
      <c r="AK25" s="195">
        <v>21</v>
      </c>
      <c r="AL25" s="195">
        <f>G25*1</f>
        <v>0</v>
      </c>
      <c r="AM25" s="195">
        <f>G25*(1-1)</f>
        <v>0</v>
      </c>
      <c r="AN25" s="201" t="s">
        <v>255</v>
      </c>
      <c r="AS25" s="195">
        <f t="shared" si="14"/>
        <v>0</v>
      </c>
      <c r="AT25" s="195">
        <f t="shared" si="15"/>
        <v>0</v>
      </c>
      <c r="AU25" s="195">
        <f t="shared" si="16"/>
        <v>0</v>
      </c>
      <c r="AV25" s="197" t="s">
        <v>2773</v>
      </c>
      <c r="AW25" s="197" t="s">
        <v>2073</v>
      </c>
      <c r="AX25" s="196" t="s">
        <v>2067</v>
      </c>
      <c r="AZ25" s="195">
        <f t="shared" si="17"/>
        <v>0</v>
      </c>
      <c r="BA25" s="195">
        <f t="shared" si="18"/>
        <v>0</v>
      </c>
      <c r="BB25" s="195">
        <v>0</v>
      </c>
      <c r="BC25" s="195" t="e">
        <f>#REF!</f>
        <v>#REF!</v>
      </c>
      <c r="BE25" s="200">
        <f t="shared" si="19"/>
        <v>0</v>
      </c>
      <c r="BF25" s="200">
        <f t="shared" si="20"/>
        <v>0</v>
      </c>
      <c r="BG25" s="200">
        <f t="shared" si="21"/>
        <v>0</v>
      </c>
    </row>
    <row r="26" spans="1:59">
      <c r="A26" s="373" t="s">
        <v>288</v>
      </c>
      <c r="B26" s="373"/>
      <c r="C26" s="373" t="s">
        <v>2833</v>
      </c>
      <c r="D26" s="373" t="s">
        <v>2832</v>
      </c>
      <c r="E26" s="373" t="s">
        <v>291</v>
      </c>
      <c r="F26" s="374">
        <v>2</v>
      </c>
      <c r="G26" s="357">
        <v>0</v>
      </c>
      <c r="H26" s="374">
        <f t="shared" si="0"/>
        <v>0</v>
      </c>
      <c r="I26" s="374">
        <f t="shared" si="1"/>
        <v>0</v>
      </c>
      <c r="J26" s="374">
        <f t="shared" si="2"/>
        <v>0</v>
      </c>
      <c r="W26" s="195">
        <f t="shared" si="3"/>
        <v>0</v>
      </c>
      <c r="Y26" s="195">
        <f t="shared" si="4"/>
        <v>0</v>
      </c>
      <c r="Z26" s="195">
        <f t="shared" si="5"/>
        <v>0</v>
      </c>
      <c r="AA26" s="195">
        <f t="shared" si="6"/>
        <v>0</v>
      </c>
      <c r="AB26" s="195">
        <f t="shared" si="7"/>
        <v>0</v>
      </c>
      <c r="AC26" s="195">
        <f t="shared" si="8"/>
        <v>0</v>
      </c>
      <c r="AD26" s="195">
        <f t="shared" si="9"/>
        <v>0</v>
      </c>
      <c r="AE26" s="195">
        <f t="shared" si="10"/>
        <v>0</v>
      </c>
      <c r="AF26" s="196"/>
      <c r="AG26" s="200">
        <f t="shared" si="11"/>
        <v>0</v>
      </c>
      <c r="AH26" s="200">
        <f t="shared" si="12"/>
        <v>0</v>
      </c>
      <c r="AI26" s="200">
        <f t="shared" si="13"/>
        <v>0</v>
      </c>
      <c r="AK26" s="195">
        <v>21</v>
      </c>
      <c r="AL26" s="195">
        <f>G26*1</f>
        <v>0</v>
      </c>
      <c r="AM26" s="195">
        <f>G26*(1-1)</f>
        <v>0</v>
      </c>
      <c r="AN26" s="201" t="s">
        <v>255</v>
      </c>
      <c r="AS26" s="195">
        <f t="shared" si="14"/>
        <v>0</v>
      </c>
      <c r="AT26" s="195">
        <f t="shared" si="15"/>
        <v>0</v>
      </c>
      <c r="AU26" s="195">
        <f t="shared" si="16"/>
        <v>0</v>
      </c>
      <c r="AV26" s="197" t="s">
        <v>2773</v>
      </c>
      <c r="AW26" s="197" t="s">
        <v>2073</v>
      </c>
      <c r="AX26" s="196" t="s">
        <v>2067</v>
      </c>
      <c r="AZ26" s="195">
        <f t="shared" si="17"/>
        <v>0</v>
      </c>
      <c r="BA26" s="195">
        <f t="shared" si="18"/>
        <v>0</v>
      </c>
      <c r="BB26" s="195">
        <v>0</v>
      </c>
      <c r="BC26" s="195" t="e">
        <f>#REF!</f>
        <v>#REF!</v>
      </c>
      <c r="BE26" s="200">
        <f t="shared" si="19"/>
        <v>0</v>
      </c>
      <c r="BF26" s="200">
        <f t="shared" si="20"/>
        <v>0</v>
      </c>
      <c r="BG26" s="200">
        <f t="shared" si="21"/>
        <v>0</v>
      </c>
    </row>
    <row r="27" spans="1:59">
      <c r="A27" s="369" t="s">
        <v>294</v>
      </c>
      <c r="B27" s="369"/>
      <c r="C27" s="369" t="s">
        <v>2831</v>
      </c>
      <c r="D27" s="369" t="s">
        <v>2830</v>
      </c>
      <c r="E27" s="369" t="s">
        <v>291</v>
      </c>
      <c r="F27" s="370">
        <v>2</v>
      </c>
      <c r="G27" s="355">
        <v>0</v>
      </c>
      <c r="H27" s="370">
        <f t="shared" si="0"/>
        <v>0</v>
      </c>
      <c r="I27" s="370">
        <f t="shared" si="1"/>
        <v>0</v>
      </c>
      <c r="J27" s="370">
        <f t="shared" si="2"/>
        <v>0</v>
      </c>
      <c r="W27" s="195">
        <f t="shared" si="3"/>
        <v>0</v>
      </c>
      <c r="Y27" s="195">
        <f t="shared" si="4"/>
        <v>0</v>
      </c>
      <c r="Z27" s="195">
        <f t="shared" si="5"/>
        <v>0</v>
      </c>
      <c r="AA27" s="195">
        <f t="shared" si="6"/>
        <v>0</v>
      </c>
      <c r="AB27" s="195">
        <f t="shared" si="7"/>
        <v>0</v>
      </c>
      <c r="AC27" s="195">
        <f t="shared" si="8"/>
        <v>0</v>
      </c>
      <c r="AD27" s="195">
        <f t="shared" si="9"/>
        <v>0</v>
      </c>
      <c r="AE27" s="195">
        <f t="shared" si="10"/>
        <v>0</v>
      </c>
      <c r="AF27" s="196"/>
      <c r="AG27" s="194">
        <f t="shared" si="11"/>
        <v>0</v>
      </c>
      <c r="AH27" s="194">
        <f t="shared" si="12"/>
        <v>0</v>
      </c>
      <c r="AI27" s="194">
        <f t="shared" si="13"/>
        <v>0</v>
      </c>
      <c r="AK27" s="195">
        <v>21</v>
      </c>
      <c r="AL27" s="195">
        <f>G27*0</f>
        <v>0</v>
      </c>
      <c r="AM27" s="195">
        <f>G27*(1-0)</f>
        <v>0</v>
      </c>
      <c r="AN27" s="198" t="s">
        <v>255</v>
      </c>
      <c r="AS27" s="195">
        <f t="shared" si="14"/>
        <v>0</v>
      </c>
      <c r="AT27" s="195">
        <f t="shared" si="15"/>
        <v>0</v>
      </c>
      <c r="AU27" s="195">
        <f t="shared" si="16"/>
        <v>0</v>
      </c>
      <c r="AV27" s="197" t="s">
        <v>2773</v>
      </c>
      <c r="AW27" s="197" t="s">
        <v>2073</v>
      </c>
      <c r="AX27" s="196" t="s">
        <v>2067</v>
      </c>
      <c r="AZ27" s="195">
        <f t="shared" si="17"/>
        <v>0</v>
      </c>
      <c r="BA27" s="195">
        <f t="shared" si="18"/>
        <v>0</v>
      </c>
      <c r="BB27" s="195">
        <v>0</v>
      </c>
      <c r="BC27" s="195" t="e">
        <f>#REF!</f>
        <v>#REF!</v>
      </c>
      <c r="BE27" s="194">
        <f t="shared" si="19"/>
        <v>0</v>
      </c>
      <c r="BF27" s="194">
        <f t="shared" si="20"/>
        <v>0</v>
      </c>
      <c r="BG27" s="194">
        <f t="shared" si="21"/>
        <v>0</v>
      </c>
    </row>
    <row r="28" spans="1:59">
      <c r="A28" s="373" t="s">
        <v>9</v>
      </c>
      <c r="B28" s="373"/>
      <c r="C28" s="373" t="s">
        <v>2829</v>
      </c>
      <c r="D28" s="373" t="s">
        <v>2828</v>
      </c>
      <c r="E28" s="373" t="s">
        <v>291</v>
      </c>
      <c r="F28" s="374">
        <v>1</v>
      </c>
      <c r="G28" s="357">
        <v>0</v>
      </c>
      <c r="H28" s="374">
        <f t="shared" si="0"/>
        <v>0</v>
      </c>
      <c r="I28" s="374">
        <f t="shared" si="1"/>
        <v>0</v>
      </c>
      <c r="J28" s="374">
        <f t="shared" si="2"/>
        <v>0</v>
      </c>
      <c r="W28" s="195">
        <f t="shared" si="3"/>
        <v>0</v>
      </c>
      <c r="Y28" s="195">
        <f t="shared" si="4"/>
        <v>0</v>
      </c>
      <c r="Z28" s="195">
        <f t="shared" si="5"/>
        <v>0</v>
      </c>
      <c r="AA28" s="195">
        <f t="shared" si="6"/>
        <v>0</v>
      </c>
      <c r="AB28" s="195">
        <f t="shared" si="7"/>
        <v>0</v>
      </c>
      <c r="AC28" s="195">
        <f t="shared" si="8"/>
        <v>0</v>
      </c>
      <c r="AD28" s="195">
        <f t="shared" si="9"/>
        <v>0</v>
      </c>
      <c r="AE28" s="195">
        <f t="shared" si="10"/>
        <v>0</v>
      </c>
      <c r="AF28" s="196"/>
      <c r="AG28" s="200">
        <f t="shared" si="11"/>
        <v>0</v>
      </c>
      <c r="AH28" s="200">
        <f t="shared" si="12"/>
        <v>0</v>
      </c>
      <c r="AI28" s="200">
        <f t="shared" si="13"/>
        <v>0</v>
      </c>
      <c r="AK28" s="195">
        <v>21</v>
      </c>
      <c r="AL28" s="195">
        <f>G28*1</f>
        <v>0</v>
      </c>
      <c r="AM28" s="195">
        <f>G28*(1-1)</f>
        <v>0</v>
      </c>
      <c r="AN28" s="201" t="s">
        <v>255</v>
      </c>
      <c r="AS28" s="195">
        <f t="shared" si="14"/>
        <v>0</v>
      </c>
      <c r="AT28" s="195">
        <f t="shared" si="15"/>
        <v>0</v>
      </c>
      <c r="AU28" s="195">
        <f t="shared" si="16"/>
        <v>0</v>
      </c>
      <c r="AV28" s="197" t="s">
        <v>2773</v>
      </c>
      <c r="AW28" s="197" t="s">
        <v>2073</v>
      </c>
      <c r="AX28" s="196" t="s">
        <v>2067</v>
      </c>
      <c r="AZ28" s="195">
        <f t="shared" si="17"/>
        <v>0</v>
      </c>
      <c r="BA28" s="195">
        <f t="shared" si="18"/>
        <v>0</v>
      </c>
      <c r="BB28" s="195">
        <v>0</v>
      </c>
      <c r="BC28" s="195" t="e">
        <f>#REF!</f>
        <v>#REF!</v>
      </c>
      <c r="BE28" s="200">
        <f t="shared" si="19"/>
        <v>0</v>
      </c>
      <c r="BF28" s="200">
        <f t="shared" si="20"/>
        <v>0</v>
      </c>
      <c r="BG28" s="200">
        <f t="shared" si="21"/>
        <v>0</v>
      </c>
    </row>
    <row r="29" spans="1:59">
      <c r="A29" s="373" t="s">
        <v>305</v>
      </c>
      <c r="B29" s="373"/>
      <c r="C29" s="373" t="s">
        <v>2827</v>
      </c>
      <c r="D29" s="373" t="s">
        <v>2826</v>
      </c>
      <c r="E29" s="373" t="s">
        <v>291</v>
      </c>
      <c r="F29" s="374">
        <v>1</v>
      </c>
      <c r="G29" s="357">
        <v>0</v>
      </c>
      <c r="H29" s="374">
        <f t="shared" si="0"/>
        <v>0</v>
      </c>
      <c r="I29" s="374">
        <f t="shared" si="1"/>
        <v>0</v>
      </c>
      <c r="J29" s="374">
        <f t="shared" si="2"/>
        <v>0</v>
      </c>
      <c r="W29" s="195">
        <f t="shared" si="3"/>
        <v>0</v>
      </c>
      <c r="Y29" s="195">
        <f t="shared" si="4"/>
        <v>0</v>
      </c>
      <c r="Z29" s="195">
        <f t="shared" si="5"/>
        <v>0</v>
      </c>
      <c r="AA29" s="195">
        <f t="shared" si="6"/>
        <v>0</v>
      </c>
      <c r="AB29" s="195">
        <f t="shared" si="7"/>
        <v>0</v>
      </c>
      <c r="AC29" s="195">
        <f t="shared" si="8"/>
        <v>0</v>
      </c>
      <c r="AD29" s="195">
        <f t="shared" si="9"/>
        <v>0</v>
      </c>
      <c r="AE29" s="195">
        <f t="shared" si="10"/>
        <v>0</v>
      </c>
      <c r="AF29" s="196"/>
      <c r="AG29" s="200">
        <f t="shared" si="11"/>
        <v>0</v>
      </c>
      <c r="AH29" s="200">
        <f t="shared" si="12"/>
        <v>0</v>
      </c>
      <c r="AI29" s="200">
        <f t="shared" si="13"/>
        <v>0</v>
      </c>
      <c r="AK29" s="195">
        <v>21</v>
      </c>
      <c r="AL29" s="195">
        <f>G29*1</f>
        <v>0</v>
      </c>
      <c r="AM29" s="195">
        <f>G29*(1-1)</f>
        <v>0</v>
      </c>
      <c r="AN29" s="201" t="s">
        <v>255</v>
      </c>
      <c r="AS29" s="195">
        <f t="shared" si="14"/>
        <v>0</v>
      </c>
      <c r="AT29" s="195">
        <f t="shared" si="15"/>
        <v>0</v>
      </c>
      <c r="AU29" s="195">
        <f t="shared" si="16"/>
        <v>0</v>
      </c>
      <c r="AV29" s="197" t="s">
        <v>2773</v>
      </c>
      <c r="AW29" s="197" t="s">
        <v>2073</v>
      </c>
      <c r="AX29" s="196" t="s">
        <v>2067</v>
      </c>
      <c r="AZ29" s="195">
        <f t="shared" si="17"/>
        <v>0</v>
      </c>
      <c r="BA29" s="195">
        <f t="shared" si="18"/>
        <v>0</v>
      </c>
      <c r="BB29" s="195">
        <v>0</v>
      </c>
      <c r="BC29" s="195" t="e">
        <f>#REF!</f>
        <v>#REF!</v>
      </c>
      <c r="BE29" s="200">
        <f t="shared" si="19"/>
        <v>0</v>
      </c>
      <c r="BF29" s="200">
        <f t="shared" si="20"/>
        <v>0</v>
      </c>
      <c r="BG29" s="200">
        <f t="shared" si="21"/>
        <v>0</v>
      </c>
    </row>
    <row r="30" spans="1:59">
      <c r="A30" s="369" t="s">
        <v>309</v>
      </c>
      <c r="B30" s="369"/>
      <c r="C30" s="369" t="s">
        <v>2825</v>
      </c>
      <c r="D30" s="369" t="s">
        <v>2824</v>
      </c>
      <c r="E30" s="369" t="s">
        <v>291</v>
      </c>
      <c r="F30" s="370">
        <v>1</v>
      </c>
      <c r="G30" s="355">
        <v>0</v>
      </c>
      <c r="H30" s="370">
        <f t="shared" si="0"/>
        <v>0</v>
      </c>
      <c r="I30" s="370">
        <f t="shared" si="1"/>
        <v>0</v>
      </c>
      <c r="J30" s="370">
        <f t="shared" si="2"/>
        <v>0</v>
      </c>
      <c r="W30" s="195">
        <f t="shared" si="3"/>
        <v>0</v>
      </c>
      <c r="Y30" s="195">
        <f t="shared" si="4"/>
        <v>0</v>
      </c>
      <c r="Z30" s="195">
        <f t="shared" si="5"/>
        <v>0</v>
      </c>
      <c r="AA30" s="195">
        <f t="shared" si="6"/>
        <v>0</v>
      </c>
      <c r="AB30" s="195">
        <f t="shared" si="7"/>
        <v>0</v>
      </c>
      <c r="AC30" s="195">
        <f t="shared" si="8"/>
        <v>0</v>
      </c>
      <c r="AD30" s="195">
        <f t="shared" si="9"/>
        <v>0</v>
      </c>
      <c r="AE30" s="195">
        <f t="shared" si="10"/>
        <v>0</v>
      </c>
      <c r="AF30" s="196"/>
      <c r="AG30" s="194">
        <f t="shared" si="11"/>
        <v>0</v>
      </c>
      <c r="AH30" s="194">
        <f t="shared" si="12"/>
        <v>0</v>
      </c>
      <c r="AI30" s="194">
        <f t="shared" si="13"/>
        <v>0</v>
      </c>
      <c r="AK30" s="195">
        <v>21</v>
      </c>
      <c r="AL30" s="195">
        <f>G30*0</f>
        <v>0</v>
      </c>
      <c r="AM30" s="195">
        <f>G30*(1-0)</f>
        <v>0</v>
      </c>
      <c r="AN30" s="198" t="s">
        <v>255</v>
      </c>
      <c r="AS30" s="195">
        <f t="shared" si="14"/>
        <v>0</v>
      </c>
      <c r="AT30" s="195">
        <f t="shared" si="15"/>
        <v>0</v>
      </c>
      <c r="AU30" s="195">
        <f t="shared" si="16"/>
        <v>0</v>
      </c>
      <c r="AV30" s="197" t="s">
        <v>2773</v>
      </c>
      <c r="AW30" s="197" t="s">
        <v>2073</v>
      </c>
      <c r="AX30" s="196" t="s">
        <v>2067</v>
      </c>
      <c r="AZ30" s="195">
        <f t="shared" si="17"/>
        <v>0</v>
      </c>
      <c r="BA30" s="195">
        <f t="shared" si="18"/>
        <v>0</v>
      </c>
      <c r="BB30" s="195">
        <v>0</v>
      </c>
      <c r="BC30" s="195" t="e">
        <f>#REF!</f>
        <v>#REF!</v>
      </c>
      <c r="BE30" s="194">
        <f t="shared" si="19"/>
        <v>0</v>
      </c>
      <c r="BF30" s="194">
        <f t="shared" si="20"/>
        <v>0</v>
      </c>
      <c r="BG30" s="194">
        <f t="shared" si="21"/>
        <v>0</v>
      </c>
    </row>
    <row r="31" spans="1:59">
      <c r="A31" s="373" t="s">
        <v>315</v>
      </c>
      <c r="B31" s="373"/>
      <c r="C31" s="373" t="s">
        <v>2823</v>
      </c>
      <c r="D31" s="373" t="s">
        <v>2822</v>
      </c>
      <c r="E31" s="373" t="s">
        <v>291</v>
      </c>
      <c r="F31" s="374">
        <v>1</v>
      </c>
      <c r="G31" s="357">
        <v>0</v>
      </c>
      <c r="H31" s="374">
        <f t="shared" si="0"/>
        <v>0</v>
      </c>
      <c r="I31" s="374">
        <f t="shared" si="1"/>
        <v>0</v>
      </c>
      <c r="J31" s="374">
        <f t="shared" si="2"/>
        <v>0</v>
      </c>
      <c r="W31" s="195">
        <f t="shared" si="3"/>
        <v>0</v>
      </c>
      <c r="Y31" s="195">
        <f t="shared" si="4"/>
        <v>0</v>
      </c>
      <c r="Z31" s="195">
        <f t="shared" si="5"/>
        <v>0</v>
      </c>
      <c r="AA31" s="195">
        <f t="shared" si="6"/>
        <v>0</v>
      </c>
      <c r="AB31" s="195">
        <f t="shared" si="7"/>
        <v>0</v>
      </c>
      <c r="AC31" s="195">
        <f t="shared" si="8"/>
        <v>0</v>
      </c>
      <c r="AD31" s="195">
        <f t="shared" si="9"/>
        <v>0</v>
      </c>
      <c r="AE31" s="195">
        <f t="shared" si="10"/>
        <v>0</v>
      </c>
      <c r="AF31" s="196"/>
      <c r="AG31" s="200">
        <f t="shared" si="11"/>
        <v>0</v>
      </c>
      <c r="AH31" s="200">
        <f t="shared" si="12"/>
        <v>0</v>
      </c>
      <c r="AI31" s="200">
        <f t="shared" si="13"/>
        <v>0</v>
      </c>
      <c r="AK31" s="195">
        <v>21</v>
      </c>
      <c r="AL31" s="195">
        <f>G31*1</f>
        <v>0</v>
      </c>
      <c r="AM31" s="195">
        <f>G31*(1-1)</f>
        <v>0</v>
      </c>
      <c r="AN31" s="201" t="s">
        <v>255</v>
      </c>
      <c r="AS31" s="195">
        <f t="shared" si="14"/>
        <v>0</v>
      </c>
      <c r="AT31" s="195">
        <f t="shared" si="15"/>
        <v>0</v>
      </c>
      <c r="AU31" s="195">
        <f t="shared" si="16"/>
        <v>0</v>
      </c>
      <c r="AV31" s="197" t="s">
        <v>2773</v>
      </c>
      <c r="AW31" s="197" t="s">
        <v>2073</v>
      </c>
      <c r="AX31" s="196" t="s">
        <v>2067</v>
      </c>
      <c r="AZ31" s="195">
        <f t="shared" si="17"/>
        <v>0</v>
      </c>
      <c r="BA31" s="195">
        <f t="shared" si="18"/>
        <v>0</v>
      </c>
      <c r="BB31" s="195">
        <v>0</v>
      </c>
      <c r="BC31" s="195" t="e">
        <f>#REF!</f>
        <v>#REF!</v>
      </c>
      <c r="BE31" s="200">
        <f t="shared" si="19"/>
        <v>0</v>
      </c>
      <c r="BF31" s="200">
        <f t="shared" si="20"/>
        <v>0</v>
      </c>
      <c r="BG31" s="200">
        <f t="shared" si="21"/>
        <v>0</v>
      </c>
    </row>
    <row r="32" spans="1:59">
      <c r="A32" s="369" t="s">
        <v>320</v>
      </c>
      <c r="B32" s="369"/>
      <c r="C32" s="369" t="s">
        <v>2645</v>
      </c>
      <c r="D32" s="369" t="s">
        <v>2644</v>
      </c>
      <c r="E32" s="369" t="s">
        <v>291</v>
      </c>
      <c r="F32" s="370">
        <v>4</v>
      </c>
      <c r="G32" s="355">
        <v>0</v>
      </c>
      <c r="H32" s="370">
        <f t="shared" si="0"/>
        <v>0</v>
      </c>
      <c r="I32" s="370">
        <f t="shared" si="1"/>
        <v>0</v>
      </c>
      <c r="J32" s="370">
        <f t="shared" si="2"/>
        <v>0</v>
      </c>
      <c r="W32" s="195">
        <f t="shared" si="3"/>
        <v>0</v>
      </c>
      <c r="Y32" s="195">
        <f t="shared" si="4"/>
        <v>0</v>
      </c>
      <c r="Z32" s="195">
        <f t="shared" si="5"/>
        <v>0</v>
      </c>
      <c r="AA32" s="195">
        <f t="shared" si="6"/>
        <v>0</v>
      </c>
      <c r="AB32" s="195">
        <f t="shared" si="7"/>
        <v>0</v>
      </c>
      <c r="AC32" s="195">
        <f t="shared" si="8"/>
        <v>0</v>
      </c>
      <c r="AD32" s="195">
        <f t="shared" si="9"/>
        <v>0</v>
      </c>
      <c r="AE32" s="195">
        <f t="shared" si="10"/>
        <v>0</v>
      </c>
      <c r="AF32" s="196"/>
      <c r="AG32" s="194">
        <f t="shared" si="11"/>
        <v>0</v>
      </c>
      <c r="AH32" s="194">
        <f t="shared" si="12"/>
        <v>0</v>
      </c>
      <c r="AI32" s="194">
        <f t="shared" si="13"/>
        <v>0</v>
      </c>
      <c r="AK32" s="195">
        <v>21</v>
      </c>
      <c r="AL32" s="195">
        <f>G32*0</f>
        <v>0</v>
      </c>
      <c r="AM32" s="195">
        <f>G32*(1-0)</f>
        <v>0</v>
      </c>
      <c r="AN32" s="198" t="s">
        <v>255</v>
      </c>
      <c r="AS32" s="195">
        <f t="shared" si="14"/>
        <v>0</v>
      </c>
      <c r="AT32" s="195">
        <f t="shared" si="15"/>
        <v>0</v>
      </c>
      <c r="AU32" s="195">
        <f t="shared" si="16"/>
        <v>0</v>
      </c>
      <c r="AV32" s="197" t="s">
        <v>2773</v>
      </c>
      <c r="AW32" s="197" t="s">
        <v>2073</v>
      </c>
      <c r="AX32" s="196" t="s">
        <v>2067</v>
      </c>
      <c r="AZ32" s="195">
        <f t="shared" si="17"/>
        <v>0</v>
      </c>
      <c r="BA32" s="195">
        <f t="shared" si="18"/>
        <v>0</v>
      </c>
      <c r="BB32" s="195">
        <v>0</v>
      </c>
      <c r="BC32" s="195" t="e">
        <f>#REF!</f>
        <v>#REF!</v>
      </c>
      <c r="BE32" s="194">
        <f t="shared" si="19"/>
        <v>0</v>
      </c>
      <c r="BF32" s="194">
        <f t="shared" si="20"/>
        <v>0</v>
      </c>
      <c r="BG32" s="194">
        <f t="shared" si="21"/>
        <v>0</v>
      </c>
    </row>
    <row r="33" spans="1:59">
      <c r="A33" s="373" t="s">
        <v>328</v>
      </c>
      <c r="B33" s="373"/>
      <c r="C33" s="373" t="s">
        <v>2821</v>
      </c>
      <c r="D33" s="373" t="s">
        <v>2702</v>
      </c>
      <c r="E33" s="373" t="s">
        <v>2353</v>
      </c>
      <c r="F33" s="374">
        <v>3</v>
      </c>
      <c r="G33" s="357">
        <v>0</v>
      </c>
      <c r="H33" s="374">
        <f t="shared" si="0"/>
        <v>0</v>
      </c>
      <c r="I33" s="374">
        <f t="shared" si="1"/>
        <v>0</v>
      </c>
      <c r="J33" s="374">
        <f t="shared" si="2"/>
        <v>0</v>
      </c>
      <c r="W33" s="195">
        <f t="shared" si="3"/>
        <v>0</v>
      </c>
      <c r="Y33" s="195">
        <f t="shared" si="4"/>
        <v>0</v>
      </c>
      <c r="Z33" s="195">
        <f t="shared" si="5"/>
        <v>0</v>
      </c>
      <c r="AA33" s="195">
        <f t="shared" si="6"/>
        <v>0</v>
      </c>
      <c r="AB33" s="195">
        <f t="shared" si="7"/>
        <v>0</v>
      </c>
      <c r="AC33" s="195">
        <f t="shared" si="8"/>
        <v>0</v>
      </c>
      <c r="AD33" s="195">
        <f t="shared" si="9"/>
        <v>0</v>
      </c>
      <c r="AE33" s="195">
        <f t="shared" si="10"/>
        <v>0</v>
      </c>
      <c r="AF33" s="196"/>
      <c r="AG33" s="200">
        <f t="shared" si="11"/>
        <v>0</v>
      </c>
      <c r="AH33" s="200">
        <f t="shared" si="12"/>
        <v>0</v>
      </c>
      <c r="AI33" s="200">
        <f t="shared" si="13"/>
        <v>0</v>
      </c>
      <c r="AK33" s="195">
        <v>21</v>
      </c>
      <c r="AL33" s="195">
        <f>G33*1</f>
        <v>0</v>
      </c>
      <c r="AM33" s="195">
        <f>G33*(1-1)</f>
        <v>0</v>
      </c>
      <c r="AN33" s="201" t="s">
        <v>255</v>
      </c>
      <c r="AS33" s="195">
        <f t="shared" si="14"/>
        <v>0</v>
      </c>
      <c r="AT33" s="195">
        <f t="shared" si="15"/>
        <v>0</v>
      </c>
      <c r="AU33" s="195">
        <f t="shared" si="16"/>
        <v>0</v>
      </c>
      <c r="AV33" s="197" t="s">
        <v>2773</v>
      </c>
      <c r="AW33" s="197" t="s">
        <v>2073</v>
      </c>
      <c r="AX33" s="196" t="s">
        <v>2067</v>
      </c>
      <c r="AZ33" s="195">
        <f t="shared" si="17"/>
        <v>0</v>
      </c>
      <c r="BA33" s="195">
        <f t="shared" si="18"/>
        <v>0</v>
      </c>
      <c r="BB33" s="195">
        <v>0</v>
      </c>
      <c r="BC33" s="195" t="e">
        <f>#REF!</f>
        <v>#REF!</v>
      </c>
      <c r="BE33" s="200">
        <f t="shared" si="19"/>
        <v>0</v>
      </c>
      <c r="BF33" s="200">
        <f t="shared" si="20"/>
        <v>0</v>
      </c>
      <c r="BG33" s="200">
        <f t="shared" si="21"/>
        <v>0</v>
      </c>
    </row>
    <row r="34" spans="1:59">
      <c r="A34" s="373" t="s">
        <v>8</v>
      </c>
      <c r="B34" s="373"/>
      <c r="C34" s="373" t="s">
        <v>2820</v>
      </c>
      <c r="D34" s="373" t="s">
        <v>2819</v>
      </c>
      <c r="E34" s="373" t="s">
        <v>2353</v>
      </c>
      <c r="F34" s="374">
        <v>1</v>
      </c>
      <c r="G34" s="357">
        <v>0</v>
      </c>
      <c r="H34" s="374">
        <f t="shared" si="0"/>
        <v>0</v>
      </c>
      <c r="I34" s="374">
        <f t="shared" si="1"/>
        <v>0</v>
      </c>
      <c r="J34" s="374">
        <f t="shared" si="2"/>
        <v>0</v>
      </c>
      <c r="W34" s="195">
        <f t="shared" si="3"/>
        <v>0</v>
      </c>
      <c r="Y34" s="195">
        <f t="shared" si="4"/>
        <v>0</v>
      </c>
      <c r="Z34" s="195">
        <f t="shared" si="5"/>
        <v>0</v>
      </c>
      <c r="AA34" s="195">
        <f t="shared" si="6"/>
        <v>0</v>
      </c>
      <c r="AB34" s="195">
        <f t="shared" si="7"/>
        <v>0</v>
      </c>
      <c r="AC34" s="195">
        <f t="shared" si="8"/>
        <v>0</v>
      </c>
      <c r="AD34" s="195">
        <f t="shared" si="9"/>
        <v>0</v>
      </c>
      <c r="AE34" s="195">
        <f t="shared" si="10"/>
        <v>0</v>
      </c>
      <c r="AF34" s="196"/>
      <c r="AG34" s="200">
        <f t="shared" si="11"/>
        <v>0</v>
      </c>
      <c r="AH34" s="200">
        <f t="shared" si="12"/>
        <v>0</v>
      </c>
      <c r="AI34" s="200">
        <f t="shared" si="13"/>
        <v>0</v>
      </c>
      <c r="AK34" s="195">
        <v>21</v>
      </c>
      <c r="AL34" s="195">
        <f>G34*1</f>
        <v>0</v>
      </c>
      <c r="AM34" s="195">
        <f>G34*(1-1)</f>
        <v>0</v>
      </c>
      <c r="AN34" s="201" t="s">
        <v>255</v>
      </c>
      <c r="AS34" s="195">
        <f t="shared" si="14"/>
        <v>0</v>
      </c>
      <c r="AT34" s="195">
        <f t="shared" si="15"/>
        <v>0</v>
      </c>
      <c r="AU34" s="195">
        <f t="shared" si="16"/>
        <v>0</v>
      </c>
      <c r="AV34" s="197" t="s">
        <v>2773</v>
      </c>
      <c r="AW34" s="197" t="s">
        <v>2073</v>
      </c>
      <c r="AX34" s="196" t="s">
        <v>2067</v>
      </c>
      <c r="AZ34" s="195">
        <f t="shared" si="17"/>
        <v>0</v>
      </c>
      <c r="BA34" s="195">
        <f t="shared" si="18"/>
        <v>0</v>
      </c>
      <c r="BB34" s="195">
        <v>0</v>
      </c>
      <c r="BC34" s="195" t="e">
        <f>#REF!</f>
        <v>#REF!</v>
      </c>
      <c r="BE34" s="200">
        <f t="shared" si="19"/>
        <v>0</v>
      </c>
      <c r="BF34" s="200">
        <f t="shared" si="20"/>
        <v>0</v>
      </c>
      <c r="BG34" s="200">
        <f t="shared" si="21"/>
        <v>0</v>
      </c>
    </row>
    <row r="35" spans="1:59">
      <c r="A35" s="369" t="s">
        <v>337</v>
      </c>
      <c r="B35" s="369"/>
      <c r="C35" s="369" t="s">
        <v>2818</v>
      </c>
      <c r="D35" s="369" t="s">
        <v>2817</v>
      </c>
      <c r="E35" s="369" t="s">
        <v>291</v>
      </c>
      <c r="F35" s="370">
        <v>1</v>
      </c>
      <c r="G35" s="355">
        <v>0</v>
      </c>
      <c r="H35" s="370">
        <f t="shared" si="0"/>
        <v>0</v>
      </c>
      <c r="I35" s="370">
        <f t="shared" si="1"/>
        <v>0</v>
      </c>
      <c r="J35" s="370">
        <f t="shared" si="2"/>
        <v>0</v>
      </c>
      <c r="W35" s="195">
        <f t="shared" si="3"/>
        <v>0</v>
      </c>
      <c r="Y35" s="195">
        <f t="shared" si="4"/>
        <v>0</v>
      </c>
      <c r="Z35" s="195">
        <f t="shared" si="5"/>
        <v>0</v>
      </c>
      <c r="AA35" s="195">
        <f t="shared" si="6"/>
        <v>0</v>
      </c>
      <c r="AB35" s="195">
        <f t="shared" si="7"/>
        <v>0</v>
      </c>
      <c r="AC35" s="195">
        <f t="shared" si="8"/>
        <v>0</v>
      </c>
      <c r="AD35" s="195">
        <f t="shared" si="9"/>
        <v>0</v>
      </c>
      <c r="AE35" s="195">
        <f t="shared" si="10"/>
        <v>0</v>
      </c>
      <c r="AF35" s="196"/>
      <c r="AG35" s="194">
        <f t="shared" si="11"/>
        <v>0</v>
      </c>
      <c r="AH35" s="194">
        <f t="shared" si="12"/>
        <v>0</v>
      </c>
      <c r="AI35" s="194">
        <f t="shared" si="13"/>
        <v>0</v>
      </c>
      <c r="AK35" s="195">
        <v>21</v>
      </c>
      <c r="AL35" s="195">
        <f>G35*0</f>
        <v>0</v>
      </c>
      <c r="AM35" s="195">
        <f>G35*(1-0)</f>
        <v>0</v>
      </c>
      <c r="AN35" s="198" t="s">
        <v>255</v>
      </c>
      <c r="AS35" s="195">
        <f t="shared" si="14"/>
        <v>0</v>
      </c>
      <c r="AT35" s="195">
        <f t="shared" si="15"/>
        <v>0</v>
      </c>
      <c r="AU35" s="195">
        <f t="shared" si="16"/>
        <v>0</v>
      </c>
      <c r="AV35" s="197" t="s">
        <v>2773</v>
      </c>
      <c r="AW35" s="197" t="s">
        <v>2073</v>
      </c>
      <c r="AX35" s="196" t="s">
        <v>2067</v>
      </c>
      <c r="AZ35" s="195">
        <f t="shared" si="17"/>
        <v>0</v>
      </c>
      <c r="BA35" s="195">
        <f t="shared" si="18"/>
        <v>0</v>
      </c>
      <c r="BB35" s="195">
        <v>0</v>
      </c>
      <c r="BC35" s="195" t="e">
        <f>#REF!</f>
        <v>#REF!</v>
      </c>
      <c r="BE35" s="194">
        <f t="shared" si="19"/>
        <v>0</v>
      </c>
      <c r="BF35" s="194">
        <f t="shared" si="20"/>
        <v>0</v>
      </c>
      <c r="BG35" s="194">
        <f t="shared" si="21"/>
        <v>0</v>
      </c>
    </row>
    <row r="36" spans="1:59">
      <c r="A36" s="373" t="s">
        <v>343</v>
      </c>
      <c r="B36" s="373"/>
      <c r="C36" s="373" t="s">
        <v>2816</v>
      </c>
      <c r="D36" s="373" t="s">
        <v>2815</v>
      </c>
      <c r="E36" s="373" t="s">
        <v>291</v>
      </c>
      <c r="F36" s="374">
        <v>1</v>
      </c>
      <c r="G36" s="357">
        <v>0</v>
      </c>
      <c r="H36" s="374">
        <f t="shared" si="0"/>
        <v>0</v>
      </c>
      <c r="I36" s="374">
        <f t="shared" si="1"/>
        <v>0</v>
      </c>
      <c r="J36" s="374">
        <f t="shared" si="2"/>
        <v>0</v>
      </c>
      <c r="W36" s="195">
        <f t="shared" si="3"/>
        <v>0</v>
      </c>
      <c r="Y36" s="195">
        <f t="shared" si="4"/>
        <v>0</v>
      </c>
      <c r="Z36" s="195">
        <f t="shared" si="5"/>
        <v>0</v>
      </c>
      <c r="AA36" s="195">
        <f t="shared" si="6"/>
        <v>0</v>
      </c>
      <c r="AB36" s="195">
        <f t="shared" si="7"/>
        <v>0</v>
      </c>
      <c r="AC36" s="195">
        <f t="shared" si="8"/>
        <v>0</v>
      </c>
      <c r="AD36" s="195">
        <f t="shared" si="9"/>
        <v>0</v>
      </c>
      <c r="AE36" s="195">
        <f t="shared" si="10"/>
        <v>0</v>
      </c>
      <c r="AF36" s="196"/>
      <c r="AG36" s="200">
        <f t="shared" si="11"/>
        <v>0</v>
      </c>
      <c r="AH36" s="200">
        <f t="shared" si="12"/>
        <v>0</v>
      </c>
      <c r="AI36" s="200">
        <f t="shared" si="13"/>
        <v>0</v>
      </c>
      <c r="AK36" s="195">
        <v>21</v>
      </c>
      <c r="AL36" s="195">
        <f>G36*1</f>
        <v>0</v>
      </c>
      <c r="AM36" s="195">
        <f>G36*(1-1)</f>
        <v>0</v>
      </c>
      <c r="AN36" s="201" t="s">
        <v>255</v>
      </c>
      <c r="AS36" s="195">
        <f t="shared" si="14"/>
        <v>0</v>
      </c>
      <c r="AT36" s="195">
        <f t="shared" si="15"/>
        <v>0</v>
      </c>
      <c r="AU36" s="195">
        <f t="shared" si="16"/>
        <v>0</v>
      </c>
      <c r="AV36" s="197" t="s">
        <v>2773</v>
      </c>
      <c r="AW36" s="197" t="s">
        <v>2073</v>
      </c>
      <c r="AX36" s="196" t="s">
        <v>2067</v>
      </c>
      <c r="AZ36" s="195">
        <f t="shared" si="17"/>
        <v>0</v>
      </c>
      <c r="BA36" s="195">
        <f t="shared" si="18"/>
        <v>0</v>
      </c>
      <c r="BB36" s="195">
        <v>0</v>
      </c>
      <c r="BC36" s="195" t="e">
        <f>#REF!</f>
        <v>#REF!</v>
      </c>
      <c r="BE36" s="200">
        <f t="shared" si="19"/>
        <v>0</v>
      </c>
      <c r="BF36" s="200">
        <f t="shared" si="20"/>
        <v>0</v>
      </c>
      <c r="BG36" s="200">
        <f t="shared" si="21"/>
        <v>0</v>
      </c>
    </row>
    <row r="37" spans="1:59">
      <c r="A37" s="369" t="s">
        <v>356</v>
      </c>
      <c r="B37" s="369"/>
      <c r="C37" s="369" t="s">
        <v>2747</v>
      </c>
      <c r="D37" s="369" t="s">
        <v>2746</v>
      </c>
      <c r="E37" s="369" t="s">
        <v>291</v>
      </c>
      <c r="F37" s="370">
        <v>7</v>
      </c>
      <c r="G37" s="355">
        <v>0</v>
      </c>
      <c r="H37" s="370">
        <f t="shared" si="0"/>
        <v>0</v>
      </c>
      <c r="I37" s="370">
        <f t="shared" si="1"/>
        <v>0</v>
      </c>
      <c r="J37" s="370">
        <f t="shared" si="2"/>
        <v>0</v>
      </c>
      <c r="W37" s="195">
        <f t="shared" si="3"/>
        <v>0</v>
      </c>
      <c r="Y37" s="195">
        <f t="shared" si="4"/>
        <v>0</v>
      </c>
      <c r="Z37" s="195">
        <f t="shared" si="5"/>
        <v>0</v>
      </c>
      <c r="AA37" s="195">
        <f t="shared" si="6"/>
        <v>0</v>
      </c>
      <c r="AB37" s="195">
        <f t="shared" si="7"/>
        <v>0</v>
      </c>
      <c r="AC37" s="195">
        <f t="shared" si="8"/>
        <v>0</v>
      </c>
      <c r="AD37" s="195">
        <f t="shared" si="9"/>
        <v>0</v>
      </c>
      <c r="AE37" s="195">
        <f t="shared" si="10"/>
        <v>0</v>
      </c>
      <c r="AF37" s="196"/>
      <c r="AG37" s="194">
        <f t="shared" si="11"/>
        <v>0</v>
      </c>
      <c r="AH37" s="194">
        <f t="shared" si="12"/>
        <v>0</v>
      </c>
      <c r="AI37" s="194">
        <f t="shared" si="13"/>
        <v>0</v>
      </c>
      <c r="AK37" s="195">
        <v>21</v>
      </c>
      <c r="AL37" s="195">
        <f>G37*0</f>
        <v>0</v>
      </c>
      <c r="AM37" s="195">
        <f>G37*(1-0)</f>
        <v>0</v>
      </c>
      <c r="AN37" s="198" t="s">
        <v>255</v>
      </c>
      <c r="AS37" s="195">
        <f t="shared" si="14"/>
        <v>0</v>
      </c>
      <c r="AT37" s="195">
        <f t="shared" si="15"/>
        <v>0</v>
      </c>
      <c r="AU37" s="195">
        <f t="shared" si="16"/>
        <v>0</v>
      </c>
      <c r="AV37" s="197" t="s">
        <v>2773</v>
      </c>
      <c r="AW37" s="197" t="s">
        <v>2073</v>
      </c>
      <c r="AX37" s="196" t="s">
        <v>2067</v>
      </c>
      <c r="AZ37" s="195">
        <f t="shared" si="17"/>
        <v>0</v>
      </c>
      <c r="BA37" s="195">
        <f t="shared" si="18"/>
        <v>0</v>
      </c>
      <c r="BB37" s="195">
        <v>0</v>
      </c>
      <c r="BC37" s="195" t="e">
        <f>#REF!</f>
        <v>#REF!</v>
      </c>
      <c r="BE37" s="194">
        <f t="shared" si="19"/>
        <v>0</v>
      </c>
      <c r="BF37" s="194">
        <f t="shared" si="20"/>
        <v>0</v>
      </c>
      <c r="BG37" s="194">
        <f t="shared" si="21"/>
        <v>0</v>
      </c>
    </row>
    <row r="38" spans="1:59">
      <c r="A38" s="373" t="s">
        <v>361</v>
      </c>
      <c r="B38" s="373"/>
      <c r="C38" s="373" t="s">
        <v>2814</v>
      </c>
      <c r="D38" s="373" t="s">
        <v>2813</v>
      </c>
      <c r="E38" s="373" t="s">
        <v>291</v>
      </c>
      <c r="F38" s="374">
        <v>5</v>
      </c>
      <c r="G38" s="357">
        <v>0</v>
      </c>
      <c r="H38" s="374">
        <f t="shared" si="0"/>
        <v>0</v>
      </c>
      <c r="I38" s="374">
        <f t="shared" si="1"/>
        <v>0</v>
      </c>
      <c r="J38" s="374">
        <f t="shared" si="2"/>
        <v>0</v>
      </c>
      <c r="W38" s="195">
        <f t="shared" si="3"/>
        <v>0</v>
      </c>
      <c r="Y38" s="195">
        <f t="shared" si="4"/>
        <v>0</v>
      </c>
      <c r="Z38" s="195">
        <f t="shared" si="5"/>
        <v>0</v>
      </c>
      <c r="AA38" s="195">
        <f t="shared" si="6"/>
        <v>0</v>
      </c>
      <c r="AB38" s="195">
        <f t="shared" si="7"/>
        <v>0</v>
      </c>
      <c r="AC38" s="195">
        <f t="shared" si="8"/>
        <v>0</v>
      </c>
      <c r="AD38" s="195">
        <f t="shared" si="9"/>
        <v>0</v>
      </c>
      <c r="AE38" s="195">
        <f t="shared" si="10"/>
        <v>0</v>
      </c>
      <c r="AF38" s="196"/>
      <c r="AG38" s="200">
        <f t="shared" si="11"/>
        <v>0</v>
      </c>
      <c r="AH38" s="200">
        <f t="shared" si="12"/>
        <v>0</v>
      </c>
      <c r="AI38" s="200">
        <f t="shared" si="13"/>
        <v>0</v>
      </c>
      <c r="AK38" s="195">
        <v>21</v>
      </c>
      <c r="AL38" s="195">
        <f>G38*1</f>
        <v>0</v>
      </c>
      <c r="AM38" s="195">
        <f>G38*(1-1)</f>
        <v>0</v>
      </c>
      <c r="AN38" s="201" t="s">
        <v>255</v>
      </c>
      <c r="AS38" s="195">
        <f t="shared" si="14"/>
        <v>0</v>
      </c>
      <c r="AT38" s="195">
        <f t="shared" si="15"/>
        <v>0</v>
      </c>
      <c r="AU38" s="195">
        <f t="shared" si="16"/>
        <v>0</v>
      </c>
      <c r="AV38" s="197" t="s">
        <v>2773</v>
      </c>
      <c r="AW38" s="197" t="s">
        <v>2073</v>
      </c>
      <c r="AX38" s="196" t="s">
        <v>2067</v>
      </c>
      <c r="AZ38" s="195">
        <f t="shared" si="17"/>
        <v>0</v>
      </c>
      <c r="BA38" s="195">
        <f t="shared" si="18"/>
        <v>0</v>
      </c>
      <c r="BB38" s="195">
        <v>0</v>
      </c>
      <c r="BC38" s="195" t="e">
        <f>#REF!</f>
        <v>#REF!</v>
      </c>
      <c r="BE38" s="200">
        <f t="shared" si="19"/>
        <v>0</v>
      </c>
      <c r="BF38" s="200">
        <f t="shared" si="20"/>
        <v>0</v>
      </c>
      <c r="BG38" s="200">
        <f t="shared" si="21"/>
        <v>0</v>
      </c>
    </row>
    <row r="39" spans="1:59">
      <c r="A39" s="373" t="s">
        <v>368</v>
      </c>
      <c r="B39" s="373"/>
      <c r="C39" s="373" t="s">
        <v>2809</v>
      </c>
      <c r="D39" s="373" t="s">
        <v>2812</v>
      </c>
      <c r="E39" s="373" t="s">
        <v>291</v>
      </c>
      <c r="F39" s="374">
        <v>2</v>
      </c>
      <c r="G39" s="357">
        <v>0</v>
      </c>
      <c r="H39" s="374">
        <f t="shared" si="0"/>
        <v>0</v>
      </c>
      <c r="I39" s="374">
        <f t="shared" si="1"/>
        <v>0</v>
      </c>
      <c r="J39" s="374">
        <f t="shared" si="2"/>
        <v>0</v>
      </c>
      <c r="W39" s="195">
        <f t="shared" si="3"/>
        <v>0</v>
      </c>
      <c r="Y39" s="195">
        <f t="shared" si="4"/>
        <v>0</v>
      </c>
      <c r="Z39" s="195">
        <f t="shared" si="5"/>
        <v>0</v>
      </c>
      <c r="AA39" s="195">
        <f t="shared" si="6"/>
        <v>0</v>
      </c>
      <c r="AB39" s="195">
        <f t="shared" si="7"/>
        <v>0</v>
      </c>
      <c r="AC39" s="195">
        <f t="shared" si="8"/>
        <v>0</v>
      </c>
      <c r="AD39" s="195">
        <f t="shared" si="9"/>
        <v>0</v>
      </c>
      <c r="AE39" s="195">
        <f t="shared" si="10"/>
        <v>0</v>
      </c>
      <c r="AF39" s="196"/>
      <c r="AG39" s="200">
        <f t="shared" si="11"/>
        <v>0</v>
      </c>
      <c r="AH39" s="200">
        <f t="shared" si="12"/>
        <v>0</v>
      </c>
      <c r="AI39" s="200">
        <f t="shared" si="13"/>
        <v>0</v>
      </c>
      <c r="AK39" s="195">
        <v>21</v>
      </c>
      <c r="AL39" s="195">
        <f>G39*1</f>
        <v>0</v>
      </c>
      <c r="AM39" s="195">
        <f>G39*(1-1)</f>
        <v>0</v>
      </c>
      <c r="AN39" s="201" t="s">
        <v>255</v>
      </c>
      <c r="AS39" s="195">
        <f t="shared" si="14"/>
        <v>0</v>
      </c>
      <c r="AT39" s="195">
        <f t="shared" si="15"/>
        <v>0</v>
      </c>
      <c r="AU39" s="195">
        <f t="shared" si="16"/>
        <v>0</v>
      </c>
      <c r="AV39" s="197" t="s">
        <v>2773</v>
      </c>
      <c r="AW39" s="197" t="s">
        <v>2073</v>
      </c>
      <c r="AX39" s="196" t="s">
        <v>2067</v>
      </c>
      <c r="AZ39" s="195">
        <f t="shared" si="17"/>
        <v>0</v>
      </c>
      <c r="BA39" s="195">
        <f t="shared" si="18"/>
        <v>0</v>
      </c>
      <c r="BB39" s="195">
        <v>0</v>
      </c>
      <c r="BC39" s="195" t="e">
        <f>#REF!</f>
        <v>#REF!</v>
      </c>
      <c r="BE39" s="200">
        <f t="shared" si="19"/>
        <v>0</v>
      </c>
      <c r="BF39" s="200">
        <f t="shared" si="20"/>
        <v>0</v>
      </c>
      <c r="BG39" s="200">
        <f t="shared" si="21"/>
        <v>0</v>
      </c>
    </row>
    <row r="40" spans="1:59">
      <c r="A40" s="369" t="s">
        <v>380</v>
      </c>
      <c r="B40" s="369"/>
      <c r="C40" s="369" t="s">
        <v>2811</v>
      </c>
      <c r="D40" s="369" t="s">
        <v>2810</v>
      </c>
      <c r="E40" s="369" t="s">
        <v>291</v>
      </c>
      <c r="F40" s="370">
        <v>1</v>
      </c>
      <c r="G40" s="355">
        <v>0</v>
      </c>
      <c r="H40" s="370">
        <f t="shared" si="0"/>
        <v>0</v>
      </c>
      <c r="I40" s="370">
        <f t="shared" si="1"/>
        <v>0</v>
      </c>
      <c r="J40" s="370">
        <f t="shared" si="2"/>
        <v>0</v>
      </c>
      <c r="W40" s="195">
        <f t="shared" si="3"/>
        <v>0</v>
      </c>
      <c r="Y40" s="195">
        <f t="shared" si="4"/>
        <v>0</v>
      </c>
      <c r="Z40" s="195">
        <f t="shared" si="5"/>
        <v>0</v>
      </c>
      <c r="AA40" s="195">
        <f t="shared" si="6"/>
        <v>0</v>
      </c>
      <c r="AB40" s="195">
        <f t="shared" si="7"/>
        <v>0</v>
      </c>
      <c r="AC40" s="195">
        <f t="shared" si="8"/>
        <v>0</v>
      </c>
      <c r="AD40" s="195">
        <f t="shared" si="9"/>
        <v>0</v>
      </c>
      <c r="AE40" s="195">
        <f t="shared" si="10"/>
        <v>0</v>
      </c>
      <c r="AF40" s="196"/>
      <c r="AG40" s="194">
        <f t="shared" si="11"/>
        <v>0</v>
      </c>
      <c r="AH40" s="194">
        <f t="shared" si="12"/>
        <v>0</v>
      </c>
      <c r="AI40" s="194">
        <f t="shared" si="13"/>
        <v>0</v>
      </c>
      <c r="AK40" s="195">
        <v>21</v>
      </c>
      <c r="AL40" s="195">
        <f>G40*0</f>
        <v>0</v>
      </c>
      <c r="AM40" s="195">
        <f>G40*(1-0)</f>
        <v>0</v>
      </c>
      <c r="AN40" s="198" t="s">
        <v>255</v>
      </c>
      <c r="AS40" s="195">
        <f t="shared" si="14"/>
        <v>0</v>
      </c>
      <c r="AT40" s="195">
        <f t="shared" si="15"/>
        <v>0</v>
      </c>
      <c r="AU40" s="195">
        <f t="shared" si="16"/>
        <v>0</v>
      </c>
      <c r="AV40" s="197" t="s">
        <v>2773</v>
      </c>
      <c r="AW40" s="197" t="s">
        <v>2073</v>
      </c>
      <c r="AX40" s="196" t="s">
        <v>2067</v>
      </c>
      <c r="AZ40" s="195">
        <f t="shared" si="17"/>
        <v>0</v>
      </c>
      <c r="BA40" s="195">
        <f t="shared" si="18"/>
        <v>0</v>
      </c>
      <c r="BB40" s="195">
        <v>0</v>
      </c>
      <c r="BC40" s="195" t="e">
        <f>#REF!</f>
        <v>#REF!</v>
      </c>
      <c r="BE40" s="194">
        <f t="shared" si="19"/>
        <v>0</v>
      </c>
      <c r="BF40" s="194">
        <f t="shared" si="20"/>
        <v>0</v>
      </c>
      <c r="BG40" s="194">
        <f t="shared" si="21"/>
        <v>0</v>
      </c>
    </row>
    <row r="41" spans="1:59">
      <c r="A41" s="373" t="s">
        <v>386</v>
      </c>
      <c r="B41" s="373"/>
      <c r="C41" s="373" t="s">
        <v>2809</v>
      </c>
      <c r="D41" s="373" t="s">
        <v>2808</v>
      </c>
      <c r="E41" s="373" t="s">
        <v>291</v>
      </c>
      <c r="F41" s="374">
        <v>1</v>
      </c>
      <c r="G41" s="357">
        <v>0</v>
      </c>
      <c r="H41" s="374">
        <f t="shared" si="0"/>
        <v>0</v>
      </c>
      <c r="I41" s="374">
        <f t="shared" si="1"/>
        <v>0</v>
      </c>
      <c r="J41" s="374">
        <f t="shared" si="2"/>
        <v>0</v>
      </c>
      <c r="W41" s="195">
        <f t="shared" si="3"/>
        <v>0</v>
      </c>
      <c r="Y41" s="195">
        <f t="shared" si="4"/>
        <v>0</v>
      </c>
      <c r="Z41" s="195">
        <f t="shared" si="5"/>
        <v>0</v>
      </c>
      <c r="AA41" s="195">
        <f t="shared" si="6"/>
        <v>0</v>
      </c>
      <c r="AB41" s="195">
        <f t="shared" si="7"/>
        <v>0</v>
      </c>
      <c r="AC41" s="195">
        <f t="shared" si="8"/>
        <v>0</v>
      </c>
      <c r="AD41" s="195">
        <f t="shared" si="9"/>
        <v>0</v>
      </c>
      <c r="AE41" s="195">
        <f t="shared" si="10"/>
        <v>0</v>
      </c>
      <c r="AF41" s="196"/>
      <c r="AG41" s="200">
        <f t="shared" si="11"/>
        <v>0</v>
      </c>
      <c r="AH41" s="200">
        <f t="shared" si="12"/>
        <v>0</v>
      </c>
      <c r="AI41" s="200">
        <f t="shared" si="13"/>
        <v>0</v>
      </c>
      <c r="AK41" s="195">
        <v>21</v>
      </c>
      <c r="AL41" s="195">
        <f>G41*1</f>
        <v>0</v>
      </c>
      <c r="AM41" s="195">
        <f>G41*(1-1)</f>
        <v>0</v>
      </c>
      <c r="AN41" s="201" t="s">
        <v>255</v>
      </c>
      <c r="AS41" s="195">
        <f t="shared" si="14"/>
        <v>0</v>
      </c>
      <c r="AT41" s="195">
        <f t="shared" si="15"/>
        <v>0</v>
      </c>
      <c r="AU41" s="195">
        <f t="shared" si="16"/>
        <v>0</v>
      </c>
      <c r="AV41" s="197" t="s">
        <v>2773</v>
      </c>
      <c r="AW41" s="197" t="s">
        <v>2073</v>
      </c>
      <c r="AX41" s="196" t="s">
        <v>2067</v>
      </c>
      <c r="AZ41" s="195">
        <f t="shared" si="17"/>
        <v>0</v>
      </c>
      <c r="BA41" s="195">
        <f t="shared" si="18"/>
        <v>0</v>
      </c>
      <c r="BB41" s="195">
        <v>0</v>
      </c>
      <c r="BC41" s="195" t="e">
        <f>#REF!</f>
        <v>#REF!</v>
      </c>
      <c r="BE41" s="200">
        <f t="shared" si="19"/>
        <v>0</v>
      </c>
      <c r="BF41" s="200">
        <f t="shared" si="20"/>
        <v>0</v>
      </c>
      <c r="BG41" s="200">
        <f t="shared" si="21"/>
        <v>0</v>
      </c>
    </row>
    <row r="42" spans="1:59">
      <c r="A42" s="369" t="s">
        <v>392</v>
      </c>
      <c r="B42" s="369"/>
      <c r="C42" s="369" t="s">
        <v>2649</v>
      </c>
      <c r="D42" s="369" t="s">
        <v>2648</v>
      </c>
      <c r="E42" s="369" t="s">
        <v>291</v>
      </c>
      <c r="F42" s="370">
        <v>2</v>
      </c>
      <c r="G42" s="355">
        <v>0</v>
      </c>
      <c r="H42" s="370">
        <f t="shared" si="0"/>
        <v>0</v>
      </c>
      <c r="I42" s="370">
        <f t="shared" si="1"/>
        <v>0</v>
      </c>
      <c r="J42" s="370">
        <f t="shared" si="2"/>
        <v>0</v>
      </c>
      <c r="W42" s="195">
        <f t="shared" si="3"/>
        <v>0</v>
      </c>
      <c r="Y42" s="195">
        <f t="shared" si="4"/>
        <v>0</v>
      </c>
      <c r="Z42" s="195">
        <f t="shared" si="5"/>
        <v>0</v>
      </c>
      <c r="AA42" s="195">
        <f t="shared" si="6"/>
        <v>0</v>
      </c>
      <c r="AB42" s="195">
        <f t="shared" si="7"/>
        <v>0</v>
      </c>
      <c r="AC42" s="195">
        <f t="shared" si="8"/>
        <v>0</v>
      </c>
      <c r="AD42" s="195">
        <f t="shared" si="9"/>
        <v>0</v>
      </c>
      <c r="AE42" s="195">
        <f t="shared" si="10"/>
        <v>0</v>
      </c>
      <c r="AF42" s="196"/>
      <c r="AG42" s="194">
        <f t="shared" si="11"/>
        <v>0</v>
      </c>
      <c r="AH42" s="194">
        <f t="shared" si="12"/>
        <v>0</v>
      </c>
      <c r="AI42" s="194">
        <f t="shared" si="13"/>
        <v>0</v>
      </c>
      <c r="AK42" s="195">
        <v>21</v>
      </c>
      <c r="AL42" s="195">
        <f>G42*0</f>
        <v>0</v>
      </c>
      <c r="AM42" s="195">
        <f>G42*(1-0)</f>
        <v>0</v>
      </c>
      <c r="AN42" s="198" t="s">
        <v>255</v>
      </c>
      <c r="AS42" s="195">
        <f t="shared" si="14"/>
        <v>0</v>
      </c>
      <c r="AT42" s="195">
        <f t="shared" si="15"/>
        <v>0</v>
      </c>
      <c r="AU42" s="195">
        <f t="shared" si="16"/>
        <v>0</v>
      </c>
      <c r="AV42" s="197" t="s">
        <v>2773</v>
      </c>
      <c r="AW42" s="197" t="s">
        <v>2073</v>
      </c>
      <c r="AX42" s="196" t="s">
        <v>2067</v>
      </c>
      <c r="AZ42" s="195">
        <f t="shared" si="17"/>
        <v>0</v>
      </c>
      <c r="BA42" s="195">
        <f t="shared" si="18"/>
        <v>0</v>
      </c>
      <c r="BB42" s="195">
        <v>0</v>
      </c>
      <c r="BC42" s="195" t="e">
        <f>#REF!</f>
        <v>#REF!</v>
      </c>
      <c r="BE42" s="194">
        <f t="shared" si="19"/>
        <v>0</v>
      </c>
      <c r="BF42" s="194">
        <f t="shared" si="20"/>
        <v>0</v>
      </c>
      <c r="BG42" s="194">
        <f t="shared" si="21"/>
        <v>0</v>
      </c>
    </row>
    <row r="43" spans="1:59">
      <c r="A43" s="369" t="s">
        <v>399</v>
      </c>
      <c r="B43" s="369"/>
      <c r="C43" s="369" t="s">
        <v>2807</v>
      </c>
      <c r="D43" s="369" t="s">
        <v>2806</v>
      </c>
      <c r="E43" s="369" t="s">
        <v>291</v>
      </c>
      <c r="F43" s="370">
        <v>1</v>
      </c>
      <c r="G43" s="355">
        <v>0</v>
      </c>
      <c r="H43" s="370">
        <f t="shared" si="0"/>
        <v>0</v>
      </c>
      <c r="I43" s="370">
        <f t="shared" si="1"/>
        <v>0</v>
      </c>
      <c r="J43" s="370">
        <f t="shared" si="2"/>
        <v>0</v>
      </c>
      <c r="W43" s="195">
        <f t="shared" si="3"/>
        <v>0</v>
      </c>
      <c r="Y43" s="195">
        <f t="shared" si="4"/>
        <v>0</v>
      </c>
      <c r="Z43" s="195">
        <f t="shared" si="5"/>
        <v>0</v>
      </c>
      <c r="AA43" s="195">
        <f t="shared" si="6"/>
        <v>0</v>
      </c>
      <c r="AB43" s="195">
        <f t="shared" si="7"/>
        <v>0</v>
      </c>
      <c r="AC43" s="195">
        <f t="shared" si="8"/>
        <v>0</v>
      </c>
      <c r="AD43" s="195">
        <f t="shared" si="9"/>
        <v>0</v>
      </c>
      <c r="AE43" s="195">
        <f t="shared" si="10"/>
        <v>0</v>
      </c>
      <c r="AF43" s="196"/>
      <c r="AG43" s="194">
        <f t="shared" si="11"/>
        <v>0</v>
      </c>
      <c r="AH43" s="194">
        <f t="shared" si="12"/>
        <v>0</v>
      </c>
      <c r="AI43" s="194">
        <f t="shared" si="13"/>
        <v>0</v>
      </c>
      <c r="AK43" s="195">
        <v>21</v>
      </c>
      <c r="AL43" s="195">
        <f>G43*1</f>
        <v>0</v>
      </c>
      <c r="AM43" s="195">
        <f>G43*(1-1)</f>
        <v>0</v>
      </c>
      <c r="AN43" s="198" t="s">
        <v>255</v>
      </c>
      <c r="AS43" s="195">
        <f t="shared" si="14"/>
        <v>0</v>
      </c>
      <c r="AT43" s="195">
        <f t="shared" si="15"/>
        <v>0</v>
      </c>
      <c r="AU43" s="195">
        <f t="shared" si="16"/>
        <v>0</v>
      </c>
      <c r="AV43" s="197" t="s">
        <v>2773</v>
      </c>
      <c r="AW43" s="197" t="s">
        <v>2073</v>
      </c>
      <c r="AX43" s="196" t="s">
        <v>2067</v>
      </c>
      <c r="AZ43" s="195">
        <f t="shared" si="17"/>
        <v>0</v>
      </c>
      <c r="BA43" s="195">
        <f t="shared" si="18"/>
        <v>0</v>
      </c>
      <c r="BB43" s="195">
        <v>0</v>
      </c>
      <c r="BC43" s="195" t="e">
        <f>#REF!</f>
        <v>#REF!</v>
      </c>
      <c r="BE43" s="194">
        <f t="shared" si="19"/>
        <v>0</v>
      </c>
      <c r="BF43" s="194">
        <f t="shared" si="20"/>
        <v>0</v>
      </c>
      <c r="BG43" s="194">
        <f t="shared" si="21"/>
        <v>0</v>
      </c>
    </row>
    <row r="44" spans="1:59">
      <c r="A44" s="369" t="s">
        <v>404</v>
      </c>
      <c r="B44" s="369"/>
      <c r="C44" s="369" t="s">
        <v>2739</v>
      </c>
      <c r="D44" s="369" t="s">
        <v>2738</v>
      </c>
      <c r="E44" s="369" t="s">
        <v>291</v>
      </c>
      <c r="F44" s="370">
        <v>1</v>
      </c>
      <c r="G44" s="355">
        <v>0</v>
      </c>
      <c r="H44" s="370">
        <f t="shared" si="0"/>
        <v>0</v>
      </c>
      <c r="I44" s="370">
        <f t="shared" si="1"/>
        <v>0</v>
      </c>
      <c r="J44" s="370">
        <f t="shared" si="2"/>
        <v>0</v>
      </c>
      <c r="W44" s="195">
        <f t="shared" si="3"/>
        <v>0</v>
      </c>
      <c r="Y44" s="195">
        <f t="shared" si="4"/>
        <v>0</v>
      </c>
      <c r="Z44" s="195">
        <f t="shared" si="5"/>
        <v>0</v>
      </c>
      <c r="AA44" s="195">
        <f t="shared" si="6"/>
        <v>0</v>
      </c>
      <c r="AB44" s="195">
        <f t="shared" si="7"/>
        <v>0</v>
      </c>
      <c r="AC44" s="195">
        <f t="shared" si="8"/>
        <v>0</v>
      </c>
      <c r="AD44" s="195">
        <f t="shared" si="9"/>
        <v>0</v>
      </c>
      <c r="AE44" s="195">
        <f t="shared" si="10"/>
        <v>0</v>
      </c>
      <c r="AF44" s="196"/>
      <c r="AG44" s="194">
        <f t="shared" si="11"/>
        <v>0</v>
      </c>
      <c r="AH44" s="194">
        <f t="shared" si="12"/>
        <v>0</v>
      </c>
      <c r="AI44" s="194">
        <f t="shared" si="13"/>
        <v>0</v>
      </c>
      <c r="AK44" s="195">
        <v>21</v>
      </c>
      <c r="AL44" s="195">
        <f>G44*1</f>
        <v>0</v>
      </c>
      <c r="AM44" s="195">
        <f>G44*(1-1)</f>
        <v>0</v>
      </c>
      <c r="AN44" s="198" t="s">
        <v>255</v>
      </c>
      <c r="AS44" s="195">
        <f t="shared" si="14"/>
        <v>0</v>
      </c>
      <c r="AT44" s="195">
        <f t="shared" si="15"/>
        <v>0</v>
      </c>
      <c r="AU44" s="195">
        <f t="shared" si="16"/>
        <v>0</v>
      </c>
      <c r="AV44" s="197" t="s">
        <v>2773</v>
      </c>
      <c r="AW44" s="197" t="s">
        <v>2073</v>
      </c>
      <c r="AX44" s="196" t="s">
        <v>2067</v>
      </c>
      <c r="AZ44" s="195">
        <f t="shared" si="17"/>
        <v>0</v>
      </c>
      <c r="BA44" s="195">
        <f t="shared" si="18"/>
        <v>0</v>
      </c>
      <c r="BB44" s="195">
        <v>0</v>
      </c>
      <c r="BC44" s="195" t="e">
        <f>#REF!</f>
        <v>#REF!</v>
      </c>
      <c r="BE44" s="194">
        <f t="shared" si="19"/>
        <v>0</v>
      </c>
      <c r="BF44" s="194">
        <f t="shared" si="20"/>
        <v>0</v>
      </c>
      <c r="BG44" s="194">
        <f t="shared" si="21"/>
        <v>0</v>
      </c>
    </row>
    <row r="45" spans="1:59">
      <c r="A45" s="369" t="s">
        <v>410</v>
      </c>
      <c r="B45" s="369"/>
      <c r="C45" s="369" t="s">
        <v>2737</v>
      </c>
      <c r="D45" s="369" t="s">
        <v>2736</v>
      </c>
      <c r="E45" s="369" t="s">
        <v>291</v>
      </c>
      <c r="F45" s="370">
        <v>3</v>
      </c>
      <c r="G45" s="355">
        <v>0</v>
      </c>
      <c r="H45" s="370">
        <f t="shared" si="0"/>
        <v>0</v>
      </c>
      <c r="I45" s="370">
        <f t="shared" si="1"/>
        <v>0</v>
      </c>
      <c r="J45" s="370">
        <f t="shared" si="2"/>
        <v>0</v>
      </c>
      <c r="W45" s="195">
        <f t="shared" si="3"/>
        <v>0</v>
      </c>
      <c r="Y45" s="195">
        <f t="shared" si="4"/>
        <v>0</v>
      </c>
      <c r="Z45" s="195">
        <f t="shared" si="5"/>
        <v>0</v>
      </c>
      <c r="AA45" s="195">
        <f t="shared" si="6"/>
        <v>0</v>
      </c>
      <c r="AB45" s="195">
        <f t="shared" si="7"/>
        <v>0</v>
      </c>
      <c r="AC45" s="195">
        <f t="shared" si="8"/>
        <v>0</v>
      </c>
      <c r="AD45" s="195">
        <f t="shared" si="9"/>
        <v>0</v>
      </c>
      <c r="AE45" s="195">
        <f t="shared" si="10"/>
        <v>0</v>
      </c>
      <c r="AF45" s="196"/>
      <c r="AG45" s="194">
        <f t="shared" si="11"/>
        <v>0</v>
      </c>
      <c r="AH45" s="194">
        <f t="shared" si="12"/>
        <v>0</v>
      </c>
      <c r="AI45" s="194">
        <f t="shared" si="13"/>
        <v>0</v>
      </c>
      <c r="AK45" s="195">
        <v>21</v>
      </c>
      <c r="AL45" s="195">
        <f>G45*0</f>
        <v>0</v>
      </c>
      <c r="AM45" s="195">
        <f>G45*(1-0)</f>
        <v>0</v>
      </c>
      <c r="AN45" s="198" t="s">
        <v>255</v>
      </c>
      <c r="AS45" s="195">
        <f t="shared" si="14"/>
        <v>0</v>
      </c>
      <c r="AT45" s="195">
        <f t="shared" si="15"/>
        <v>0</v>
      </c>
      <c r="AU45" s="195">
        <f t="shared" si="16"/>
        <v>0</v>
      </c>
      <c r="AV45" s="197" t="s">
        <v>2773</v>
      </c>
      <c r="AW45" s="197" t="s">
        <v>2073</v>
      </c>
      <c r="AX45" s="196" t="s">
        <v>2067</v>
      </c>
      <c r="AZ45" s="195">
        <f t="shared" si="17"/>
        <v>0</v>
      </c>
      <c r="BA45" s="195">
        <f t="shared" si="18"/>
        <v>0</v>
      </c>
      <c r="BB45" s="195">
        <v>0</v>
      </c>
      <c r="BC45" s="195" t="e">
        <f>#REF!</f>
        <v>#REF!</v>
      </c>
      <c r="BE45" s="194">
        <f t="shared" si="19"/>
        <v>0</v>
      </c>
      <c r="BF45" s="194">
        <f t="shared" si="20"/>
        <v>0</v>
      </c>
      <c r="BG45" s="194">
        <f t="shared" si="21"/>
        <v>0</v>
      </c>
    </row>
    <row r="46" spans="1:59">
      <c r="A46" s="369" t="s">
        <v>416</v>
      </c>
      <c r="B46" s="369"/>
      <c r="C46" s="369" t="s">
        <v>2805</v>
      </c>
      <c r="D46" s="369" t="s">
        <v>2804</v>
      </c>
      <c r="E46" s="369" t="s">
        <v>291</v>
      </c>
      <c r="F46" s="370">
        <v>1</v>
      </c>
      <c r="G46" s="355">
        <v>0</v>
      </c>
      <c r="H46" s="370">
        <f t="shared" si="0"/>
        <v>0</v>
      </c>
      <c r="I46" s="370">
        <f t="shared" si="1"/>
        <v>0</v>
      </c>
      <c r="J46" s="370">
        <f t="shared" si="2"/>
        <v>0</v>
      </c>
      <c r="W46" s="195">
        <f t="shared" si="3"/>
        <v>0</v>
      </c>
      <c r="Y46" s="195">
        <f t="shared" si="4"/>
        <v>0</v>
      </c>
      <c r="Z46" s="195">
        <f t="shared" si="5"/>
        <v>0</v>
      </c>
      <c r="AA46" s="195">
        <f t="shared" si="6"/>
        <v>0</v>
      </c>
      <c r="AB46" s="195">
        <f t="shared" si="7"/>
        <v>0</v>
      </c>
      <c r="AC46" s="195">
        <f t="shared" si="8"/>
        <v>0</v>
      </c>
      <c r="AD46" s="195">
        <f t="shared" si="9"/>
        <v>0</v>
      </c>
      <c r="AE46" s="195">
        <f t="shared" si="10"/>
        <v>0</v>
      </c>
      <c r="AF46" s="196"/>
      <c r="AG46" s="194">
        <f t="shared" si="11"/>
        <v>0</v>
      </c>
      <c r="AH46" s="194">
        <f t="shared" si="12"/>
        <v>0</v>
      </c>
      <c r="AI46" s="194">
        <f t="shared" si="13"/>
        <v>0</v>
      </c>
      <c r="AK46" s="195">
        <v>21</v>
      </c>
      <c r="AL46" s="195">
        <f>G46*1</f>
        <v>0</v>
      </c>
      <c r="AM46" s="195">
        <f>G46*(1-1)</f>
        <v>0</v>
      </c>
      <c r="AN46" s="198" t="s">
        <v>255</v>
      </c>
      <c r="AS46" s="195">
        <f t="shared" si="14"/>
        <v>0</v>
      </c>
      <c r="AT46" s="195">
        <f t="shared" si="15"/>
        <v>0</v>
      </c>
      <c r="AU46" s="195">
        <f t="shared" si="16"/>
        <v>0</v>
      </c>
      <c r="AV46" s="197" t="s">
        <v>2773</v>
      </c>
      <c r="AW46" s="197" t="s">
        <v>2073</v>
      </c>
      <c r="AX46" s="196" t="s">
        <v>2067</v>
      </c>
      <c r="AZ46" s="195">
        <f t="shared" si="17"/>
        <v>0</v>
      </c>
      <c r="BA46" s="195">
        <f t="shared" si="18"/>
        <v>0</v>
      </c>
      <c r="BB46" s="195">
        <v>0</v>
      </c>
      <c r="BC46" s="195" t="e">
        <f>#REF!</f>
        <v>#REF!</v>
      </c>
      <c r="BE46" s="194">
        <f t="shared" si="19"/>
        <v>0</v>
      </c>
      <c r="BF46" s="194">
        <f t="shared" si="20"/>
        <v>0</v>
      </c>
      <c r="BG46" s="194">
        <f t="shared" si="21"/>
        <v>0</v>
      </c>
    </row>
    <row r="47" spans="1:59">
      <c r="A47" s="369" t="s">
        <v>148</v>
      </c>
      <c r="B47" s="369"/>
      <c r="C47" s="369" t="s">
        <v>2803</v>
      </c>
      <c r="D47" s="369" t="s">
        <v>2802</v>
      </c>
      <c r="E47" s="369" t="s">
        <v>291</v>
      </c>
      <c r="F47" s="370">
        <v>1</v>
      </c>
      <c r="G47" s="355">
        <v>0</v>
      </c>
      <c r="H47" s="370">
        <f t="shared" ref="H47:H63" si="22">F47*AL47</f>
        <v>0</v>
      </c>
      <c r="I47" s="370">
        <f t="shared" ref="I47:I63" si="23">F47*AM47</f>
        <v>0</v>
      </c>
      <c r="J47" s="370">
        <f t="shared" ref="J47:J63" si="24">F47*G47</f>
        <v>0</v>
      </c>
      <c r="W47" s="195">
        <f t="shared" ref="W47:W63" si="25">IF(AN47="5",BG47,0)</f>
        <v>0</v>
      </c>
      <c r="Y47" s="195">
        <f t="shared" ref="Y47:Y63" si="26">IF(AN47="1",BE47,0)</f>
        <v>0</v>
      </c>
      <c r="Z47" s="195">
        <f t="shared" ref="Z47:Z63" si="27">IF(AN47="1",BF47,0)</f>
        <v>0</v>
      </c>
      <c r="AA47" s="195">
        <f t="shared" ref="AA47:AA63" si="28">IF(AN47="7",BE47,0)</f>
        <v>0</v>
      </c>
      <c r="AB47" s="195">
        <f t="shared" ref="AB47:AB63" si="29">IF(AN47="7",BF47,0)</f>
        <v>0</v>
      </c>
      <c r="AC47" s="195">
        <f t="shared" ref="AC47:AC63" si="30">IF(AN47="2",BE47,0)</f>
        <v>0</v>
      </c>
      <c r="AD47" s="195">
        <f t="shared" ref="AD47:AD63" si="31">IF(AN47="2",BF47,0)</f>
        <v>0</v>
      </c>
      <c r="AE47" s="195">
        <f t="shared" ref="AE47:AE63" si="32">IF(AN47="0",BG47,0)</f>
        <v>0</v>
      </c>
      <c r="AF47" s="196"/>
      <c r="AG47" s="194">
        <f t="shared" ref="AG47:AG63" si="33">IF(AK47=0,J47,0)</f>
        <v>0</v>
      </c>
      <c r="AH47" s="194">
        <f t="shared" ref="AH47:AH63" si="34">IF(AK47=15,J47,0)</f>
        <v>0</v>
      </c>
      <c r="AI47" s="194">
        <f t="shared" ref="AI47:AI63" si="35">IF(AK47=21,J47,0)</f>
        <v>0</v>
      </c>
      <c r="AK47" s="195">
        <v>21</v>
      </c>
      <c r="AL47" s="195">
        <f>G47*1</f>
        <v>0</v>
      </c>
      <c r="AM47" s="195">
        <f>G47*(1-1)</f>
        <v>0</v>
      </c>
      <c r="AN47" s="198" t="s">
        <v>255</v>
      </c>
      <c r="AS47" s="195">
        <f t="shared" ref="AS47:AS63" si="36">AT47+AU47</f>
        <v>0</v>
      </c>
      <c r="AT47" s="195">
        <f t="shared" ref="AT47:AT63" si="37">F47*AL47</f>
        <v>0</v>
      </c>
      <c r="AU47" s="195">
        <f t="shared" ref="AU47:AU63" si="38">F47*AM47</f>
        <v>0</v>
      </c>
      <c r="AV47" s="197" t="s">
        <v>2773</v>
      </c>
      <c r="AW47" s="197" t="s">
        <v>2073</v>
      </c>
      <c r="AX47" s="196" t="s">
        <v>2067</v>
      </c>
      <c r="AZ47" s="195">
        <f t="shared" ref="AZ47:AZ63" si="39">AT47+AU47</f>
        <v>0</v>
      </c>
      <c r="BA47" s="195">
        <f t="shared" ref="BA47:BA63" si="40">G47/(100-BB47)*100</f>
        <v>0</v>
      </c>
      <c r="BB47" s="195">
        <v>0</v>
      </c>
      <c r="BC47" s="195" t="e">
        <f>#REF!</f>
        <v>#REF!</v>
      </c>
      <c r="BE47" s="194">
        <f t="shared" ref="BE47:BE63" si="41">F47*AL47</f>
        <v>0</v>
      </c>
      <c r="BF47" s="194">
        <f t="shared" ref="BF47:BF63" si="42">F47*AM47</f>
        <v>0</v>
      </c>
      <c r="BG47" s="194">
        <f t="shared" ref="BG47:BG63" si="43">F47*G47</f>
        <v>0</v>
      </c>
    </row>
    <row r="48" spans="1:59">
      <c r="A48" s="369" t="s">
        <v>426</v>
      </c>
      <c r="B48" s="369"/>
      <c r="C48" s="369" t="s">
        <v>2801</v>
      </c>
      <c r="D48" s="369" t="s">
        <v>2800</v>
      </c>
      <c r="E48" s="369" t="s">
        <v>291</v>
      </c>
      <c r="F48" s="370">
        <v>1</v>
      </c>
      <c r="G48" s="355">
        <v>0</v>
      </c>
      <c r="H48" s="370">
        <f t="shared" si="22"/>
        <v>0</v>
      </c>
      <c r="I48" s="370">
        <f t="shared" si="23"/>
        <v>0</v>
      </c>
      <c r="J48" s="370">
        <f t="shared" si="24"/>
        <v>0</v>
      </c>
      <c r="W48" s="195">
        <f t="shared" si="25"/>
        <v>0</v>
      </c>
      <c r="Y48" s="195">
        <f t="shared" si="26"/>
        <v>0</v>
      </c>
      <c r="Z48" s="195">
        <f t="shared" si="27"/>
        <v>0</v>
      </c>
      <c r="AA48" s="195">
        <f t="shared" si="28"/>
        <v>0</v>
      </c>
      <c r="AB48" s="195">
        <f t="shared" si="29"/>
        <v>0</v>
      </c>
      <c r="AC48" s="195">
        <f t="shared" si="30"/>
        <v>0</v>
      </c>
      <c r="AD48" s="195">
        <f t="shared" si="31"/>
        <v>0</v>
      </c>
      <c r="AE48" s="195">
        <f t="shared" si="32"/>
        <v>0</v>
      </c>
      <c r="AF48" s="196"/>
      <c r="AG48" s="194">
        <f t="shared" si="33"/>
        <v>0</v>
      </c>
      <c r="AH48" s="194">
        <f t="shared" si="34"/>
        <v>0</v>
      </c>
      <c r="AI48" s="194">
        <f t="shared" si="35"/>
        <v>0</v>
      </c>
      <c r="AK48" s="195">
        <v>21</v>
      </c>
      <c r="AL48" s="195">
        <f>G48*1</f>
        <v>0</v>
      </c>
      <c r="AM48" s="195">
        <f>G48*(1-1)</f>
        <v>0</v>
      </c>
      <c r="AN48" s="198" t="s">
        <v>255</v>
      </c>
      <c r="AS48" s="195">
        <f t="shared" si="36"/>
        <v>0</v>
      </c>
      <c r="AT48" s="195">
        <f t="shared" si="37"/>
        <v>0</v>
      </c>
      <c r="AU48" s="195">
        <f t="shared" si="38"/>
        <v>0</v>
      </c>
      <c r="AV48" s="197" t="s">
        <v>2773</v>
      </c>
      <c r="AW48" s="197" t="s">
        <v>2073</v>
      </c>
      <c r="AX48" s="196" t="s">
        <v>2067</v>
      </c>
      <c r="AZ48" s="195">
        <f t="shared" si="39"/>
        <v>0</v>
      </c>
      <c r="BA48" s="195">
        <f t="shared" si="40"/>
        <v>0</v>
      </c>
      <c r="BB48" s="195">
        <v>0</v>
      </c>
      <c r="BC48" s="195" t="e">
        <f>#REF!</f>
        <v>#REF!</v>
      </c>
      <c r="BE48" s="194">
        <f t="shared" si="41"/>
        <v>0</v>
      </c>
      <c r="BF48" s="194">
        <f t="shared" si="42"/>
        <v>0</v>
      </c>
      <c r="BG48" s="194">
        <f t="shared" si="43"/>
        <v>0</v>
      </c>
    </row>
    <row r="49" spans="1:59">
      <c r="A49" s="369" t="s">
        <v>431</v>
      </c>
      <c r="B49" s="369"/>
      <c r="C49" s="369" t="s">
        <v>2799</v>
      </c>
      <c r="D49" s="369" t="s">
        <v>2798</v>
      </c>
      <c r="E49" s="369" t="s">
        <v>291</v>
      </c>
      <c r="F49" s="370">
        <v>1</v>
      </c>
      <c r="G49" s="355">
        <v>0</v>
      </c>
      <c r="H49" s="370">
        <f t="shared" si="22"/>
        <v>0</v>
      </c>
      <c r="I49" s="370">
        <f t="shared" si="23"/>
        <v>0</v>
      </c>
      <c r="J49" s="370">
        <f t="shared" si="24"/>
        <v>0</v>
      </c>
      <c r="W49" s="195">
        <f t="shared" si="25"/>
        <v>0</v>
      </c>
      <c r="Y49" s="195">
        <f t="shared" si="26"/>
        <v>0</v>
      </c>
      <c r="Z49" s="195">
        <f t="shared" si="27"/>
        <v>0</v>
      </c>
      <c r="AA49" s="195">
        <f t="shared" si="28"/>
        <v>0</v>
      </c>
      <c r="AB49" s="195">
        <f t="shared" si="29"/>
        <v>0</v>
      </c>
      <c r="AC49" s="195">
        <f t="shared" si="30"/>
        <v>0</v>
      </c>
      <c r="AD49" s="195">
        <f t="shared" si="31"/>
        <v>0</v>
      </c>
      <c r="AE49" s="195">
        <f t="shared" si="32"/>
        <v>0</v>
      </c>
      <c r="AF49" s="196"/>
      <c r="AG49" s="194">
        <f t="shared" si="33"/>
        <v>0</v>
      </c>
      <c r="AH49" s="194">
        <f t="shared" si="34"/>
        <v>0</v>
      </c>
      <c r="AI49" s="194">
        <f t="shared" si="35"/>
        <v>0</v>
      </c>
      <c r="AK49" s="195">
        <v>21</v>
      </c>
      <c r="AL49" s="195">
        <f>G49*0</f>
        <v>0</v>
      </c>
      <c r="AM49" s="195">
        <f>G49*(1-0)</f>
        <v>0</v>
      </c>
      <c r="AN49" s="198" t="s">
        <v>255</v>
      </c>
      <c r="AS49" s="195">
        <f t="shared" si="36"/>
        <v>0</v>
      </c>
      <c r="AT49" s="195">
        <f t="shared" si="37"/>
        <v>0</v>
      </c>
      <c r="AU49" s="195">
        <f t="shared" si="38"/>
        <v>0</v>
      </c>
      <c r="AV49" s="197" t="s">
        <v>2773</v>
      </c>
      <c r="AW49" s="197" t="s">
        <v>2073</v>
      </c>
      <c r="AX49" s="196" t="s">
        <v>2067</v>
      </c>
      <c r="AZ49" s="195">
        <f t="shared" si="39"/>
        <v>0</v>
      </c>
      <c r="BA49" s="195">
        <f t="shared" si="40"/>
        <v>0</v>
      </c>
      <c r="BB49" s="195">
        <v>0</v>
      </c>
      <c r="BC49" s="195" t="e">
        <f>#REF!</f>
        <v>#REF!</v>
      </c>
      <c r="BE49" s="194">
        <f t="shared" si="41"/>
        <v>0</v>
      </c>
      <c r="BF49" s="194">
        <f t="shared" si="42"/>
        <v>0</v>
      </c>
      <c r="BG49" s="194">
        <f t="shared" si="43"/>
        <v>0</v>
      </c>
    </row>
    <row r="50" spans="1:59">
      <c r="A50" s="369" t="s">
        <v>438</v>
      </c>
      <c r="B50" s="369"/>
      <c r="C50" s="369" t="s">
        <v>2797</v>
      </c>
      <c r="D50" s="369" t="s">
        <v>2796</v>
      </c>
      <c r="E50" s="369" t="s">
        <v>291</v>
      </c>
      <c r="F50" s="370">
        <v>1</v>
      </c>
      <c r="G50" s="355">
        <v>0</v>
      </c>
      <c r="H50" s="370">
        <f t="shared" si="22"/>
        <v>0</v>
      </c>
      <c r="I50" s="370">
        <f t="shared" si="23"/>
        <v>0</v>
      </c>
      <c r="J50" s="370">
        <f t="shared" si="24"/>
        <v>0</v>
      </c>
      <c r="W50" s="195">
        <f t="shared" si="25"/>
        <v>0</v>
      </c>
      <c r="Y50" s="195">
        <f t="shared" si="26"/>
        <v>0</v>
      </c>
      <c r="Z50" s="195">
        <f t="shared" si="27"/>
        <v>0</v>
      </c>
      <c r="AA50" s="195">
        <f t="shared" si="28"/>
        <v>0</v>
      </c>
      <c r="AB50" s="195">
        <f t="shared" si="29"/>
        <v>0</v>
      </c>
      <c r="AC50" s="195">
        <f t="shared" si="30"/>
        <v>0</v>
      </c>
      <c r="AD50" s="195">
        <f t="shared" si="31"/>
        <v>0</v>
      </c>
      <c r="AE50" s="195">
        <f t="shared" si="32"/>
        <v>0</v>
      </c>
      <c r="AF50" s="196"/>
      <c r="AG50" s="194">
        <f t="shared" si="33"/>
        <v>0</v>
      </c>
      <c r="AH50" s="194">
        <f t="shared" si="34"/>
        <v>0</v>
      </c>
      <c r="AI50" s="194">
        <f t="shared" si="35"/>
        <v>0</v>
      </c>
      <c r="AK50" s="195">
        <v>21</v>
      </c>
      <c r="AL50" s="195">
        <f>G50*1</f>
        <v>0</v>
      </c>
      <c r="AM50" s="195">
        <f>G50*(1-1)</f>
        <v>0</v>
      </c>
      <c r="AN50" s="198" t="s">
        <v>255</v>
      </c>
      <c r="AS50" s="195">
        <f t="shared" si="36"/>
        <v>0</v>
      </c>
      <c r="AT50" s="195">
        <f t="shared" si="37"/>
        <v>0</v>
      </c>
      <c r="AU50" s="195">
        <f t="shared" si="38"/>
        <v>0</v>
      </c>
      <c r="AV50" s="197" t="s">
        <v>2773</v>
      </c>
      <c r="AW50" s="197" t="s">
        <v>2073</v>
      </c>
      <c r="AX50" s="196" t="s">
        <v>2067</v>
      </c>
      <c r="AZ50" s="195">
        <f t="shared" si="39"/>
        <v>0</v>
      </c>
      <c r="BA50" s="195">
        <f t="shared" si="40"/>
        <v>0</v>
      </c>
      <c r="BB50" s="195">
        <v>0</v>
      </c>
      <c r="BC50" s="195" t="e">
        <f>#REF!</f>
        <v>#REF!</v>
      </c>
      <c r="BE50" s="194">
        <f t="shared" si="41"/>
        <v>0</v>
      </c>
      <c r="BF50" s="194">
        <f t="shared" si="42"/>
        <v>0</v>
      </c>
      <c r="BG50" s="194">
        <f t="shared" si="43"/>
        <v>0</v>
      </c>
    </row>
    <row r="51" spans="1:59">
      <c r="A51" s="369" t="s">
        <v>444</v>
      </c>
      <c r="B51" s="369"/>
      <c r="C51" s="369" t="s">
        <v>2701</v>
      </c>
      <c r="D51" s="369" t="s">
        <v>2700</v>
      </c>
      <c r="E51" s="369" t="s">
        <v>364</v>
      </c>
      <c r="F51" s="370">
        <v>19</v>
      </c>
      <c r="G51" s="355">
        <v>0</v>
      </c>
      <c r="H51" s="370">
        <f t="shared" si="22"/>
        <v>0</v>
      </c>
      <c r="I51" s="370">
        <f t="shared" si="23"/>
        <v>0</v>
      </c>
      <c r="J51" s="370">
        <f t="shared" si="24"/>
        <v>0</v>
      </c>
      <c r="W51" s="195">
        <f t="shared" si="25"/>
        <v>0</v>
      </c>
      <c r="Y51" s="195">
        <f t="shared" si="26"/>
        <v>0</v>
      </c>
      <c r="Z51" s="195">
        <f t="shared" si="27"/>
        <v>0</v>
      </c>
      <c r="AA51" s="195">
        <f t="shared" si="28"/>
        <v>0</v>
      </c>
      <c r="AB51" s="195">
        <f t="shared" si="29"/>
        <v>0</v>
      </c>
      <c r="AC51" s="195">
        <f t="shared" si="30"/>
        <v>0</v>
      </c>
      <c r="AD51" s="195">
        <f t="shared" si="31"/>
        <v>0</v>
      </c>
      <c r="AE51" s="195">
        <f t="shared" si="32"/>
        <v>0</v>
      </c>
      <c r="AF51" s="196"/>
      <c r="AG51" s="194">
        <f t="shared" si="33"/>
        <v>0</v>
      </c>
      <c r="AH51" s="194">
        <f t="shared" si="34"/>
        <v>0</v>
      </c>
      <c r="AI51" s="194">
        <f t="shared" si="35"/>
        <v>0</v>
      </c>
      <c r="AK51" s="195">
        <v>21</v>
      </c>
      <c r="AL51" s="195">
        <f>G51*0</f>
        <v>0</v>
      </c>
      <c r="AM51" s="195">
        <f>G51*(1-0)</f>
        <v>0</v>
      </c>
      <c r="AN51" s="198" t="s">
        <v>255</v>
      </c>
      <c r="AS51" s="195">
        <f t="shared" si="36"/>
        <v>0</v>
      </c>
      <c r="AT51" s="195">
        <f t="shared" si="37"/>
        <v>0</v>
      </c>
      <c r="AU51" s="195">
        <f t="shared" si="38"/>
        <v>0</v>
      </c>
      <c r="AV51" s="197" t="s">
        <v>2773</v>
      </c>
      <c r="AW51" s="197" t="s">
        <v>2073</v>
      </c>
      <c r="AX51" s="196" t="s">
        <v>2067</v>
      </c>
      <c r="AZ51" s="195">
        <f t="shared" si="39"/>
        <v>0</v>
      </c>
      <c r="BA51" s="195">
        <f t="shared" si="40"/>
        <v>0</v>
      </c>
      <c r="BB51" s="195">
        <v>0</v>
      </c>
      <c r="BC51" s="195" t="e">
        <f>#REF!</f>
        <v>#REF!</v>
      </c>
      <c r="BE51" s="194">
        <f t="shared" si="41"/>
        <v>0</v>
      </c>
      <c r="BF51" s="194">
        <f t="shared" si="42"/>
        <v>0</v>
      </c>
      <c r="BG51" s="194">
        <f t="shared" si="43"/>
        <v>0</v>
      </c>
    </row>
    <row r="52" spans="1:59">
      <c r="A52" s="373" t="s">
        <v>453</v>
      </c>
      <c r="B52" s="373"/>
      <c r="C52" s="373" t="s">
        <v>3487</v>
      </c>
      <c r="D52" s="373" t="s">
        <v>2698</v>
      </c>
      <c r="E52" s="373" t="s">
        <v>2665</v>
      </c>
      <c r="F52" s="374">
        <v>10</v>
      </c>
      <c r="G52" s="357">
        <v>0</v>
      </c>
      <c r="H52" s="374">
        <f t="shared" si="22"/>
        <v>0</v>
      </c>
      <c r="I52" s="374">
        <f t="shared" si="23"/>
        <v>0</v>
      </c>
      <c r="J52" s="374">
        <f t="shared" si="24"/>
        <v>0</v>
      </c>
      <c r="W52" s="195">
        <f t="shared" si="25"/>
        <v>0</v>
      </c>
      <c r="Y52" s="195">
        <f t="shared" si="26"/>
        <v>0</v>
      </c>
      <c r="Z52" s="195">
        <f t="shared" si="27"/>
        <v>0</v>
      </c>
      <c r="AA52" s="195">
        <f t="shared" si="28"/>
        <v>0</v>
      </c>
      <c r="AB52" s="195">
        <f t="shared" si="29"/>
        <v>0</v>
      </c>
      <c r="AC52" s="195">
        <f t="shared" si="30"/>
        <v>0</v>
      </c>
      <c r="AD52" s="195">
        <f t="shared" si="31"/>
        <v>0</v>
      </c>
      <c r="AE52" s="195">
        <f t="shared" si="32"/>
        <v>0</v>
      </c>
      <c r="AF52" s="196"/>
      <c r="AG52" s="200">
        <f t="shared" si="33"/>
        <v>0</v>
      </c>
      <c r="AH52" s="200">
        <f t="shared" si="34"/>
        <v>0</v>
      </c>
      <c r="AI52" s="200">
        <f t="shared" si="35"/>
        <v>0</v>
      </c>
      <c r="AK52" s="195">
        <v>21</v>
      </c>
      <c r="AL52" s="195">
        <f>G52*1</f>
        <v>0</v>
      </c>
      <c r="AM52" s="195">
        <f>G52*(1-1)</f>
        <v>0</v>
      </c>
      <c r="AN52" s="201" t="s">
        <v>255</v>
      </c>
      <c r="AS52" s="195">
        <f t="shared" si="36"/>
        <v>0</v>
      </c>
      <c r="AT52" s="195">
        <f t="shared" si="37"/>
        <v>0</v>
      </c>
      <c r="AU52" s="195">
        <f t="shared" si="38"/>
        <v>0</v>
      </c>
      <c r="AV52" s="197" t="s">
        <v>2773</v>
      </c>
      <c r="AW52" s="197" t="s">
        <v>2073</v>
      </c>
      <c r="AX52" s="196" t="s">
        <v>2067</v>
      </c>
      <c r="AZ52" s="195">
        <f t="shared" si="39"/>
        <v>0</v>
      </c>
      <c r="BA52" s="195">
        <f t="shared" si="40"/>
        <v>0</v>
      </c>
      <c r="BB52" s="195">
        <v>0</v>
      </c>
      <c r="BC52" s="195" t="e">
        <f>#REF!</f>
        <v>#REF!</v>
      </c>
      <c r="BE52" s="200">
        <f t="shared" si="41"/>
        <v>0</v>
      </c>
      <c r="BF52" s="200">
        <f t="shared" si="42"/>
        <v>0</v>
      </c>
      <c r="BG52" s="200">
        <f t="shared" si="43"/>
        <v>0</v>
      </c>
    </row>
    <row r="53" spans="1:59">
      <c r="A53" s="373" t="s">
        <v>459</v>
      </c>
      <c r="B53" s="373"/>
      <c r="C53" s="373" t="s">
        <v>3488</v>
      </c>
      <c r="D53" s="373" t="s">
        <v>2714</v>
      </c>
      <c r="E53" s="373" t="s">
        <v>2665</v>
      </c>
      <c r="F53" s="374">
        <v>8</v>
      </c>
      <c r="G53" s="357">
        <v>0</v>
      </c>
      <c r="H53" s="374">
        <f t="shared" si="22"/>
        <v>0</v>
      </c>
      <c r="I53" s="374">
        <f t="shared" si="23"/>
        <v>0</v>
      </c>
      <c r="J53" s="374">
        <f t="shared" si="24"/>
        <v>0</v>
      </c>
      <c r="W53" s="195">
        <f t="shared" si="25"/>
        <v>0</v>
      </c>
      <c r="Y53" s="195">
        <f t="shared" si="26"/>
        <v>0</v>
      </c>
      <c r="Z53" s="195">
        <f t="shared" si="27"/>
        <v>0</v>
      </c>
      <c r="AA53" s="195">
        <f t="shared" si="28"/>
        <v>0</v>
      </c>
      <c r="AB53" s="195">
        <f t="shared" si="29"/>
        <v>0</v>
      </c>
      <c r="AC53" s="195">
        <f t="shared" si="30"/>
        <v>0</v>
      </c>
      <c r="AD53" s="195">
        <f t="shared" si="31"/>
        <v>0</v>
      </c>
      <c r="AE53" s="195">
        <f t="shared" si="32"/>
        <v>0</v>
      </c>
      <c r="AF53" s="196"/>
      <c r="AG53" s="200">
        <f t="shared" si="33"/>
        <v>0</v>
      </c>
      <c r="AH53" s="200">
        <f t="shared" si="34"/>
        <v>0</v>
      </c>
      <c r="AI53" s="200">
        <f t="shared" si="35"/>
        <v>0</v>
      </c>
      <c r="AK53" s="195">
        <v>21</v>
      </c>
      <c r="AL53" s="195">
        <f>G53*1</f>
        <v>0</v>
      </c>
      <c r="AM53" s="195">
        <f>G53*(1-1)</f>
        <v>0</v>
      </c>
      <c r="AN53" s="201" t="s">
        <v>255</v>
      </c>
      <c r="AS53" s="195">
        <f t="shared" si="36"/>
        <v>0</v>
      </c>
      <c r="AT53" s="195">
        <f t="shared" si="37"/>
        <v>0</v>
      </c>
      <c r="AU53" s="195">
        <f t="shared" si="38"/>
        <v>0</v>
      </c>
      <c r="AV53" s="197" t="s">
        <v>2773</v>
      </c>
      <c r="AW53" s="197" t="s">
        <v>2073</v>
      </c>
      <c r="AX53" s="196" t="s">
        <v>2067</v>
      </c>
      <c r="AZ53" s="195">
        <f t="shared" si="39"/>
        <v>0</v>
      </c>
      <c r="BA53" s="195">
        <f t="shared" si="40"/>
        <v>0</v>
      </c>
      <c r="BB53" s="195">
        <v>0</v>
      </c>
      <c r="BC53" s="195" t="e">
        <f>#REF!</f>
        <v>#REF!</v>
      </c>
      <c r="BE53" s="200">
        <f t="shared" si="41"/>
        <v>0</v>
      </c>
      <c r="BF53" s="200">
        <f t="shared" si="42"/>
        <v>0</v>
      </c>
      <c r="BG53" s="200">
        <f t="shared" si="43"/>
        <v>0</v>
      </c>
    </row>
    <row r="54" spans="1:59">
      <c r="A54" s="373" t="s">
        <v>467</v>
      </c>
      <c r="B54" s="373"/>
      <c r="C54" s="373" t="s">
        <v>3489</v>
      </c>
      <c r="D54" s="373" t="s">
        <v>2712</v>
      </c>
      <c r="E54" s="373" t="s">
        <v>2665</v>
      </c>
      <c r="F54" s="374">
        <v>1</v>
      </c>
      <c r="G54" s="357">
        <v>0</v>
      </c>
      <c r="H54" s="374">
        <f t="shared" si="22"/>
        <v>0</v>
      </c>
      <c r="I54" s="374">
        <f t="shared" si="23"/>
        <v>0</v>
      </c>
      <c r="J54" s="374">
        <f t="shared" si="24"/>
        <v>0</v>
      </c>
      <c r="W54" s="195">
        <f t="shared" si="25"/>
        <v>0</v>
      </c>
      <c r="Y54" s="195">
        <f t="shared" si="26"/>
        <v>0</v>
      </c>
      <c r="Z54" s="195">
        <f t="shared" si="27"/>
        <v>0</v>
      </c>
      <c r="AA54" s="195">
        <f t="shared" si="28"/>
        <v>0</v>
      </c>
      <c r="AB54" s="195">
        <f t="shared" si="29"/>
        <v>0</v>
      </c>
      <c r="AC54" s="195">
        <f t="shared" si="30"/>
        <v>0</v>
      </c>
      <c r="AD54" s="195">
        <f t="shared" si="31"/>
        <v>0</v>
      </c>
      <c r="AE54" s="195">
        <f t="shared" si="32"/>
        <v>0</v>
      </c>
      <c r="AF54" s="196"/>
      <c r="AG54" s="200">
        <f t="shared" si="33"/>
        <v>0</v>
      </c>
      <c r="AH54" s="200">
        <f t="shared" si="34"/>
        <v>0</v>
      </c>
      <c r="AI54" s="200">
        <f t="shared" si="35"/>
        <v>0</v>
      </c>
      <c r="AK54" s="195">
        <v>21</v>
      </c>
      <c r="AL54" s="195">
        <f>G54*1</f>
        <v>0</v>
      </c>
      <c r="AM54" s="195">
        <f>G54*(1-1)</f>
        <v>0</v>
      </c>
      <c r="AN54" s="201" t="s">
        <v>255</v>
      </c>
      <c r="AS54" s="195">
        <f t="shared" si="36"/>
        <v>0</v>
      </c>
      <c r="AT54" s="195">
        <f t="shared" si="37"/>
        <v>0</v>
      </c>
      <c r="AU54" s="195">
        <f t="shared" si="38"/>
        <v>0</v>
      </c>
      <c r="AV54" s="197" t="s">
        <v>2773</v>
      </c>
      <c r="AW54" s="197" t="s">
        <v>2073</v>
      </c>
      <c r="AX54" s="196" t="s">
        <v>2067</v>
      </c>
      <c r="AZ54" s="195">
        <f t="shared" si="39"/>
        <v>0</v>
      </c>
      <c r="BA54" s="195">
        <f t="shared" si="40"/>
        <v>0</v>
      </c>
      <c r="BB54" s="195">
        <v>0</v>
      </c>
      <c r="BC54" s="195" t="e">
        <f>#REF!</f>
        <v>#REF!</v>
      </c>
      <c r="BE54" s="200">
        <f t="shared" si="41"/>
        <v>0</v>
      </c>
      <c r="BF54" s="200">
        <f t="shared" si="42"/>
        <v>0</v>
      </c>
      <c r="BG54" s="200">
        <f t="shared" si="43"/>
        <v>0</v>
      </c>
    </row>
    <row r="55" spans="1:59">
      <c r="A55" s="369" t="s">
        <v>473</v>
      </c>
      <c r="B55" s="369"/>
      <c r="C55" s="369" t="s">
        <v>2795</v>
      </c>
      <c r="D55" s="369" t="s">
        <v>2794</v>
      </c>
      <c r="E55" s="369" t="s">
        <v>364</v>
      </c>
      <c r="F55" s="370">
        <v>8</v>
      </c>
      <c r="G55" s="355">
        <v>0</v>
      </c>
      <c r="H55" s="370">
        <f t="shared" si="22"/>
        <v>0</v>
      </c>
      <c r="I55" s="370">
        <f t="shared" si="23"/>
        <v>0</v>
      </c>
      <c r="J55" s="370">
        <f t="shared" si="24"/>
        <v>0</v>
      </c>
      <c r="W55" s="195">
        <f t="shared" si="25"/>
        <v>0</v>
      </c>
      <c r="Y55" s="195">
        <f t="shared" si="26"/>
        <v>0</v>
      </c>
      <c r="Z55" s="195">
        <f t="shared" si="27"/>
        <v>0</v>
      </c>
      <c r="AA55" s="195">
        <f t="shared" si="28"/>
        <v>0</v>
      </c>
      <c r="AB55" s="195">
        <f t="shared" si="29"/>
        <v>0</v>
      </c>
      <c r="AC55" s="195">
        <f t="shared" si="30"/>
        <v>0</v>
      </c>
      <c r="AD55" s="195">
        <f t="shared" si="31"/>
        <v>0</v>
      </c>
      <c r="AE55" s="195">
        <f t="shared" si="32"/>
        <v>0</v>
      </c>
      <c r="AF55" s="196"/>
      <c r="AG55" s="194">
        <f t="shared" si="33"/>
        <v>0</v>
      </c>
      <c r="AH55" s="194">
        <f t="shared" si="34"/>
        <v>0</v>
      </c>
      <c r="AI55" s="194">
        <f t="shared" si="35"/>
        <v>0</v>
      </c>
      <c r="AK55" s="195">
        <v>21</v>
      </c>
      <c r="AL55" s="195">
        <f>G55*0</f>
        <v>0</v>
      </c>
      <c r="AM55" s="195">
        <f>G55*(1-0)</f>
        <v>0</v>
      </c>
      <c r="AN55" s="198" t="s">
        <v>255</v>
      </c>
      <c r="AS55" s="195">
        <f t="shared" si="36"/>
        <v>0</v>
      </c>
      <c r="AT55" s="195">
        <f t="shared" si="37"/>
        <v>0</v>
      </c>
      <c r="AU55" s="195">
        <f t="shared" si="38"/>
        <v>0</v>
      </c>
      <c r="AV55" s="197" t="s">
        <v>2773</v>
      </c>
      <c r="AW55" s="197" t="s">
        <v>2073</v>
      </c>
      <c r="AX55" s="196" t="s">
        <v>2067</v>
      </c>
      <c r="AZ55" s="195">
        <f t="shared" si="39"/>
        <v>0</v>
      </c>
      <c r="BA55" s="195">
        <f t="shared" si="40"/>
        <v>0</v>
      </c>
      <c r="BB55" s="195">
        <v>0</v>
      </c>
      <c r="BC55" s="195" t="e">
        <f>#REF!</f>
        <v>#REF!</v>
      </c>
      <c r="BE55" s="194">
        <f t="shared" si="41"/>
        <v>0</v>
      </c>
      <c r="BF55" s="194">
        <f t="shared" si="42"/>
        <v>0</v>
      </c>
      <c r="BG55" s="194">
        <f t="shared" si="43"/>
        <v>0</v>
      </c>
    </row>
    <row r="56" spans="1:59">
      <c r="A56" s="373" t="s">
        <v>483</v>
      </c>
      <c r="B56" s="373"/>
      <c r="C56" s="373" t="s">
        <v>3490</v>
      </c>
      <c r="D56" s="373" t="s">
        <v>2793</v>
      </c>
      <c r="E56" s="373" t="s">
        <v>2665</v>
      </c>
      <c r="F56" s="374">
        <v>8</v>
      </c>
      <c r="G56" s="357">
        <v>0</v>
      </c>
      <c r="H56" s="374">
        <f t="shared" si="22"/>
        <v>0</v>
      </c>
      <c r="I56" s="374">
        <f t="shared" si="23"/>
        <v>0</v>
      </c>
      <c r="J56" s="374">
        <f t="shared" si="24"/>
        <v>0</v>
      </c>
      <c r="W56" s="195">
        <f t="shared" si="25"/>
        <v>0</v>
      </c>
      <c r="Y56" s="195">
        <f t="shared" si="26"/>
        <v>0</v>
      </c>
      <c r="Z56" s="195">
        <f t="shared" si="27"/>
        <v>0</v>
      </c>
      <c r="AA56" s="195">
        <f t="shared" si="28"/>
        <v>0</v>
      </c>
      <c r="AB56" s="195">
        <f t="shared" si="29"/>
        <v>0</v>
      </c>
      <c r="AC56" s="195">
        <f t="shared" si="30"/>
        <v>0</v>
      </c>
      <c r="AD56" s="195">
        <f t="shared" si="31"/>
        <v>0</v>
      </c>
      <c r="AE56" s="195">
        <f t="shared" si="32"/>
        <v>0</v>
      </c>
      <c r="AF56" s="196"/>
      <c r="AG56" s="200">
        <f t="shared" si="33"/>
        <v>0</v>
      </c>
      <c r="AH56" s="200">
        <f t="shared" si="34"/>
        <v>0</v>
      </c>
      <c r="AI56" s="200">
        <f t="shared" si="35"/>
        <v>0</v>
      </c>
      <c r="AK56" s="195">
        <v>21</v>
      </c>
      <c r="AL56" s="195">
        <f>G56*1</f>
        <v>0</v>
      </c>
      <c r="AM56" s="195">
        <f>G56*(1-1)</f>
        <v>0</v>
      </c>
      <c r="AN56" s="201" t="s">
        <v>255</v>
      </c>
      <c r="AS56" s="195">
        <f t="shared" si="36"/>
        <v>0</v>
      </c>
      <c r="AT56" s="195">
        <f t="shared" si="37"/>
        <v>0</v>
      </c>
      <c r="AU56" s="195">
        <f t="shared" si="38"/>
        <v>0</v>
      </c>
      <c r="AV56" s="197" t="s">
        <v>2773</v>
      </c>
      <c r="AW56" s="197" t="s">
        <v>2073</v>
      </c>
      <c r="AX56" s="196" t="s">
        <v>2067</v>
      </c>
      <c r="AZ56" s="195">
        <f t="shared" si="39"/>
        <v>0</v>
      </c>
      <c r="BA56" s="195">
        <f t="shared" si="40"/>
        <v>0</v>
      </c>
      <c r="BB56" s="195">
        <v>0</v>
      </c>
      <c r="BC56" s="195" t="e">
        <f>#REF!</f>
        <v>#REF!</v>
      </c>
      <c r="BE56" s="200">
        <f t="shared" si="41"/>
        <v>0</v>
      </c>
      <c r="BF56" s="200">
        <f t="shared" si="42"/>
        <v>0</v>
      </c>
      <c r="BG56" s="200">
        <f t="shared" si="43"/>
        <v>0</v>
      </c>
    </row>
    <row r="57" spans="1:59">
      <c r="A57" s="369" t="s">
        <v>488</v>
      </c>
      <c r="B57" s="369"/>
      <c r="C57" s="369" t="s">
        <v>2792</v>
      </c>
      <c r="D57" s="369" t="s">
        <v>2728</v>
      </c>
      <c r="E57" s="369" t="s">
        <v>286</v>
      </c>
      <c r="F57" s="370">
        <v>150</v>
      </c>
      <c r="G57" s="355">
        <v>0</v>
      </c>
      <c r="H57" s="370">
        <f t="shared" si="22"/>
        <v>0</v>
      </c>
      <c r="I57" s="370">
        <f t="shared" si="23"/>
        <v>0</v>
      </c>
      <c r="J57" s="370">
        <f t="shared" si="24"/>
        <v>0</v>
      </c>
      <c r="W57" s="195">
        <f t="shared" si="25"/>
        <v>0</v>
      </c>
      <c r="Y57" s="195">
        <f t="shared" si="26"/>
        <v>0</v>
      </c>
      <c r="Z57" s="195">
        <f t="shared" si="27"/>
        <v>0</v>
      </c>
      <c r="AA57" s="195">
        <f t="shared" si="28"/>
        <v>0</v>
      </c>
      <c r="AB57" s="195">
        <f t="shared" si="29"/>
        <v>0</v>
      </c>
      <c r="AC57" s="195">
        <f t="shared" si="30"/>
        <v>0</v>
      </c>
      <c r="AD57" s="195">
        <f t="shared" si="31"/>
        <v>0</v>
      </c>
      <c r="AE57" s="195">
        <f t="shared" si="32"/>
        <v>0</v>
      </c>
      <c r="AF57" s="196"/>
      <c r="AG57" s="194">
        <f t="shared" si="33"/>
        <v>0</v>
      </c>
      <c r="AH57" s="194">
        <f t="shared" si="34"/>
        <v>0</v>
      </c>
      <c r="AI57" s="194">
        <f t="shared" si="35"/>
        <v>0</v>
      </c>
      <c r="AK57" s="195">
        <v>21</v>
      </c>
      <c r="AL57" s="195">
        <f>G57*0.740740740740741</f>
        <v>0</v>
      </c>
      <c r="AM57" s="195">
        <f>G57*(1-0.740740740740741)</f>
        <v>0</v>
      </c>
      <c r="AN57" s="198" t="s">
        <v>255</v>
      </c>
      <c r="AS57" s="195">
        <f t="shared" si="36"/>
        <v>0</v>
      </c>
      <c r="AT57" s="195">
        <f t="shared" si="37"/>
        <v>0</v>
      </c>
      <c r="AU57" s="195">
        <f t="shared" si="38"/>
        <v>0</v>
      </c>
      <c r="AV57" s="197" t="s">
        <v>2773</v>
      </c>
      <c r="AW57" s="197" t="s">
        <v>2073</v>
      </c>
      <c r="AX57" s="196" t="s">
        <v>2067</v>
      </c>
      <c r="AZ57" s="195">
        <f t="shared" si="39"/>
        <v>0</v>
      </c>
      <c r="BA57" s="195">
        <f t="shared" si="40"/>
        <v>0</v>
      </c>
      <c r="BB57" s="195">
        <v>0</v>
      </c>
      <c r="BC57" s="195" t="e">
        <f>#REF!</f>
        <v>#REF!</v>
      </c>
      <c r="BE57" s="194">
        <f t="shared" si="41"/>
        <v>0</v>
      </c>
      <c r="BF57" s="194">
        <f t="shared" si="42"/>
        <v>0</v>
      </c>
      <c r="BG57" s="194">
        <f t="shared" si="43"/>
        <v>0</v>
      </c>
    </row>
    <row r="58" spans="1:59">
      <c r="A58" s="369" t="s">
        <v>496</v>
      </c>
      <c r="B58" s="369"/>
      <c r="C58" s="369" t="s">
        <v>2722</v>
      </c>
      <c r="D58" s="369" t="s">
        <v>2721</v>
      </c>
      <c r="E58" s="369" t="s">
        <v>286</v>
      </c>
      <c r="F58" s="370">
        <v>35</v>
      </c>
      <c r="G58" s="355">
        <v>0</v>
      </c>
      <c r="H58" s="370">
        <f t="shared" si="22"/>
        <v>0</v>
      </c>
      <c r="I58" s="370">
        <f t="shared" si="23"/>
        <v>0</v>
      </c>
      <c r="J58" s="370">
        <f t="shared" si="24"/>
        <v>0</v>
      </c>
      <c r="W58" s="195">
        <f t="shared" si="25"/>
        <v>0</v>
      </c>
      <c r="Y58" s="195">
        <f t="shared" si="26"/>
        <v>0</v>
      </c>
      <c r="Z58" s="195">
        <f t="shared" si="27"/>
        <v>0</v>
      </c>
      <c r="AA58" s="195">
        <f t="shared" si="28"/>
        <v>0</v>
      </c>
      <c r="AB58" s="195">
        <f t="shared" si="29"/>
        <v>0</v>
      </c>
      <c r="AC58" s="195">
        <f t="shared" si="30"/>
        <v>0</v>
      </c>
      <c r="AD58" s="195">
        <f t="shared" si="31"/>
        <v>0</v>
      </c>
      <c r="AE58" s="195">
        <f t="shared" si="32"/>
        <v>0</v>
      </c>
      <c r="AF58" s="196"/>
      <c r="AG58" s="194">
        <f t="shared" si="33"/>
        <v>0</v>
      </c>
      <c r="AH58" s="194">
        <f t="shared" si="34"/>
        <v>0</v>
      </c>
      <c r="AI58" s="194">
        <f t="shared" si="35"/>
        <v>0</v>
      </c>
      <c r="AK58" s="195">
        <v>21</v>
      </c>
      <c r="AL58" s="195">
        <f>G58*0.674199623352166</f>
        <v>0</v>
      </c>
      <c r="AM58" s="195">
        <f>G58*(1-0.674199623352166)</f>
        <v>0</v>
      </c>
      <c r="AN58" s="198" t="s">
        <v>255</v>
      </c>
      <c r="AS58" s="195">
        <f t="shared" si="36"/>
        <v>0</v>
      </c>
      <c r="AT58" s="195">
        <f t="shared" si="37"/>
        <v>0</v>
      </c>
      <c r="AU58" s="195">
        <f t="shared" si="38"/>
        <v>0</v>
      </c>
      <c r="AV58" s="197" t="s">
        <v>2773</v>
      </c>
      <c r="AW58" s="197" t="s">
        <v>2073</v>
      </c>
      <c r="AX58" s="196" t="s">
        <v>2067</v>
      </c>
      <c r="AZ58" s="195">
        <f t="shared" si="39"/>
        <v>0</v>
      </c>
      <c r="BA58" s="195">
        <f t="shared" si="40"/>
        <v>0</v>
      </c>
      <c r="BB58" s="195">
        <v>0</v>
      </c>
      <c r="BC58" s="195" t="e">
        <f>#REF!</f>
        <v>#REF!</v>
      </c>
      <c r="BE58" s="194">
        <f t="shared" si="41"/>
        <v>0</v>
      </c>
      <c r="BF58" s="194">
        <f t="shared" si="42"/>
        <v>0</v>
      </c>
      <c r="BG58" s="194">
        <f t="shared" si="43"/>
        <v>0</v>
      </c>
    </row>
    <row r="59" spans="1:59">
      <c r="A59" s="369" t="s">
        <v>502</v>
      </c>
      <c r="B59" s="369"/>
      <c r="C59" s="369" t="s">
        <v>2791</v>
      </c>
      <c r="D59" s="369" t="s">
        <v>2790</v>
      </c>
      <c r="E59" s="369" t="s">
        <v>286</v>
      </c>
      <c r="F59" s="370">
        <v>15</v>
      </c>
      <c r="G59" s="355">
        <v>0</v>
      </c>
      <c r="H59" s="370">
        <f t="shared" si="22"/>
        <v>0</v>
      </c>
      <c r="I59" s="370">
        <f t="shared" si="23"/>
        <v>0</v>
      </c>
      <c r="J59" s="370">
        <f t="shared" si="24"/>
        <v>0</v>
      </c>
      <c r="W59" s="195">
        <f t="shared" si="25"/>
        <v>0</v>
      </c>
      <c r="Y59" s="195">
        <f t="shared" si="26"/>
        <v>0</v>
      </c>
      <c r="Z59" s="195">
        <f t="shared" si="27"/>
        <v>0</v>
      </c>
      <c r="AA59" s="195">
        <f t="shared" si="28"/>
        <v>0</v>
      </c>
      <c r="AB59" s="195">
        <f t="shared" si="29"/>
        <v>0</v>
      </c>
      <c r="AC59" s="195">
        <f t="shared" si="30"/>
        <v>0</v>
      </c>
      <c r="AD59" s="195">
        <f t="shared" si="31"/>
        <v>0</v>
      </c>
      <c r="AE59" s="195">
        <f t="shared" si="32"/>
        <v>0</v>
      </c>
      <c r="AF59" s="196"/>
      <c r="AG59" s="194">
        <f t="shared" si="33"/>
        <v>0</v>
      </c>
      <c r="AH59" s="194">
        <f t="shared" si="34"/>
        <v>0</v>
      </c>
      <c r="AI59" s="194">
        <f t="shared" si="35"/>
        <v>0</v>
      </c>
      <c r="AK59" s="195">
        <v>21</v>
      </c>
      <c r="AL59" s="195">
        <f>G59*0.731681034482759</f>
        <v>0</v>
      </c>
      <c r="AM59" s="195">
        <f>G59*(1-0.731681034482759)</f>
        <v>0</v>
      </c>
      <c r="AN59" s="198" t="s">
        <v>255</v>
      </c>
      <c r="AS59" s="195">
        <f t="shared" si="36"/>
        <v>0</v>
      </c>
      <c r="AT59" s="195">
        <f t="shared" si="37"/>
        <v>0</v>
      </c>
      <c r="AU59" s="195">
        <f t="shared" si="38"/>
        <v>0</v>
      </c>
      <c r="AV59" s="197" t="s">
        <v>2773</v>
      </c>
      <c r="AW59" s="197" t="s">
        <v>2073</v>
      </c>
      <c r="AX59" s="196" t="s">
        <v>2067</v>
      </c>
      <c r="AZ59" s="195">
        <f t="shared" si="39"/>
        <v>0</v>
      </c>
      <c r="BA59" s="195">
        <f t="shared" si="40"/>
        <v>0</v>
      </c>
      <c r="BB59" s="195">
        <v>0</v>
      </c>
      <c r="BC59" s="195" t="e">
        <f>#REF!</f>
        <v>#REF!</v>
      </c>
      <c r="BE59" s="194">
        <f t="shared" si="41"/>
        <v>0</v>
      </c>
      <c r="BF59" s="194">
        <f t="shared" si="42"/>
        <v>0</v>
      </c>
      <c r="BG59" s="194">
        <f t="shared" si="43"/>
        <v>0</v>
      </c>
    </row>
    <row r="60" spans="1:59">
      <c r="A60" s="369" t="s">
        <v>515</v>
      </c>
      <c r="B60" s="369"/>
      <c r="C60" s="369" t="s">
        <v>2789</v>
      </c>
      <c r="D60" s="369" t="s">
        <v>2788</v>
      </c>
      <c r="E60" s="369" t="s">
        <v>286</v>
      </c>
      <c r="F60" s="370">
        <v>55</v>
      </c>
      <c r="G60" s="355">
        <v>0</v>
      </c>
      <c r="H60" s="370">
        <f t="shared" si="22"/>
        <v>0</v>
      </c>
      <c r="I60" s="370">
        <f t="shared" si="23"/>
        <v>0</v>
      </c>
      <c r="J60" s="370">
        <f t="shared" si="24"/>
        <v>0</v>
      </c>
      <c r="W60" s="195">
        <f t="shared" si="25"/>
        <v>0</v>
      </c>
      <c r="Y60" s="195">
        <f t="shared" si="26"/>
        <v>0</v>
      </c>
      <c r="Z60" s="195">
        <f t="shared" si="27"/>
        <v>0</v>
      </c>
      <c r="AA60" s="195">
        <f t="shared" si="28"/>
        <v>0</v>
      </c>
      <c r="AB60" s="195">
        <f t="shared" si="29"/>
        <v>0</v>
      </c>
      <c r="AC60" s="195">
        <f t="shared" si="30"/>
        <v>0</v>
      </c>
      <c r="AD60" s="195">
        <f t="shared" si="31"/>
        <v>0</v>
      </c>
      <c r="AE60" s="195">
        <f t="shared" si="32"/>
        <v>0</v>
      </c>
      <c r="AF60" s="196"/>
      <c r="AG60" s="194">
        <f t="shared" si="33"/>
        <v>0</v>
      </c>
      <c r="AH60" s="194">
        <f t="shared" si="34"/>
        <v>0</v>
      </c>
      <c r="AI60" s="194">
        <f t="shared" si="35"/>
        <v>0</v>
      </c>
      <c r="AK60" s="195">
        <v>21</v>
      </c>
      <c r="AL60" s="195">
        <f>G60*0.864820846905538</f>
        <v>0</v>
      </c>
      <c r="AM60" s="195">
        <f>G60*(1-0.864820846905538)</f>
        <v>0</v>
      </c>
      <c r="AN60" s="198" t="s">
        <v>255</v>
      </c>
      <c r="AS60" s="195">
        <f t="shared" si="36"/>
        <v>0</v>
      </c>
      <c r="AT60" s="195">
        <f t="shared" si="37"/>
        <v>0</v>
      </c>
      <c r="AU60" s="195">
        <f t="shared" si="38"/>
        <v>0</v>
      </c>
      <c r="AV60" s="197" t="s">
        <v>2773</v>
      </c>
      <c r="AW60" s="197" t="s">
        <v>2073</v>
      </c>
      <c r="AX60" s="196" t="s">
        <v>2067</v>
      </c>
      <c r="AZ60" s="195">
        <f t="shared" si="39"/>
        <v>0</v>
      </c>
      <c r="BA60" s="195">
        <f t="shared" si="40"/>
        <v>0</v>
      </c>
      <c r="BB60" s="195">
        <v>0</v>
      </c>
      <c r="BC60" s="195" t="e">
        <f>#REF!</f>
        <v>#REF!</v>
      </c>
      <c r="BE60" s="194">
        <f t="shared" si="41"/>
        <v>0</v>
      </c>
      <c r="BF60" s="194">
        <f t="shared" si="42"/>
        <v>0</v>
      </c>
      <c r="BG60" s="194">
        <f t="shared" si="43"/>
        <v>0</v>
      </c>
    </row>
    <row r="61" spans="1:59">
      <c r="A61" s="369" t="s">
        <v>534</v>
      </c>
      <c r="B61" s="369"/>
      <c r="C61" s="369" t="s">
        <v>2673</v>
      </c>
      <c r="D61" s="369" t="s">
        <v>2672</v>
      </c>
      <c r="E61" s="369" t="s">
        <v>291</v>
      </c>
      <c r="F61" s="370">
        <v>25</v>
      </c>
      <c r="G61" s="355">
        <v>0</v>
      </c>
      <c r="H61" s="370">
        <f t="shared" si="22"/>
        <v>0</v>
      </c>
      <c r="I61" s="370">
        <f t="shared" si="23"/>
        <v>0</v>
      </c>
      <c r="J61" s="370">
        <f t="shared" si="24"/>
        <v>0</v>
      </c>
      <c r="W61" s="195">
        <f t="shared" si="25"/>
        <v>0</v>
      </c>
      <c r="Y61" s="195">
        <f t="shared" si="26"/>
        <v>0</v>
      </c>
      <c r="Z61" s="195">
        <f t="shared" si="27"/>
        <v>0</v>
      </c>
      <c r="AA61" s="195">
        <f t="shared" si="28"/>
        <v>0</v>
      </c>
      <c r="AB61" s="195">
        <f t="shared" si="29"/>
        <v>0</v>
      </c>
      <c r="AC61" s="195">
        <f t="shared" si="30"/>
        <v>0</v>
      </c>
      <c r="AD61" s="195">
        <f t="shared" si="31"/>
        <v>0</v>
      </c>
      <c r="AE61" s="195">
        <f t="shared" si="32"/>
        <v>0</v>
      </c>
      <c r="AF61" s="196"/>
      <c r="AG61" s="194">
        <f t="shared" si="33"/>
        <v>0</v>
      </c>
      <c r="AH61" s="194">
        <f t="shared" si="34"/>
        <v>0</v>
      </c>
      <c r="AI61" s="194">
        <f t="shared" si="35"/>
        <v>0</v>
      </c>
      <c r="AK61" s="195">
        <v>21</v>
      </c>
      <c r="AL61" s="195">
        <f>G61*0.838235294117647</f>
        <v>0</v>
      </c>
      <c r="AM61" s="195">
        <f>G61*(1-0.838235294117647)</f>
        <v>0</v>
      </c>
      <c r="AN61" s="198" t="s">
        <v>255</v>
      </c>
      <c r="AS61" s="195">
        <f t="shared" si="36"/>
        <v>0</v>
      </c>
      <c r="AT61" s="195">
        <f t="shared" si="37"/>
        <v>0</v>
      </c>
      <c r="AU61" s="195">
        <f t="shared" si="38"/>
        <v>0</v>
      </c>
      <c r="AV61" s="197" t="s">
        <v>2773</v>
      </c>
      <c r="AW61" s="197" t="s">
        <v>2073</v>
      </c>
      <c r="AX61" s="196" t="s">
        <v>2067</v>
      </c>
      <c r="AZ61" s="195">
        <f t="shared" si="39"/>
        <v>0</v>
      </c>
      <c r="BA61" s="195">
        <f t="shared" si="40"/>
        <v>0</v>
      </c>
      <c r="BB61" s="195">
        <v>0</v>
      </c>
      <c r="BC61" s="195" t="e">
        <f>#REF!</f>
        <v>#REF!</v>
      </c>
      <c r="BE61" s="194">
        <f t="shared" si="41"/>
        <v>0</v>
      </c>
      <c r="BF61" s="194">
        <f t="shared" si="42"/>
        <v>0</v>
      </c>
      <c r="BG61" s="194">
        <f t="shared" si="43"/>
        <v>0</v>
      </c>
    </row>
    <row r="62" spans="1:59">
      <c r="A62" s="369" t="s">
        <v>540</v>
      </c>
      <c r="B62" s="369"/>
      <c r="C62" s="369" t="s">
        <v>2669</v>
      </c>
      <c r="D62" s="369" t="s">
        <v>2668</v>
      </c>
      <c r="E62" s="369" t="s">
        <v>291</v>
      </c>
      <c r="F62" s="370">
        <v>25</v>
      </c>
      <c r="G62" s="355">
        <v>0</v>
      </c>
      <c r="H62" s="370">
        <f t="shared" si="22"/>
        <v>0</v>
      </c>
      <c r="I62" s="370">
        <f t="shared" si="23"/>
        <v>0</v>
      </c>
      <c r="J62" s="370">
        <f t="shared" si="24"/>
        <v>0</v>
      </c>
      <c r="W62" s="195">
        <f t="shared" si="25"/>
        <v>0</v>
      </c>
      <c r="Y62" s="195">
        <f t="shared" si="26"/>
        <v>0</v>
      </c>
      <c r="Z62" s="195">
        <f t="shared" si="27"/>
        <v>0</v>
      </c>
      <c r="AA62" s="195">
        <f t="shared" si="28"/>
        <v>0</v>
      </c>
      <c r="AB62" s="195">
        <f t="shared" si="29"/>
        <v>0</v>
      </c>
      <c r="AC62" s="195">
        <f t="shared" si="30"/>
        <v>0</v>
      </c>
      <c r="AD62" s="195">
        <f t="shared" si="31"/>
        <v>0</v>
      </c>
      <c r="AE62" s="195">
        <f t="shared" si="32"/>
        <v>0</v>
      </c>
      <c r="AF62" s="196"/>
      <c r="AG62" s="194">
        <f t="shared" si="33"/>
        <v>0</v>
      </c>
      <c r="AH62" s="194">
        <f t="shared" si="34"/>
        <v>0</v>
      </c>
      <c r="AI62" s="194">
        <f t="shared" si="35"/>
        <v>0</v>
      </c>
      <c r="AK62" s="195">
        <v>21</v>
      </c>
      <c r="AL62" s="195">
        <f>G62*0.834710743801653</f>
        <v>0</v>
      </c>
      <c r="AM62" s="195">
        <f>G62*(1-0.834710743801653)</f>
        <v>0</v>
      </c>
      <c r="AN62" s="198" t="s">
        <v>255</v>
      </c>
      <c r="AS62" s="195">
        <f t="shared" si="36"/>
        <v>0</v>
      </c>
      <c r="AT62" s="195">
        <f t="shared" si="37"/>
        <v>0</v>
      </c>
      <c r="AU62" s="195">
        <f t="shared" si="38"/>
        <v>0</v>
      </c>
      <c r="AV62" s="197" t="s">
        <v>2773</v>
      </c>
      <c r="AW62" s="197" t="s">
        <v>2073</v>
      </c>
      <c r="AX62" s="196" t="s">
        <v>2067</v>
      </c>
      <c r="AZ62" s="195">
        <f t="shared" si="39"/>
        <v>0</v>
      </c>
      <c r="BA62" s="195">
        <f t="shared" si="40"/>
        <v>0</v>
      </c>
      <c r="BB62" s="195">
        <v>0</v>
      </c>
      <c r="BC62" s="195" t="e">
        <f>#REF!</f>
        <v>#REF!</v>
      </c>
      <c r="BE62" s="194">
        <f t="shared" si="41"/>
        <v>0</v>
      </c>
      <c r="BF62" s="194">
        <f t="shared" si="42"/>
        <v>0</v>
      </c>
      <c r="BG62" s="194">
        <f t="shared" si="43"/>
        <v>0</v>
      </c>
    </row>
    <row r="63" spans="1:59">
      <c r="A63" s="369" t="s">
        <v>545</v>
      </c>
      <c r="B63" s="369"/>
      <c r="C63" s="369" t="s">
        <v>2661</v>
      </c>
      <c r="D63" s="369" t="s">
        <v>2660</v>
      </c>
      <c r="E63" s="369" t="s">
        <v>364</v>
      </c>
      <c r="F63" s="370">
        <v>25</v>
      </c>
      <c r="G63" s="355">
        <v>0</v>
      </c>
      <c r="H63" s="370">
        <f t="shared" si="22"/>
        <v>0</v>
      </c>
      <c r="I63" s="370">
        <f t="shared" si="23"/>
        <v>0</v>
      </c>
      <c r="J63" s="370">
        <f t="shared" si="24"/>
        <v>0</v>
      </c>
      <c r="W63" s="195">
        <f t="shared" si="25"/>
        <v>0</v>
      </c>
      <c r="Y63" s="195">
        <f t="shared" si="26"/>
        <v>0</v>
      </c>
      <c r="Z63" s="195">
        <f t="shared" si="27"/>
        <v>0</v>
      </c>
      <c r="AA63" s="195">
        <f t="shared" si="28"/>
        <v>0</v>
      </c>
      <c r="AB63" s="195">
        <f t="shared" si="29"/>
        <v>0</v>
      </c>
      <c r="AC63" s="195">
        <f t="shared" si="30"/>
        <v>0</v>
      </c>
      <c r="AD63" s="195">
        <f t="shared" si="31"/>
        <v>0</v>
      </c>
      <c r="AE63" s="195">
        <f t="shared" si="32"/>
        <v>0</v>
      </c>
      <c r="AF63" s="196"/>
      <c r="AG63" s="194">
        <f t="shared" si="33"/>
        <v>0</v>
      </c>
      <c r="AH63" s="194">
        <f t="shared" si="34"/>
        <v>0</v>
      </c>
      <c r="AI63" s="194">
        <f t="shared" si="35"/>
        <v>0</v>
      </c>
      <c r="AK63" s="195">
        <v>21</v>
      </c>
      <c r="AL63" s="195">
        <f>G63*0.333333333333333</f>
        <v>0</v>
      </c>
      <c r="AM63" s="195">
        <f>G63*(1-0.333333333333333)</f>
        <v>0</v>
      </c>
      <c r="AN63" s="198" t="s">
        <v>77</v>
      </c>
      <c r="AS63" s="195">
        <f t="shared" si="36"/>
        <v>0</v>
      </c>
      <c r="AT63" s="195">
        <f t="shared" si="37"/>
        <v>0</v>
      </c>
      <c r="AU63" s="195">
        <f t="shared" si="38"/>
        <v>0</v>
      </c>
      <c r="AV63" s="197" t="s">
        <v>2773</v>
      </c>
      <c r="AW63" s="197" t="s">
        <v>2073</v>
      </c>
      <c r="AX63" s="196" t="s">
        <v>2067</v>
      </c>
      <c r="AZ63" s="195">
        <f t="shared" si="39"/>
        <v>0</v>
      </c>
      <c r="BA63" s="195">
        <f t="shared" si="40"/>
        <v>0</v>
      </c>
      <c r="BB63" s="195">
        <v>0</v>
      </c>
      <c r="BC63" s="195" t="e">
        <f>#REF!</f>
        <v>#REF!</v>
      </c>
      <c r="BE63" s="194">
        <f t="shared" si="41"/>
        <v>0</v>
      </c>
      <c r="BF63" s="194">
        <f t="shared" si="42"/>
        <v>0</v>
      </c>
      <c r="BG63" s="194">
        <f t="shared" si="43"/>
        <v>0</v>
      </c>
    </row>
    <row r="64" spans="1:59">
      <c r="A64" s="375"/>
      <c r="B64" s="375"/>
      <c r="C64" s="375"/>
      <c r="D64" s="376" t="s">
        <v>2659</v>
      </c>
      <c r="E64" s="375"/>
      <c r="F64" s="375"/>
      <c r="G64" s="358">
        <v>0</v>
      </c>
      <c r="H64" s="375"/>
      <c r="I64" s="375"/>
      <c r="J64" s="375"/>
    </row>
    <row r="65" spans="1:59">
      <c r="A65" s="369" t="s">
        <v>552</v>
      </c>
      <c r="B65" s="369"/>
      <c r="C65" s="369" t="s">
        <v>2720</v>
      </c>
      <c r="D65" s="369" t="s">
        <v>2662</v>
      </c>
      <c r="E65" s="369" t="s">
        <v>1220</v>
      </c>
      <c r="F65" s="370">
        <v>3</v>
      </c>
      <c r="G65" s="355">
        <v>0</v>
      </c>
      <c r="H65" s="370">
        <f t="shared" ref="H65:H73" si="44">F65*AL65</f>
        <v>0</v>
      </c>
      <c r="I65" s="370">
        <f t="shared" ref="I65:I73" si="45">F65*AM65</f>
        <v>0</v>
      </c>
      <c r="J65" s="370">
        <f t="shared" ref="J65:J73" si="46">F65*G65</f>
        <v>0</v>
      </c>
      <c r="W65" s="195">
        <f t="shared" ref="W65:W73" si="47">IF(AN65="5",BG65,0)</f>
        <v>0</v>
      </c>
      <c r="Y65" s="195">
        <f t="shared" ref="Y65:Y73" si="48">IF(AN65="1",BE65,0)</f>
        <v>0</v>
      </c>
      <c r="Z65" s="195">
        <f t="shared" ref="Z65:Z73" si="49">IF(AN65="1",BF65,0)</f>
        <v>0</v>
      </c>
      <c r="AA65" s="195">
        <f t="shared" ref="AA65:AA73" si="50">IF(AN65="7",BE65,0)</f>
        <v>0</v>
      </c>
      <c r="AB65" s="195">
        <f t="shared" ref="AB65:AB73" si="51">IF(AN65="7",BF65,0)</f>
        <v>0</v>
      </c>
      <c r="AC65" s="195">
        <f t="shared" ref="AC65:AC73" si="52">IF(AN65="2",BE65,0)</f>
        <v>0</v>
      </c>
      <c r="AD65" s="195">
        <f t="shared" ref="AD65:AD73" si="53">IF(AN65="2",BF65,0)</f>
        <v>0</v>
      </c>
      <c r="AE65" s="195">
        <f t="shared" ref="AE65:AE73" si="54">IF(AN65="0",BG65,0)</f>
        <v>0</v>
      </c>
      <c r="AF65" s="196"/>
      <c r="AG65" s="194">
        <f t="shared" ref="AG65:AG73" si="55">IF(AK65=0,J65,0)</f>
        <v>0</v>
      </c>
      <c r="AH65" s="194">
        <f t="shared" ref="AH65:AH73" si="56">IF(AK65=15,J65,0)</f>
        <v>0</v>
      </c>
      <c r="AI65" s="194">
        <f t="shared" ref="AI65:AI73" si="57">IF(AK65=21,J65,0)</f>
        <v>0</v>
      </c>
      <c r="AK65" s="195">
        <v>21</v>
      </c>
      <c r="AL65" s="195">
        <f>G65*0.955840455840456</f>
        <v>0</v>
      </c>
      <c r="AM65" s="195">
        <f>G65*(1-0.955840455840456)</f>
        <v>0</v>
      </c>
      <c r="AN65" s="198" t="s">
        <v>255</v>
      </c>
      <c r="AS65" s="195">
        <f t="shared" ref="AS65:AS73" si="58">AT65+AU65</f>
        <v>0</v>
      </c>
      <c r="AT65" s="195">
        <f t="shared" ref="AT65:AT73" si="59">F65*AL65</f>
        <v>0</v>
      </c>
      <c r="AU65" s="195">
        <f t="shared" ref="AU65:AU73" si="60">F65*AM65</f>
        <v>0</v>
      </c>
      <c r="AV65" s="197" t="s">
        <v>2773</v>
      </c>
      <c r="AW65" s="197" t="s">
        <v>2073</v>
      </c>
      <c r="AX65" s="196" t="s">
        <v>2067</v>
      </c>
      <c r="AZ65" s="195">
        <f t="shared" ref="AZ65:AZ73" si="61">AT65+AU65</f>
        <v>0</v>
      </c>
      <c r="BA65" s="195">
        <f t="shared" ref="BA65:BA73" si="62">G65/(100-BB65)*100</f>
        <v>0</v>
      </c>
      <c r="BB65" s="195">
        <v>0</v>
      </c>
      <c r="BC65" s="195" t="e">
        <f>#REF!</f>
        <v>#REF!</v>
      </c>
      <c r="BE65" s="194">
        <f t="shared" ref="BE65:BE73" si="63">F65*AL65</f>
        <v>0</v>
      </c>
      <c r="BF65" s="194">
        <f t="shared" ref="BF65:BF73" si="64">F65*AM65</f>
        <v>0</v>
      </c>
      <c r="BG65" s="194">
        <f t="shared" ref="BG65:BG73" si="65">F65*G65</f>
        <v>0</v>
      </c>
    </row>
    <row r="66" spans="1:59">
      <c r="A66" s="369" t="s">
        <v>557</v>
      </c>
      <c r="B66" s="369"/>
      <c r="C66" s="369" t="s">
        <v>2787</v>
      </c>
      <c r="D66" s="369" t="s">
        <v>2786</v>
      </c>
      <c r="E66" s="369" t="s">
        <v>1766</v>
      </c>
      <c r="F66" s="370">
        <v>2</v>
      </c>
      <c r="G66" s="355">
        <v>0</v>
      </c>
      <c r="H66" s="370">
        <f t="shared" si="44"/>
        <v>0</v>
      </c>
      <c r="I66" s="370">
        <f t="shared" si="45"/>
        <v>0</v>
      </c>
      <c r="J66" s="370">
        <f t="shared" si="46"/>
        <v>0</v>
      </c>
      <c r="W66" s="195">
        <f t="shared" si="47"/>
        <v>0</v>
      </c>
      <c r="Y66" s="195">
        <f t="shared" si="48"/>
        <v>0</v>
      </c>
      <c r="Z66" s="195">
        <f t="shared" si="49"/>
        <v>0</v>
      </c>
      <c r="AA66" s="195">
        <f t="shared" si="50"/>
        <v>0</v>
      </c>
      <c r="AB66" s="195">
        <f t="shared" si="51"/>
        <v>0</v>
      </c>
      <c r="AC66" s="195">
        <f t="shared" si="52"/>
        <v>0</v>
      </c>
      <c r="AD66" s="195">
        <f t="shared" si="53"/>
        <v>0</v>
      </c>
      <c r="AE66" s="195">
        <f t="shared" si="54"/>
        <v>0</v>
      </c>
      <c r="AF66" s="196"/>
      <c r="AG66" s="194">
        <f t="shared" si="55"/>
        <v>0</v>
      </c>
      <c r="AH66" s="194">
        <f t="shared" si="56"/>
        <v>0</v>
      </c>
      <c r="AI66" s="194">
        <f t="shared" si="57"/>
        <v>0</v>
      </c>
      <c r="AK66" s="195">
        <v>21</v>
      </c>
      <c r="AL66" s="195">
        <f t="shared" ref="AL66:AL73" si="66">G66*0</f>
        <v>0</v>
      </c>
      <c r="AM66" s="195">
        <f t="shared" ref="AM66:AM73" si="67">G66*(1-0)</f>
        <v>0</v>
      </c>
      <c r="AN66" s="198" t="s">
        <v>255</v>
      </c>
      <c r="AS66" s="195">
        <f t="shared" si="58"/>
        <v>0</v>
      </c>
      <c r="AT66" s="195">
        <f t="shared" si="59"/>
        <v>0</v>
      </c>
      <c r="AU66" s="195">
        <f t="shared" si="60"/>
        <v>0</v>
      </c>
      <c r="AV66" s="197" t="s">
        <v>2773</v>
      </c>
      <c r="AW66" s="197" t="s">
        <v>2073</v>
      </c>
      <c r="AX66" s="196" t="s">
        <v>2067</v>
      </c>
      <c r="AZ66" s="195">
        <f t="shared" si="61"/>
        <v>0</v>
      </c>
      <c r="BA66" s="195">
        <f t="shared" si="62"/>
        <v>0</v>
      </c>
      <c r="BB66" s="195">
        <v>0</v>
      </c>
      <c r="BC66" s="195" t="e">
        <f>#REF!</f>
        <v>#REF!</v>
      </c>
      <c r="BE66" s="194">
        <f t="shared" si="63"/>
        <v>0</v>
      </c>
      <c r="BF66" s="194">
        <f t="shared" si="64"/>
        <v>0</v>
      </c>
      <c r="BG66" s="194">
        <f t="shared" si="65"/>
        <v>0</v>
      </c>
    </row>
    <row r="67" spans="1:59">
      <c r="A67" s="369" t="s">
        <v>562</v>
      </c>
      <c r="B67" s="369"/>
      <c r="C67" s="369" t="s">
        <v>2637</v>
      </c>
      <c r="D67" s="369" t="s">
        <v>2636</v>
      </c>
      <c r="E67" s="369" t="s">
        <v>291</v>
      </c>
      <c r="F67" s="370">
        <v>2</v>
      </c>
      <c r="G67" s="355">
        <v>0</v>
      </c>
      <c r="H67" s="370">
        <f t="shared" si="44"/>
        <v>0</v>
      </c>
      <c r="I67" s="370">
        <f t="shared" si="45"/>
        <v>0</v>
      </c>
      <c r="J67" s="370">
        <f t="shared" si="46"/>
        <v>0</v>
      </c>
      <c r="W67" s="195">
        <f t="shared" si="47"/>
        <v>0</v>
      </c>
      <c r="Y67" s="195">
        <f t="shared" si="48"/>
        <v>0</v>
      </c>
      <c r="Z67" s="195">
        <f t="shared" si="49"/>
        <v>0</v>
      </c>
      <c r="AA67" s="195">
        <f t="shared" si="50"/>
        <v>0</v>
      </c>
      <c r="AB67" s="195">
        <f t="shared" si="51"/>
        <v>0</v>
      </c>
      <c r="AC67" s="195">
        <f t="shared" si="52"/>
        <v>0</v>
      </c>
      <c r="AD67" s="195">
        <f t="shared" si="53"/>
        <v>0</v>
      </c>
      <c r="AE67" s="195">
        <f t="shared" si="54"/>
        <v>0</v>
      </c>
      <c r="AF67" s="196"/>
      <c r="AG67" s="194">
        <f t="shared" si="55"/>
        <v>0</v>
      </c>
      <c r="AH67" s="194">
        <f t="shared" si="56"/>
        <v>0</v>
      </c>
      <c r="AI67" s="194">
        <f t="shared" si="57"/>
        <v>0</v>
      </c>
      <c r="AK67" s="195">
        <v>21</v>
      </c>
      <c r="AL67" s="195">
        <f t="shared" si="66"/>
        <v>0</v>
      </c>
      <c r="AM67" s="195">
        <f t="shared" si="67"/>
        <v>0</v>
      </c>
      <c r="AN67" s="198" t="s">
        <v>255</v>
      </c>
      <c r="AS67" s="195">
        <f t="shared" si="58"/>
        <v>0</v>
      </c>
      <c r="AT67" s="195">
        <f t="shared" si="59"/>
        <v>0</v>
      </c>
      <c r="AU67" s="195">
        <f t="shared" si="60"/>
        <v>0</v>
      </c>
      <c r="AV67" s="197" t="s">
        <v>2773</v>
      </c>
      <c r="AW67" s="197" t="s">
        <v>2073</v>
      </c>
      <c r="AX67" s="196" t="s">
        <v>2067</v>
      </c>
      <c r="AZ67" s="195">
        <f t="shared" si="61"/>
        <v>0</v>
      </c>
      <c r="BA67" s="195">
        <f t="shared" si="62"/>
        <v>0</v>
      </c>
      <c r="BB67" s="195">
        <v>0</v>
      </c>
      <c r="BC67" s="195" t="e">
        <f>#REF!</f>
        <v>#REF!</v>
      </c>
      <c r="BE67" s="194">
        <f t="shared" si="63"/>
        <v>0</v>
      </c>
      <c r="BF67" s="194">
        <f t="shared" si="64"/>
        <v>0</v>
      </c>
      <c r="BG67" s="194">
        <f t="shared" si="65"/>
        <v>0</v>
      </c>
    </row>
    <row r="68" spans="1:59">
      <c r="A68" s="369" t="s">
        <v>566</v>
      </c>
      <c r="B68" s="369"/>
      <c r="C68" s="369" t="s">
        <v>2785</v>
      </c>
      <c r="D68" s="369" t="s">
        <v>2784</v>
      </c>
      <c r="E68" s="369" t="s">
        <v>291</v>
      </c>
      <c r="F68" s="370">
        <v>4</v>
      </c>
      <c r="G68" s="355">
        <v>0</v>
      </c>
      <c r="H68" s="370">
        <f t="shared" si="44"/>
        <v>0</v>
      </c>
      <c r="I68" s="370">
        <f t="shared" si="45"/>
        <v>0</v>
      </c>
      <c r="J68" s="370">
        <f t="shared" si="46"/>
        <v>0</v>
      </c>
      <c r="W68" s="195">
        <f t="shared" si="47"/>
        <v>0</v>
      </c>
      <c r="Y68" s="195">
        <f t="shared" si="48"/>
        <v>0</v>
      </c>
      <c r="Z68" s="195">
        <f t="shared" si="49"/>
        <v>0</v>
      </c>
      <c r="AA68" s="195">
        <f t="shared" si="50"/>
        <v>0</v>
      </c>
      <c r="AB68" s="195">
        <f t="shared" si="51"/>
        <v>0</v>
      </c>
      <c r="AC68" s="195">
        <f t="shared" si="52"/>
        <v>0</v>
      </c>
      <c r="AD68" s="195">
        <f t="shared" si="53"/>
        <v>0</v>
      </c>
      <c r="AE68" s="195">
        <f t="shared" si="54"/>
        <v>0</v>
      </c>
      <c r="AF68" s="196"/>
      <c r="AG68" s="194">
        <f t="shared" si="55"/>
        <v>0</v>
      </c>
      <c r="AH68" s="194">
        <f t="shared" si="56"/>
        <v>0</v>
      </c>
      <c r="AI68" s="194">
        <f t="shared" si="57"/>
        <v>0</v>
      </c>
      <c r="AK68" s="195">
        <v>21</v>
      </c>
      <c r="AL68" s="195">
        <f t="shared" si="66"/>
        <v>0</v>
      </c>
      <c r="AM68" s="195">
        <f t="shared" si="67"/>
        <v>0</v>
      </c>
      <c r="AN68" s="198" t="s">
        <v>255</v>
      </c>
      <c r="AS68" s="195">
        <f t="shared" si="58"/>
        <v>0</v>
      </c>
      <c r="AT68" s="195">
        <f t="shared" si="59"/>
        <v>0</v>
      </c>
      <c r="AU68" s="195">
        <f t="shared" si="60"/>
        <v>0</v>
      </c>
      <c r="AV68" s="197" t="s">
        <v>2773</v>
      </c>
      <c r="AW68" s="197" t="s">
        <v>2073</v>
      </c>
      <c r="AX68" s="196" t="s">
        <v>2067</v>
      </c>
      <c r="AZ68" s="195">
        <f t="shared" si="61"/>
        <v>0</v>
      </c>
      <c r="BA68" s="195">
        <f t="shared" si="62"/>
        <v>0</v>
      </c>
      <c r="BB68" s="195">
        <v>0</v>
      </c>
      <c r="BC68" s="195" t="e">
        <f>#REF!</f>
        <v>#REF!</v>
      </c>
      <c r="BE68" s="194">
        <f t="shared" si="63"/>
        <v>0</v>
      </c>
      <c r="BF68" s="194">
        <f t="shared" si="64"/>
        <v>0</v>
      </c>
      <c r="BG68" s="194">
        <f t="shared" si="65"/>
        <v>0</v>
      </c>
    </row>
    <row r="69" spans="1:59">
      <c r="A69" s="369" t="s">
        <v>573</v>
      </c>
      <c r="B69" s="369"/>
      <c r="C69" s="369" t="s">
        <v>2783</v>
      </c>
      <c r="D69" s="369" t="s">
        <v>2782</v>
      </c>
      <c r="E69" s="369" t="s">
        <v>291</v>
      </c>
      <c r="F69" s="370">
        <v>2</v>
      </c>
      <c r="G69" s="355">
        <v>0</v>
      </c>
      <c r="H69" s="370">
        <f t="shared" si="44"/>
        <v>0</v>
      </c>
      <c r="I69" s="370">
        <f t="shared" si="45"/>
        <v>0</v>
      </c>
      <c r="J69" s="370">
        <f t="shared" si="46"/>
        <v>0</v>
      </c>
      <c r="W69" s="195">
        <f t="shared" si="47"/>
        <v>0</v>
      </c>
      <c r="Y69" s="195">
        <f t="shared" si="48"/>
        <v>0</v>
      </c>
      <c r="Z69" s="195">
        <f t="shared" si="49"/>
        <v>0</v>
      </c>
      <c r="AA69" s="195">
        <f t="shared" si="50"/>
        <v>0</v>
      </c>
      <c r="AB69" s="195">
        <f t="shared" si="51"/>
        <v>0</v>
      </c>
      <c r="AC69" s="195">
        <f t="shared" si="52"/>
        <v>0</v>
      </c>
      <c r="AD69" s="195">
        <f t="shared" si="53"/>
        <v>0</v>
      </c>
      <c r="AE69" s="195">
        <f t="shared" si="54"/>
        <v>0</v>
      </c>
      <c r="AF69" s="196"/>
      <c r="AG69" s="194">
        <f t="shared" si="55"/>
        <v>0</v>
      </c>
      <c r="AH69" s="194">
        <f t="shared" si="56"/>
        <v>0</v>
      </c>
      <c r="AI69" s="194">
        <f t="shared" si="57"/>
        <v>0</v>
      </c>
      <c r="AK69" s="195">
        <v>21</v>
      </c>
      <c r="AL69" s="195">
        <f t="shared" si="66"/>
        <v>0</v>
      </c>
      <c r="AM69" s="195">
        <f t="shared" si="67"/>
        <v>0</v>
      </c>
      <c r="AN69" s="198" t="s">
        <v>255</v>
      </c>
      <c r="AS69" s="195">
        <f t="shared" si="58"/>
        <v>0</v>
      </c>
      <c r="AT69" s="195">
        <f t="shared" si="59"/>
        <v>0</v>
      </c>
      <c r="AU69" s="195">
        <f t="shared" si="60"/>
        <v>0</v>
      </c>
      <c r="AV69" s="197" t="s">
        <v>2773</v>
      </c>
      <c r="AW69" s="197" t="s">
        <v>2073</v>
      </c>
      <c r="AX69" s="196" t="s">
        <v>2067</v>
      </c>
      <c r="AZ69" s="195">
        <f t="shared" si="61"/>
        <v>0</v>
      </c>
      <c r="BA69" s="195">
        <f t="shared" si="62"/>
        <v>0</v>
      </c>
      <c r="BB69" s="195">
        <v>0</v>
      </c>
      <c r="BC69" s="195" t="e">
        <f>#REF!</f>
        <v>#REF!</v>
      </c>
      <c r="BE69" s="194">
        <f t="shared" si="63"/>
        <v>0</v>
      </c>
      <c r="BF69" s="194">
        <f t="shared" si="64"/>
        <v>0</v>
      </c>
      <c r="BG69" s="194">
        <f t="shared" si="65"/>
        <v>0</v>
      </c>
    </row>
    <row r="70" spans="1:59">
      <c r="A70" s="369" t="s">
        <v>580</v>
      </c>
      <c r="B70" s="369"/>
      <c r="C70" s="369" t="s">
        <v>2781</v>
      </c>
      <c r="D70" s="369" t="s">
        <v>2780</v>
      </c>
      <c r="E70" s="369" t="s">
        <v>291</v>
      </c>
      <c r="F70" s="370">
        <v>1</v>
      </c>
      <c r="G70" s="355">
        <v>0</v>
      </c>
      <c r="H70" s="370">
        <f t="shared" si="44"/>
        <v>0</v>
      </c>
      <c r="I70" s="370">
        <f t="shared" si="45"/>
        <v>0</v>
      </c>
      <c r="J70" s="370">
        <f t="shared" si="46"/>
        <v>0</v>
      </c>
      <c r="W70" s="195">
        <f t="shared" si="47"/>
        <v>0</v>
      </c>
      <c r="Y70" s="195">
        <f t="shared" si="48"/>
        <v>0</v>
      </c>
      <c r="Z70" s="195">
        <f t="shared" si="49"/>
        <v>0</v>
      </c>
      <c r="AA70" s="195">
        <f t="shared" si="50"/>
        <v>0</v>
      </c>
      <c r="AB70" s="195">
        <f t="shared" si="51"/>
        <v>0</v>
      </c>
      <c r="AC70" s="195">
        <f t="shared" si="52"/>
        <v>0</v>
      </c>
      <c r="AD70" s="195">
        <f t="shared" si="53"/>
        <v>0</v>
      </c>
      <c r="AE70" s="195">
        <f t="shared" si="54"/>
        <v>0</v>
      </c>
      <c r="AF70" s="196"/>
      <c r="AG70" s="194">
        <f t="shared" si="55"/>
        <v>0</v>
      </c>
      <c r="AH70" s="194">
        <f t="shared" si="56"/>
        <v>0</v>
      </c>
      <c r="AI70" s="194">
        <f t="shared" si="57"/>
        <v>0</v>
      </c>
      <c r="AK70" s="195">
        <v>21</v>
      </c>
      <c r="AL70" s="195">
        <f t="shared" si="66"/>
        <v>0</v>
      </c>
      <c r="AM70" s="195">
        <f t="shared" si="67"/>
        <v>0</v>
      </c>
      <c r="AN70" s="198" t="s">
        <v>255</v>
      </c>
      <c r="AS70" s="195">
        <f t="shared" si="58"/>
        <v>0</v>
      </c>
      <c r="AT70" s="195">
        <f t="shared" si="59"/>
        <v>0</v>
      </c>
      <c r="AU70" s="195">
        <f t="shared" si="60"/>
        <v>0</v>
      </c>
      <c r="AV70" s="197" t="s">
        <v>2773</v>
      </c>
      <c r="AW70" s="197" t="s">
        <v>2073</v>
      </c>
      <c r="AX70" s="196" t="s">
        <v>2067</v>
      </c>
      <c r="AZ70" s="195">
        <f t="shared" si="61"/>
        <v>0</v>
      </c>
      <c r="BA70" s="195">
        <f t="shared" si="62"/>
        <v>0</v>
      </c>
      <c r="BB70" s="195">
        <v>0</v>
      </c>
      <c r="BC70" s="195" t="e">
        <f>#REF!</f>
        <v>#REF!</v>
      </c>
      <c r="BE70" s="194">
        <f t="shared" si="63"/>
        <v>0</v>
      </c>
      <c r="BF70" s="194">
        <f t="shared" si="64"/>
        <v>0</v>
      </c>
      <c r="BG70" s="194">
        <f t="shared" si="65"/>
        <v>0</v>
      </c>
    </row>
    <row r="71" spans="1:59">
      <c r="A71" s="369" t="s">
        <v>586</v>
      </c>
      <c r="B71" s="369"/>
      <c r="C71" s="369" t="s">
        <v>2779</v>
      </c>
      <c r="D71" s="369" t="s">
        <v>2778</v>
      </c>
      <c r="E71" s="369" t="s">
        <v>291</v>
      </c>
      <c r="F71" s="370">
        <v>15</v>
      </c>
      <c r="G71" s="355">
        <v>0</v>
      </c>
      <c r="H71" s="370">
        <f t="shared" si="44"/>
        <v>0</v>
      </c>
      <c r="I71" s="370">
        <f t="shared" si="45"/>
        <v>0</v>
      </c>
      <c r="J71" s="370">
        <f t="shared" si="46"/>
        <v>0</v>
      </c>
      <c r="W71" s="195">
        <f t="shared" si="47"/>
        <v>0</v>
      </c>
      <c r="Y71" s="195">
        <f t="shared" si="48"/>
        <v>0</v>
      </c>
      <c r="Z71" s="195">
        <f t="shared" si="49"/>
        <v>0</v>
      </c>
      <c r="AA71" s="195">
        <f t="shared" si="50"/>
        <v>0</v>
      </c>
      <c r="AB71" s="195">
        <f t="shared" si="51"/>
        <v>0</v>
      </c>
      <c r="AC71" s="195">
        <f t="shared" si="52"/>
        <v>0</v>
      </c>
      <c r="AD71" s="195">
        <f t="shared" si="53"/>
        <v>0</v>
      </c>
      <c r="AE71" s="195">
        <f t="shared" si="54"/>
        <v>0</v>
      </c>
      <c r="AF71" s="196"/>
      <c r="AG71" s="194">
        <f t="shared" si="55"/>
        <v>0</v>
      </c>
      <c r="AH71" s="194">
        <f t="shared" si="56"/>
        <v>0</v>
      </c>
      <c r="AI71" s="194">
        <f t="shared" si="57"/>
        <v>0</v>
      </c>
      <c r="AK71" s="195">
        <v>21</v>
      </c>
      <c r="AL71" s="195">
        <f t="shared" si="66"/>
        <v>0</v>
      </c>
      <c r="AM71" s="195">
        <f t="shared" si="67"/>
        <v>0</v>
      </c>
      <c r="AN71" s="198" t="s">
        <v>255</v>
      </c>
      <c r="AS71" s="195">
        <f t="shared" si="58"/>
        <v>0</v>
      </c>
      <c r="AT71" s="195">
        <f t="shared" si="59"/>
        <v>0</v>
      </c>
      <c r="AU71" s="195">
        <f t="shared" si="60"/>
        <v>0</v>
      </c>
      <c r="AV71" s="197" t="s">
        <v>2773</v>
      </c>
      <c r="AW71" s="197" t="s">
        <v>2073</v>
      </c>
      <c r="AX71" s="196" t="s">
        <v>2067</v>
      </c>
      <c r="AZ71" s="195">
        <f t="shared" si="61"/>
        <v>0</v>
      </c>
      <c r="BA71" s="195">
        <f t="shared" si="62"/>
        <v>0</v>
      </c>
      <c r="BB71" s="195">
        <v>0</v>
      </c>
      <c r="BC71" s="195" t="e">
        <f>#REF!</f>
        <v>#REF!</v>
      </c>
      <c r="BE71" s="194">
        <f t="shared" si="63"/>
        <v>0</v>
      </c>
      <c r="BF71" s="194">
        <f t="shared" si="64"/>
        <v>0</v>
      </c>
      <c r="BG71" s="194">
        <f t="shared" si="65"/>
        <v>0</v>
      </c>
    </row>
    <row r="72" spans="1:59">
      <c r="A72" s="369" t="s">
        <v>590</v>
      </c>
      <c r="B72" s="369"/>
      <c r="C72" s="369" t="s">
        <v>2777</v>
      </c>
      <c r="D72" s="369" t="s">
        <v>2776</v>
      </c>
      <c r="E72" s="369" t="s">
        <v>291</v>
      </c>
      <c r="F72" s="370">
        <v>1</v>
      </c>
      <c r="G72" s="355">
        <v>0</v>
      </c>
      <c r="H72" s="370">
        <f t="shared" si="44"/>
        <v>0</v>
      </c>
      <c r="I72" s="370">
        <f t="shared" si="45"/>
        <v>0</v>
      </c>
      <c r="J72" s="370">
        <f t="shared" si="46"/>
        <v>0</v>
      </c>
      <c r="W72" s="195">
        <f t="shared" si="47"/>
        <v>0</v>
      </c>
      <c r="Y72" s="195">
        <f t="shared" si="48"/>
        <v>0</v>
      </c>
      <c r="Z72" s="195">
        <f t="shared" si="49"/>
        <v>0</v>
      </c>
      <c r="AA72" s="195">
        <f t="shared" si="50"/>
        <v>0</v>
      </c>
      <c r="AB72" s="195">
        <f t="shared" si="51"/>
        <v>0</v>
      </c>
      <c r="AC72" s="195">
        <f t="shared" si="52"/>
        <v>0</v>
      </c>
      <c r="AD72" s="195">
        <f t="shared" si="53"/>
        <v>0</v>
      </c>
      <c r="AE72" s="195">
        <f t="shared" si="54"/>
        <v>0</v>
      </c>
      <c r="AF72" s="196"/>
      <c r="AG72" s="194">
        <f t="shared" si="55"/>
        <v>0</v>
      </c>
      <c r="AH72" s="194">
        <f t="shared" si="56"/>
        <v>0</v>
      </c>
      <c r="AI72" s="194">
        <f t="shared" si="57"/>
        <v>0</v>
      </c>
      <c r="AK72" s="195">
        <v>21</v>
      </c>
      <c r="AL72" s="195">
        <f t="shared" si="66"/>
        <v>0</v>
      </c>
      <c r="AM72" s="195">
        <f t="shared" si="67"/>
        <v>0</v>
      </c>
      <c r="AN72" s="198" t="s">
        <v>255</v>
      </c>
      <c r="AS72" s="195">
        <f t="shared" si="58"/>
        <v>0</v>
      </c>
      <c r="AT72" s="195">
        <f t="shared" si="59"/>
        <v>0</v>
      </c>
      <c r="AU72" s="195">
        <f t="shared" si="60"/>
        <v>0</v>
      </c>
      <c r="AV72" s="197" t="s">
        <v>2773</v>
      </c>
      <c r="AW72" s="197" t="s">
        <v>2073</v>
      </c>
      <c r="AX72" s="196" t="s">
        <v>2067</v>
      </c>
      <c r="AZ72" s="195">
        <f t="shared" si="61"/>
        <v>0</v>
      </c>
      <c r="BA72" s="195">
        <f t="shared" si="62"/>
        <v>0</v>
      </c>
      <c r="BB72" s="195">
        <v>0</v>
      </c>
      <c r="BC72" s="195" t="e">
        <f>#REF!</f>
        <v>#REF!</v>
      </c>
      <c r="BE72" s="194">
        <f t="shared" si="63"/>
        <v>0</v>
      </c>
      <c r="BF72" s="194">
        <f t="shared" si="64"/>
        <v>0</v>
      </c>
      <c r="BG72" s="194">
        <f t="shared" si="65"/>
        <v>0</v>
      </c>
    </row>
    <row r="73" spans="1:59">
      <c r="A73" s="369" t="s">
        <v>594</v>
      </c>
      <c r="B73" s="369"/>
      <c r="C73" s="369" t="s">
        <v>2775</v>
      </c>
      <c r="D73" s="369" t="s">
        <v>2774</v>
      </c>
      <c r="E73" s="369" t="s">
        <v>286</v>
      </c>
      <c r="F73" s="370">
        <v>125</v>
      </c>
      <c r="G73" s="355">
        <v>0</v>
      </c>
      <c r="H73" s="370">
        <f t="shared" si="44"/>
        <v>0</v>
      </c>
      <c r="I73" s="370">
        <f t="shared" si="45"/>
        <v>0</v>
      </c>
      <c r="J73" s="370">
        <f t="shared" si="46"/>
        <v>0</v>
      </c>
      <c r="W73" s="195">
        <f t="shared" si="47"/>
        <v>0</v>
      </c>
      <c r="Y73" s="195">
        <f t="shared" si="48"/>
        <v>0</v>
      </c>
      <c r="Z73" s="195">
        <f t="shared" si="49"/>
        <v>0</v>
      </c>
      <c r="AA73" s="195">
        <f t="shared" si="50"/>
        <v>0</v>
      </c>
      <c r="AB73" s="195">
        <f t="shared" si="51"/>
        <v>0</v>
      </c>
      <c r="AC73" s="195">
        <f t="shared" si="52"/>
        <v>0</v>
      </c>
      <c r="AD73" s="195">
        <f t="shared" si="53"/>
        <v>0</v>
      </c>
      <c r="AE73" s="195">
        <f t="shared" si="54"/>
        <v>0</v>
      </c>
      <c r="AF73" s="196"/>
      <c r="AG73" s="194">
        <f t="shared" si="55"/>
        <v>0</v>
      </c>
      <c r="AH73" s="194">
        <f t="shared" si="56"/>
        <v>0</v>
      </c>
      <c r="AI73" s="194">
        <f t="shared" si="57"/>
        <v>0</v>
      </c>
      <c r="AK73" s="195">
        <v>21</v>
      </c>
      <c r="AL73" s="195">
        <f t="shared" si="66"/>
        <v>0</v>
      </c>
      <c r="AM73" s="195">
        <f t="shared" si="67"/>
        <v>0</v>
      </c>
      <c r="AN73" s="198" t="s">
        <v>255</v>
      </c>
      <c r="AS73" s="195">
        <f t="shared" si="58"/>
        <v>0</v>
      </c>
      <c r="AT73" s="195">
        <f t="shared" si="59"/>
        <v>0</v>
      </c>
      <c r="AU73" s="195">
        <f t="shared" si="60"/>
        <v>0</v>
      </c>
      <c r="AV73" s="197" t="s">
        <v>2773</v>
      </c>
      <c r="AW73" s="197" t="s">
        <v>2073</v>
      </c>
      <c r="AX73" s="196" t="s">
        <v>2067</v>
      </c>
      <c r="AZ73" s="195">
        <f t="shared" si="61"/>
        <v>0</v>
      </c>
      <c r="BA73" s="195">
        <f t="shared" si="62"/>
        <v>0</v>
      </c>
      <c r="BB73" s="195">
        <v>0</v>
      </c>
      <c r="BC73" s="195" t="e">
        <f>#REF!</f>
        <v>#REF!</v>
      </c>
      <c r="BE73" s="194">
        <f t="shared" si="63"/>
        <v>0</v>
      </c>
      <c r="BF73" s="194">
        <f t="shared" si="64"/>
        <v>0</v>
      </c>
      <c r="BG73" s="194">
        <f t="shared" si="65"/>
        <v>0</v>
      </c>
    </row>
    <row r="74" spans="1:59">
      <c r="A74" s="371"/>
      <c r="B74" s="372"/>
      <c r="C74" s="372" t="s">
        <v>2772</v>
      </c>
      <c r="D74" s="372" t="s">
        <v>2771</v>
      </c>
      <c r="E74" s="371" t="s">
        <v>27</v>
      </c>
      <c r="F74" s="371" t="s">
        <v>27</v>
      </c>
      <c r="G74" s="356"/>
      <c r="H74" s="386">
        <f>SUM(H75:H108)</f>
        <v>0</v>
      </c>
      <c r="I74" s="386">
        <f>SUM(I75:I108)</f>
        <v>0</v>
      </c>
      <c r="J74" s="386">
        <f>SUM(J75:J108)</f>
        <v>0</v>
      </c>
      <c r="AF74" s="196"/>
      <c r="AP74" s="199">
        <f>SUM(AG75:AG108)</f>
        <v>0</v>
      </c>
      <c r="AQ74" s="199">
        <f>SUM(AH75:AH108)</f>
        <v>0</v>
      </c>
      <c r="AR74" s="199">
        <f>SUM(AI75:AI108)</f>
        <v>0</v>
      </c>
    </row>
    <row r="75" spans="1:59">
      <c r="A75" s="369" t="s">
        <v>600</v>
      </c>
      <c r="B75" s="369"/>
      <c r="C75" s="369" t="s">
        <v>2770</v>
      </c>
      <c r="D75" s="369" t="s">
        <v>2769</v>
      </c>
      <c r="E75" s="369" t="s">
        <v>1766</v>
      </c>
      <c r="F75" s="370">
        <v>1</v>
      </c>
      <c r="G75" s="355">
        <v>0</v>
      </c>
      <c r="H75" s="370">
        <f>F75*AL75</f>
        <v>0</v>
      </c>
      <c r="I75" s="370">
        <f>F75*AM75</f>
        <v>0</v>
      </c>
      <c r="J75" s="370">
        <f>F75*G75</f>
        <v>0</v>
      </c>
      <c r="W75" s="195">
        <f>IF(AN75="5",BG75,0)</f>
        <v>0</v>
      </c>
      <c r="Y75" s="195">
        <f>IF(AN75="1",BE75,0)</f>
        <v>0</v>
      </c>
      <c r="Z75" s="195">
        <f>IF(AN75="1",BF75,0)</f>
        <v>0</v>
      </c>
      <c r="AA75" s="195">
        <f>IF(AN75="7",BE75,0)</f>
        <v>0</v>
      </c>
      <c r="AB75" s="195">
        <f>IF(AN75="7",BF75,0)</f>
        <v>0</v>
      </c>
      <c r="AC75" s="195">
        <f>IF(AN75="2",BE75,0)</f>
        <v>0</v>
      </c>
      <c r="AD75" s="195">
        <f>IF(AN75="2",BF75,0)</f>
        <v>0</v>
      </c>
      <c r="AE75" s="195">
        <f>IF(AN75="0",BG75,0)</f>
        <v>0</v>
      </c>
      <c r="AF75" s="196"/>
      <c r="AG75" s="194">
        <f>IF(AK75=0,J75,0)</f>
        <v>0</v>
      </c>
      <c r="AH75" s="194">
        <f>IF(AK75=15,J75,0)</f>
        <v>0</v>
      </c>
      <c r="AI75" s="194">
        <f>IF(AK75=21,J75,0)</f>
        <v>0</v>
      </c>
      <c r="AK75" s="195">
        <v>21</v>
      </c>
      <c r="AL75" s="195">
        <f>G75*0.902489668206756</f>
        <v>0</v>
      </c>
      <c r="AM75" s="195">
        <f>G75*(1-0.902489668206756)</f>
        <v>0</v>
      </c>
      <c r="AN75" s="198" t="s">
        <v>255</v>
      </c>
      <c r="AS75" s="195">
        <f>AT75+AU75</f>
        <v>0</v>
      </c>
      <c r="AT75" s="195">
        <f>F75*AL75</f>
        <v>0</v>
      </c>
      <c r="AU75" s="195">
        <f>F75*AM75</f>
        <v>0</v>
      </c>
      <c r="AV75" s="197" t="s">
        <v>2719</v>
      </c>
      <c r="AW75" s="197" t="s">
        <v>2073</v>
      </c>
      <c r="AX75" s="196" t="s">
        <v>2067</v>
      </c>
      <c r="AZ75" s="195">
        <f>AT75+AU75</f>
        <v>0</v>
      </c>
      <c r="BA75" s="195">
        <f>G75/(100-BB75)*100</f>
        <v>0</v>
      </c>
      <c r="BB75" s="195">
        <v>0</v>
      </c>
      <c r="BC75" s="195" t="e">
        <f>#REF!</f>
        <v>#REF!</v>
      </c>
      <c r="BE75" s="194">
        <f>F75*AL75</f>
        <v>0</v>
      </c>
      <c r="BF75" s="194">
        <f>F75*AM75</f>
        <v>0</v>
      </c>
      <c r="BG75" s="194">
        <f>F75*G75</f>
        <v>0</v>
      </c>
    </row>
    <row r="76" spans="1:59" ht="216.75">
      <c r="A76" s="375"/>
      <c r="B76" s="375"/>
      <c r="C76" s="375"/>
      <c r="D76" s="376" t="s">
        <v>2768</v>
      </c>
      <c r="E76" s="375"/>
      <c r="F76" s="375"/>
      <c r="G76" s="358">
        <v>0</v>
      </c>
      <c r="H76" s="375"/>
      <c r="I76" s="375"/>
      <c r="J76" s="375"/>
    </row>
    <row r="77" spans="1:59">
      <c r="A77" s="369" t="s">
        <v>606</v>
      </c>
      <c r="B77" s="369"/>
      <c r="C77" s="369" t="s">
        <v>2767</v>
      </c>
      <c r="D77" s="369" t="s">
        <v>2766</v>
      </c>
      <c r="E77" s="369" t="s">
        <v>2353</v>
      </c>
      <c r="F77" s="370">
        <v>3</v>
      </c>
      <c r="G77" s="355">
        <v>0</v>
      </c>
      <c r="H77" s="370">
        <f t="shared" ref="H77:H106" si="68">F77*AL77</f>
        <v>0</v>
      </c>
      <c r="I77" s="370">
        <f t="shared" ref="I77:I106" si="69">F77*AM77</f>
        <v>0</v>
      </c>
      <c r="J77" s="370">
        <f t="shared" ref="J77:J106" si="70">F77*G77</f>
        <v>0</v>
      </c>
      <c r="W77" s="195">
        <f t="shared" ref="W77:W106" si="71">IF(AN77="5",BG77,0)</f>
        <v>0</v>
      </c>
      <c r="Y77" s="195">
        <f t="shared" ref="Y77:Y106" si="72">IF(AN77="1",BE77,0)</f>
        <v>0</v>
      </c>
      <c r="Z77" s="195">
        <f t="shared" ref="Z77:Z106" si="73">IF(AN77="1",BF77,0)</f>
        <v>0</v>
      </c>
      <c r="AA77" s="195">
        <f t="shared" ref="AA77:AA106" si="74">IF(AN77="7",BE77,0)</f>
        <v>0</v>
      </c>
      <c r="AB77" s="195">
        <f t="shared" ref="AB77:AB106" si="75">IF(AN77="7",BF77,0)</f>
        <v>0</v>
      </c>
      <c r="AC77" s="195">
        <f t="shared" ref="AC77:AC106" si="76">IF(AN77="2",BE77,0)</f>
        <v>0</v>
      </c>
      <c r="AD77" s="195">
        <f t="shared" ref="AD77:AD106" si="77">IF(AN77="2",BF77,0)</f>
        <v>0</v>
      </c>
      <c r="AE77" s="195">
        <f t="shared" ref="AE77:AE106" si="78">IF(AN77="0",BG77,0)</f>
        <v>0</v>
      </c>
      <c r="AF77" s="196"/>
      <c r="AG77" s="194">
        <f t="shared" ref="AG77:AG106" si="79">IF(AK77=0,J77,0)</f>
        <v>0</v>
      </c>
      <c r="AH77" s="194">
        <f t="shared" ref="AH77:AH106" si="80">IF(AK77=15,J77,0)</f>
        <v>0</v>
      </c>
      <c r="AI77" s="194">
        <f t="shared" ref="AI77:AI106" si="81">IF(AK77=21,J77,0)</f>
        <v>0</v>
      </c>
      <c r="AK77" s="195">
        <v>21</v>
      </c>
      <c r="AL77" s="195">
        <f>G77*0.892857142857143</f>
        <v>0</v>
      </c>
      <c r="AM77" s="195">
        <f>G77*(1-0.892857142857143)</f>
        <v>0</v>
      </c>
      <c r="AN77" s="198" t="s">
        <v>255</v>
      </c>
      <c r="AS77" s="195">
        <f t="shared" ref="AS77:AS106" si="82">AT77+AU77</f>
        <v>0</v>
      </c>
      <c r="AT77" s="195">
        <f t="shared" ref="AT77:AT106" si="83">F77*AL77</f>
        <v>0</v>
      </c>
      <c r="AU77" s="195">
        <f t="shared" ref="AU77:AU106" si="84">F77*AM77</f>
        <v>0</v>
      </c>
      <c r="AV77" s="197" t="s">
        <v>2719</v>
      </c>
      <c r="AW77" s="197" t="s">
        <v>2073</v>
      </c>
      <c r="AX77" s="196" t="s">
        <v>2067</v>
      </c>
      <c r="AZ77" s="195">
        <f t="shared" ref="AZ77:AZ106" si="85">AT77+AU77</f>
        <v>0</v>
      </c>
      <c r="BA77" s="195">
        <f t="shared" ref="BA77:BA106" si="86">G77/(100-BB77)*100</f>
        <v>0</v>
      </c>
      <c r="BB77" s="195">
        <v>0</v>
      </c>
      <c r="BC77" s="195" t="e">
        <f>#REF!</f>
        <v>#REF!</v>
      </c>
      <c r="BE77" s="194">
        <f t="shared" ref="BE77:BE106" si="87">F77*AL77</f>
        <v>0</v>
      </c>
      <c r="BF77" s="194">
        <f t="shared" ref="BF77:BF106" si="88">F77*AM77</f>
        <v>0</v>
      </c>
      <c r="BG77" s="194">
        <f t="shared" ref="BG77:BG106" si="89">F77*G77</f>
        <v>0</v>
      </c>
    </row>
    <row r="78" spans="1:59">
      <c r="A78" s="369" t="s">
        <v>612</v>
      </c>
      <c r="B78" s="369"/>
      <c r="C78" s="369" t="s">
        <v>2765</v>
      </c>
      <c r="D78" s="369" t="s">
        <v>2764</v>
      </c>
      <c r="E78" s="369" t="s">
        <v>291</v>
      </c>
      <c r="F78" s="370">
        <v>1</v>
      </c>
      <c r="G78" s="355">
        <v>0</v>
      </c>
      <c r="H78" s="370">
        <f t="shared" si="68"/>
        <v>0</v>
      </c>
      <c r="I78" s="370">
        <f t="shared" si="69"/>
        <v>0</v>
      </c>
      <c r="J78" s="370">
        <f t="shared" si="70"/>
        <v>0</v>
      </c>
      <c r="W78" s="195">
        <f t="shared" si="71"/>
        <v>0</v>
      </c>
      <c r="Y78" s="195">
        <f t="shared" si="72"/>
        <v>0</v>
      </c>
      <c r="Z78" s="195">
        <f t="shared" si="73"/>
        <v>0</v>
      </c>
      <c r="AA78" s="195">
        <f t="shared" si="74"/>
        <v>0</v>
      </c>
      <c r="AB78" s="195">
        <f t="shared" si="75"/>
        <v>0</v>
      </c>
      <c r="AC78" s="195">
        <f t="shared" si="76"/>
        <v>0</v>
      </c>
      <c r="AD78" s="195">
        <f t="shared" si="77"/>
        <v>0</v>
      </c>
      <c r="AE78" s="195">
        <f t="shared" si="78"/>
        <v>0</v>
      </c>
      <c r="AF78" s="196"/>
      <c r="AG78" s="194">
        <f t="shared" si="79"/>
        <v>0</v>
      </c>
      <c r="AH78" s="194">
        <f t="shared" si="80"/>
        <v>0</v>
      </c>
      <c r="AI78" s="194">
        <f t="shared" si="81"/>
        <v>0</v>
      </c>
      <c r="AK78" s="195">
        <v>21</v>
      </c>
      <c r="AL78" s="195">
        <f>G78*0.851895467414998</f>
        <v>0</v>
      </c>
      <c r="AM78" s="195">
        <f>G78*(1-0.851895467414998)</f>
        <v>0</v>
      </c>
      <c r="AN78" s="198" t="s">
        <v>255</v>
      </c>
      <c r="AS78" s="195">
        <f t="shared" si="82"/>
        <v>0</v>
      </c>
      <c r="AT78" s="195">
        <f t="shared" si="83"/>
        <v>0</v>
      </c>
      <c r="AU78" s="195">
        <f t="shared" si="84"/>
        <v>0</v>
      </c>
      <c r="AV78" s="197" t="s">
        <v>2719</v>
      </c>
      <c r="AW78" s="197" t="s">
        <v>2073</v>
      </c>
      <c r="AX78" s="196" t="s">
        <v>2067</v>
      </c>
      <c r="AZ78" s="195">
        <f t="shared" si="85"/>
        <v>0</v>
      </c>
      <c r="BA78" s="195">
        <f t="shared" si="86"/>
        <v>0</v>
      </c>
      <c r="BB78" s="195">
        <v>0</v>
      </c>
      <c r="BC78" s="195" t="e">
        <f>#REF!</f>
        <v>#REF!</v>
      </c>
      <c r="BE78" s="194">
        <f t="shared" si="87"/>
        <v>0</v>
      </c>
      <c r="BF78" s="194">
        <f t="shared" si="88"/>
        <v>0</v>
      </c>
      <c r="BG78" s="194">
        <f t="shared" si="89"/>
        <v>0</v>
      </c>
    </row>
    <row r="79" spans="1:59">
      <c r="A79" s="369" t="s">
        <v>620</v>
      </c>
      <c r="B79" s="369"/>
      <c r="C79" s="369" t="s">
        <v>2763</v>
      </c>
      <c r="D79" s="369" t="s">
        <v>2762</v>
      </c>
      <c r="E79" s="369" t="s">
        <v>291</v>
      </c>
      <c r="F79" s="370">
        <v>1</v>
      </c>
      <c r="G79" s="355">
        <v>0</v>
      </c>
      <c r="H79" s="370">
        <f t="shared" si="68"/>
        <v>0</v>
      </c>
      <c r="I79" s="370">
        <f t="shared" si="69"/>
        <v>0</v>
      </c>
      <c r="J79" s="370">
        <f t="shared" si="70"/>
        <v>0</v>
      </c>
      <c r="W79" s="195">
        <f t="shared" si="71"/>
        <v>0</v>
      </c>
      <c r="Y79" s="195">
        <f t="shared" si="72"/>
        <v>0</v>
      </c>
      <c r="Z79" s="195">
        <f t="shared" si="73"/>
        <v>0</v>
      </c>
      <c r="AA79" s="195">
        <f t="shared" si="74"/>
        <v>0</v>
      </c>
      <c r="AB79" s="195">
        <f t="shared" si="75"/>
        <v>0</v>
      </c>
      <c r="AC79" s="195">
        <f t="shared" si="76"/>
        <v>0</v>
      </c>
      <c r="AD79" s="195">
        <f t="shared" si="77"/>
        <v>0</v>
      </c>
      <c r="AE79" s="195">
        <f t="shared" si="78"/>
        <v>0</v>
      </c>
      <c r="AF79" s="196"/>
      <c r="AG79" s="194">
        <f t="shared" si="79"/>
        <v>0</v>
      </c>
      <c r="AH79" s="194">
        <f t="shared" si="80"/>
        <v>0</v>
      </c>
      <c r="AI79" s="194">
        <f t="shared" si="81"/>
        <v>0</v>
      </c>
      <c r="AK79" s="195">
        <v>21</v>
      </c>
      <c r="AL79" s="195">
        <f>G79*0.943102451176654</f>
        <v>0</v>
      </c>
      <c r="AM79" s="195">
        <f>G79*(1-0.943102451176654)</f>
        <v>0</v>
      </c>
      <c r="AN79" s="198" t="s">
        <v>255</v>
      </c>
      <c r="AS79" s="195">
        <f t="shared" si="82"/>
        <v>0</v>
      </c>
      <c r="AT79" s="195">
        <f t="shared" si="83"/>
        <v>0</v>
      </c>
      <c r="AU79" s="195">
        <f t="shared" si="84"/>
        <v>0</v>
      </c>
      <c r="AV79" s="197" t="s">
        <v>2719</v>
      </c>
      <c r="AW79" s="197" t="s">
        <v>2073</v>
      </c>
      <c r="AX79" s="196" t="s">
        <v>2067</v>
      </c>
      <c r="AZ79" s="195">
        <f t="shared" si="85"/>
        <v>0</v>
      </c>
      <c r="BA79" s="195">
        <f t="shared" si="86"/>
        <v>0</v>
      </c>
      <c r="BB79" s="195">
        <v>0</v>
      </c>
      <c r="BC79" s="195" t="e">
        <f>#REF!</f>
        <v>#REF!</v>
      </c>
      <c r="BE79" s="194">
        <f t="shared" si="87"/>
        <v>0</v>
      </c>
      <c r="BF79" s="194">
        <f t="shared" si="88"/>
        <v>0</v>
      </c>
      <c r="BG79" s="194">
        <f t="shared" si="89"/>
        <v>0</v>
      </c>
    </row>
    <row r="80" spans="1:59">
      <c r="A80" s="369" t="s">
        <v>626</v>
      </c>
      <c r="B80" s="369"/>
      <c r="C80" s="369" t="s">
        <v>2761</v>
      </c>
      <c r="D80" s="369" t="s">
        <v>2760</v>
      </c>
      <c r="E80" s="369" t="s">
        <v>291</v>
      </c>
      <c r="F80" s="370">
        <v>1</v>
      </c>
      <c r="G80" s="355">
        <v>0</v>
      </c>
      <c r="H80" s="370">
        <f t="shared" si="68"/>
        <v>0</v>
      </c>
      <c r="I80" s="370">
        <f t="shared" si="69"/>
        <v>0</v>
      </c>
      <c r="J80" s="370">
        <f t="shared" si="70"/>
        <v>0</v>
      </c>
      <c r="W80" s="195">
        <f t="shared" si="71"/>
        <v>0</v>
      </c>
      <c r="Y80" s="195">
        <f t="shared" si="72"/>
        <v>0</v>
      </c>
      <c r="Z80" s="195">
        <f t="shared" si="73"/>
        <v>0</v>
      </c>
      <c r="AA80" s="195">
        <f t="shared" si="74"/>
        <v>0</v>
      </c>
      <c r="AB80" s="195">
        <f t="shared" si="75"/>
        <v>0</v>
      </c>
      <c r="AC80" s="195">
        <f t="shared" si="76"/>
        <v>0</v>
      </c>
      <c r="AD80" s="195">
        <f t="shared" si="77"/>
        <v>0</v>
      </c>
      <c r="AE80" s="195">
        <f t="shared" si="78"/>
        <v>0</v>
      </c>
      <c r="AF80" s="196"/>
      <c r="AG80" s="194">
        <f t="shared" si="79"/>
        <v>0</v>
      </c>
      <c r="AH80" s="194">
        <f t="shared" si="80"/>
        <v>0</v>
      </c>
      <c r="AI80" s="194">
        <f t="shared" si="81"/>
        <v>0</v>
      </c>
      <c r="AK80" s="195">
        <v>21</v>
      </c>
      <c r="AL80" s="195">
        <f>G80*0.874243443174176</f>
        <v>0</v>
      </c>
      <c r="AM80" s="195">
        <f>G80*(1-0.874243443174176)</f>
        <v>0</v>
      </c>
      <c r="AN80" s="198" t="s">
        <v>255</v>
      </c>
      <c r="AS80" s="195">
        <f t="shared" si="82"/>
        <v>0</v>
      </c>
      <c r="AT80" s="195">
        <f t="shared" si="83"/>
        <v>0</v>
      </c>
      <c r="AU80" s="195">
        <f t="shared" si="84"/>
        <v>0</v>
      </c>
      <c r="AV80" s="197" t="s">
        <v>2719</v>
      </c>
      <c r="AW80" s="197" t="s">
        <v>2073</v>
      </c>
      <c r="AX80" s="196" t="s">
        <v>2067</v>
      </c>
      <c r="AZ80" s="195">
        <f t="shared" si="85"/>
        <v>0</v>
      </c>
      <c r="BA80" s="195">
        <f t="shared" si="86"/>
        <v>0</v>
      </c>
      <c r="BB80" s="195">
        <v>0</v>
      </c>
      <c r="BC80" s="195" t="e">
        <f>#REF!</f>
        <v>#REF!</v>
      </c>
      <c r="BE80" s="194">
        <f t="shared" si="87"/>
        <v>0</v>
      </c>
      <c r="BF80" s="194">
        <f t="shared" si="88"/>
        <v>0</v>
      </c>
      <c r="BG80" s="194">
        <f t="shared" si="89"/>
        <v>0</v>
      </c>
    </row>
    <row r="81" spans="1:59">
      <c r="A81" s="369" t="s">
        <v>630</v>
      </c>
      <c r="B81" s="369"/>
      <c r="C81" s="369" t="s">
        <v>2759</v>
      </c>
      <c r="D81" s="369" t="s">
        <v>2758</v>
      </c>
      <c r="E81" s="369" t="s">
        <v>1766</v>
      </c>
      <c r="F81" s="370">
        <v>1</v>
      </c>
      <c r="G81" s="355">
        <v>0</v>
      </c>
      <c r="H81" s="370">
        <f t="shared" si="68"/>
        <v>0</v>
      </c>
      <c r="I81" s="370">
        <f t="shared" si="69"/>
        <v>0</v>
      </c>
      <c r="J81" s="370">
        <f t="shared" si="70"/>
        <v>0</v>
      </c>
      <c r="W81" s="195">
        <f t="shared" si="71"/>
        <v>0</v>
      </c>
      <c r="Y81" s="195">
        <f t="shared" si="72"/>
        <v>0</v>
      </c>
      <c r="Z81" s="195">
        <f t="shared" si="73"/>
        <v>0</v>
      </c>
      <c r="AA81" s="195">
        <f t="shared" si="74"/>
        <v>0</v>
      </c>
      <c r="AB81" s="195">
        <f t="shared" si="75"/>
        <v>0</v>
      </c>
      <c r="AC81" s="195">
        <f t="shared" si="76"/>
        <v>0</v>
      </c>
      <c r="AD81" s="195">
        <f t="shared" si="77"/>
        <v>0</v>
      </c>
      <c r="AE81" s="195">
        <f t="shared" si="78"/>
        <v>0</v>
      </c>
      <c r="AF81" s="196"/>
      <c r="AG81" s="194">
        <f t="shared" si="79"/>
        <v>0</v>
      </c>
      <c r="AH81" s="194">
        <f t="shared" si="80"/>
        <v>0</v>
      </c>
      <c r="AI81" s="194">
        <f t="shared" si="81"/>
        <v>0</v>
      </c>
      <c r="AK81" s="195">
        <v>21</v>
      </c>
      <c r="AL81" s="195">
        <f>G81*0.678562452877607</f>
        <v>0</v>
      </c>
      <c r="AM81" s="195">
        <f>G81*(1-0.678562452877607)</f>
        <v>0</v>
      </c>
      <c r="AN81" s="198" t="s">
        <v>255</v>
      </c>
      <c r="AS81" s="195">
        <f t="shared" si="82"/>
        <v>0</v>
      </c>
      <c r="AT81" s="195">
        <f t="shared" si="83"/>
        <v>0</v>
      </c>
      <c r="AU81" s="195">
        <f t="shared" si="84"/>
        <v>0</v>
      </c>
      <c r="AV81" s="197" t="s">
        <v>2719</v>
      </c>
      <c r="AW81" s="197" t="s">
        <v>2073</v>
      </c>
      <c r="AX81" s="196" t="s">
        <v>2067</v>
      </c>
      <c r="AZ81" s="195">
        <f t="shared" si="85"/>
        <v>0</v>
      </c>
      <c r="BA81" s="195">
        <f t="shared" si="86"/>
        <v>0</v>
      </c>
      <c r="BB81" s="195">
        <v>0</v>
      </c>
      <c r="BC81" s="195" t="e">
        <f>#REF!</f>
        <v>#REF!</v>
      </c>
      <c r="BE81" s="194">
        <f t="shared" si="87"/>
        <v>0</v>
      </c>
      <c r="BF81" s="194">
        <f t="shared" si="88"/>
        <v>0</v>
      </c>
      <c r="BG81" s="194">
        <f t="shared" si="89"/>
        <v>0</v>
      </c>
    </row>
    <row r="82" spans="1:59">
      <c r="A82" s="369" t="s">
        <v>634</v>
      </c>
      <c r="B82" s="369"/>
      <c r="C82" s="369" t="s">
        <v>2757</v>
      </c>
      <c r="D82" s="369" t="s">
        <v>2756</v>
      </c>
      <c r="E82" s="369" t="s">
        <v>291</v>
      </c>
      <c r="F82" s="370">
        <v>3</v>
      </c>
      <c r="G82" s="355">
        <v>0</v>
      </c>
      <c r="H82" s="370">
        <f t="shared" si="68"/>
        <v>0</v>
      </c>
      <c r="I82" s="370">
        <f t="shared" si="69"/>
        <v>0</v>
      </c>
      <c r="J82" s="370">
        <f t="shared" si="70"/>
        <v>0</v>
      </c>
      <c r="W82" s="195">
        <f t="shared" si="71"/>
        <v>0</v>
      </c>
      <c r="Y82" s="195">
        <f t="shared" si="72"/>
        <v>0</v>
      </c>
      <c r="Z82" s="195">
        <f t="shared" si="73"/>
        <v>0</v>
      </c>
      <c r="AA82" s="195">
        <f t="shared" si="74"/>
        <v>0</v>
      </c>
      <c r="AB82" s="195">
        <f t="shared" si="75"/>
        <v>0</v>
      </c>
      <c r="AC82" s="195">
        <f t="shared" si="76"/>
        <v>0</v>
      </c>
      <c r="AD82" s="195">
        <f t="shared" si="77"/>
        <v>0</v>
      </c>
      <c r="AE82" s="195">
        <f t="shared" si="78"/>
        <v>0</v>
      </c>
      <c r="AF82" s="196"/>
      <c r="AG82" s="194">
        <f t="shared" si="79"/>
        <v>0</v>
      </c>
      <c r="AH82" s="194">
        <f t="shared" si="80"/>
        <v>0</v>
      </c>
      <c r="AI82" s="194">
        <f t="shared" si="81"/>
        <v>0</v>
      </c>
      <c r="AK82" s="195">
        <v>21</v>
      </c>
      <c r="AL82" s="195">
        <f>G82*0</f>
        <v>0</v>
      </c>
      <c r="AM82" s="195">
        <f>G82*(1-0)</f>
        <v>0</v>
      </c>
      <c r="AN82" s="198" t="s">
        <v>255</v>
      </c>
      <c r="AS82" s="195">
        <f t="shared" si="82"/>
        <v>0</v>
      </c>
      <c r="AT82" s="195">
        <f t="shared" si="83"/>
        <v>0</v>
      </c>
      <c r="AU82" s="195">
        <f t="shared" si="84"/>
        <v>0</v>
      </c>
      <c r="AV82" s="197" t="s">
        <v>2719</v>
      </c>
      <c r="AW82" s="197" t="s">
        <v>2073</v>
      </c>
      <c r="AX82" s="196" t="s">
        <v>2067</v>
      </c>
      <c r="AZ82" s="195">
        <f t="shared" si="85"/>
        <v>0</v>
      </c>
      <c r="BA82" s="195">
        <f t="shared" si="86"/>
        <v>0</v>
      </c>
      <c r="BB82" s="195">
        <v>0</v>
      </c>
      <c r="BC82" s="195" t="e">
        <f>#REF!</f>
        <v>#REF!</v>
      </c>
      <c r="BE82" s="194">
        <f t="shared" si="87"/>
        <v>0</v>
      </c>
      <c r="BF82" s="194">
        <f t="shared" si="88"/>
        <v>0</v>
      </c>
      <c r="BG82" s="194">
        <f t="shared" si="89"/>
        <v>0</v>
      </c>
    </row>
    <row r="83" spans="1:59">
      <c r="A83" s="373" t="s">
        <v>642</v>
      </c>
      <c r="B83" s="373"/>
      <c r="C83" s="373" t="s">
        <v>2755</v>
      </c>
      <c r="D83" s="373" t="s">
        <v>2754</v>
      </c>
      <c r="E83" s="373" t="s">
        <v>291</v>
      </c>
      <c r="F83" s="374">
        <v>1</v>
      </c>
      <c r="G83" s="357">
        <v>0</v>
      </c>
      <c r="H83" s="374">
        <f t="shared" si="68"/>
        <v>0</v>
      </c>
      <c r="I83" s="374">
        <f t="shared" si="69"/>
        <v>0</v>
      </c>
      <c r="J83" s="374">
        <f t="shared" si="70"/>
        <v>0</v>
      </c>
      <c r="W83" s="195">
        <f t="shared" si="71"/>
        <v>0</v>
      </c>
      <c r="Y83" s="195">
        <f t="shared" si="72"/>
        <v>0</v>
      </c>
      <c r="Z83" s="195">
        <f t="shared" si="73"/>
        <v>0</v>
      </c>
      <c r="AA83" s="195">
        <f t="shared" si="74"/>
        <v>0</v>
      </c>
      <c r="AB83" s="195">
        <f t="shared" si="75"/>
        <v>0</v>
      </c>
      <c r="AC83" s="195">
        <f t="shared" si="76"/>
        <v>0</v>
      </c>
      <c r="AD83" s="195">
        <f t="shared" si="77"/>
        <v>0</v>
      </c>
      <c r="AE83" s="195">
        <f t="shared" si="78"/>
        <v>0</v>
      </c>
      <c r="AF83" s="196"/>
      <c r="AG83" s="200">
        <f t="shared" si="79"/>
        <v>0</v>
      </c>
      <c r="AH83" s="200">
        <f t="shared" si="80"/>
        <v>0</v>
      </c>
      <c r="AI83" s="200">
        <f t="shared" si="81"/>
        <v>0</v>
      </c>
      <c r="AK83" s="195">
        <v>21</v>
      </c>
      <c r="AL83" s="195">
        <f>G83*1</f>
        <v>0</v>
      </c>
      <c r="AM83" s="195">
        <f>G83*(1-1)</f>
        <v>0</v>
      </c>
      <c r="AN83" s="201" t="s">
        <v>255</v>
      </c>
      <c r="AS83" s="195">
        <f t="shared" si="82"/>
        <v>0</v>
      </c>
      <c r="AT83" s="195">
        <f t="shared" si="83"/>
        <v>0</v>
      </c>
      <c r="AU83" s="195">
        <f t="shared" si="84"/>
        <v>0</v>
      </c>
      <c r="AV83" s="197" t="s">
        <v>2719</v>
      </c>
      <c r="AW83" s="197" t="s">
        <v>2073</v>
      </c>
      <c r="AX83" s="196" t="s">
        <v>2067</v>
      </c>
      <c r="AZ83" s="195">
        <f t="shared" si="85"/>
        <v>0</v>
      </c>
      <c r="BA83" s="195">
        <f t="shared" si="86"/>
        <v>0</v>
      </c>
      <c r="BB83" s="195">
        <v>0</v>
      </c>
      <c r="BC83" s="195" t="e">
        <f>#REF!</f>
        <v>#REF!</v>
      </c>
      <c r="BE83" s="200">
        <f t="shared" si="87"/>
        <v>0</v>
      </c>
      <c r="BF83" s="200">
        <f t="shared" si="88"/>
        <v>0</v>
      </c>
      <c r="BG83" s="200">
        <f t="shared" si="89"/>
        <v>0</v>
      </c>
    </row>
    <row r="84" spans="1:59">
      <c r="A84" s="373" t="s">
        <v>648</v>
      </c>
      <c r="B84" s="373"/>
      <c r="C84" s="373" t="s">
        <v>2753</v>
      </c>
      <c r="D84" s="373" t="s">
        <v>2752</v>
      </c>
      <c r="E84" s="373" t="s">
        <v>291</v>
      </c>
      <c r="F84" s="374">
        <v>2</v>
      </c>
      <c r="G84" s="357">
        <v>0</v>
      </c>
      <c r="H84" s="374">
        <f t="shared" si="68"/>
        <v>0</v>
      </c>
      <c r="I84" s="374">
        <f t="shared" si="69"/>
        <v>0</v>
      </c>
      <c r="J84" s="374">
        <f t="shared" si="70"/>
        <v>0</v>
      </c>
      <c r="W84" s="195">
        <f t="shared" si="71"/>
        <v>0</v>
      </c>
      <c r="Y84" s="195">
        <f t="shared" si="72"/>
        <v>0</v>
      </c>
      <c r="Z84" s="195">
        <f t="shared" si="73"/>
        <v>0</v>
      </c>
      <c r="AA84" s="195">
        <f t="shared" si="74"/>
        <v>0</v>
      </c>
      <c r="AB84" s="195">
        <f t="shared" si="75"/>
        <v>0</v>
      </c>
      <c r="AC84" s="195">
        <f t="shared" si="76"/>
        <v>0</v>
      </c>
      <c r="AD84" s="195">
        <f t="shared" si="77"/>
        <v>0</v>
      </c>
      <c r="AE84" s="195">
        <f t="shared" si="78"/>
        <v>0</v>
      </c>
      <c r="AF84" s="196"/>
      <c r="AG84" s="200">
        <f t="shared" si="79"/>
        <v>0</v>
      </c>
      <c r="AH84" s="200">
        <f t="shared" si="80"/>
        <v>0</v>
      </c>
      <c r="AI84" s="200">
        <f t="shared" si="81"/>
        <v>0</v>
      </c>
      <c r="AK84" s="195">
        <v>21</v>
      </c>
      <c r="AL84" s="195">
        <f>G84*1</f>
        <v>0</v>
      </c>
      <c r="AM84" s="195">
        <f>G84*(1-1)</f>
        <v>0</v>
      </c>
      <c r="AN84" s="201" t="s">
        <v>255</v>
      </c>
      <c r="AS84" s="195">
        <f t="shared" si="82"/>
        <v>0</v>
      </c>
      <c r="AT84" s="195">
        <f t="shared" si="83"/>
        <v>0</v>
      </c>
      <c r="AU84" s="195">
        <f t="shared" si="84"/>
        <v>0</v>
      </c>
      <c r="AV84" s="197" t="s">
        <v>2719</v>
      </c>
      <c r="AW84" s="197" t="s">
        <v>2073</v>
      </c>
      <c r="AX84" s="196" t="s">
        <v>2067</v>
      </c>
      <c r="AZ84" s="195">
        <f t="shared" si="85"/>
        <v>0</v>
      </c>
      <c r="BA84" s="195">
        <f t="shared" si="86"/>
        <v>0</v>
      </c>
      <c r="BB84" s="195">
        <v>0</v>
      </c>
      <c r="BC84" s="195" t="e">
        <f>#REF!</f>
        <v>#REF!</v>
      </c>
      <c r="BE84" s="200">
        <f t="shared" si="87"/>
        <v>0</v>
      </c>
      <c r="BF84" s="200">
        <f t="shared" si="88"/>
        <v>0</v>
      </c>
      <c r="BG84" s="200">
        <f t="shared" si="89"/>
        <v>0</v>
      </c>
    </row>
    <row r="85" spans="1:59">
      <c r="A85" s="369" t="s">
        <v>655</v>
      </c>
      <c r="B85" s="369"/>
      <c r="C85" s="369" t="s">
        <v>2751</v>
      </c>
      <c r="D85" s="369" t="s">
        <v>2750</v>
      </c>
      <c r="E85" s="369" t="s">
        <v>291</v>
      </c>
      <c r="F85" s="370">
        <v>4</v>
      </c>
      <c r="G85" s="355">
        <v>0</v>
      </c>
      <c r="H85" s="370">
        <f t="shared" si="68"/>
        <v>0</v>
      </c>
      <c r="I85" s="370">
        <f t="shared" si="69"/>
        <v>0</v>
      </c>
      <c r="J85" s="370">
        <f t="shared" si="70"/>
        <v>0</v>
      </c>
      <c r="W85" s="195">
        <f t="shared" si="71"/>
        <v>0</v>
      </c>
      <c r="Y85" s="195">
        <f t="shared" si="72"/>
        <v>0</v>
      </c>
      <c r="Z85" s="195">
        <f t="shared" si="73"/>
        <v>0</v>
      </c>
      <c r="AA85" s="195">
        <f t="shared" si="74"/>
        <v>0</v>
      </c>
      <c r="AB85" s="195">
        <f t="shared" si="75"/>
        <v>0</v>
      </c>
      <c r="AC85" s="195">
        <f t="shared" si="76"/>
        <v>0</v>
      </c>
      <c r="AD85" s="195">
        <f t="shared" si="77"/>
        <v>0</v>
      </c>
      <c r="AE85" s="195">
        <f t="shared" si="78"/>
        <v>0</v>
      </c>
      <c r="AF85" s="196"/>
      <c r="AG85" s="194">
        <f t="shared" si="79"/>
        <v>0</v>
      </c>
      <c r="AH85" s="194">
        <f t="shared" si="80"/>
        <v>0</v>
      </c>
      <c r="AI85" s="194">
        <f t="shared" si="81"/>
        <v>0</v>
      </c>
      <c r="AK85" s="195">
        <v>21</v>
      </c>
      <c r="AL85" s="195">
        <f>G85*0</f>
        <v>0</v>
      </c>
      <c r="AM85" s="195">
        <f>G85*(1-0)</f>
        <v>0</v>
      </c>
      <c r="AN85" s="198" t="s">
        <v>255</v>
      </c>
      <c r="AS85" s="195">
        <f t="shared" si="82"/>
        <v>0</v>
      </c>
      <c r="AT85" s="195">
        <f t="shared" si="83"/>
        <v>0</v>
      </c>
      <c r="AU85" s="195">
        <f t="shared" si="84"/>
        <v>0</v>
      </c>
      <c r="AV85" s="197" t="s">
        <v>2719</v>
      </c>
      <c r="AW85" s="197" t="s">
        <v>2073</v>
      </c>
      <c r="AX85" s="196" t="s">
        <v>2067</v>
      </c>
      <c r="AZ85" s="195">
        <f t="shared" si="85"/>
        <v>0</v>
      </c>
      <c r="BA85" s="195">
        <f t="shared" si="86"/>
        <v>0</v>
      </c>
      <c r="BB85" s="195">
        <v>0</v>
      </c>
      <c r="BC85" s="195" t="e">
        <f>#REF!</f>
        <v>#REF!</v>
      </c>
      <c r="BE85" s="194">
        <f t="shared" si="87"/>
        <v>0</v>
      </c>
      <c r="BF85" s="194">
        <f t="shared" si="88"/>
        <v>0</v>
      </c>
      <c r="BG85" s="194">
        <f t="shared" si="89"/>
        <v>0</v>
      </c>
    </row>
    <row r="86" spans="1:59">
      <c r="A86" s="373" t="s">
        <v>661</v>
      </c>
      <c r="B86" s="373"/>
      <c r="C86" s="373" t="s">
        <v>2749</v>
      </c>
      <c r="D86" s="373" t="s">
        <v>2748</v>
      </c>
      <c r="E86" s="373" t="s">
        <v>291</v>
      </c>
      <c r="F86" s="374">
        <v>4</v>
      </c>
      <c r="G86" s="357">
        <v>0</v>
      </c>
      <c r="H86" s="374">
        <f t="shared" si="68"/>
        <v>0</v>
      </c>
      <c r="I86" s="374">
        <f t="shared" si="69"/>
        <v>0</v>
      </c>
      <c r="J86" s="374">
        <f t="shared" si="70"/>
        <v>0</v>
      </c>
      <c r="W86" s="195">
        <f t="shared" si="71"/>
        <v>0</v>
      </c>
      <c r="Y86" s="195">
        <f t="shared" si="72"/>
        <v>0</v>
      </c>
      <c r="Z86" s="195">
        <f t="shared" si="73"/>
        <v>0</v>
      </c>
      <c r="AA86" s="195">
        <f t="shared" si="74"/>
        <v>0</v>
      </c>
      <c r="AB86" s="195">
        <f t="shared" si="75"/>
        <v>0</v>
      </c>
      <c r="AC86" s="195">
        <f t="shared" si="76"/>
        <v>0</v>
      </c>
      <c r="AD86" s="195">
        <f t="shared" si="77"/>
        <v>0</v>
      </c>
      <c r="AE86" s="195">
        <f t="shared" si="78"/>
        <v>0</v>
      </c>
      <c r="AF86" s="196"/>
      <c r="AG86" s="200">
        <f t="shared" si="79"/>
        <v>0</v>
      </c>
      <c r="AH86" s="200">
        <f t="shared" si="80"/>
        <v>0</v>
      </c>
      <c r="AI86" s="200">
        <f t="shared" si="81"/>
        <v>0</v>
      </c>
      <c r="AK86" s="195">
        <v>21</v>
      </c>
      <c r="AL86" s="195">
        <f>G86*1</f>
        <v>0</v>
      </c>
      <c r="AM86" s="195">
        <f>G86*(1-1)</f>
        <v>0</v>
      </c>
      <c r="AN86" s="201" t="s">
        <v>255</v>
      </c>
      <c r="AS86" s="195">
        <f t="shared" si="82"/>
        <v>0</v>
      </c>
      <c r="AT86" s="195">
        <f t="shared" si="83"/>
        <v>0</v>
      </c>
      <c r="AU86" s="195">
        <f t="shared" si="84"/>
        <v>0</v>
      </c>
      <c r="AV86" s="197" t="s">
        <v>2719</v>
      </c>
      <c r="AW86" s="197" t="s">
        <v>2073</v>
      </c>
      <c r="AX86" s="196" t="s">
        <v>2067</v>
      </c>
      <c r="AZ86" s="195">
        <f t="shared" si="85"/>
        <v>0</v>
      </c>
      <c r="BA86" s="195">
        <f t="shared" si="86"/>
        <v>0</v>
      </c>
      <c r="BB86" s="195">
        <v>0</v>
      </c>
      <c r="BC86" s="195" t="e">
        <f>#REF!</f>
        <v>#REF!</v>
      </c>
      <c r="BE86" s="200">
        <f t="shared" si="87"/>
        <v>0</v>
      </c>
      <c r="BF86" s="200">
        <f t="shared" si="88"/>
        <v>0</v>
      </c>
      <c r="BG86" s="200">
        <f t="shared" si="89"/>
        <v>0</v>
      </c>
    </row>
    <row r="87" spans="1:59">
      <c r="A87" s="369" t="s">
        <v>666</v>
      </c>
      <c r="B87" s="369"/>
      <c r="C87" s="369" t="s">
        <v>2747</v>
      </c>
      <c r="D87" s="369" t="s">
        <v>2746</v>
      </c>
      <c r="E87" s="369" t="s">
        <v>291</v>
      </c>
      <c r="F87" s="370">
        <v>6</v>
      </c>
      <c r="G87" s="355">
        <v>0</v>
      </c>
      <c r="H87" s="370">
        <f t="shared" si="68"/>
        <v>0</v>
      </c>
      <c r="I87" s="370">
        <f t="shared" si="69"/>
        <v>0</v>
      </c>
      <c r="J87" s="370">
        <f t="shared" si="70"/>
        <v>0</v>
      </c>
      <c r="W87" s="195">
        <f t="shared" si="71"/>
        <v>0</v>
      </c>
      <c r="Y87" s="195">
        <f t="shared" si="72"/>
        <v>0</v>
      </c>
      <c r="Z87" s="195">
        <f t="shared" si="73"/>
        <v>0</v>
      </c>
      <c r="AA87" s="195">
        <f t="shared" si="74"/>
        <v>0</v>
      </c>
      <c r="AB87" s="195">
        <f t="shared" si="75"/>
        <v>0</v>
      </c>
      <c r="AC87" s="195">
        <f t="shared" si="76"/>
        <v>0</v>
      </c>
      <c r="AD87" s="195">
        <f t="shared" si="77"/>
        <v>0</v>
      </c>
      <c r="AE87" s="195">
        <f t="shared" si="78"/>
        <v>0</v>
      </c>
      <c r="AF87" s="196"/>
      <c r="AG87" s="194">
        <f t="shared" si="79"/>
        <v>0</v>
      </c>
      <c r="AH87" s="194">
        <f t="shared" si="80"/>
        <v>0</v>
      </c>
      <c r="AI87" s="194">
        <f t="shared" si="81"/>
        <v>0</v>
      </c>
      <c r="AK87" s="195">
        <v>21</v>
      </c>
      <c r="AL87" s="195">
        <f>G87*0</f>
        <v>0</v>
      </c>
      <c r="AM87" s="195">
        <f>G87*(1-0)</f>
        <v>0</v>
      </c>
      <c r="AN87" s="198" t="s">
        <v>255</v>
      </c>
      <c r="AS87" s="195">
        <f t="shared" si="82"/>
        <v>0</v>
      </c>
      <c r="AT87" s="195">
        <f t="shared" si="83"/>
        <v>0</v>
      </c>
      <c r="AU87" s="195">
        <f t="shared" si="84"/>
        <v>0</v>
      </c>
      <c r="AV87" s="197" t="s">
        <v>2719</v>
      </c>
      <c r="AW87" s="197" t="s">
        <v>2073</v>
      </c>
      <c r="AX87" s="196" t="s">
        <v>2067</v>
      </c>
      <c r="AZ87" s="195">
        <f t="shared" si="85"/>
        <v>0</v>
      </c>
      <c r="BA87" s="195">
        <f t="shared" si="86"/>
        <v>0</v>
      </c>
      <c r="BB87" s="195">
        <v>0</v>
      </c>
      <c r="BC87" s="195" t="e">
        <f>#REF!</f>
        <v>#REF!</v>
      </c>
      <c r="BE87" s="194">
        <f t="shared" si="87"/>
        <v>0</v>
      </c>
      <c r="BF87" s="194">
        <f t="shared" si="88"/>
        <v>0</v>
      </c>
      <c r="BG87" s="194">
        <f t="shared" si="89"/>
        <v>0</v>
      </c>
    </row>
    <row r="88" spans="1:59">
      <c r="A88" s="373" t="s">
        <v>670</v>
      </c>
      <c r="B88" s="373"/>
      <c r="C88" s="373" t="s">
        <v>2745</v>
      </c>
      <c r="D88" s="373" t="s">
        <v>2744</v>
      </c>
      <c r="E88" s="373" t="s">
        <v>291</v>
      </c>
      <c r="F88" s="374">
        <v>4</v>
      </c>
      <c r="G88" s="357">
        <v>0</v>
      </c>
      <c r="H88" s="374">
        <f t="shared" si="68"/>
        <v>0</v>
      </c>
      <c r="I88" s="374">
        <f t="shared" si="69"/>
        <v>0</v>
      </c>
      <c r="J88" s="374">
        <f t="shared" si="70"/>
        <v>0</v>
      </c>
      <c r="W88" s="195">
        <f t="shared" si="71"/>
        <v>0</v>
      </c>
      <c r="Y88" s="195">
        <f t="shared" si="72"/>
        <v>0</v>
      </c>
      <c r="Z88" s="195">
        <f t="shared" si="73"/>
        <v>0</v>
      </c>
      <c r="AA88" s="195">
        <f t="shared" si="74"/>
        <v>0</v>
      </c>
      <c r="AB88" s="195">
        <f t="shared" si="75"/>
        <v>0</v>
      </c>
      <c r="AC88" s="195">
        <f t="shared" si="76"/>
        <v>0</v>
      </c>
      <c r="AD88" s="195">
        <f t="shared" si="77"/>
        <v>0</v>
      </c>
      <c r="AE88" s="195">
        <f t="shared" si="78"/>
        <v>0</v>
      </c>
      <c r="AF88" s="196"/>
      <c r="AG88" s="200">
        <f t="shared" si="79"/>
        <v>0</v>
      </c>
      <c r="AH88" s="200">
        <f t="shared" si="80"/>
        <v>0</v>
      </c>
      <c r="AI88" s="200">
        <f t="shared" si="81"/>
        <v>0</v>
      </c>
      <c r="AK88" s="195">
        <v>21</v>
      </c>
      <c r="AL88" s="195">
        <f>G88*1</f>
        <v>0</v>
      </c>
      <c r="AM88" s="195">
        <f>G88*(1-1)</f>
        <v>0</v>
      </c>
      <c r="AN88" s="201" t="s">
        <v>255</v>
      </c>
      <c r="AS88" s="195">
        <f t="shared" si="82"/>
        <v>0</v>
      </c>
      <c r="AT88" s="195">
        <f t="shared" si="83"/>
        <v>0</v>
      </c>
      <c r="AU88" s="195">
        <f t="shared" si="84"/>
        <v>0</v>
      </c>
      <c r="AV88" s="197" t="s">
        <v>2719</v>
      </c>
      <c r="AW88" s="197" t="s">
        <v>2073</v>
      </c>
      <c r="AX88" s="196" t="s">
        <v>2067</v>
      </c>
      <c r="AZ88" s="195">
        <f t="shared" si="85"/>
        <v>0</v>
      </c>
      <c r="BA88" s="195">
        <f t="shared" si="86"/>
        <v>0</v>
      </c>
      <c r="BB88" s="195">
        <v>0</v>
      </c>
      <c r="BC88" s="195" t="e">
        <f>#REF!</f>
        <v>#REF!</v>
      </c>
      <c r="BE88" s="200">
        <f t="shared" si="87"/>
        <v>0</v>
      </c>
      <c r="BF88" s="200">
        <f t="shared" si="88"/>
        <v>0</v>
      </c>
      <c r="BG88" s="200">
        <f t="shared" si="89"/>
        <v>0</v>
      </c>
    </row>
    <row r="89" spans="1:59">
      <c r="A89" s="373" t="s">
        <v>678</v>
      </c>
      <c r="B89" s="373"/>
      <c r="C89" s="373" t="s">
        <v>2743</v>
      </c>
      <c r="D89" s="373" t="s">
        <v>2742</v>
      </c>
      <c r="E89" s="373" t="s">
        <v>291</v>
      </c>
      <c r="F89" s="374">
        <v>1</v>
      </c>
      <c r="G89" s="357">
        <v>0</v>
      </c>
      <c r="H89" s="374">
        <f t="shared" si="68"/>
        <v>0</v>
      </c>
      <c r="I89" s="374">
        <f t="shared" si="69"/>
        <v>0</v>
      </c>
      <c r="J89" s="374">
        <f t="shared" si="70"/>
        <v>0</v>
      </c>
      <c r="W89" s="195">
        <f t="shared" si="71"/>
        <v>0</v>
      </c>
      <c r="Y89" s="195">
        <f t="shared" si="72"/>
        <v>0</v>
      </c>
      <c r="Z89" s="195">
        <f t="shared" si="73"/>
        <v>0</v>
      </c>
      <c r="AA89" s="195">
        <f t="shared" si="74"/>
        <v>0</v>
      </c>
      <c r="AB89" s="195">
        <f t="shared" si="75"/>
        <v>0</v>
      </c>
      <c r="AC89" s="195">
        <f t="shared" si="76"/>
        <v>0</v>
      </c>
      <c r="AD89" s="195">
        <f t="shared" si="77"/>
        <v>0</v>
      </c>
      <c r="AE89" s="195">
        <f t="shared" si="78"/>
        <v>0</v>
      </c>
      <c r="AF89" s="196"/>
      <c r="AG89" s="200">
        <f t="shared" si="79"/>
        <v>0</v>
      </c>
      <c r="AH89" s="200">
        <f t="shared" si="80"/>
        <v>0</v>
      </c>
      <c r="AI89" s="200">
        <f t="shared" si="81"/>
        <v>0</v>
      </c>
      <c r="AK89" s="195">
        <v>21</v>
      </c>
      <c r="AL89" s="195">
        <f>G89*1</f>
        <v>0</v>
      </c>
      <c r="AM89" s="195">
        <f>G89*(1-1)</f>
        <v>0</v>
      </c>
      <c r="AN89" s="201" t="s">
        <v>255</v>
      </c>
      <c r="AS89" s="195">
        <f t="shared" si="82"/>
        <v>0</v>
      </c>
      <c r="AT89" s="195">
        <f t="shared" si="83"/>
        <v>0</v>
      </c>
      <c r="AU89" s="195">
        <f t="shared" si="84"/>
        <v>0</v>
      </c>
      <c r="AV89" s="197" t="s">
        <v>2719</v>
      </c>
      <c r="AW89" s="197" t="s">
        <v>2073</v>
      </c>
      <c r="AX89" s="196" t="s">
        <v>2067</v>
      </c>
      <c r="AZ89" s="195">
        <f t="shared" si="85"/>
        <v>0</v>
      </c>
      <c r="BA89" s="195">
        <f t="shared" si="86"/>
        <v>0</v>
      </c>
      <c r="BB89" s="195">
        <v>0</v>
      </c>
      <c r="BC89" s="195" t="e">
        <f>#REF!</f>
        <v>#REF!</v>
      </c>
      <c r="BE89" s="200">
        <f t="shared" si="87"/>
        <v>0</v>
      </c>
      <c r="BF89" s="200">
        <f t="shared" si="88"/>
        <v>0</v>
      </c>
      <c r="BG89" s="200">
        <f t="shared" si="89"/>
        <v>0</v>
      </c>
    </row>
    <row r="90" spans="1:59">
      <c r="A90" s="373" t="s">
        <v>683</v>
      </c>
      <c r="B90" s="373"/>
      <c r="C90" s="373" t="s">
        <v>2741</v>
      </c>
      <c r="D90" s="373" t="s">
        <v>2740</v>
      </c>
      <c r="E90" s="373" t="s">
        <v>291</v>
      </c>
      <c r="F90" s="374">
        <v>1</v>
      </c>
      <c r="G90" s="357">
        <v>0</v>
      </c>
      <c r="H90" s="374">
        <f t="shared" si="68"/>
        <v>0</v>
      </c>
      <c r="I90" s="374">
        <f t="shared" si="69"/>
        <v>0</v>
      </c>
      <c r="J90" s="374">
        <f t="shared" si="70"/>
        <v>0</v>
      </c>
      <c r="W90" s="195">
        <f t="shared" si="71"/>
        <v>0</v>
      </c>
      <c r="Y90" s="195">
        <f t="shared" si="72"/>
        <v>0</v>
      </c>
      <c r="Z90" s="195">
        <f t="shared" si="73"/>
        <v>0</v>
      </c>
      <c r="AA90" s="195">
        <f t="shared" si="74"/>
        <v>0</v>
      </c>
      <c r="AB90" s="195">
        <f t="shared" si="75"/>
        <v>0</v>
      </c>
      <c r="AC90" s="195">
        <f t="shared" si="76"/>
        <v>0</v>
      </c>
      <c r="AD90" s="195">
        <f t="shared" si="77"/>
        <v>0</v>
      </c>
      <c r="AE90" s="195">
        <f t="shared" si="78"/>
        <v>0</v>
      </c>
      <c r="AF90" s="196"/>
      <c r="AG90" s="200">
        <f t="shared" si="79"/>
        <v>0</v>
      </c>
      <c r="AH90" s="200">
        <f t="shared" si="80"/>
        <v>0</v>
      </c>
      <c r="AI90" s="200">
        <f t="shared" si="81"/>
        <v>0</v>
      </c>
      <c r="AK90" s="195">
        <v>21</v>
      </c>
      <c r="AL90" s="195">
        <f>G90*1</f>
        <v>0</v>
      </c>
      <c r="AM90" s="195">
        <f>G90*(1-1)</f>
        <v>0</v>
      </c>
      <c r="AN90" s="201" t="s">
        <v>255</v>
      </c>
      <c r="AS90" s="195">
        <f t="shared" si="82"/>
        <v>0</v>
      </c>
      <c r="AT90" s="195">
        <f t="shared" si="83"/>
        <v>0</v>
      </c>
      <c r="AU90" s="195">
        <f t="shared" si="84"/>
        <v>0</v>
      </c>
      <c r="AV90" s="197" t="s">
        <v>2719</v>
      </c>
      <c r="AW90" s="197" t="s">
        <v>2073</v>
      </c>
      <c r="AX90" s="196" t="s">
        <v>2067</v>
      </c>
      <c r="AZ90" s="195">
        <f t="shared" si="85"/>
        <v>0</v>
      </c>
      <c r="BA90" s="195">
        <f t="shared" si="86"/>
        <v>0</v>
      </c>
      <c r="BB90" s="195">
        <v>0</v>
      </c>
      <c r="BC90" s="195" t="e">
        <f>#REF!</f>
        <v>#REF!</v>
      </c>
      <c r="BE90" s="200">
        <f t="shared" si="87"/>
        <v>0</v>
      </c>
      <c r="BF90" s="200">
        <f t="shared" si="88"/>
        <v>0</v>
      </c>
      <c r="BG90" s="200">
        <f t="shared" si="89"/>
        <v>0</v>
      </c>
    </row>
    <row r="91" spans="1:59">
      <c r="A91" s="369" t="s">
        <v>688</v>
      </c>
      <c r="B91" s="369"/>
      <c r="C91" s="369" t="s">
        <v>2649</v>
      </c>
      <c r="D91" s="369" t="s">
        <v>2648</v>
      </c>
      <c r="E91" s="369" t="s">
        <v>291</v>
      </c>
      <c r="F91" s="370">
        <v>2</v>
      </c>
      <c r="G91" s="355">
        <v>0</v>
      </c>
      <c r="H91" s="370">
        <f t="shared" si="68"/>
        <v>0</v>
      </c>
      <c r="I91" s="370">
        <f t="shared" si="69"/>
        <v>0</v>
      </c>
      <c r="J91" s="370">
        <f t="shared" si="70"/>
        <v>0</v>
      </c>
      <c r="W91" s="195">
        <f t="shared" si="71"/>
        <v>0</v>
      </c>
      <c r="Y91" s="195">
        <f t="shared" si="72"/>
        <v>0</v>
      </c>
      <c r="Z91" s="195">
        <f t="shared" si="73"/>
        <v>0</v>
      </c>
      <c r="AA91" s="195">
        <f t="shared" si="74"/>
        <v>0</v>
      </c>
      <c r="AB91" s="195">
        <f t="shared" si="75"/>
        <v>0</v>
      </c>
      <c r="AC91" s="195">
        <f t="shared" si="76"/>
        <v>0</v>
      </c>
      <c r="AD91" s="195">
        <f t="shared" si="77"/>
        <v>0</v>
      </c>
      <c r="AE91" s="195">
        <f t="shared" si="78"/>
        <v>0</v>
      </c>
      <c r="AF91" s="196"/>
      <c r="AG91" s="194">
        <f t="shared" si="79"/>
        <v>0</v>
      </c>
      <c r="AH91" s="194">
        <f t="shared" si="80"/>
        <v>0</v>
      </c>
      <c r="AI91" s="194">
        <f t="shared" si="81"/>
        <v>0</v>
      </c>
      <c r="AK91" s="195">
        <v>21</v>
      </c>
      <c r="AL91" s="195">
        <f>G91*0</f>
        <v>0</v>
      </c>
      <c r="AM91" s="195">
        <f>G91*(1-0)</f>
        <v>0</v>
      </c>
      <c r="AN91" s="198" t="s">
        <v>255</v>
      </c>
      <c r="AS91" s="195">
        <f t="shared" si="82"/>
        <v>0</v>
      </c>
      <c r="AT91" s="195">
        <f t="shared" si="83"/>
        <v>0</v>
      </c>
      <c r="AU91" s="195">
        <f t="shared" si="84"/>
        <v>0</v>
      </c>
      <c r="AV91" s="197" t="s">
        <v>2719</v>
      </c>
      <c r="AW91" s="197" t="s">
        <v>2073</v>
      </c>
      <c r="AX91" s="196" t="s">
        <v>2067</v>
      </c>
      <c r="AZ91" s="195">
        <f t="shared" si="85"/>
        <v>0</v>
      </c>
      <c r="BA91" s="195">
        <f t="shared" si="86"/>
        <v>0</v>
      </c>
      <c r="BB91" s="195">
        <v>0</v>
      </c>
      <c r="BC91" s="195" t="e">
        <f>#REF!</f>
        <v>#REF!</v>
      </c>
      <c r="BE91" s="194">
        <f t="shared" si="87"/>
        <v>0</v>
      </c>
      <c r="BF91" s="194">
        <f t="shared" si="88"/>
        <v>0</v>
      </c>
      <c r="BG91" s="194">
        <f t="shared" si="89"/>
        <v>0</v>
      </c>
    </row>
    <row r="92" spans="1:59">
      <c r="A92" s="369" t="s">
        <v>693</v>
      </c>
      <c r="B92" s="369"/>
      <c r="C92" s="369" t="s">
        <v>2739</v>
      </c>
      <c r="D92" s="369" t="s">
        <v>2738</v>
      </c>
      <c r="E92" s="369" t="s">
        <v>291</v>
      </c>
      <c r="F92" s="370">
        <v>2</v>
      </c>
      <c r="G92" s="355">
        <v>0</v>
      </c>
      <c r="H92" s="370">
        <f t="shared" si="68"/>
        <v>0</v>
      </c>
      <c r="I92" s="370">
        <f t="shared" si="69"/>
        <v>0</v>
      </c>
      <c r="J92" s="370">
        <f t="shared" si="70"/>
        <v>0</v>
      </c>
      <c r="W92" s="195">
        <f t="shared" si="71"/>
        <v>0</v>
      </c>
      <c r="Y92" s="195">
        <f t="shared" si="72"/>
        <v>0</v>
      </c>
      <c r="Z92" s="195">
        <f t="shared" si="73"/>
        <v>0</v>
      </c>
      <c r="AA92" s="195">
        <f t="shared" si="74"/>
        <v>0</v>
      </c>
      <c r="AB92" s="195">
        <f t="shared" si="75"/>
        <v>0</v>
      </c>
      <c r="AC92" s="195">
        <f t="shared" si="76"/>
        <v>0</v>
      </c>
      <c r="AD92" s="195">
        <f t="shared" si="77"/>
        <v>0</v>
      </c>
      <c r="AE92" s="195">
        <f t="shared" si="78"/>
        <v>0</v>
      </c>
      <c r="AF92" s="196"/>
      <c r="AG92" s="194">
        <f t="shared" si="79"/>
        <v>0</v>
      </c>
      <c r="AH92" s="194">
        <f t="shared" si="80"/>
        <v>0</v>
      </c>
      <c r="AI92" s="194">
        <f t="shared" si="81"/>
        <v>0</v>
      </c>
      <c r="AK92" s="195">
        <v>21</v>
      </c>
      <c r="AL92" s="195">
        <f>G92*1</f>
        <v>0</v>
      </c>
      <c r="AM92" s="195">
        <f>G92*(1-1)</f>
        <v>0</v>
      </c>
      <c r="AN92" s="198" t="s">
        <v>255</v>
      </c>
      <c r="AS92" s="195">
        <f t="shared" si="82"/>
        <v>0</v>
      </c>
      <c r="AT92" s="195">
        <f t="shared" si="83"/>
        <v>0</v>
      </c>
      <c r="AU92" s="195">
        <f t="shared" si="84"/>
        <v>0</v>
      </c>
      <c r="AV92" s="197" t="s">
        <v>2719</v>
      </c>
      <c r="AW92" s="197" t="s">
        <v>2073</v>
      </c>
      <c r="AX92" s="196" t="s">
        <v>2067</v>
      </c>
      <c r="AZ92" s="195">
        <f t="shared" si="85"/>
        <v>0</v>
      </c>
      <c r="BA92" s="195">
        <f t="shared" si="86"/>
        <v>0</v>
      </c>
      <c r="BB92" s="195">
        <v>0</v>
      </c>
      <c r="BC92" s="195" t="e">
        <f>#REF!</f>
        <v>#REF!</v>
      </c>
      <c r="BE92" s="194">
        <f t="shared" si="87"/>
        <v>0</v>
      </c>
      <c r="BF92" s="194">
        <f t="shared" si="88"/>
        <v>0</v>
      </c>
      <c r="BG92" s="194">
        <f t="shared" si="89"/>
        <v>0</v>
      </c>
    </row>
    <row r="93" spans="1:59">
      <c r="A93" s="369" t="s">
        <v>697</v>
      </c>
      <c r="B93" s="369"/>
      <c r="C93" s="369" t="s">
        <v>2737</v>
      </c>
      <c r="D93" s="369" t="s">
        <v>2736</v>
      </c>
      <c r="E93" s="369" t="s">
        <v>291</v>
      </c>
      <c r="F93" s="370">
        <v>2</v>
      </c>
      <c r="G93" s="355">
        <v>0</v>
      </c>
      <c r="H93" s="370">
        <f t="shared" si="68"/>
        <v>0</v>
      </c>
      <c r="I93" s="370">
        <f t="shared" si="69"/>
        <v>0</v>
      </c>
      <c r="J93" s="370">
        <f t="shared" si="70"/>
        <v>0</v>
      </c>
      <c r="W93" s="195">
        <f t="shared" si="71"/>
        <v>0</v>
      </c>
      <c r="Y93" s="195">
        <f t="shared" si="72"/>
        <v>0</v>
      </c>
      <c r="Z93" s="195">
        <f t="shared" si="73"/>
        <v>0</v>
      </c>
      <c r="AA93" s="195">
        <f t="shared" si="74"/>
        <v>0</v>
      </c>
      <c r="AB93" s="195">
        <f t="shared" si="75"/>
        <v>0</v>
      </c>
      <c r="AC93" s="195">
        <f t="shared" si="76"/>
        <v>0</v>
      </c>
      <c r="AD93" s="195">
        <f t="shared" si="77"/>
        <v>0</v>
      </c>
      <c r="AE93" s="195">
        <f t="shared" si="78"/>
        <v>0</v>
      </c>
      <c r="AF93" s="196"/>
      <c r="AG93" s="194">
        <f t="shared" si="79"/>
        <v>0</v>
      </c>
      <c r="AH93" s="194">
        <f t="shared" si="80"/>
        <v>0</v>
      </c>
      <c r="AI93" s="194">
        <f t="shared" si="81"/>
        <v>0</v>
      </c>
      <c r="AK93" s="195">
        <v>21</v>
      </c>
      <c r="AL93" s="195">
        <f>G93*0</f>
        <v>0</v>
      </c>
      <c r="AM93" s="195">
        <f>G93*(1-0)</f>
        <v>0</v>
      </c>
      <c r="AN93" s="198" t="s">
        <v>255</v>
      </c>
      <c r="AS93" s="195">
        <f t="shared" si="82"/>
        <v>0</v>
      </c>
      <c r="AT93" s="195">
        <f t="shared" si="83"/>
        <v>0</v>
      </c>
      <c r="AU93" s="195">
        <f t="shared" si="84"/>
        <v>0</v>
      </c>
      <c r="AV93" s="197" t="s">
        <v>2719</v>
      </c>
      <c r="AW93" s="197" t="s">
        <v>2073</v>
      </c>
      <c r="AX93" s="196" t="s">
        <v>2067</v>
      </c>
      <c r="AZ93" s="195">
        <f t="shared" si="85"/>
        <v>0</v>
      </c>
      <c r="BA93" s="195">
        <f t="shared" si="86"/>
        <v>0</v>
      </c>
      <c r="BB93" s="195">
        <v>0</v>
      </c>
      <c r="BC93" s="195" t="e">
        <f>#REF!</f>
        <v>#REF!</v>
      </c>
      <c r="BE93" s="194">
        <f t="shared" si="87"/>
        <v>0</v>
      </c>
      <c r="BF93" s="194">
        <f t="shared" si="88"/>
        <v>0</v>
      </c>
      <c r="BG93" s="194">
        <f t="shared" si="89"/>
        <v>0</v>
      </c>
    </row>
    <row r="94" spans="1:59">
      <c r="A94" s="369" t="s">
        <v>701</v>
      </c>
      <c r="B94" s="369"/>
      <c r="C94" s="369" t="s">
        <v>2735</v>
      </c>
      <c r="D94" s="369" t="s">
        <v>2734</v>
      </c>
      <c r="E94" s="369" t="s">
        <v>291</v>
      </c>
      <c r="F94" s="370">
        <v>2</v>
      </c>
      <c r="G94" s="355">
        <v>0</v>
      </c>
      <c r="H94" s="370">
        <f t="shared" si="68"/>
        <v>0</v>
      </c>
      <c r="I94" s="370">
        <f t="shared" si="69"/>
        <v>0</v>
      </c>
      <c r="J94" s="370">
        <f t="shared" si="70"/>
        <v>0</v>
      </c>
      <c r="W94" s="195">
        <f t="shared" si="71"/>
        <v>0</v>
      </c>
      <c r="Y94" s="195">
        <f t="shared" si="72"/>
        <v>0</v>
      </c>
      <c r="Z94" s="195">
        <f t="shared" si="73"/>
        <v>0</v>
      </c>
      <c r="AA94" s="195">
        <f t="shared" si="74"/>
        <v>0</v>
      </c>
      <c r="AB94" s="195">
        <f t="shared" si="75"/>
        <v>0</v>
      </c>
      <c r="AC94" s="195">
        <f t="shared" si="76"/>
        <v>0</v>
      </c>
      <c r="AD94" s="195">
        <f t="shared" si="77"/>
        <v>0</v>
      </c>
      <c r="AE94" s="195">
        <f t="shared" si="78"/>
        <v>0</v>
      </c>
      <c r="AF94" s="196"/>
      <c r="AG94" s="194">
        <f t="shared" si="79"/>
        <v>0</v>
      </c>
      <c r="AH94" s="194">
        <f t="shared" si="80"/>
        <v>0</v>
      </c>
      <c r="AI94" s="194">
        <f t="shared" si="81"/>
        <v>0</v>
      </c>
      <c r="AK94" s="195">
        <v>21</v>
      </c>
      <c r="AL94" s="195">
        <f>G94*1</f>
        <v>0</v>
      </c>
      <c r="AM94" s="195">
        <f>G94*(1-1)</f>
        <v>0</v>
      </c>
      <c r="AN94" s="198" t="s">
        <v>255</v>
      </c>
      <c r="AS94" s="195">
        <f t="shared" si="82"/>
        <v>0</v>
      </c>
      <c r="AT94" s="195">
        <f t="shared" si="83"/>
        <v>0</v>
      </c>
      <c r="AU94" s="195">
        <f t="shared" si="84"/>
        <v>0</v>
      </c>
      <c r="AV94" s="197" t="s">
        <v>2719</v>
      </c>
      <c r="AW94" s="197" t="s">
        <v>2073</v>
      </c>
      <c r="AX94" s="196" t="s">
        <v>2067</v>
      </c>
      <c r="AZ94" s="195">
        <f t="shared" si="85"/>
        <v>0</v>
      </c>
      <c r="BA94" s="195">
        <f t="shared" si="86"/>
        <v>0</v>
      </c>
      <c r="BB94" s="195">
        <v>0</v>
      </c>
      <c r="BC94" s="195" t="e">
        <f>#REF!</f>
        <v>#REF!</v>
      </c>
      <c r="BE94" s="194">
        <f t="shared" si="87"/>
        <v>0</v>
      </c>
      <c r="BF94" s="194">
        <f t="shared" si="88"/>
        <v>0</v>
      </c>
      <c r="BG94" s="194">
        <f t="shared" si="89"/>
        <v>0</v>
      </c>
    </row>
    <row r="95" spans="1:59">
      <c r="A95" s="369" t="s">
        <v>707</v>
      </c>
      <c r="B95" s="369"/>
      <c r="C95" s="369" t="s">
        <v>2701</v>
      </c>
      <c r="D95" s="369" t="s">
        <v>2700</v>
      </c>
      <c r="E95" s="369" t="s">
        <v>364</v>
      </c>
      <c r="F95" s="370">
        <v>45</v>
      </c>
      <c r="G95" s="355">
        <v>0</v>
      </c>
      <c r="H95" s="370">
        <f t="shared" si="68"/>
        <v>0</v>
      </c>
      <c r="I95" s="370">
        <f t="shared" si="69"/>
        <v>0</v>
      </c>
      <c r="J95" s="370">
        <f t="shared" si="70"/>
        <v>0</v>
      </c>
      <c r="W95" s="195">
        <f t="shared" si="71"/>
        <v>0</v>
      </c>
      <c r="Y95" s="195">
        <f t="shared" si="72"/>
        <v>0</v>
      </c>
      <c r="Z95" s="195">
        <f t="shared" si="73"/>
        <v>0</v>
      </c>
      <c r="AA95" s="195">
        <f t="shared" si="74"/>
        <v>0</v>
      </c>
      <c r="AB95" s="195">
        <f t="shared" si="75"/>
        <v>0</v>
      </c>
      <c r="AC95" s="195">
        <f t="shared" si="76"/>
        <v>0</v>
      </c>
      <c r="AD95" s="195">
        <f t="shared" si="77"/>
        <v>0</v>
      </c>
      <c r="AE95" s="195">
        <f t="shared" si="78"/>
        <v>0</v>
      </c>
      <c r="AF95" s="196"/>
      <c r="AG95" s="194">
        <f t="shared" si="79"/>
        <v>0</v>
      </c>
      <c r="AH95" s="194">
        <f t="shared" si="80"/>
        <v>0</v>
      </c>
      <c r="AI95" s="194">
        <f t="shared" si="81"/>
        <v>0</v>
      </c>
      <c r="AK95" s="195">
        <v>21</v>
      </c>
      <c r="AL95" s="195">
        <f>G95*0</f>
        <v>0</v>
      </c>
      <c r="AM95" s="195">
        <f>G95*(1-0)</f>
        <v>0</v>
      </c>
      <c r="AN95" s="198" t="s">
        <v>255</v>
      </c>
      <c r="AS95" s="195">
        <f t="shared" si="82"/>
        <v>0</v>
      </c>
      <c r="AT95" s="195">
        <f t="shared" si="83"/>
        <v>0</v>
      </c>
      <c r="AU95" s="195">
        <f t="shared" si="84"/>
        <v>0</v>
      </c>
      <c r="AV95" s="197" t="s">
        <v>2719</v>
      </c>
      <c r="AW95" s="197" t="s">
        <v>2073</v>
      </c>
      <c r="AX95" s="196" t="s">
        <v>2067</v>
      </c>
      <c r="AZ95" s="195">
        <f t="shared" si="85"/>
        <v>0</v>
      </c>
      <c r="BA95" s="195">
        <f t="shared" si="86"/>
        <v>0</v>
      </c>
      <c r="BB95" s="195">
        <v>0</v>
      </c>
      <c r="BC95" s="195" t="e">
        <f>#REF!</f>
        <v>#REF!</v>
      </c>
      <c r="BE95" s="194">
        <f t="shared" si="87"/>
        <v>0</v>
      </c>
      <c r="BF95" s="194">
        <f t="shared" si="88"/>
        <v>0</v>
      </c>
      <c r="BG95" s="194">
        <f t="shared" si="89"/>
        <v>0</v>
      </c>
    </row>
    <row r="96" spans="1:59">
      <c r="A96" s="373" t="s">
        <v>716</v>
      </c>
      <c r="B96" s="373"/>
      <c r="C96" s="373" t="s">
        <v>2733</v>
      </c>
      <c r="D96" s="373" t="s">
        <v>2714</v>
      </c>
      <c r="E96" s="373" t="s">
        <v>2665</v>
      </c>
      <c r="F96" s="374">
        <v>45</v>
      </c>
      <c r="G96" s="357">
        <v>0</v>
      </c>
      <c r="H96" s="374">
        <f t="shared" si="68"/>
        <v>0</v>
      </c>
      <c r="I96" s="374">
        <f t="shared" si="69"/>
        <v>0</v>
      </c>
      <c r="J96" s="374">
        <f t="shared" si="70"/>
        <v>0</v>
      </c>
      <c r="W96" s="195">
        <f t="shared" si="71"/>
        <v>0</v>
      </c>
      <c r="Y96" s="195">
        <f t="shared" si="72"/>
        <v>0</v>
      </c>
      <c r="Z96" s="195">
        <f t="shared" si="73"/>
        <v>0</v>
      </c>
      <c r="AA96" s="195">
        <f t="shared" si="74"/>
        <v>0</v>
      </c>
      <c r="AB96" s="195">
        <f t="shared" si="75"/>
        <v>0</v>
      </c>
      <c r="AC96" s="195">
        <f t="shared" si="76"/>
        <v>0</v>
      </c>
      <c r="AD96" s="195">
        <f t="shared" si="77"/>
        <v>0</v>
      </c>
      <c r="AE96" s="195">
        <f t="shared" si="78"/>
        <v>0</v>
      </c>
      <c r="AF96" s="196"/>
      <c r="AG96" s="200">
        <f t="shared" si="79"/>
        <v>0</v>
      </c>
      <c r="AH96" s="200">
        <f t="shared" si="80"/>
        <v>0</v>
      </c>
      <c r="AI96" s="200">
        <f t="shared" si="81"/>
        <v>0</v>
      </c>
      <c r="AK96" s="195">
        <v>21</v>
      </c>
      <c r="AL96" s="195">
        <f>G96*1</f>
        <v>0</v>
      </c>
      <c r="AM96" s="195">
        <f>G96*(1-1)</f>
        <v>0</v>
      </c>
      <c r="AN96" s="201" t="s">
        <v>255</v>
      </c>
      <c r="AS96" s="195">
        <f t="shared" si="82"/>
        <v>0</v>
      </c>
      <c r="AT96" s="195">
        <f t="shared" si="83"/>
        <v>0</v>
      </c>
      <c r="AU96" s="195">
        <f t="shared" si="84"/>
        <v>0</v>
      </c>
      <c r="AV96" s="197" t="s">
        <v>2719</v>
      </c>
      <c r="AW96" s="197" t="s">
        <v>2073</v>
      </c>
      <c r="AX96" s="196" t="s">
        <v>2067</v>
      </c>
      <c r="AZ96" s="195">
        <f t="shared" si="85"/>
        <v>0</v>
      </c>
      <c r="BA96" s="195">
        <f t="shared" si="86"/>
        <v>0</v>
      </c>
      <c r="BB96" s="195">
        <v>0</v>
      </c>
      <c r="BC96" s="195" t="e">
        <f>#REF!</f>
        <v>#REF!</v>
      </c>
      <c r="BE96" s="200">
        <f t="shared" si="87"/>
        <v>0</v>
      </c>
      <c r="BF96" s="200">
        <f t="shared" si="88"/>
        <v>0</v>
      </c>
      <c r="BG96" s="200">
        <f t="shared" si="89"/>
        <v>0</v>
      </c>
    </row>
    <row r="97" spans="1:59">
      <c r="A97" s="369" t="s">
        <v>722</v>
      </c>
      <c r="B97" s="369"/>
      <c r="C97" s="369" t="s">
        <v>2732</v>
      </c>
      <c r="D97" s="369" t="s">
        <v>2731</v>
      </c>
      <c r="E97" s="369" t="s">
        <v>364</v>
      </c>
      <c r="F97" s="370">
        <v>15</v>
      </c>
      <c r="G97" s="355">
        <v>0</v>
      </c>
      <c r="H97" s="370">
        <f t="shared" si="68"/>
        <v>0</v>
      </c>
      <c r="I97" s="370">
        <f t="shared" si="69"/>
        <v>0</v>
      </c>
      <c r="J97" s="370">
        <f t="shared" si="70"/>
        <v>0</v>
      </c>
      <c r="W97" s="195">
        <f t="shared" si="71"/>
        <v>0</v>
      </c>
      <c r="Y97" s="195">
        <f t="shared" si="72"/>
        <v>0</v>
      </c>
      <c r="Z97" s="195">
        <f t="shared" si="73"/>
        <v>0</v>
      </c>
      <c r="AA97" s="195">
        <f t="shared" si="74"/>
        <v>0</v>
      </c>
      <c r="AB97" s="195">
        <f t="shared" si="75"/>
        <v>0</v>
      </c>
      <c r="AC97" s="195">
        <f t="shared" si="76"/>
        <v>0</v>
      </c>
      <c r="AD97" s="195">
        <f t="shared" si="77"/>
        <v>0</v>
      </c>
      <c r="AE97" s="195">
        <f t="shared" si="78"/>
        <v>0</v>
      </c>
      <c r="AF97" s="196"/>
      <c r="AG97" s="194">
        <f t="shared" si="79"/>
        <v>0</v>
      </c>
      <c r="AH97" s="194">
        <f t="shared" si="80"/>
        <v>0</v>
      </c>
      <c r="AI97" s="194">
        <f t="shared" si="81"/>
        <v>0</v>
      </c>
      <c r="AK97" s="195">
        <v>21</v>
      </c>
      <c r="AL97" s="195">
        <f>G97*0</f>
        <v>0</v>
      </c>
      <c r="AM97" s="195">
        <f>G97*(1-0)</f>
        <v>0</v>
      </c>
      <c r="AN97" s="198" t="s">
        <v>255</v>
      </c>
      <c r="AS97" s="195">
        <f t="shared" si="82"/>
        <v>0</v>
      </c>
      <c r="AT97" s="195">
        <f t="shared" si="83"/>
        <v>0</v>
      </c>
      <c r="AU97" s="195">
        <f t="shared" si="84"/>
        <v>0</v>
      </c>
      <c r="AV97" s="197" t="s">
        <v>2719</v>
      </c>
      <c r="AW97" s="197" t="s">
        <v>2073</v>
      </c>
      <c r="AX97" s="196" t="s">
        <v>2067</v>
      </c>
      <c r="AZ97" s="195">
        <f t="shared" si="85"/>
        <v>0</v>
      </c>
      <c r="BA97" s="195">
        <f t="shared" si="86"/>
        <v>0</v>
      </c>
      <c r="BB97" s="195">
        <v>0</v>
      </c>
      <c r="BC97" s="195" t="e">
        <f>#REF!</f>
        <v>#REF!</v>
      </c>
      <c r="BE97" s="194">
        <f t="shared" si="87"/>
        <v>0</v>
      </c>
      <c r="BF97" s="194">
        <f t="shared" si="88"/>
        <v>0</v>
      </c>
      <c r="BG97" s="194">
        <f t="shared" si="89"/>
        <v>0</v>
      </c>
    </row>
    <row r="98" spans="1:59">
      <c r="A98" s="373" t="s">
        <v>727</v>
      </c>
      <c r="B98" s="373"/>
      <c r="C98" s="373" t="s">
        <v>3491</v>
      </c>
      <c r="D98" s="373" t="s">
        <v>2730</v>
      </c>
      <c r="E98" s="373" t="s">
        <v>2665</v>
      </c>
      <c r="F98" s="374">
        <v>15</v>
      </c>
      <c r="G98" s="357">
        <v>0</v>
      </c>
      <c r="H98" s="374">
        <f t="shared" si="68"/>
        <v>0</v>
      </c>
      <c r="I98" s="374">
        <f t="shared" si="69"/>
        <v>0</v>
      </c>
      <c r="J98" s="374">
        <f t="shared" si="70"/>
        <v>0</v>
      </c>
      <c r="W98" s="195">
        <f t="shared" si="71"/>
        <v>0</v>
      </c>
      <c r="Y98" s="195">
        <f t="shared" si="72"/>
        <v>0</v>
      </c>
      <c r="Z98" s="195">
        <f t="shared" si="73"/>
        <v>0</v>
      </c>
      <c r="AA98" s="195">
        <f t="shared" si="74"/>
        <v>0</v>
      </c>
      <c r="AB98" s="195">
        <f t="shared" si="75"/>
        <v>0</v>
      </c>
      <c r="AC98" s="195">
        <f t="shared" si="76"/>
        <v>0</v>
      </c>
      <c r="AD98" s="195">
        <f t="shared" si="77"/>
        <v>0</v>
      </c>
      <c r="AE98" s="195">
        <f t="shared" si="78"/>
        <v>0</v>
      </c>
      <c r="AF98" s="196"/>
      <c r="AG98" s="200">
        <f t="shared" si="79"/>
        <v>0</v>
      </c>
      <c r="AH98" s="200">
        <f t="shared" si="80"/>
        <v>0</v>
      </c>
      <c r="AI98" s="200">
        <f t="shared" si="81"/>
        <v>0</v>
      </c>
      <c r="AK98" s="195">
        <v>21</v>
      </c>
      <c r="AL98" s="195">
        <f>G98*1</f>
        <v>0</v>
      </c>
      <c r="AM98" s="195">
        <f>G98*(1-1)</f>
        <v>0</v>
      </c>
      <c r="AN98" s="201" t="s">
        <v>255</v>
      </c>
      <c r="AS98" s="195">
        <f t="shared" si="82"/>
        <v>0</v>
      </c>
      <c r="AT98" s="195">
        <f t="shared" si="83"/>
        <v>0</v>
      </c>
      <c r="AU98" s="195">
        <f t="shared" si="84"/>
        <v>0</v>
      </c>
      <c r="AV98" s="197" t="s">
        <v>2719</v>
      </c>
      <c r="AW98" s="197" t="s">
        <v>2073</v>
      </c>
      <c r="AX98" s="196" t="s">
        <v>2067</v>
      </c>
      <c r="AZ98" s="195">
        <f t="shared" si="85"/>
        <v>0</v>
      </c>
      <c r="BA98" s="195">
        <f t="shared" si="86"/>
        <v>0</v>
      </c>
      <c r="BB98" s="195">
        <v>0</v>
      </c>
      <c r="BC98" s="195" t="e">
        <f>#REF!</f>
        <v>#REF!</v>
      </c>
      <c r="BE98" s="200">
        <f t="shared" si="87"/>
        <v>0</v>
      </c>
      <c r="BF98" s="200">
        <f t="shared" si="88"/>
        <v>0</v>
      </c>
      <c r="BG98" s="200">
        <f t="shared" si="89"/>
        <v>0</v>
      </c>
    </row>
    <row r="99" spans="1:59">
      <c r="A99" s="369" t="s">
        <v>738</v>
      </c>
      <c r="B99" s="369"/>
      <c r="C99" s="369" t="s">
        <v>2729</v>
      </c>
      <c r="D99" s="369" t="s">
        <v>2728</v>
      </c>
      <c r="E99" s="369" t="s">
        <v>286</v>
      </c>
      <c r="F99" s="370">
        <v>45</v>
      </c>
      <c r="G99" s="355">
        <v>0</v>
      </c>
      <c r="H99" s="370">
        <f t="shared" si="68"/>
        <v>0</v>
      </c>
      <c r="I99" s="370">
        <f t="shared" si="69"/>
        <v>0</v>
      </c>
      <c r="J99" s="370">
        <f t="shared" si="70"/>
        <v>0</v>
      </c>
      <c r="W99" s="195">
        <f t="shared" si="71"/>
        <v>0</v>
      </c>
      <c r="Y99" s="195">
        <f t="shared" si="72"/>
        <v>0</v>
      </c>
      <c r="Z99" s="195">
        <f t="shared" si="73"/>
        <v>0</v>
      </c>
      <c r="AA99" s="195">
        <f t="shared" si="74"/>
        <v>0</v>
      </c>
      <c r="AB99" s="195">
        <f t="shared" si="75"/>
        <v>0</v>
      </c>
      <c r="AC99" s="195">
        <f t="shared" si="76"/>
        <v>0</v>
      </c>
      <c r="AD99" s="195">
        <f t="shared" si="77"/>
        <v>0</v>
      </c>
      <c r="AE99" s="195">
        <f t="shared" si="78"/>
        <v>0</v>
      </c>
      <c r="AF99" s="196"/>
      <c r="AG99" s="194">
        <f t="shared" si="79"/>
        <v>0</v>
      </c>
      <c r="AH99" s="194">
        <f t="shared" si="80"/>
        <v>0</v>
      </c>
      <c r="AI99" s="194">
        <f t="shared" si="81"/>
        <v>0</v>
      </c>
      <c r="AK99" s="195">
        <v>21</v>
      </c>
      <c r="AL99" s="195">
        <f>G99*0.740740740740741</f>
        <v>0</v>
      </c>
      <c r="AM99" s="195">
        <f>G99*(1-0.740740740740741)</f>
        <v>0</v>
      </c>
      <c r="AN99" s="198" t="s">
        <v>255</v>
      </c>
      <c r="AS99" s="195">
        <f t="shared" si="82"/>
        <v>0</v>
      </c>
      <c r="AT99" s="195">
        <f t="shared" si="83"/>
        <v>0</v>
      </c>
      <c r="AU99" s="195">
        <f t="shared" si="84"/>
        <v>0</v>
      </c>
      <c r="AV99" s="197" t="s">
        <v>2719</v>
      </c>
      <c r="AW99" s="197" t="s">
        <v>2073</v>
      </c>
      <c r="AX99" s="196" t="s">
        <v>2067</v>
      </c>
      <c r="AZ99" s="195">
        <f t="shared" si="85"/>
        <v>0</v>
      </c>
      <c r="BA99" s="195">
        <f t="shared" si="86"/>
        <v>0</v>
      </c>
      <c r="BB99" s="195">
        <v>0</v>
      </c>
      <c r="BC99" s="195" t="e">
        <f>#REF!</f>
        <v>#REF!</v>
      </c>
      <c r="BE99" s="194">
        <f t="shared" si="87"/>
        <v>0</v>
      </c>
      <c r="BF99" s="194">
        <f t="shared" si="88"/>
        <v>0</v>
      </c>
      <c r="BG99" s="194">
        <f t="shared" si="89"/>
        <v>0</v>
      </c>
    </row>
    <row r="100" spans="1:59">
      <c r="A100" s="369" t="s">
        <v>743</v>
      </c>
      <c r="B100" s="369"/>
      <c r="C100" s="369" t="s">
        <v>2727</v>
      </c>
      <c r="D100" s="369" t="s">
        <v>2726</v>
      </c>
      <c r="E100" s="369" t="s">
        <v>286</v>
      </c>
      <c r="F100" s="370">
        <v>20</v>
      </c>
      <c r="G100" s="355">
        <v>0</v>
      </c>
      <c r="H100" s="370">
        <f t="shared" si="68"/>
        <v>0</v>
      </c>
      <c r="I100" s="370">
        <f t="shared" si="69"/>
        <v>0</v>
      </c>
      <c r="J100" s="370">
        <f t="shared" si="70"/>
        <v>0</v>
      </c>
      <c r="W100" s="195">
        <f t="shared" si="71"/>
        <v>0</v>
      </c>
      <c r="Y100" s="195">
        <f t="shared" si="72"/>
        <v>0</v>
      </c>
      <c r="Z100" s="195">
        <f t="shared" si="73"/>
        <v>0</v>
      </c>
      <c r="AA100" s="195">
        <f t="shared" si="74"/>
        <v>0</v>
      </c>
      <c r="AB100" s="195">
        <f t="shared" si="75"/>
        <v>0</v>
      </c>
      <c r="AC100" s="195">
        <f t="shared" si="76"/>
        <v>0</v>
      </c>
      <c r="AD100" s="195">
        <f t="shared" si="77"/>
        <v>0</v>
      </c>
      <c r="AE100" s="195">
        <f t="shared" si="78"/>
        <v>0</v>
      </c>
      <c r="AF100" s="196"/>
      <c r="AG100" s="194">
        <f t="shared" si="79"/>
        <v>0</v>
      </c>
      <c r="AH100" s="194">
        <f t="shared" si="80"/>
        <v>0</v>
      </c>
      <c r="AI100" s="194">
        <f t="shared" si="81"/>
        <v>0</v>
      </c>
      <c r="AK100" s="195">
        <v>21</v>
      </c>
      <c r="AL100" s="195">
        <f>G100*0.922448979591837</f>
        <v>0</v>
      </c>
      <c r="AM100" s="195">
        <f>G100*(1-0.922448979591837)</f>
        <v>0</v>
      </c>
      <c r="AN100" s="198" t="s">
        <v>255</v>
      </c>
      <c r="AS100" s="195">
        <f t="shared" si="82"/>
        <v>0</v>
      </c>
      <c r="AT100" s="195">
        <f t="shared" si="83"/>
        <v>0</v>
      </c>
      <c r="AU100" s="195">
        <f t="shared" si="84"/>
        <v>0</v>
      </c>
      <c r="AV100" s="197" t="s">
        <v>2719</v>
      </c>
      <c r="AW100" s="197" t="s">
        <v>2073</v>
      </c>
      <c r="AX100" s="196" t="s">
        <v>2067</v>
      </c>
      <c r="AZ100" s="195">
        <f t="shared" si="85"/>
        <v>0</v>
      </c>
      <c r="BA100" s="195">
        <f t="shared" si="86"/>
        <v>0</v>
      </c>
      <c r="BB100" s="195">
        <v>0</v>
      </c>
      <c r="BC100" s="195" t="e">
        <f>#REF!</f>
        <v>#REF!</v>
      </c>
      <c r="BE100" s="194">
        <f t="shared" si="87"/>
        <v>0</v>
      </c>
      <c r="BF100" s="194">
        <f t="shared" si="88"/>
        <v>0</v>
      </c>
      <c r="BG100" s="194">
        <f t="shared" si="89"/>
        <v>0</v>
      </c>
    </row>
    <row r="101" spans="1:59">
      <c r="A101" s="369" t="s">
        <v>749</v>
      </c>
      <c r="B101" s="369"/>
      <c r="C101" s="369" t="s">
        <v>2725</v>
      </c>
      <c r="D101" s="369" t="s">
        <v>2724</v>
      </c>
      <c r="E101" s="369" t="s">
        <v>364</v>
      </c>
      <c r="F101" s="370">
        <v>3</v>
      </c>
      <c r="G101" s="355">
        <v>0</v>
      </c>
      <c r="H101" s="370">
        <f t="shared" si="68"/>
        <v>0</v>
      </c>
      <c r="I101" s="370">
        <f t="shared" si="69"/>
        <v>0</v>
      </c>
      <c r="J101" s="370">
        <f t="shared" si="70"/>
        <v>0</v>
      </c>
      <c r="W101" s="195">
        <f t="shared" si="71"/>
        <v>0</v>
      </c>
      <c r="Y101" s="195">
        <f t="shared" si="72"/>
        <v>0</v>
      </c>
      <c r="Z101" s="195">
        <f t="shared" si="73"/>
        <v>0</v>
      </c>
      <c r="AA101" s="195">
        <f t="shared" si="74"/>
        <v>0</v>
      </c>
      <c r="AB101" s="195">
        <f t="shared" si="75"/>
        <v>0</v>
      </c>
      <c r="AC101" s="195">
        <f t="shared" si="76"/>
        <v>0</v>
      </c>
      <c r="AD101" s="195">
        <f t="shared" si="77"/>
        <v>0</v>
      </c>
      <c r="AE101" s="195">
        <f t="shared" si="78"/>
        <v>0</v>
      </c>
      <c r="AF101" s="196"/>
      <c r="AG101" s="194">
        <f t="shared" si="79"/>
        <v>0</v>
      </c>
      <c r="AH101" s="194">
        <f t="shared" si="80"/>
        <v>0</v>
      </c>
      <c r="AI101" s="194">
        <f t="shared" si="81"/>
        <v>0</v>
      </c>
      <c r="AK101" s="195">
        <v>21</v>
      </c>
      <c r="AL101" s="195">
        <f>G101*0</f>
        <v>0</v>
      </c>
      <c r="AM101" s="195">
        <f>G101*(1-0)</f>
        <v>0</v>
      </c>
      <c r="AN101" s="198" t="s">
        <v>255</v>
      </c>
      <c r="AS101" s="195">
        <f t="shared" si="82"/>
        <v>0</v>
      </c>
      <c r="AT101" s="195">
        <f t="shared" si="83"/>
        <v>0</v>
      </c>
      <c r="AU101" s="195">
        <f t="shared" si="84"/>
        <v>0</v>
      </c>
      <c r="AV101" s="197" t="s">
        <v>2719</v>
      </c>
      <c r="AW101" s="197" t="s">
        <v>2073</v>
      </c>
      <c r="AX101" s="196" t="s">
        <v>2067</v>
      </c>
      <c r="AZ101" s="195">
        <f t="shared" si="85"/>
        <v>0</v>
      </c>
      <c r="BA101" s="195">
        <f t="shared" si="86"/>
        <v>0</v>
      </c>
      <c r="BB101" s="195">
        <v>0</v>
      </c>
      <c r="BC101" s="195" t="e">
        <f>#REF!</f>
        <v>#REF!</v>
      </c>
      <c r="BE101" s="194">
        <f t="shared" si="87"/>
        <v>0</v>
      </c>
      <c r="BF101" s="194">
        <f t="shared" si="88"/>
        <v>0</v>
      </c>
      <c r="BG101" s="194">
        <f t="shared" si="89"/>
        <v>0</v>
      </c>
    </row>
    <row r="102" spans="1:59">
      <c r="A102" s="373" t="s">
        <v>754</v>
      </c>
      <c r="B102" s="373"/>
      <c r="C102" s="373" t="s">
        <v>3492</v>
      </c>
      <c r="D102" s="373" t="s">
        <v>2723</v>
      </c>
      <c r="E102" s="373" t="s">
        <v>2665</v>
      </c>
      <c r="F102" s="374">
        <v>3</v>
      </c>
      <c r="G102" s="357">
        <v>0</v>
      </c>
      <c r="H102" s="374">
        <f t="shared" si="68"/>
        <v>0</v>
      </c>
      <c r="I102" s="374">
        <f t="shared" si="69"/>
        <v>0</v>
      </c>
      <c r="J102" s="374">
        <f t="shared" si="70"/>
        <v>0</v>
      </c>
      <c r="W102" s="195">
        <f t="shared" si="71"/>
        <v>0</v>
      </c>
      <c r="Y102" s="195">
        <f t="shared" si="72"/>
        <v>0</v>
      </c>
      <c r="Z102" s="195">
        <f t="shared" si="73"/>
        <v>0</v>
      </c>
      <c r="AA102" s="195">
        <f t="shared" si="74"/>
        <v>0</v>
      </c>
      <c r="AB102" s="195">
        <f t="shared" si="75"/>
        <v>0</v>
      </c>
      <c r="AC102" s="195">
        <f t="shared" si="76"/>
        <v>0</v>
      </c>
      <c r="AD102" s="195">
        <f t="shared" si="77"/>
        <v>0</v>
      </c>
      <c r="AE102" s="195">
        <f t="shared" si="78"/>
        <v>0</v>
      </c>
      <c r="AF102" s="196"/>
      <c r="AG102" s="200">
        <f t="shared" si="79"/>
        <v>0</v>
      </c>
      <c r="AH102" s="200">
        <f t="shared" si="80"/>
        <v>0</v>
      </c>
      <c r="AI102" s="200">
        <f t="shared" si="81"/>
        <v>0</v>
      </c>
      <c r="AK102" s="195">
        <v>21</v>
      </c>
      <c r="AL102" s="195">
        <f>G102*1</f>
        <v>0</v>
      </c>
      <c r="AM102" s="195">
        <f>G102*(1-1)</f>
        <v>0</v>
      </c>
      <c r="AN102" s="201" t="s">
        <v>255</v>
      </c>
      <c r="AS102" s="195">
        <f t="shared" si="82"/>
        <v>0</v>
      </c>
      <c r="AT102" s="195">
        <f t="shared" si="83"/>
        <v>0</v>
      </c>
      <c r="AU102" s="195">
        <f t="shared" si="84"/>
        <v>0</v>
      </c>
      <c r="AV102" s="197" t="s">
        <v>2719</v>
      </c>
      <c r="AW102" s="197" t="s">
        <v>2073</v>
      </c>
      <c r="AX102" s="196" t="s">
        <v>2067</v>
      </c>
      <c r="AZ102" s="195">
        <f t="shared" si="85"/>
        <v>0</v>
      </c>
      <c r="BA102" s="195">
        <f t="shared" si="86"/>
        <v>0</v>
      </c>
      <c r="BB102" s="195">
        <v>0</v>
      </c>
      <c r="BC102" s="195" t="e">
        <f>#REF!</f>
        <v>#REF!</v>
      </c>
      <c r="BE102" s="200">
        <f t="shared" si="87"/>
        <v>0</v>
      </c>
      <c r="BF102" s="200">
        <f t="shared" si="88"/>
        <v>0</v>
      </c>
      <c r="BG102" s="200">
        <f t="shared" si="89"/>
        <v>0</v>
      </c>
    </row>
    <row r="103" spans="1:59">
      <c r="A103" s="369" t="s">
        <v>758</v>
      </c>
      <c r="B103" s="369"/>
      <c r="C103" s="369" t="s">
        <v>2722</v>
      </c>
      <c r="D103" s="369" t="s">
        <v>2721</v>
      </c>
      <c r="E103" s="369" t="s">
        <v>286</v>
      </c>
      <c r="F103" s="370">
        <v>15</v>
      </c>
      <c r="G103" s="355">
        <v>0</v>
      </c>
      <c r="H103" s="370">
        <f t="shared" si="68"/>
        <v>0</v>
      </c>
      <c r="I103" s="370">
        <f t="shared" si="69"/>
        <v>0</v>
      </c>
      <c r="J103" s="370">
        <f t="shared" si="70"/>
        <v>0</v>
      </c>
      <c r="W103" s="195">
        <f t="shared" si="71"/>
        <v>0</v>
      </c>
      <c r="Y103" s="195">
        <f t="shared" si="72"/>
        <v>0</v>
      </c>
      <c r="Z103" s="195">
        <f t="shared" si="73"/>
        <v>0</v>
      </c>
      <c r="AA103" s="195">
        <f t="shared" si="74"/>
        <v>0</v>
      </c>
      <c r="AB103" s="195">
        <f t="shared" si="75"/>
        <v>0</v>
      </c>
      <c r="AC103" s="195">
        <f t="shared" si="76"/>
        <v>0</v>
      </c>
      <c r="AD103" s="195">
        <f t="shared" si="77"/>
        <v>0</v>
      </c>
      <c r="AE103" s="195">
        <f t="shared" si="78"/>
        <v>0</v>
      </c>
      <c r="AF103" s="196"/>
      <c r="AG103" s="194">
        <f t="shared" si="79"/>
        <v>0</v>
      </c>
      <c r="AH103" s="194">
        <f t="shared" si="80"/>
        <v>0</v>
      </c>
      <c r="AI103" s="194">
        <f t="shared" si="81"/>
        <v>0</v>
      </c>
      <c r="AK103" s="195">
        <v>21</v>
      </c>
      <c r="AL103" s="195">
        <f>G103*0.674199623352166</f>
        <v>0</v>
      </c>
      <c r="AM103" s="195">
        <f>G103*(1-0.674199623352166)</f>
        <v>0</v>
      </c>
      <c r="AN103" s="198" t="s">
        <v>255</v>
      </c>
      <c r="AS103" s="195">
        <f t="shared" si="82"/>
        <v>0</v>
      </c>
      <c r="AT103" s="195">
        <f t="shared" si="83"/>
        <v>0</v>
      </c>
      <c r="AU103" s="195">
        <f t="shared" si="84"/>
        <v>0</v>
      </c>
      <c r="AV103" s="197" t="s">
        <v>2719</v>
      </c>
      <c r="AW103" s="197" t="s">
        <v>2073</v>
      </c>
      <c r="AX103" s="196" t="s">
        <v>2067</v>
      </c>
      <c r="AZ103" s="195">
        <f t="shared" si="85"/>
        <v>0</v>
      </c>
      <c r="BA103" s="195">
        <f t="shared" si="86"/>
        <v>0</v>
      </c>
      <c r="BB103" s="195">
        <v>0</v>
      </c>
      <c r="BC103" s="195" t="e">
        <f>#REF!</f>
        <v>#REF!</v>
      </c>
      <c r="BE103" s="194">
        <f t="shared" si="87"/>
        <v>0</v>
      </c>
      <c r="BF103" s="194">
        <f t="shared" si="88"/>
        <v>0</v>
      </c>
      <c r="BG103" s="194">
        <f t="shared" si="89"/>
        <v>0</v>
      </c>
    </row>
    <row r="104" spans="1:59">
      <c r="A104" s="369" t="s">
        <v>763</v>
      </c>
      <c r="B104" s="369"/>
      <c r="C104" s="369" t="s">
        <v>2673</v>
      </c>
      <c r="D104" s="369" t="s">
        <v>2672</v>
      </c>
      <c r="E104" s="369" t="s">
        <v>291</v>
      </c>
      <c r="F104" s="370">
        <v>25</v>
      </c>
      <c r="G104" s="355">
        <v>0</v>
      </c>
      <c r="H104" s="370">
        <f t="shared" si="68"/>
        <v>0</v>
      </c>
      <c r="I104" s="370">
        <f t="shared" si="69"/>
        <v>0</v>
      </c>
      <c r="J104" s="370">
        <f t="shared" si="70"/>
        <v>0</v>
      </c>
      <c r="W104" s="195">
        <f t="shared" si="71"/>
        <v>0</v>
      </c>
      <c r="Y104" s="195">
        <f t="shared" si="72"/>
        <v>0</v>
      </c>
      <c r="Z104" s="195">
        <f t="shared" si="73"/>
        <v>0</v>
      </c>
      <c r="AA104" s="195">
        <f t="shared" si="74"/>
        <v>0</v>
      </c>
      <c r="AB104" s="195">
        <f t="shared" si="75"/>
        <v>0</v>
      </c>
      <c r="AC104" s="195">
        <f t="shared" si="76"/>
        <v>0</v>
      </c>
      <c r="AD104" s="195">
        <f t="shared" si="77"/>
        <v>0</v>
      </c>
      <c r="AE104" s="195">
        <f t="shared" si="78"/>
        <v>0</v>
      </c>
      <c r="AF104" s="196"/>
      <c r="AG104" s="194">
        <f t="shared" si="79"/>
        <v>0</v>
      </c>
      <c r="AH104" s="194">
        <f t="shared" si="80"/>
        <v>0</v>
      </c>
      <c r="AI104" s="194">
        <f t="shared" si="81"/>
        <v>0</v>
      </c>
      <c r="AK104" s="195">
        <v>21</v>
      </c>
      <c r="AL104" s="195">
        <f>G104*0.838235294117647</f>
        <v>0</v>
      </c>
      <c r="AM104" s="195">
        <f>G104*(1-0.838235294117647)</f>
        <v>0</v>
      </c>
      <c r="AN104" s="198" t="s">
        <v>255</v>
      </c>
      <c r="AS104" s="195">
        <f t="shared" si="82"/>
        <v>0</v>
      </c>
      <c r="AT104" s="195">
        <f t="shared" si="83"/>
        <v>0</v>
      </c>
      <c r="AU104" s="195">
        <f t="shared" si="84"/>
        <v>0</v>
      </c>
      <c r="AV104" s="197" t="s">
        <v>2719</v>
      </c>
      <c r="AW104" s="197" t="s">
        <v>2073</v>
      </c>
      <c r="AX104" s="196" t="s">
        <v>2067</v>
      </c>
      <c r="AZ104" s="195">
        <f t="shared" si="85"/>
        <v>0</v>
      </c>
      <c r="BA104" s="195">
        <f t="shared" si="86"/>
        <v>0</v>
      </c>
      <c r="BB104" s="195">
        <v>0</v>
      </c>
      <c r="BC104" s="195" t="e">
        <f>#REF!</f>
        <v>#REF!</v>
      </c>
      <c r="BE104" s="194">
        <f t="shared" si="87"/>
        <v>0</v>
      </c>
      <c r="BF104" s="194">
        <f t="shared" si="88"/>
        <v>0</v>
      </c>
      <c r="BG104" s="194">
        <f t="shared" si="89"/>
        <v>0</v>
      </c>
    </row>
    <row r="105" spans="1:59">
      <c r="A105" s="369" t="s">
        <v>768</v>
      </c>
      <c r="B105" s="369"/>
      <c r="C105" s="369" t="s">
        <v>2669</v>
      </c>
      <c r="D105" s="369" t="s">
        <v>2668</v>
      </c>
      <c r="E105" s="369" t="s">
        <v>291</v>
      </c>
      <c r="F105" s="370">
        <v>25</v>
      </c>
      <c r="G105" s="355">
        <v>0</v>
      </c>
      <c r="H105" s="370">
        <f t="shared" si="68"/>
        <v>0</v>
      </c>
      <c r="I105" s="370">
        <f t="shared" si="69"/>
        <v>0</v>
      </c>
      <c r="J105" s="370">
        <f t="shared" si="70"/>
        <v>0</v>
      </c>
      <c r="W105" s="195">
        <f t="shared" si="71"/>
        <v>0</v>
      </c>
      <c r="Y105" s="195">
        <f t="shared" si="72"/>
        <v>0</v>
      </c>
      <c r="Z105" s="195">
        <f t="shared" si="73"/>
        <v>0</v>
      </c>
      <c r="AA105" s="195">
        <f t="shared" si="74"/>
        <v>0</v>
      </c>
      <c r="AB105" s="195">
        <f t="shared" si="75"/>
        <v>0</v>
      </c>
      <c r="AC105" s="195">
        <f t="shared" si="76"/>
        <v>0</v>
      </c>
      <c r="AD105" s="195">
        <f t="shared" si="77"/>
        <v>0</v>
      </c>
      <c r="AE105" s="195">
        <f t="shared" si="78"/>
        <v>0</v>
      </c>
      <c r="AF105" s="196"/>
      <c r="AG105" s="194">
        <f t="shared" si="79"/>
        <v>0</v>
      </c>
      <c r="AH105" s="194">
        <f t="shared" si="80"/>
        <v>0</v>
      </c>
      <c r="AI105" s="194">
        <f t="shared" si="81"/>
        <v>0</v>
      </c>
      <c r="AK105" s="195">
        <v>21</v>
      </c>
      <c r="AL105" s="195">
        <f>G105*0.834710743801653</f>
        <v>0</v>
      </c>
      <c r="AM105" s="195">
        <f>G105*(1-0.834710743801653)</f>
        <v>0</v>
      </c>
      <c r="AN105" s="198" t="s">
        <v>255</v>
      </c>
      <c r="AS105" s="195">
        <f t="shared" si="82"/>
        <v>0</v>
      </c>
      <c r="AT105" s="195">
        <f t="shared" si="83"/>
        <v>0</v>
      </c>
      <c r="AU105" s="195">
        <f t="shared" si="84"/>
        <v>0</v>
      </c>
      <c r="AV105" s="197" t="s">
        <v>2719</v>
      </c>
      <c r="AW105" s="197" t="s">
        <v>2073</v>
      </c>
      <c r="AX105" s="196" t="s">
        <v>2067</v>
      </c>
      <c r="AZ105" s="195">
        <f t="shared" si="85"/>
        <v>0</v>
      </c>
      <c r="BA105" s="195">
        <f t="shared" si="86"/>
        <v>0</v>
      </c>
      <c r="BB105" s="195">
        <v>0</v>
      </c>
      <c r="BC105" s="195" t="e">
        <f>#REF!</f>
        <v>#REF!</v>
      </c>
      <c r="BE105" s="194">
        <f t="shared" si="87"/>
        <v>0</v>
      </c>
      <c r="BF105" s="194">
        <f t="shared" si="88"/>
        <v>0</v>
      </c>
      <c r="BG105" s="194">
        <f t="shared" si="89"/>
        <v>0</v>
      </c>
    </row>
    <row r="106" spans="1:59">
      <c r="A106" s="369" t="s">
        <v>773</v>
      </c>
      <c r="B106" s="369"/>
      <c r="C106" s="369" t="s">
        <v>2661</v>
      </c>
      <c r="D106" s="369" t="s">
        <v>2660</v>
      </c>
      <c r="E106" s="369" t="s">
        <v>364</v>
      </c>
      <c r="F106" s="370">
        <v>25</v>
      </c>
      <c r="G106" s="355">
        <v>0</v>
      </c>
      <c r="H106" s="370">
        <f t="shared" si="68"/>
        <v>0</v>
      </c>
      <c r="I106" s="370">
        <f t="shared" si="69"/>
        <v>0</v>
      </c>
      <c r="J106" s="370">
        <f t="shared" si="70"/>
        <v>0</v>
      </c>
      <c r="W106" s="195">
        <f t="shared" si="71"/>
        <v>0</v>
      </c>
      <c r="Y106" s="195">
        <f t="shared" si="72"/>
        <v>0</v>
      </c>
      <c r="Z106" s="195">
        <f t="shared" si="73"/>
        <v>0</v>
      </c>
      <c r="AA106" s="195">
        <f t="shared" si="74"/>
        <v>0</v>
      </c>
      <c r="AB106" s="195">
        <f t="shared" si="75"/>
        <v>0</v>
      </c>
      <c r="AC106" s="195">
        <f t="shared" si="76"/>
        <v>0</v>
      </c>
      <c r="AD106" s="195">
        <f t="shared" si="77"/>
        <v>0</v>
      </c>
      <c r="AE106" s="195">
        <f t="shared" si="78"/>
        <v>0</v>
      </c>
      <c r="AF106" s="196"/>
      <c r="AG106" s="194">
        <f t="shared" si="79"/>
        <v>0</v>
      </c>
      <c r="AH106" s="194">
        <f t="shared" si="80"/>
        <v>0</v>
      </c>
      <c r="AI106" s="194">
        <f t="shared" si="81"/>
        <v>0</v>
      </c>
      <c r="AK106" s="195">
        <v>21</v>
      </c>
      <c r="AL106" s="195">
        <f>G106*0.333333333333333</f>
        <v>0</v>
      </c>
      <c r="AM106" s="195">
        <f>G106*(1-0.333333333333333)</f>
        <v>0</v>
      </c>
      <c r="AN106" s="198" t="s">
        <v>77</v>
      </c>
      <c r="AS106" s="195">
        <f t="shared" si="82"/>
        <v>0</v>
      </c>
      <c r="AT106" s="195">
        <f t="shared" si="83"/>
        <v>0</v>
      </c>
      <c r="AU106" s="195">
        <f t="shared" si="84"/>
        <v>0</v>
      </c>
      <c r="AV106" s="197" t="s">
        <v>2719</v>
      </c>
      <c r="AW106" s="197" t="s">
        <v>2073</v>
      </c>
      <c r="AX106" s="196" t="s">
        <v>2067</v>
      </c>
      <c r="AZ106" s="195">
        <f t="shared" si="85"/>
        <v>0</v>
      </c>
      <c r="BA106" s="195">
        <f t="shared" si="86"/>
        <v>0</v>
      </c>
      <c r="BB106" s="195">
        <v>0</v>
      </c>
      <c r="BC106" s="195" t="e">
        <f>#REF!</f>
        <v>#REF!</v>
      </c>
      <c r="BE106" s="194">
        <f t="shared" si="87"/>
        <v>0</v>
      </c>
      <c r="BF106" s="194">
        <f t="shared" si="88"/>
        <v>0</v>
      </c>
      <c r="BG106" s="194">
        <f t="shared" si="89"/>
        <v>0</v>
      </c>
    </row>
    <row r="107" spans="1:59">
      <c r="A107" s="375"/>
      <c r="B107" s="375"/>
      <c r="C107" s="375"/>
      <c r="D107" s="376" t="s">
        <v>2659</v>
      </c>
      <c r="E107" s="375"/>
      <c r="F107" s="375"/>
      <c r="G107" s="358">
        <v>0</v>
      </c>
      <c r="H107" s="375"/>
      <c r="I107" s="375"/>
      <c r="J107" s="375"/>
    </row>
    <row r="108" spans="1:59">
      <c r="A108" s="369" t="s">
        <v>778</v>
      </c>
      <c r="B108" s="369"/>
      <c r="C108" s="369" t="s">
        <v>2720</v>
      </c>
      <c r="D108" s="369" t="s">
        <v>2662</v>
      </c>
      <c r="E108" s="369" t="s">
        <v>1220</v>
      </c>
      <c r="F108" s="370">
        <v>3</v>
      </c>
      <c r="G108" s="355">
        <v>0</v>
      </c>
      <c r="H108" s="370">
        <f>F108*AL108</f>
        <v>0</v>
      </c>
      <c r="I108" s="370">
        <f>F108*AM108</f>
        <v>0</v>
      </c>
      <c r="J108" s="370">
        <f>F108*G108</f>
        <v>0</v>
      </c>
      <c r="W108" s="195">
        <f>IF(AN108="5",BG108,0)</f>
        <v>0</v>
      </c>
      <c r="Y108" s="195">
        <f>IF(AN108="1",BE108,0)</f>
        <v>0</v>
      </c>
      <c r="Z108" s="195">
        <f>IF(AN108="1",BF108,0)</f>
        <v>0</v>
      </c>
      <c r="AA108" s="195">
        <f>IF(AN108="7",BE108,0)</f>
        <v>0</v>
      </c>
      <c r="AB108" s="195">
        <f>IF(AN108="7",BF108,0)</f>
        <v>0</v>
      </c>
      <c r="AC108" s="195">
        <f>IF(AN108="2",BE108,0)</f>
        <v>0</v>
      </c>
      <c r="AD108" s="195">
        <f>IF(AN108="2",BF108,0)</f>
        <v>0</v>
      </c>
      <c r="AE108" s="195">
        <f>IF(AN108="0",BG108,0)</f>
        <v>0</v>
      </c>
      <c r="AF108" s="196"/>
      <c r="AG108" s="194">
        <f>IF(AK108=0,J108,0)</f>
        <v>0</v>
      </c>
      <c r="AH108" s="194">
        <f>IF(AK108=15,J108,0)</f>
        <v>0</v>
      </c>
      <c r="AI108" s="194">
        <f>IF(AK108=21,J108,0)</f>
        <v>0</v>
      </c>
      <c r="AK108" s="195">
        <v>21</v>
      </c>
      <c r="AL108" s="195">
        <f>G108*0.955840455840456</f>
        <v>0</v>
      </c>
      <c r="AM108" s="195">
        <f>G108*(1-0.955840455840456)</f>
        <v>0</v>
      </c>
      <c r="AN108" s="198" t="s">
        <v>255</v>
      </c>
      <c r="AS108" s="195">
        <f>AT108+AU108</f>
        <v>0</v>
      </c>
      <c r="AT108" s="195">
        <f>F108*AL108</f>
        <v>0</v>
      </c>
      <c r="AU108" s="195">
        <f>F108*AM108</f>
        <v>0</v>
      </c>
      <c r="AV108" s="197" t="s">
        <v>2719</v>
      </c>
      <c r="AW108" s="197" t="s">
        <v>2073</v>
      </c>
      <c r="AX108" s="196" t="s">
        <v>2067</v>
      </c>
      <c r="AZ108" s="195">
        <f>AT108+AU108</f>
        <v>0</v>
      </c>
      <c r="BA108" s="195">
        <f>G108/(100-BB108)*100</f>
        <v>0</v>
      </c>
      <c r="BB108" s="195">
        <v>0</v>
      </c>
      <c r="BC108" s="195" t="e">
        <f>#REF!</f>
        <v>#REF!</v>
      </c>
      <c r="BE108" s="194">
        <f>F108*AL108</f>
        <v>0</v>
      </c>
      <c r="BF108" s="194">
        <f>F108*AM108</f>
        <v>0</v>
      </c>
      <c r="BG108" s="194">
        <f>F108*G108</f>
        <v>0</v>
      </c>
    </row>
    <row r="109" spans="1:59">
      <c r="A109" s="371"/>
      <c r="B109" s="372"/>
      <c r="C109" s="372" t="s">
        <v>2718</v>
      </c>
      <c r="D109" s="372" t="s">
        <v>2717</v>
      </c>
      <c r="E109" s="371" t="s">
        <v>27</v>
      </c>
      <c r="F109" s="371" t="s">
        <v>27</v>
      </c>
      <c r="G109" s="356"/>
      <c r="H109" s="386">
        <f>SUM(H110:H120)</f>
        <v>0</v>
      </c>
      <c r="I109" s="386">
        <f>SUM(I110:I120)</f>
        <v>0</v>
      </c>
      <c r="J109" s="386">
        <f>SUM(J110:J120)</f>
        <v>0</v>
      </c>
      <c r="AF109" s="196"/>
      <c r="AP109" s="199">
        <f>SUM(AG110:AG120)</f>
        <v>0</v>
      </c>
      <c r="AQ109" s="199">
        <f>SUM(AH110:AH120)</f>
        <v>0</v>
      </c>
      <c r="AR109" s="199">
        <f>SUM(AI110:AI120)</f>
        <v>0</v>
      </c>
    </row>
    <row r="110" spans="1:59">
      <c r="A110" s="369" t="s">
        <v>782</v>
      </c>
      <c r="B110" s="369"/>
      <c r="C110" s="369" t="s">
        <v>2653</v>
      </c>
      <c r="D110" s="369" t="s">
        <v>2652</v>
      </c>
      <c r="E110" s="369" t="s">
        <v>291</v>
      </c>
      <c r="F110" s="370">
        <v>1</v>
      </c>
      <c r="G110" s="355">
        <v>0</v>
      </c>
      <c r="H110" s="370">
        <f t="shared" ref="H110:H120" si="90">F110*AL110</f>
        <v>0</v>
      </c>
      <c r="I110" s="370">
        <f t="shared" ref="I110:I120" si="91">F110*AM110</f>
        <v>0</v>
      </c>
      <c r="J110" s="370">
        <f t="shared" ref="J110:J120" si="92">F110*G110</f>
        <v>0</v>
      </c>
      <c r="W110" s="195">
        <f t="shared" ref="W110:W120" si="93">IF(AN110="5",BG110,0)</f>
        <v>0</v>
      </c>
      <c r="Y110" s="195">
        <f t="shared" ref="Y110:Y120" si="94">IF(AN110="1",BE110,0)</f>
        <v>0</v>
      </c>
      <c r="Z110" s="195">
        <f t="shared" ref="Z110:Z120" si="95">IF(AN110="1",BF110,0)</f>
        <v>0</v>
      </c>
      <c r="AA110" s="195">
        <f t="shared" ref="AA110:AA120" si="96">IF(AN110="7",BE110,0)</f>
        <v>0</v>
      </c>
      <c r="AB110" s="195">
        <f t="shared" ref="AB110:AB120" si="97">IF(AN110="7",BF110,0)</f>
        <v>0</v>
      </c>
      <c r="AC110" s="195">
        <f t="shared" ref="AC110:AC120" si="98">IF(AN110="2",BE110,0)</f>
        <v>0</v>
      </c>
      <c r="AD110" s="195">
        <f t="shared" ref="AD110:AD120" si="99">IF(AN110="2",BF110,0)</f>
        <v>0</v>
      </c>
      <c r="AE110" s="195">
        <f t="shared" ref="AE110:AE120" si="100">IF(AN110="0",BG110,0)</f>
        <v>0</v>
      </c>
      <c r="AF110" s="196"/>
      <c r="AG110" s="194">
        <f t="shared" ref="AG110:AG120" si="101">IF(AK110=0,J110,0)</f>
        <v>0</v>
      </c>
      <c r="AH110" s="194">
        <f t="shared" ref="AH110:AH120" si="102">IF(AK110=15,J110,0)</f>
        <v>0</v>
      </c>
      <c r="AI110" s="194">
        <f t="shared" ref="AI110:AI120" si="103">IF(AK110=21,J110,0)</f>
        <v>0</v>
      </c>
      <c r="AK110" s="195">
        <v>21</v>
      </c>
      <c r="AL110" s="195">
        <f>G110*0</f>
        <v>0</v>
      </c>
      <c r="AM110" s="195">
        <f>G110*(1-0)</f>
        <v>0</v>
      </c>
      <c r="AN110" s="198" t="s">
        <v>255</v>
      </c>
      <c r="AS110" s="195">
        <f t="shared" ref="AS110:AS120" si="104">AT110+AU110</f>
        <v>0</v>
      </c>
      <c r="AT110" s="195">
        <f t="shared" ref="AT110:AT120" si="105">F110*AL110</f>
        <v>0</v>
      </c>
      <c r="AU110" s="195">
        <f t="shared" ref="AU110:AU120" si="106">F110*AM110</f>
        <v>0</v>
      </c>
      <c r="AV110" s="197" t="s">
        <v>2711</v>
      </c>
      <c r="AW110" s="197" t="s">
        <v>2073</v>
      </c>
      <c r="AX110" s="196" t="s">
        <v>2067</v>
      </c>
      <c r="AZ110" s="195">
        <f t="shared" ref="AZ110:AZ120" si="107">AT110+AU110</f>
        <v>0</v>
      </c>
      <c r="BA110" s="195">
        <f t="shared" ref="BA110:BA120" si="108">G110/(100-BB110)*100</f>
        <v>0</v>
      </c>
      <c r="BB110" s="195">
        <v>0</v>
      </c>
      <c r="BC110" s="195" t="e">
        <f>#REF!</f>
        <v>#REF!</v>
      </c>
      <c r="BE110" s="194">
        <f t="shared" ref="BE110:BE120" si="109">F110*AL110</f>
        <v>0</v>
      </c>
      <c r="BF110" s="194">
        <f t="shared" ref="BF110:BF120" si="110">F110*AM110</f>
        <v>0</v>
      </c>
      <c r="BG110" s="194">
        <f t="shared" ref="BG110:BG120" si="111">F110*G110</f>
        <v>0</v>
      </c>
    </row>
    <row r="111" spans="1:59">
      <c r="A111" s="373" t="s">
        <v>788</v>
      </c>
      <c r="B111" s="373"/>
      <c r="C111" s="373" t="s">
        <v>2716</v>
      </c>
      <c r="D111" s="373" t="s">
        <v>2650</v>
      </c>
      <c r="E111" s="373" t="s">
        <v>1766</v>
      </c>
      <c r="F111" s="374">
        <v>1</v>
      </c>
      <c r="G111" s="357">
        <v>0</v>
      </c>
      <c r="H111" s="374">
        <f t="shared" si="90"/>
        <v>0</v>
      </c>
      <c r="I111" s="374">
        <f t="shared" si="91"/>
        <v>0</v>
      </c>
      <c r="J111" s="374">
        <f t="shared" si="92"/>
        <v>0</v>
      </c>
      <c r="W111" s="195">
        <f t="shared" si="93"/>
        <v>0</v>
      </c>
      <c r="Y111" s="195">
        <f t="shared" si="94"/>
        <v>0</v>
      </c>
      <c r="Z111" s="195">
        <f t="shared" si="95"/>
        <v>0</v>
      </c>
      <c r="AA111" s="195">
        <f t="shared" si="96"/>
        <v>0</v>
      </c>
      <c r="AB111" s="195">
        <f t="shared" si="97"/>
        <v>0</v>
      </c>
      <c r="AC111" s="195">
        <f t="shared" si="98"/>
        <v>0</v>
      </c>
      <c r="AD111" s="195">
        <f t="shared" si="99"/>
        <v>0</v>
      </c>
      <c r="AE111" s="195">
        <f t="shared" si="100"/>
        <v>0</v>
      </c>
      <c r="AF111" s="196"/>
      <c r="AG111" s="200">
        <f t="shared" si="101"/>
        <v>0</v>
      </c>
      <c r="AH111" s="200">
        <f t="shared" si="102"/>
        <v>0</v>
      </c>
      <c r="AI111" s="200">
        <f t="shared" si="103"/>
        <v>0</v>
      </c>
      <c r="AK111" s="195">
        <v>21</v>
      </c>
      <c r="AL111" s="195">
        <f>G111*1</f>
        <v>0</v>
      </c>
      <c r="AM111" s="195">
        <f>G111*(1-1)</f>
        <v>0</v>
      </c>
      <c r="AN111" s="201" t="s">
        <v>255</v>
      </c>
      <c r="AS111" s="195">
        <f t="shared" si="104"/>
        <v>0</v>
      </c>
      <c r="AT111" s="195">
        <f t="shared" si="105"/>
        <v>0</v>
      </c>
      <c r="AU111" s="195">
        <f t="shared" si="106"/>
        <v>0</v>
      </c>
      <c r="AV111" s="197" t="s">
        <v>2711</v>
      </c>
      <c r="AW111" s="197" t="s">
        <v>2073</v>
      </c>
      <c r="AX111" s="196" t="s">
        <v>2067</v>
      </c>
      <c r="AZ111" s="195">
        <f t="shared" si="107"/>
        <v>0</v>
      </c>
      <c r="BA111" s="195">
        <f t="shared" si="108"/>
        <v>0</v>
      </c>
      <c r="BB111" s="195">
        <v>0</v>
      </c>
      <c r="BC111" s="195" t="e">
        <f>#REF!</f>
        <v>#REF!</v>
      </c>
      <c r="BE111" s="200">
        <f t="shared" si="109"/>
        <v>0</v>
      </c>
      <c r="BF111" s="200">
        <f t="shared" si="110"/>
        <v>0</v>
      </c>
      <c r="BG111" s="200">
        <f t="shared" si="111"/>
        <v>0</v>
      </c>
    </row>
    <row r="112" spans="1:59">
      <c r="A112" s="369" t="s">
        <v>792</v>
      </c>
      <c r="B112" s="369"/>
      <c r="C112" s="369" t="s">
        <v>2649</v>
      </c>
      <c r="D112" s="369" t="s">
        <v>2648</v>
      </c>
      <c r="E112" s="369" t="s">
        <v>291</v>
      </c>
      <c r="F112" s="370">
        <v>1</v>
      </c>
      <c r="G112" s="355">
        <v>0</v>
      </c>
      <c r="H112" s="370">
        <f t="shared" si="90"/>
        <v>0</v>
      </c>
      <c r="I112" s="370">
        <f t="shared" si="91"/>
        <v>0</v>
      </c>
      <c r="J112" s="370">
        <f t="shared" si="92"/>
        <v>0</v>
      </c>
      <c r="W112" s="195">
        <f t="shared" si="93"/>
        <v>0</v>
      </c>
      <c r="Y112" s="195">
        <f t="shared" si="94"/>
        <v>0</v>
      </c>
      <c r="Z112" s="195">
        <f t="shared" si="95"/>
        <v>0</v>
      </c>
      <c r="AA112" s="195">
        <f t="shared" si="96"/>
        <v>0</v>
      </c>
      <c r="AB112" s="195">
        <f t="shared" si="97"/>
        <v>0</v>
      </c>
      <c r="AC112" s="195">
        <f t="shared" si="98"/>
        <v>0</v>
      </c>
      <c r="AD112" s="195">
        <f t="shared" si="99"/>
        <v>0</v>
      </c>
      <c r="AE112" s="195">
        <f t="shared" si="100"/>
        <v>0</v>
      </c>
      <c r="AF112" s="196"/>
      <c r="AG112" s="194">
        <f t="shared" si="101"/>
        <v>0</v>
      </c>
      <c r="AH112" s="194">
        <f t="shared" si="102"/>
        <v>0</v>
      </c>
      <c r="AI112" s="194">
        <f t="shared" si="103"/>
        <v>0</v>
      </c>
      <c r="AK112" s="195">
        <v>21</v>
      </c>
      <c r="AL112" s="195">
        <f>G112*0</f>
        <v>0</v>
      </c>
      <c r="AM112" s="195">
        <f>G112*(1-0)</f>
        <v>0</v>
      </c>
      <c r="AN112" s="198" t="s">
        <v>255</v>
      </c>
      <c r="AS112" s="195">
        <f t="shared" si="104"/>
        <v>0</v>
      </c>
      <c r="AT112" s="195">
        <f t="shared" si="105"/>
        <v>0</v>
      </c>
      <c r="AU112" s="195">
        <f t="shared" si="106"/>
        <v>0</v>
      </c>
      <c r="AV112" s="197" t="s">
        <v>2711</v>
      </c>
      <c r="AW112" s="197" t="s">
        <v>2073</v>
      </c>
      <c r="AX112" s="196" t="s">
        <v>2067</v>
      </c>
      <c r="AZ112" s="195">
        <f t="shared" si="107"/>
        <v>0</v>
      </c>
      <c r="BA112" s="195">
        <f t="shared" si="108"/>
        <v>0</v>
      </c>
      <c r="BB112" s="195">
        <v>0</v>
      </c>
      <c r="BC112" s="195" t="e">
        <f>#REF!</f>
        <v>#REF!</v>
      </c>
      <c r="BE112" s="194">
        <f t="shared" si="109"/>
        <v>0</v>
      </c>
      <c r="BF112" s="194">
        <f t="shared" si="110"/>
        <v>0</v>
      </c>
      <c r="BG112" s="194">
        <f t="shared" si="111"/>
        <v>0</v>
      </c>
    </row>
    <row r="113" spans="1:59">
      <c r="A113" s="369" t="s">
        <v>799</v>
      </c>
      <c r="B113" s="369"/>
      <c r="C113" s="369" t="s">
        <v>2647</v>
      </c>
      <c r="D113" s="369" t="s">
        <v>2646</v>
      </c>
      <c r="E113" s="369" t="s">
        <v>291</v>
      </c>
      <c r="F113" s="370">
        <v>1</v>
      </c>
      <c r="G113" s="355">
        <v>0</v>
      </c>
      <c r="H113" s="370">
        <f t="shared" si="90"/>
        <v>0</v>
      </c>
      <c r="I113" s="370">
        <f t="shared" si="91"/>
        <v>0</v>
      </c>
      <c r="J113" s="370">
        <f t="shared" si="92"/>
        <v>0</v>
      </c>
      <c r="W113" s="195">
        <f t="shared" si="93"/>
        <v>0</v>
      </c>
      <c r="Y113" s="195">
        <f t="shared" si="94"/>
        <v>0</v>
      </c>
      <c r="Z113" s="195">
        <f t="shared" si="95"/>
        <v>0</v>
      </c>
      <c r="AA113" s="195">
        <f t="shared" si="96"/>
        <v>0</v>
      </c>
      <c r="AB113" s="195">
        <f t="shared" si="97"/>
        <v>0</v>
      </c>
      <c r="AC113" s="195">
        <f t="shared" si="98"/>
        <v>0</v>
      </c>
      <c r="AD113" s="195">
        <f t="shared" si="99"/>
        <v>0</v>
      </c>
      <c r="AE113" s="195">
        <f t="shared" si="100"/>
        <v>0</v>
      </c>
      <c r="AF113" s="196"/>
      <c r="AG113" s="194">
        <f t="shared" si="101"/>
        <v>0</v>
      </c>
      <c r="AH113" s="194">
        <f t="shared" si="102"/>
        <v>0</v>
      </c>
      <c r="AI113" s="194">
        <f t="shared" si="103"/>
        <v>0</v>
      </c>
      <c r="AK113" s="195">
        <v>21</v>
      </c>
      <c r="AL113" s="195">
        <f>G113*1</f>
        <v>0</v>
      </c>
      <c r="AM113" s="195">
        <f>G113*(1-1)</f>
        <v>0</v>
      </c>
      <c r="AN113" s="198" t="s">
        <v>255</v>
      </c>
      <c r="AS113" s="195">
        <f t="shared" si="104"/>
        <v>0</v>
      </c>
      <c r="AT113" s="195">
        <f t="shared" si="105"/>
        <v>0</v>
      </c>
      <c r="AU113" s="195">
        <f t="shared" si="106"/>
        <v>0</v>
      </c>
      <c r="AV113" s="197" t="s">
        <v>2711</v>
      </c>
      <c r="AW113" s="197" t="s">
        <v>2073</v>
      </c>
      <c r="AX113" s="196" t="s">
        <v>2067</v>
      </c>
      <c r="AZ113" s="195">
        <f t="shared" si="107"/>
        <v>0</v>
      </c>
      <c r="BA113" s="195">
        <f t="shared" si="108"/>
        <v>0</v>
      </c>
      <c r="BB113" s="195">
        <v>0</v>
      </c>
      <c r="BC113" s="195" t="e">
        <f>#REF!</f>
        <v>#REF!</v>
      </c>
      <c r="BE113" s="194">
        <f t="shared" si="109"/>
        <v>0</v>
      </c>
      <c r="BF113" s="194">
        <f t="shared" si="110"/>
        <v>0</v>
      </c>
      <c r="BG113" s="194">
        <f t="shared" si="111"/>
        <v>0</v>
      </c>
    </row>
    <row r="114" spans="1:59">
      <c r="A114" s="369" t="s">
        <v>804</v>
      </c>
      <c r="B114" s="369"/>
      <c r="C114" s="369" t="s">
        <v>2645</v>
      </c>
      <c r="D114" s="369" t="s">
        <v>2644</v>
      </c>
      <c r="E114" s="369" t="s">
        <v>291</v>
      </c>
      <c r="F114" s="370">
        <v>5</v>
      </c>
      <c r="G114" s="355">
        <v>0</v>
      </c>
      <c r="H114" s="370">
        <f t="shared" si="90"/>
        <v>0</v>
      </c>
      <c r="I114" s="370">
        <f t="shared" si="91"/>
        <v>0</v>
      </c>
      <c r="J114" s="370">
        <f t="shared" si="92"/>
        <v>0</v>
      </c>
      <c r="W114" s="195">
        <f t="shared" si="93"/>
        <v>0</v>
      </c>
      <c r="Y114" s="195">
        <f t="shared" si="94"/>
        <v>0</v>
      </c>
      <c r="Z114" s="195">
        <f t="shared" si="95"/>
        <v>0</v>
      </c>
      <c r="AA114" s="195">
        <f t="shared" si="96"/>
        <v>0</v>
      </c>
      <c r="AB114" s="195">
        <f t="shared" si="97"/>
        <v>0</v>
      </c>
      <c r="AC114" s="195">
        <f t="shared" si="98"/>
        <v>0</v>
      </c>
      <c r="AD114" s="195">
        <f t="shared" si="99"/>
        <v>0</v>
      </c>
      <c r="AE114" s="195">
        <f t="shared" si="100"/>
        <v>0</v>
      </c>
      <c r="AF114" s="196"/>
      <c r="AG114" s="194">
        <f t="shared" si="101"/>
        <v>0</v>
      </c>
      <c r="AH114" s="194">
        <f t="shared" si="102"/>
        <v>0</v>
      </c>
      <c r="AI114" s="194">
        <f t="shared" si="103"/>
        <v>0</v>
      </c>
      <c r="AK114" s="195">
        <v>21</v>
      </c>
      <c r="AL114" s="195">
        <f>G114*0</f>
        <v>0</v>
      </c>
      <c r="AM114" s="195">
        <f>G114*(1-0)</f>
        <v>0</v>
      </c>
      <c r="AN114" s="198" t="s">
        <v>255</v>
      </c>
      <c r="AS114" s="195">
        <f t="shared" si="104"/>
        <v>0</v>
      </c>
      <c r="AT114" s="195">
        <f t="shared" si="105"/>
        <v>0</v>
      </c>
      <c r="AU114" s="195">
        <f t="shared" si="106"/>
        <v>0</v>
      </c>
      <c r="AV114" s="197" t="s">
        <v>2711</v>
      </c>
      <c r="AW114" s="197" t="s">
        <v>2073</v>
      </c>
      <c r="AX114" s="196" t="s">
        <v>2067</v>
      </c>
      <c r="AZ114" s="195">
        <f t="shared" si="107"/>
        <v>0</v>
      </c>
      <c r="BA114" s="195">
        <f t="shared" si="108"/>
        <v>0</v>
      </c>
      <c r="BB114" s="195">
        <v>0</v>
      </c>
      <c r="BC114" s="195" t="e">
        <f>#REF!</f>
        <v>#REF!</v>
      </c>
      <c r="BE114" s="194">
        <f t="shared" si="109"/>
        <v>0</v>
      </c>
      <c r="BF114" s="194">
        <f t="shared" si="110"/>
        <v>0</v>
      </c>
      <c r="BG114" s="194">
        <f t="shared" si="111"/>
        <v>0</v>
      </c>
    </row>
    <row r="115" spans="1:59">
      <c r="A115" s="373" t="s">
        <v>809</v>
      </c>
      <c r="B115" s="373"/>
      <c r="C115" s="373" t="s">
        <v>2643</v>
      </c>
      <c r="D115" s="373" t="s">
        <v>2702</v>
      </c>
      <c r="E115" s="373" t="s">
        <v>2353</v>
      </c>
      <c r="F115" s="374">
        <v>5</v>
      </c>
      <c r="G115" s="357">
        <v>0</v>
      </c>
      <c r="H115" s="374">
        <f t="shared" si="90"/>
        <v>0</v>
      </c>
      <c r="I115" s="374">
        <f t="shared" si="91"/>
        <v>0</v>
      </c>
      <c r="J115" s="374">
        <f t="shared" si="92"/>
        <v>0</v>
      </c>
      <c r="W115" s="195">
        <f t="shared" si="93"/>
        <v>0</v>
      </c>
      <c r="Y115" s="195">
        <f t="shared" si="94"/>
        <v>0</v>
      </c>
      <c r="Z115" s="195">
        <f t="shared" si="95"/>
        <v>0</v>
      </c>
      <c r="AA115" s="195">
        <f t="shared" si="96"/>
        <v>0</v>
      </c>
      <c r="AB115" s="195">
        <f t="shared" si="97"/>
        <v>0</v>
      </c>
      <c r="AC115" s="195">
        <f t="shared" si="98"/>
        <v>0</v>
      </c>
      <c r="AD115" s="195">
        <f t="shared" si="99"/>
        <v>0</v>
      </c>
      <c r="AE115" s="195">
        <f t="shared" si="100"/>
        <v>0</v>
      </c>
      <c r="AF115" s="196"/>
      <c r="AG115" s="200">
        <f t="shared" si="101"/>
        <v>0</v>
      </c>
      <c r="AH115" s="200">
        <f t="shared" si="102"/>
        <v>0</v>
      </c>
      <c r="AI115" s="200">
        <f t="shared" si="103"/>
        <v>0</v>
      </c>
      <c r="AK115" s="195">
        <v>21</v>
      </c>
      <c r="AL115" s="195">
        <f>G115*1</f>
        <v>0</v>
      </c>
      <c r="AM115" s="195">
        <f>G115*(1-1)</f>
        <v>0</v>
      </c>
      <c r="AN115" s="201" t="s">
        <v>255</v>
      </c>
      <c r="AS115" s="195">
        <f t="shared" si="104"/>
        <v>0</v>
      </c>
      <c r="AT115" s="195">
        <f t="shared" si="105"/>
        <v>0</v>
      </c>
      <c r="AU115" s="195">
        <f t="shared" si="106"/>
        <v>0</v>
      </c>
      <c r="AV115" s="197" t="s">
        <v>2711</v>
      </c>
      <c r="AW115" s="197" t="s">
        <v>2073</v>
      </c>
      <c r="AX115" s="196" t="s">
        <v>2067</v>
      </c>
      <c r="AZ115" s="195">
        <f t="shared" si="107"/>
        <v>0</v>
      </c>
      <c r="BA115" s="195">
        <f t="shared" si="108"/>
        <v>0</v>
      </c>
      <c r="BB115" s="195">
        <v>0</v>
      </c>
      <c r="BC115" s="195" t="e">
        <f>#REF!</f>
        <v>#REF!</v>
      </c>
      <c r="BE115" s="200">
        <f t="shared" si="109"/>
        <v>0</v>
      </c>
      <c r="BF115" s="200">
        <f t="shared" si="110"/>
        <v>0</v>
      </c>
      <c r="BG115" s="200">
        <f t="shared" si="111"/>
        <v>0</v>
      </c>
    </row>
    <row r="116" spans="1:59">
      <c r="A116" s="369" t="s">
        <v>816</v>
      </c>
      <c r="B116" s="369"/>
      <c r="C116" s="369" t="s">
        <v>2641</v>
      </c>
      <c r="D116" s="369" t="s">
        <v>2640</v>
      </c>
      <c r="E116" s="369" t="s">
        <v>291</v>
      </c>
      <c r="F116" s="370">
        <v>2</v>
      </c>
      <c r="G116" s="355">
        <v>0</v>
      </c>
      <c r="H116" s="370">
        <f t="shared" si="90"/>
        <v>0</v>
      </c>
      <c r="I116" s="370">
        <f t="shared" si="91"/>
        <v>0</v>
      </c>
      <c r="J116" s="370">
        <f t="shared" si="92"/>
        <v>0</v>
      </c>
      <c r="W116" s="195">
        <f t="shared" si="93"/>
        <v>0</v>
      </c>
      <c r="Y116" s="195">
        <f t="shared" si="94"/>
        <v>0</v>
      </c>
      <c r="Z116" s="195">
        <f t="shared" si="95"/>
        <v>0</v>
      </c>
      <c r="AA116" s="195">
        <f t="shared" si="96"/>
        <v>0</v>
      </c>
      <c r="AB116" s="195">
        <f t="shared" si="97"/>
        <v>0</v>
      </c>
      <c r="AC116" s="195">
        <f t="shared" si="98"/>
        <v>0</v>
      </c>
      <c r="AD116" s="195">
        <f t="shared" si="99"/>
        <v>0</v>
      </c>
      <c r="AE116" s="195">
        <f t="shared" si="100"/>
        <v>0</v>
      </c>
      <c r="AF116" s="196"/>
      <c r="AG116" s="194">
        <f t="shared" si="101"/>
        <v>0</v>
      </c>
      <c r="AH116" s="194">
        <f t="shared" si="102"/>
        <v>0</v>
      </c>
      <c r="AI116" s="194">
        <f t="shared" si="103"/>
        <v>0</v>
      </c>
      <c r="AK116" s="195">
        <v>21</v>
      </c>
      <c r="AL116" s="195">
        <f>G116*0</f>
        <v>0</v>
      </c>
      <c r="AM116" s="195">
        <f>G116*(1-0)</f>
        <v>0</v>
      </c>
      <c r="AN116" s="198" t="s">
        <v>255</v>
      </c>
      <c r="AS116" s="195">
        <f t="shared" si="104"/>
        <v>0</v>
      </c>
      <c r="AT116" s="195">
        <f t="shared" si="105"/>
        <v>0</v>
      </c>
      <c r="AU116" s="195">
        <f t="shared" si="106"/>
        <v>0</v>
      </c>
      <c r="AV116" s="197" t="s">
        <v>2711</v>
      </c>
      <c r="AW116" s="197" t="s">
        <v>2073</v>
      </c>
      <c r="AX116" s="196" t="s">
        <v>2067</v>
      </c>
      <c r="AZ116" s="195">
        <f t="shared" si="107"/>
        <v>0</v>
      </c>
      <c r="BA116" s="195">
        <f t="shared" si="108"/>
        <v>0</v>
      </c>
      <c r="BB116" s="195">
        <v>0</v>
      </c>
      <c r="BC116" s="195" t="e">
        <f>#REF!</f>
        <v>#REF!</v>
      </c>
      <c r="BE116" s="194">
        <f t="shared" si="109"/>
        <v>0</v>
      </c>
      <c r="BF116" s="194">
        <f t="shared" si="110"/>
        <v>0</v>
      </c>
      <c r="BG116" s="194">
        <f t="shared" si="111"/>
        <v>0</v>
      </c>
    </row>
    <row r="117" spans="1:59">
      <c r="A117" s="369" t="s">
        <v>821</v>
      </c>
      <c r="B117" s="369"/>
      <c r="C117" s="369" t="s">
        <v>2639</v>
      </c>
      <c r="D117" s="369" t="s">
        <v>2715</v>
      </c>
      <c r="E117" s="369" t="s">
        <v>291</v>
      </c>
      <c r="F117" s="370">
        <v>2</v>
      </c>
      <c r="G117" s="355">
        <v>0</v>
      </c>
      <c r="H117" s="370">
        <f t="shared" si="90"/>
        <v>0</v>
      </c>
      <c r="I117" s="370">
        <f t="shared" si="91"/>
        <v>0</v>
      </c>
      <c r="J117" s="370">
        <f t="shared" si="92"/>
        <v>0</v>
      </c>
      <c r="W117" s="195">
        <f t="shared" si="93"/>
        <v>0</v>
      </c>
      <c r="Y117" s="195">
        <f t="shared" si="94"/>
        <v>0</v>
      </c>
      <c r="Z117" s="195">
        <f t="shared" si="95"/>
        <v>0</v>
      </c>
      <c r="AA117" s="195">
        <f t="shared" si="96"/>
        <v>0</v>
      </c>
      <c r="AB117" s="195">
        <f t="shared" si="97"/>
        <v>0</v>
      </c>
      <c r="AC117" s="195">
        <f t="shared" si="98"/>
        <v>0</v>
      </c>
      <c r="AD117" s="195">
        <f t="shared" si="99"/>
        <v>0</v>
      </c>
      <c r="AE117" s="195">
        <f t="shared" si="100"/>
        <v>0</v>
      </c>
      <c r="AF117" s="196"/>
      <c r="AG117" s="194">
        <f t="shared" si="101"/>
        <v>0</v>
      </c>
      <c r="AH117" s="194">
        <f t="shared" si="102"/>
        <v>0</v>
      </c>
      <c r="AI117" s="194">
        <f t="shared" si="103"/>
        <v>0</v>
      </c>
      <c r="AK117" s="195">
        <v>21</v>
      </c>
      <c r="AL117" s="195">
        <f>G117*1</f>
        <v>0</v>
      </c>
      <c r="AM117" s="195">
        <f>G117*(1-1)</f>
        <v>0</v>
      </c>
      <c r="AN117" s="198" t="s">
        <v>255</v>
      </c>
      <c r="AS117" s="195">
        <f t="shared" si="104"/>
        <v>0</v>
      </c>
      <c r="AT117" s="195">
        <f t="shared" si="105"/>
        <v>0</v>
      </c>
      <c r="AU117" s="195">
        <f t="shared" si="106"/>
        <v>0</v>
      </c>
      <c r="AV117" s="197" t="s">
        <v>2711</v>
      </c>
      <c r="AW117" s="197" t="s">
        <v>2073</v>
      </c>
      <c r="AX117" s="196" t="s">
        <v>2067</v>
      </c>
      <c r="AZ117" s="195">
        <f t="shared" si="107"/>
        <v>0</v>
      </c>
      <c r="BA117" s="195">
        <f t="shared" si="108"/>
        <v>0</v>
      </c>
      <c r="BB117" s="195">
        <v>0</v>
      </c>
      <c r="BC117" s="195" t="e">
        <f>#REF!</f>
        <v>#REF!</v>
      </c>
      <c r="BE117" s="194">
        <f t="shared" si="109"/>
        <v>0</v>
      </c>
      <c r="BF117" s="194">
        <f t="shared" si="110"/>
        <v>0</v>
      </c>
      <c r="BG117" s="194">
        <f t="shared" si="111"/>
        <v>0</v>
      </c>
    </row>
    <row r="118" spans="1:59">
      <c r="A118" s="369" t="s">
        <v>826</v>
      </c>
      <c r="B118" s="369"/>
      <c r="C118" s="369" t="s">
        <v>2701</v>
      </c>
      <c r="D118" s="369" t="s">
        <v>2700</v>
      </c>
      <c r="E118" s="369" t="s">
        <v>364</v>
      </c>
      <c r="F118" s="370">
        <v>10</v>
      </c>
      <c r="G118" s="355">
        <v>0</v>
      </c>
      <c r="H118" s="370">
        <f t="shared" si="90"/>
        <v>0</v>
      </c>
      <c r="I118" s="370">
        <f t="shared" si="91"/>
        <v>0</v>
      </c>
      <c r="J118" s="370">
        <f t="shared" si="92"/>
        <v>0</v>
      </c>
      <c r="W118" s="195">
        <f t="shared" si="93"/>
        <v>0</v>
      </c>
      <c r="Y118" s="195">
        <f t="shared" si="94"/>
        <v>0</v>
      </c>
      <c r="Z118" s="195">
        <f t="shared" si="95"/>
        <v>0</v>
      </c>
      <c r="AA118" s="195">
        <f t="shared" si="96"/>
        <v>0</v>
      </c>
      <c r="AB118" s="195">
        <f t="shared" si="97"/>
        <v>0</v>
      </c>
      <c r="AC118" s="195">
        <f t="shared" si="98"/>
        <v>0</v>
      </c>
      <c r="AD118" s="195">
        <f t="shared" si="99"/>
        <v>0</v>
      </c>
      <c r="AE118" s="195">
        <f t="shared" si="100"/>
        <v>0</v>
      </c>
      <c r="AF118" s="196"/>
      <c r="AG118" s="194">
        <f t="shared" si="101"/>
        <v>0</v>
      </c>
      <c r="AH118" s="194">
        <f t="shared" si="102"/>
        <v>0</v>
      </c>
      <c r="AI118" s="194">
        <f t="shared" si="103"/>
        <v>0</v>
      </c>
      <c r="AK118" s="195">
        <v>21</v>
      </c>
      <c r="AL118" s="195">
        <f>G118*0</f>
        <v>0</v>
      </c>
      <c r="AM118" s="195">
        <f>G118*(1-0)</f>
        <v>0</v>
      </c>
      <c r="AN118" s="198" t="s">
        <v>255</v>
      </c>
      <c r="AS118" s="195">
        <f t="shared" si="104"/>
        <v>0</v>
      </c>
      <c r="AT118" s="195">
        <f t="shared" si="105"/>
        <v>0</v>
      </c>
      <c r="AU118" s="195">
        <f t="shared" si="106"/>
        <v>0</v>
      </c>
      <c r="AV118" s="197" t="s">
        <v>2711</v>
      </c>
      <c r="AW118" s="197" t="s">
        <v>2073</v>
      </c>
      <c r="AX118" s="196" t="s">
        <v>2067</v>
      </c>
      <c r="AZ118" s="195">
        <f t="shared" si="107"/>
        <v>0</v>
      </c>
      <c r="BA118" s="195">
        <f t="shared" si="108"/>
        <v>0</v>
      </c>
      <c r="BB118" s="195">
        <v>0</v>
      </c>
      <c r="BC118" s="195" t="e">
        <f>#REF!</f>
        <v>#REF!</v>
      </c>
      <c r="BE118" s="194">
        <f t="shared" si="109"/>
        <v>0</v>
      </c>
      <c r="BF118" s="194">
        <f t="shared" si="110"/>
        <v>0</v>
      </c>
      <c r="BG118" s="194">
        <f t="shared" si="111"/>
        <v>0</v>
      </c>
    </row>
    <row r="119" spans="1:59">
      <c r="A119" s="373" t="s">
        <v>831</v>
      </c>
      <c r="B119" s="373"/>
      <c r="C119" s="373" t="s">
        <v>2699</v>
      </c>
      <c r="D119" s="373" t="s">
        <v>2714</v>
      </c>
      <c r="E119" s="373" t="s">
        <v>2665</v>
      </c>
      <c r="F119" s="374">
        <v>6</v>
      </c>
      <c r="G119" s="357">
        <v>0</v>
      </c>
      <c r="H119" s="374">
        <f t="shared" si="90"/>
        <v>0</v>
      </c>
      <c r="I119" s="374">
        <f t="shared" si="91"/>
        <v>0</v>
      </c>
      <c r="J119" s="374">
        <f t="shared" si="92"/>
        <v>0</v>
      </c>
      <c r="W119" s="195">
        <f t="shared" si="93"/>
        <v>0</v>
      </c>
      <c r="Y119" s="195">
        <f t="shared" si="94"/>
        <v>0</v>
      </c>
      <c r="Z119" s="195">
        <f t="shared" si="95"/>
        <v>0</v>
      </c>
      <c r="AA119" s="195">
        <f t="shared" si="96"/>
        <v>0</v>
      </c>
      <c r="AB119" s="195">
        <f t="shared" si="97"/>
        <v>0</v>
      </c>
      <c r="AC119" s="195">
        <f t="shared" si="98"/>
        <v>0</v>
      </c>
      <c r="AD119" s="195">
        <f t="shared" si="99"/>
        <v>0</v>
      </c>
      <c r="AE119" s="195">
        <f t="shared" si="100"/>
        <v>0</v>
      </c>
      <c r="AF119" s="196"/>
      <c r="AG119" s="200">
        <f t="shared" si="101"/>
        <v>0</v>
      </c>
      <c r="AH119" s="200">
        <f t="shared" si="102"/>
        <v>0</v>
      </c>
      <c r="AI119" s="200">
        <f t="shared" si="103"/>
        <v>0</v>
      </c>
      <c r="AK119" s="195">
        <v>21</v>
      </c>
      <c r="AL119" s="195">
        <f>G119*1</f>
        <v>0</v>
      </c>
      <c r="AM119" s="195">
        <f>G119*(1-1)</f>
        <v>0</v>
      </c>
      <c r="AN119" s="201" t="s">
        <v>255</v>
      </c>
      <c r="AS119" s="195">
        <f t="shared" si="104"/>
        <v>0</v>
      </c>
      <c r="AT119" s="195">
        <f t="shared" si="105"/>
        <v>0</v>
      </c>
      <c r="AU119" s="195">
        <f t="shared" si="106"/>
        <v>0</v>
      </c>
      <c r="AV119" s="197" t="s">
        <v>2711</v>
      </c>
      <c r="AW119" s="197" t="s">
        <v>2073</v>
      </c>
      <c r="AX119" s="196" t="s">
        <v>2067</v>
      </c>
      <c r="AZ119" s="195">
        <f t="shared" si="107"/>
        <v>0</v>
      </c>
      <c r="BA119" s="195">
        <f t="shared" si="108"/>
        <v>0</v>
      </c>
      <c r="BB119" s="195">
        <v>0</v>
      </c>
      <c r="BC119" s="195" t="e">
        <f>#REF!</f>
        <v>#REF!</v>
      </c>
      <c r="BE119" s="200">
        <f t="shared" si="109"/>
        <v>0</v>
      </c>
      <c r="BF119" s="200">
        <f t="shared" si="110"/>
        <v>0</v>
      </c>
      <c r="BG119" s="200">
        <f t="shared" si="111"/>
        <v>0</v>
      </c>
    </row>
    <row r="120" spans="1:59">
      <c r="A120" s="373" t="s">
        <v>837</v>
      </c>
      <c r="B120" s="373"/>
      <c r="C120" s="373" t="s">
        <v>2713</v>
      </c>
      <c r="D120" s="373" t="s">
        <v>2712</v>
      </c>
      <c r="E120" s="373" t="s">
        <v>2665</v>
      </c>
      <c r="F120" s="374">
        <v>4</v>
      </c>
      <c r="G120" s="357">
        <v>0</v>
      </c>
      <c r="H120" s="374">
        <f t="shared" si="90"/>
        <v>0</v>
      </c>
      <c r="I120" s="374">
        <f t="shared" si="91"/>
        <v>0</v>
      </c>
      <c r="J120" s="374">
        <f t="shared" si="92"/>
        <v>0</v>
      </c>
      <c r="W120" s="195">
        <f t="shared" si="93"/>
        <v>0</v>
      </c>
      <c r="Y120" s="195">
        <f t="shared" si="94"/>
        <v>0</v>
      </c>
      <c r="Z120" s="195">
        <f t="shared" si="95"/>
        <v>0</v>
      </c>
      <c r="AA120" s="195">
        <f t="shared" si="96"/>
        <v>0</v>
      </c>
      <c r="AB120" s="195">
        <f t="shared" si="97"/>
        <v>0</v>
      </c>
      <c r="AC120" s="195">
        <f t="shared" si="98"/>
        <v>0</v>
      </c>
      <c r="AD120" s="195">
        <f t="shared" si="99"/>
        <v>0</v>
      </c>
      <c r="AE120" s="195">
        <f t="shared" si="100"/>
        <v>0</v>
      </c>
      <c r="AF120" s="196"/>
      <c r="AG120" s="200">
        <f t="shared" si="101"/>
        <v>0</v>
      </c>
      <c r="AH120" s="200">
        <f t="shared" si="102"/>
        <v>0</v>
      </c>
      <c r="AI120" s="200">
        <f t="shared" si="103"/>
        <v>0</v>
      </c>
      <c r="AK120" s="195">
        <v>21</v>
      </c>
      <c r="AL120" s="195">
        <f>G120*1</f>
        <v>0</v>
      </c>
      <c r="AM120" s="195">
        <f>G120*(1-1)</f>
        <v>0</v>
      </c>
      <c r="AN120" s="201" t="s">
        <v>255</v>
      </c>
      <c r="AS120" s="195">
        <f t="shared" si="104"/>
        <v>0</v>
      </c>
      <c r="AT120" s="195">
        <f t="shared" si="105"/>
        <v>0</v>
      </c>
      <c r="AU120" s="195">
        <f t="shared" si="106"/>
        <v>0</v>
      </c>
      <c r="AV120" s="197" t="s">
        <v>2711</v>
      </c>
      <c r="AW120" s="197" t="s">
        <v>2073</v>
      </c>
      <c r="AX120" s="196" t="s">
        <v>2067</v>
      </c>
      <c r="AZ120" s="195">
        <f t="shared" si="107"/>
        <v>0</v>
      </c>
      <c r="BA120" s="195">
        <f t="shared" si="108"/>
        <v>0</v>
      </c>
      <c r="BB120" s="195">
        <v>0</v>
      </c>
      <c r="BC120" s="195" t="e">
        <f>#REF!</f>
        <v>#REF!</v>
      </c>
      <c r="BE120" s="200">
        <f t="shared" si="109"/>
        <v>0</v>
      </c>
      <c r="BF120" s="200">
        <f t="shared" si="110"/>
        <v>0</v>
      </c>
      <c r="BG120" s="200">
        <f t="shared" si="111"/>
        <v>0</v>
      </c>
    </row>
    <row r="121" spans="1:59">
      <c r="A121" s="371"/>
      <c r="B121" s="372"/>
      <c r="C121" s="372" t="s">
        <v>2710</v>
      </c>
      <c r="D121" s="372" t="s">
        <v>2709</v>
      </c>
      <c r="E121" s="371" t="s">
        <v>27</v>
      </c>
      <c r="F121" s="371" t="s">
        <v>27</v>
      </c>
      <c r="G121" s="356"/>
      <c r="H121" s="386">
        <f>SUM(H122:H131)</f>
        <v>0</v>
      </c>
      <c r="I121" s="386">
        <f>SUM(I122:I131)</f>
        <v>0</v>
      </c>
      <c r="J121" s="386">
        <f>SUM(J122:J131)</f>
        <v>0</v>
      </c>
      <c r="AF121" s="196"/>
      <c r="AP121" s="199">
        <f>SUM(AG122:AG131)</f>
        <v>0</v>
      </c>
      <c r="AQ121" s="199">
        <f>SUM(AH122:AH131)</f>
        <v>0</v>
      </c>
      <c r="AR121" s="199">
        <f>SUM(AI122:AI131)</f>
        <v>0</v>
      </c>
    </row>
    <row r="122" spans="1:59">
      <c r="A122" s="369" t="s">
        <v>843</v>
      </c>
      <c r="B122" s="369"/>
      <c r="C122" s="369" t="s">
        <v>2653</v>
      </c>
      <c r="D122" s="369" t="s">
        <v>2652</v>
      </c>
      <c r="E122" s="369" t="s">
        <v>291</v>
      </c>
      <c r="F122" s="370">
        <v>1</v>
      </c>
      <c r="G122" s="355">
        <v>0</v>
      </c>
      <c r="H122" s="370">
        <f t="shared" ref="H122:H131" si="112">F122*AL122</f>
        <v>0</v>
      </c>
      <c r="I122" s="370">
        <f t="shared" ref="I122:I131" si="113">F122*AM122</f>
        <v>0</v>
      </c>
      <c r="J122" s="370">
        <f t="shared" ref="J122:J131" si="114">F122*G122</f>
        <v>0</v>
      </c>
      <c r="W122" s="195">
        <f t="shared" ref="W122:W131" si="115">IF(AN122="5",BG122,0)</f>
        <v>0</v>
      </c>
      <c r="Y122" s="195">
        <f t="shared" ref="Y122:Y131" si="116">IF(AN122="1",BE122,0)</f>
        <v>0</v>
      </c>
      <c r="Z122" s="195">
        <f t="shared" ref="Z122:Z131" si="117">IF(AN122="1",BF122,0)</f>
        <v>0</v>
      </c>
      <c r="AA122" s="195">
        <f t="shared" ref="AA122:AA131" si="118">IF(AN122="7",BE122,0)</f>
        <v>0</v>
      </c>
      <c r="AB122" s="195">
        <f t="shared" ref="AB122:AB131" si="119">IF(AN122="7",BF122,0)</f>
        <v>0</v>
      </c>
      <c r="AC122" s="195">
        <f t="shared" ref="AC122:AC131" si="120">IF(AN122="2",BE122,0)</f>
        <v>0</v>
      </c>
      <c r="AD122" s="195">
        <f t="shared" ref="AD122:AD131" si="121">IF(AN122="2",BF122,0)</f>
        <v>0</v>
      </c>
      <c r="AE122" s="195">
        <f t="shared" ref="AE122:AE131" si="122">IF(AN122="0",BG122,0)</f>
        <v>0</v>
      </c>
      <c r="AF122" s="196"/>
      <c r="AG122" s="194">
        <f t="shared" ref="AG122:AG131" si="123">IF(AK122=0,J122,0)</f>
        <v>0</v>
      </c>
      <c r="AH122" s="194">
        <f t="shared" ref="AH122:AH131" si="124">IF(AK122=15,J122,0)</f>
        <v>0</v>
      </c>
      <c r="AI122" s="194">
        <f t="shared" ref="AI122:AI131" si="125">IF(AK122=21,J122,0)</f>
        <v>0</v>
      </c>
      <c r="AK122" s="195">
        <v>21</v>
      </c>
      <c r="AL122" s="195">
        <f>G122*0</f>
        <v>0</v>
      </c>
      <c r="AM122" s="195">
        <f>G122*(1-0)</f>
        <v>0</v>
      </c>
      <c r="AN122" s="198" t="s">
        <v>255</v>
      </c>
      <c r="AS122" s="195">
        <f t="shared" ref="AS122:AS131" si="126">AT122+AU122</f>
        <v>0</v>
      </c>
      <c r="AT122" s="195">
        <f t="shared" ref="AT122:AT131" si="127">F122*AL122</f>
        <v>0</v>
      </c>
      <c r="AU122" s="195">
        <f t="shared" ref="AU122:AU131" si="128">F122*AM122</f>
        <v>0</v>
      </c>
      <c r="AV122" s="197" t="s">
        <v>2697</v>
      </c>
      <c r="AW122" s="197" t="s">
        <v>2073</v>
      </c>
      <c r="AX122" s="196" t="s">
        <v>2067</v>
      </c>
      <c r="AZ122" s="195">
        <f t="shared" ref="AZ122:AZ131" si="129">AT122+AU122</f>
        <v>0</v>
      </c>
      <c r="BA122" s="195">
        <f t="shared" ref="BA122:BA131" si="130">G122/(100-BB122)*100</f>
        <v>0</v>
      </c>
      <c r="BB122" s="195">
        <v>0</v>
      </c>
      <c r="BC122" s="195" t="e">
        <f>#REF!</f>
        <v>#REF!</v>
      </c>
      <c r="BE122" s="194">
        <f t="shared" ref="BE122:BE131" si="131">F122*AL122</f>
        <v>0</v>
      </c>
      <c r="BF122" s="194">
        <f t="shared" ref="BF122:BF131" si="132">F122*AM122</f>
        <v>0</v>
      </c>
      <c r="BG122" s="194">
        <f t="shared" ref="BG122:BG131" si="133">F122*G122</f>
        <v>0</v>
      </c>
    </row>
    <row r="123" spans="1:59">
      <c r="A123" s="373" t="s">
        <v>848</v>
      </c>
      <c r="B123" s="373"/>
      <c r="C123" s="373" t="s">
        <v>2708</v>
      </c>
      <c r="D123" s="373" t="s">
        <v>2707</v>
      </c>
      <c r="E123" s="373" t="s">
        <v>1766</v>
      </c>
      <c r="F123" s="374">
        <v>1</v>
      </c>
      <c r="G123" s="357">
        <v>0</v>
      </c>
      <c r="H123" s="374">
        <f t="shared" si="112"/>
        <v>0</v>
      </c>
      <c r="I123" s="374">
        <f t="shared" si="113"/>
        <v>0</v>
      </c>
      <c r="J123" s="374">
        <f t="shared" si="114"/>
        <v>0</v>
      </c>
      <c r="W123" s="195">
        <f t="shared" si="115"/>
        <v>0</v>
      </c>
      <c r="Y123" s="195">
        <f t="shared" si="116"/>
        <v>0</v>
      </c>
      <c r="Z123" s="195">
        <f t="shared" si="117"/>
        <v>0</v>
      </c>
      <c r="AA123" s="195">
        <f t="shared" si="118"/>
        <v>0</v>
      </c>
      <c r="AB123" s="195">
        <f t="shared" si="119"/>
        <v>0</v>
      </c>
      <c r="AC123" s="195">
        <f t="shared" si="120"/>
        <v>0</v>
      </c>
      <c r="AD123" s="195">
        <f t="shared" si="121"/>
        <v>0</v>
      </c>
      <c r="AE123" s="195">
        <f t="shared" si="122"/>
        <v>0</v>
      </c>
      <c r="AF123" s="196"/>
      <c r="AG123" s="200">
        <f t="shared" si="123"/>
        <v>0</v>
      </c>
      <c r="AH123" s="200">
        <f t="shared" si="124"/>
        <v>0</v>
      </c>
      <c r="AI123" s="200">
        <f t="shared" si="125"/>
        <v>0</v>
      </c>
      <c r="AK123" s="195">
        <v>21</v>
      </c>
      <c r="AL123" s="195">
        <f>G123*1</f>
        <v>0</v>
      </c>
      <c r="AM123" s="195">
        <f>G123*(1-1)</f>
        <v>0</v>
      </c>
      <c r="AN123" s="201" t="s">
        <v>255</v>
      </c>
      <c r="AS123" s="195">
        <f t="shared" si="126"/>
        <v>0</v>
      </c>
      <c r="AT123" s="195">
        <f t="shared" si="127"/>
        <v>0</v>
      </c>
      <c r="AU123" s="195">
        <f t="shared" si="128"/>
        <v>0</v>
      </c>
      <c r="AV123" s="197" t="s">
        <v>2697</v>
      </c>
      <c r="AW123" s="197" t="s">
        <v>2073</v>
      </c>
      <c r="AX123" s="196" t="s">
        <v>2067</v>
      </c>
      <c r="AZ123" s="195">
        <f t="shared" si="129"/>
        <v>0</v>
      </c>
      <c r="BA123" s="195">
        <f t="shared" si="130"/>
        <v>0</v>
      </c>
      <c r="BB123" s="195">
        <v>0</v>
      </c>
      <c r="BC123" s="195" t="e">
        <f>#REF!</f>
        <v>#REF!</v>
      </c>
      <c r="BE123" s="200">
        <f t="shared" si="131"/>
        <v>0</v>
      </c>
      <c r="BF123" s="200">
        <f t="shared" si="132"/>
        <v>0</v>
      </c>
      <c r="BG123" s="200">
        <f t="shared" si="133"/>
        <v>0</v>
      </c>
    </row>
    <row r="124" spans="1:59">
      <c r="A124" s="369" t="s">
        <v>852</v>
      </c>
      <c r="B124" s="369"/>
      <c r="C124" s="369" t="s">
        <v>2706</v>
      </c>
      <c r="D124" s="369" t="s">
        <v>2705</v>
      </c>
      <c r="E124" s="369" t="s">
        <v>291</v>
      </c>
      <c r="F124" s="370">
        <v>1</v>
      </c>
      <c r="G124" s="355">
        <v>0</v>
      </c>
      <c r="H124" s="370">
        <f t="shared" si="112"/>
        <v>0</v>
      </c>
      <c r="I124" s="370">
        <f t="shared" si="113"/>
        <v>0</v>
      </c>
      <c r="J124" s="370">
        <f t="shared" si="114"/>
        <v>0</v>
      </c>
      <c r="W124" s="195">
        <f t="shared" si="115"/>
        <v>0</v>
      </c>
      <c r="Y124" s="195">
        <f t="shared" si="116"/>
        <v>0</v>
      </c>
      <c r="Z124" s="195">
        <f t="shared" si="117"/>
        <v>0</v>
      </c>
      <c r="AA124" s="195">
        <f t="shared" si="118"/>
        <v>0</v>
      </c>
      <c r="AB124" s="195">
        <f t="shared" si="119"/>
        <v>0</v>
      </c>
      <c r="AC124" s="195">
        <f t="shared" si="120"/>
        <v>0</v>
      </c>
      <c r="AD124" s="195">
        <f t="shared" si="121"/>
        <v>0</v>
      </c>
      <c r="AE124" s="195">
        <f t="shared" si="122"/>
        <v>0</v>
      </c>
      <c r="AF124" s="196"/>
      <c r="AG124" s="194">
        <f t="shared" si="123"/>
        <v>0</v>
      </c>
      <c r="AH124" s="194">
        <f t="shared" si="124"/>
        <v>0</v>
      </c>
      <c r="AI124" s="194">
        <f t="shared" si="125"/>
        <v>0</v>
      </c>
      <c r="AK124" s="195">
        <v>21</v>
      </c>
      <c r="AL124" s="195">
        <f>G124*0</f>
        <v>0</v>
      </c>
      <c r="AM124" s="195">
        <f>G124*(1-0)</f>
        <v>0</v>
      </c>
      <c r="AN124" s="198" t="s">
        <v>255</v>
      </c>
      <c r="AS124" s="195">
        <f t="shared" si="126"/>
        <v>0</v>
      </c>
      <c r="AT124" s="195">
        <f t="shared" si="127"/>
        <v>0</v>
      </c>
      <c r="AU124" s="195">
        <f t="shared" si="128"/>
        <v>0</v>
      </c>
      <c r="AV124" s="197" t="s">
        <v>2697</v>
      </c>
      <c r="AW124" s="197" t="s">
        <v>2073</v>
      </c>
      <c r="AX124" s="196" t="s">
        <v>2067</v>
      </c>
      <c r="AZ124" s="195">
        <f t="shared" si="129"/>
        <v>0</v>
      </c>
      <c r="BA124" s="195">
        <f t="shared" si="130"/>
        <v>0</v>
      </c>
      <c r="BB124" s="195">
        <v>0</v>
      </c>
      <c r="BC124" s="195" t="e">
        <f>#REF!</f>
        <v>#REF!</v>
      </c>
      <c r="BE124" s="194">
        <f t="shared" si="131"/>
        <v>0</v>
      </c>
      <c r="BF124" s="194">
        <f t="shared" si="132"/>
        <v>0</v>
      </c>
      <c r="BG124" s="194">
        <f t="shared" si="133"/>
        <v>0</v>
      </c>
    </row>
    <row r="125" spans="1:59">
      <c r="A125" s="369" t="s">
        <v>146</v>
      </c>
      <c r="B125" s="369"/>
      <c r="C125" s="369" t="s">
        <v>2704</v>
      </c>
      <c r="D125" s="369" t="s">
        <v>2703</v>
      </c>
      <c r="E125" s="369" t="s">
        <v>291</v>
      </c>
      <c r="F125" s="370">
        <v>1</v>
      </c>
      <c r="G125" s="355">
        <v>0</v>
      </c>
      <c r="H125" s="370">
        <f t="shared" si="112"/>
        <v>0</v>
      </c>
      <c r="I125" s="370">
        <f t="shared" si="113"/>
        <v>0</v>
      </c>
      <c r="J125" s="370">
        <f t="shared" si="114"/>
        <v>0</v>
      </c>
      <c r="W125" s="195">
        <f t="shared" si="115"/>
        <v>0</v>
      </c>
      <c r="Y125" s="195">
        <f t="shared" si="116"/>
        <v>0</v>
      </c>
      <c r="Z125" s="195">
        <f t="shared" si="117"/>
        <v>0</v>
      </c>
      <c r="AA125" s="195">
        <f t="shared" si="118"/>
        <v>0</v>
      </c>
      <c r="AB125" s="195">
        <f t="shared" si="119"/>
        <v>0</v>
      </c>
      <c r="AC125" s="195">
        <f t="shared" si="120"/>
        <v>0</v>
      </c>
      <c r="AD125" s="195">
        <f t="shared" si="121"/>
        <v>0</v>
      </c>
      <c r="AE125" s="195">
        <f t="shared" si="122"/>
        <v>0</v>
      </c>
      <c r="AF125" s="196"/>
      <c r="AG125" s="194">
        <f t="shared" si="123"/>
        <v>0</v>
      </c>
      <c r="AH125" s="194">
        <f t="shared" si="124"/>
        <v>0</v>
      </c>
      <c r="AI125" s="194">
        <f t="shared" si="125"/>
        <v>0</v>
      </c>
      <c r="AK125" s="195">
        <v>21</v>
      </c>
      <c r="AL125" s="195">
        <f>G125*1</f>
        <v>0</v>
      </c>
      <c r="AM125" s="195">
        <f>G125*(1-1)</f>
        <v>0</v>
      </c>
      <c r="AN125" s="198" t="s">
        <v>255</v>
      </c>
      <c r="AS125" s="195">
        <f t="shared" si="126"/>
        <v>0</v>
      </c>
      <c r="AT125" s="195">
        <f t="shared" si="127"/>
        <v>0</v>
      </c>
      <c r="AU125" s="195">
        <f t="shared" si="128"/>
        <v>0</v>
      </c>
      <c r="AV125" s="197" t="s">
        <v>2697</v>
      </c>
      <c r="AW125" s="197" t="s">
        <v>2073</v>
      </c>
      <c r="AX125" s="196" t="s">
        <v>2067</v>
      </c>
      <c r="AZ125" s="195">
        <f t="shared" si="129"/>
        <v>0</v>
      </c>
      <c r="BA125" s="195">
        <f t="shared" si="130"/>
        <v>0</v>
      </c>
      <c r="BB125" s="195">
        <v>0</v>
      </c>
      <c r="BC125" s="195" t="e">
        <f>#REF!</f>
        <v>#REF!</v>
      </c>
      <c r="BE125" s="194">
        <f t="shared" si="131"/>
        <v>0</v>
      </c>
      <c r="BF125" s="194">
        <f t="shared" si="132"/>
        <v>0</v>
      </c>
      <c r="BG125" s="194">
        <f t="shared" si="133"/>
        <v>0</v>
      </c>
    </row>
    <row r="126" spans="1:59">
      <c r="A126" s="369" t="s">
        <v>862</v>
      </c>
      <c r="B126" s="369"/>
      <c r="C126" s="369" t="s">
        <v>2645</v>
      </c>
      <c r="D126" s="369" t="s">
        <v>2644</v>
      </c>
      <c r="E126" s="369" t="s">
        <v>291</v>
      </c>
      <c r="F126" s="370">
        <v>3</v>
      </c>
      <c r="G126" s="355">
        <v>0</v>
      </c>
      <c r="H126" s="370">
        <f t="shared" si="112"/>
        <v>0</v>
      </c>
      <c r="I126" s="370">
        <f t="shared" si="113"/>
        <v>0</v>
      </c>
      <c r="J126" s="370">
        <f t="shared" si="114"/>
        <v>0</v>
      </c>
      <c r="W126" s="195">
        <f t="shared" si="115"/>
        <v>0</v>
      </c>
      <c r="Y126" s="195">
        <f t="shared" si="116"/>
        <v>0</v>
      </c>
      <c r="Z126" s="195">
        <f t="shared" si="117"/>
        <v>0</v>
      </c>
      <c r="AA126" s="195">
        <f t="shared" si="118"/>
        <v>0</v>
      </c>
      <c r="AB126" s="195">
        <f t="shared" si="119"/>
        <v>0</v>
      </c>
      <c r="AC126" s="195">
        <f t="shared" si="120"/>
        <v>0</v>
      </c>
      <c r="AD126" s="195">
        <f t="shared" si="121"/>
        <v>0</v>
      </c>
      <c r="AE126" s="195">
        <f t="shared" si="122"/>
        <v>0</v>
      </c>
      <c r="AF126" s="196"/>
      <c r="AG126" s="194">
        <f t="shared" si="123"/>
        <v>0</v>
      </c>
      <c r="AH126" s="194">
        <f t="shared" si="124"/>
        <v>0</v>
      </c>
      <c r="AI126" s="194">
        <f t="shared" si="125"/>
        <v>0</v>
      </c>
      <c r="AK126" s="195">
        <v>21</v>
      </c>
      <c r="AL126" s="195">
        <f>G126*0</f>
        <v>0</v>
      </c>
      <c r="AM126" s="195">
        <f>G126*(1-0)</f>
        <v>0</v>
      </c>
      <c r="AN126" s="198" t="s">
        <v>255</v>
      </c>
      <c r="AS126" s="195">
        <f t="shared" si="126"/>
        <v>0</v>
      </c>
      <c r="AT126" s="195">
        <f t="shared" si="127"/>
        <v>0</v>
      </c>
      <c r="AU126" s="195">
        <f t="shared" si="128"/>
        <v>0</v>
      </c>
      <c r="AV126" s="197" t="s">
        <v>2697</v>
      </c>
      <c r="AW126" s="197" t="s">
        <v>2073</v>
      </c>
      <c r="AX126" s="196" t="s">
        <v>2067</v>
      </c>
      <c r="AZ126" s="195">
        <f t="shared" si="129"/>
        <v>0</v>
      </c>
      <c r="BA126" s="195">
        <f t="shared" si="130"/>
        <v>0</v>
      </c>
      <c r="BB126" s="195">
        <v>0</v>
      </c>
      <c r="BC126" s="195" t="e">
        <f>#REF!</f>
        <v>#REF!</v>
      </c>
      <c r="BE126" s="194">
        <f t="shared" si="131"/>
        <v>0</v>
      </c>
      <c r="BF126" s="194">
        <f t="shared" si="132"/>
        <v>0</v>
      </c>
      <c r="BG126" s="194">
        <f t="shared" si="133"/>
        <v>0</v>
      </c>
    </row>
    <row r="127" spans="1:59">
      <c r="A127" s="373" t="s">
        <v>867</v>
      </c>
      <c r="B127" s="373"/>
      <c r="C127" s="373" t="s">
        <v>2643</v>
      </c>
      <c r="D127" s="373" t="s">
        <v>2702</v>
      </c>
      <c r="E127" s="373" t="s">
        <v>2353</v>
      </c>
      <c r="F127" s="374">
        <v>3</v>
      </c>
      <c r="G127" s="357">
        <v>0</v>
      </c>
      <c r="H127" s="374">
        <f t="shared" si="112"/>
        <v>0</v>
      </c>
      <c r="I127" s="374">
        <f t="shared" si="113"/>
        <v>0</v>
      </c>
      <c r="J127" s="374">
        <f t="shared" si="114"/>
        <v>0</v>
      </c>
      <c r="W127" s="195">
        <f t="shared" si="115"/>
        <v>0</v>
      </c>
      <c r="Y127" s="195">
        <f t="shared" si="116"/>
        <v>0</v>
      </c>
      <c r="Z127" s="195">
        <f t="shared" si="117"/>
        <v>0</v>
      </c>
      <c r="AA127" s="195">
        <f t="shared" si="118"/>
        <v>0</v>
      </c>
      <c r="AB127" s="195">
        <f t="shared" si="119"/>
        <v>0</v>
      </c>
      <c r="AC127" s="195">
        <f t="shared" si="120"/>
        <v>0</v>
      </c>
      <c r="AD127" s="195">
        <f t="shared" si="121"/>
        <v>0</v>
      </c>
      <c r="AE127" s="195">
        <f t="shared" si="122"/>
        <v>0</v>
      </c>
      <c r="AF127" s="196"/>
      <c r="AG127" s="200">
        <f t="shared" si="123"/>
        <v>0</v>
      </c>
      <c r="AH127" s="200">
        <f t="shared" si="124"/>
        <v>0</v>
      </c>
      <c r="AI127" s="200">
        <f t="shared" si="125"/>
        <v>0</v>
      </c>
      <c r="AK127" s="195">
        <v>21</v>
      </c>
      <c r="AL127" s="195">
        <f>G127*1</f>
        <v>0</v>
      </c>
      <c r="AM127" s="195">
        <f>G127*(1-1)</f>
        <v>0</v>
      </c>
      <c r="AN127" s="201" t="s">
        <v>255</v>
      </c>
      <c r="AS127" s="195">
        <f t="shared" si="126"/>
        <v>0</v>
      </c>
      <c r="AT127" s="195">
        <f t="shared" si="127"/>
        <v>0</v>
      </c>
      <c r="AU127" s="195">
        <f t="shared" si="128"/>
        <v>0</v>
      </c>
      <c r="AV127" s="197" t="s">
        <v>2697</v>
      </c>
      <c r="AW127" s="197" t="s">
        <v>2073</v>
      </c>
      <c r="AX127" s="196" t="s">
        <v>2067</v>
      </c>
      <c r="AZ127" s="195">
        <f t="shared" si="129"/>
        <v>0</v>
      </c>
      <c r="BA127" s="195">
        <f t="shared" si="130"/>
        <v>0</v>
      </c>
      <c r="BB127" s="195">
        <v>0</v>
      </c>
      <c r="BC127" s="195" t="e">
        <f>#REF!</f>
        <v>#REF!</v>
      </c>
      <c r="BE127" s="200">
        <f t="shared" si="131"/>
        <v>0</v>
      </c>
      <c r="BF127" s="200">
        <f t="shared" si="132"/>
        <v>0</v>
      </c>
      <c r="BG127" s="200">
        <f t="shared" si="133"/>
        <v>0</v>
      </c>
    </row>
    <row r="128" spans="1:59">
      <c r="A128" s="369" t="s">
        <v>872</v>
      </c>
      <c r="B128" s="369"/>
      <c r="C128" s="369" t="s">
        <v>2641</v>
      </c>
      <c r="D128" s="369" t="s">
        <v>2640</v>
      </c>
      <c r="E128" s="369" t="s">
        <v>291</v>
      </c>
      <c r="F128" s="370">
        <v>2</v>
      </c>
      <c r="G128" s="355">
        <v>0</v>
      </c>
      <c r="H128" s="370">
        <f t="shared" si="112"/>
        <v>0</v>
      </c>
      <c r="I128" s="370">
        <f t="shared" si="113"/>
        <v>0</v>
      </c>
      <c r="J128" s="370">
        <f t="shared" si="114"/>
        <v>0</v>
      </c>
      <c r="W128" s="195">
        <f t="shared" si="115"/>
        <v>0</v>
      </c>
      <c r="Y128" s="195">
        <f t="shared" si="116"/>
        <v>0</v>
      </c>
      <c r="Z128" s="195">
        <f t="shared" si="117"/>
        <v>0</v>
      </c>
      <c r="AA128" s="195">
        <f t="shared" si="118"/>
        <v>0</v>
      </c>
      <c r="AB128" s="195">
        <f t="shared" si="119"/>
        <v>0</v>
      </c>
      <c r="AC128" s="195">
        <f t="shared" si="120"/>
        <v>0</v>
      </c>
      <c r="AD128" s="195">
        <f t="shared" si="121"/>
        <v>0</v>
      </c>
      <c r="AE128" s="195">
        <f t="shared" si="122"/>
        <v>0</v>
      </c>
      <c r="AF128" s="196"/>
      <c r="AG128" s="194">
        <f t="shared" si="123"/>
        <v>0</v>
      </c>
      <c r="AH128" s="194">
        <f t="shared" si="124"/>
        <v>0</v>
      </c>
      <c r="AI128" s="194">
        <f t="shared" si="125"/>
        <v>0</v>
      </c>
      <c r="AK128" s="195">
        <v>21</v>
      </c>
      <c r="AL128" s="195">
        <f>G128*0</f>
        <v>0</v>
      </c>
      <c r="AM128" s="195">
        <f>G128*(1-0)</f>
        <v>0</v>
      </c>
      <c r="AN128" s="198" t="s">
        <v>255</v>
      </c>
      <c r="AS128" s="195">
        <f t="shared" si="126"/>
        <v>0</v>
      </c>
      <c r="AT128" s="195">
        <f t="shared" si="127"/>
        <v>0</v>
      </c>
      <c r="AU128" s="195">
        <f t="shared" si="128"/>
        <v>0</v>
      </c>
      <c r="AV128" s="197" t="s">
        <v>2697</v>
      </c>
      <c r="AW128" s="197" t="s">
        <v>2073</v>
      </c>
      <c r="AX128" s="196" t="s">
        <v>2067</v>
      </c>
      <c r="AZ128" s="195">
        <f t="shared" si="129"/>
        <v>0</v>
      </c>
      <c r="BA128" s="195">
        <f t="shared" si="130"/>
        <v>0</v>
      </c>
      <c r="BB128" s="195">
        <v>0</v>
      </c>
      <c r="BC128" s="195" t="e">
        <f>#REF!</f>
        <v>#REF!</v>
      </c>
      <c r="BE128" s="194">
        <f t="shared" si="131"/>
        <v>0</v>
      </c>
      <c r="BF128" s="194">
        <f t="shared" si="132"/>
        <v>0</v>
      </c>
      <c r="BG128" s="194">
        <f t="shared" si="133"/>
        <v>0</v>
      </c>
    </row>
    <row r="129" spans="1:59">
      <c r="A129" s="369" t="s">
        <v>878</v>
      </c>
      <c r="B129" s="369"/>
      <c r="C129" s="369" t="s">
        <v>2639</v>
      </c>
      <c r="D129" s="369" t="s">
        <v>2638</v>
      </c>
      <c r="E129" s="369" t="s">
        <v>291</v>
      </c>
      <c r="F129" s="370">
        <v>2</v>
      </c>
      <c r="G129" s="355">
        <v>0</v>
      </c>
      <c r="H129" s="370">
        <f t="shared" si="112"/>
        <v>0</v>
      </c>
      <c r="I129" s="370">
        <f t="shared" si="113"/>
        <v>0</v>
      </c>
      <c r="J129" s="370">
        <f t="shared" si="114"/>
        <v>0</v>
      </c>
      <c r="W129" s="195">
        <f t="shared" si="115"/>
        <v>0</v>
      </c>
      <c r="Y129" s="195">
        <f t="shared" si="116"/>
        <v>0</v>
      </c>
      <c r="Z129" s="195">
        <f t="shared" si="117"/>
        <v>0</v>
      </c>
      <c r="AA129" s="195">
        <f t="shared" si="118"/>
        <v>0</v>
      </c>
      <c r="AB129" s="195">
        <f t="shared" si="119"/>
        <v>0</v>
      </c>
      <c r="AC129" s="195">
        <f t="shared" si="120"/>
        <v>0</v>
      </c>
      <c r="AD129" s="195">
        <f t="shared" si="121"/>
        <v>0</v>
      </c>
      <c r="AE129" s="195">
        <f t="shared" si="122"/>
        <v>0</v>
      </c>
      <c r="AF129" s="196"/>
      <c r="AG129" s="194">
        <f t="shared" si="123"/>
        <v>0</v>
      </c>
      <c r="AH129" s="194">
        <f t="shared" si="124"/>
        <v>0</v>
      </c>
      <c r="AI129" s="194">
        <f t="shared" si="125"/>
        <v>0</v>
      </c>
      <c r="AK129" s="195">
        <v>21</v>
      </c>
      <c r="AL129" s="195">
        <f>G129*1</f>
        <v>0</v>
      </c>
      <c r="AM129" s="195">
        <f>G129*(1-1)</f>
        <v>0</v>
      </c>
      <c r="AN129" s="198" t="s">
        <v>255</v>
      </c>
      <c r="AS129" s="195">
        <f t="shared" si="126"/>
        <v>0</v>
      </c>
      <c r="AT129" s="195">
        <f t="shared" si="127"/>
        <v>0</v>
      </c>
      <c r="AU129" s="195">
        <f t="shared" si="128"/>
        <v>0</v>
      </c>
      <c r="AV129" s="197" t="s">
        <v>2697</v>
      </c>
      <c r="AW129" s="197" t="s">
        <v>2073</v>
      </c>
      <c r="AX129" s="196" t="s">
        <v>2067</v>
      </c>
      <c r="AZ129" s="195">
        <f t="shared" si="129"/>
        <v>0</v>
      </c>
      <c r="BA129" s="195">
        <f t="shared" si="130"/>
        <v>0</v>
      </c>
      <c r="BB129" s="195">
        <v>0</v>
      </c>
      <c r="BC129" s="195" t="e">
        <f>#REF!</f>
        <v>#REF!</v>
      </c>
      <c r="BE129" s="194">
        <f t="shared" si="131"/>
        <v>0</v>
      </c>
      <c r="BF129" s="194">
        <f t="shared" si="132"/>
        <v>0</v>
      </c>
      <c r="BG129" s="194">
        <f t="shared" si="133"/>
        <v>0</v>
      </c>
    </row>
    <row r="130" spans="1:59">
      <c r="A130" s="369" t="s">
        <v>883</v>
      </c>
      <c r="B130" s="369"/>
      <c r="C130" s="369" t="s">
        <v>2701</v>
      </c>
      <c r="D130" s="369" t="s">
        <v>2700</v>
      </c>
      <c r="E130" s="369" t="s">
        <v>364</v>
      </c>
      <c r="F130" s="370">
        <v>12</v>
      </c>
      <c r="G130" s="355">
        <v>0</v>
      </c>
      <c r="H130" s="370">
        <f t="shared" si="112"/>
        <v>0</v>
      </c>
      <c r="I130" s="370">
        <f t="shared" si="113"/>
        <v>0</v>
      </c>
      <c r="J130" s="370">
        <f t="shared" si="114"/>
        <v>0</v>
      </c>
      <c r="W130" s="195">
        <f t="shared" si="115"/>
        <v>0</v>
      </c>
      <c r="Y130" s="195">
        <f t="shared" si="116"/>
        <v>0</v>
      </c>
      <c r="Z130" s="195">
        <f t="shared" si="117"/>
        <v>0</v>
      </c>
      <c r="AA130" s="195">
        <f t="shared" si="118"/>
        <v>0</v>
      </c>
      <c r="AB130" s="195">
        <f t="shared" si="119"/>
        <v>0</v>
      </c>
      <c r="AC130" s="195">
        <f t="shared" si="120"/>
        <v>0</v>
      </c>
      <c r="AD130" s="195">
        <f t="shared" si="121"/>
        <v>0</v>
      </c>
      <c r="AE130" s="195">
        <f t="shared" si="122"/>
        <v>0</v>
      </c>
      <c r="AF130" s="196"/>
      <c r="AG130" s="194">
        <f t="shared" si="123"/>
        <v>0</v>
      </c>
      <c r="AH130" s="194">
        <f t="shared" si="124"/>
        <v>0</v>
      </c>
      <c r="AI130" s="194">
        <f t="shared" si="125"/>
        <v>0</v>
      </c>
      <c r="AK130" s="195">
        <v>21</v>
      </c>
      <c r="AL130" s="195">
        <f>G130*0</f>
        <v>0</v>
      </c>
      <c r="AM130" s="195">
        <f>G130*(1-0)</f>
        <v>0</v>
      </c>
      <c r="AN130" s="198" t="s">
        <v>255</v>
      </c>
      <c r="AS130" s="195">
        <f t="shared" si="126"/>
        <v>0</v>
      </c>
      <c r="AT130" s="195">
        <f t="shared" si="127"/>
        <v>0</v>
      </c>
      <c r="AU130" s="195">
        <f t="shared" si="128"/>
        <v>0</v>
      </c>
      <c r="AV130" s="197" t="s">
        <v>2697</v>
      </c>
      <c r="AW130" s="197" t="s">
        <v>2073</v>
      </c>
      <c r="AX130" s="196" t="s">
        <v>2067</v>
      </c>
      <c r="AZ130" s="195">
        <f t="shared" si="129"/>
        <v>0</v>
      </c>
      <c r="BA130" s="195">
        <f t="shared" si="130"/>
        <v>0</v>
      </c>
      <c r="BB130" s="195">
        <v>0</v>
      </c>
      <c r="BC130" s="195" t="e">
        <f>#REF!</f>
        <v>#REF!</v>
      </c>
      <c r="BE130" s="194">
        <f t="shared" si="131"/>
        <v>0</v>
      </c>
      <c r="BF130" s="194">
        <f t="shared" si="132"/>
        <v>0</v>
      </c>
      <c r="BG130" s="194">
        <f t="shared" si="133"/>
        <v>0</v>
      </c>
    </row>
    <row r="131" spans="1:59">
      <c r="A131" s="373" t="s">
        <v>890</v>
      </c>
      <c r="B131" s="373"/>
      <c r="C131" s="373" t="s">
        <v>2699</v>
      </c>
      <c r="D131" s="373" t="s">
        <v>2698</v>
      </c>
      <c r="E131" s="373" t="s">
        <v>2665</v>
      </c>
      <c r="F131" s="374">
        <v>12</v>
      </c>
      <c r="G131" s="357">
        <v>0</v>
      </c>
      <c r="H131" s="374">
        <f t="shared" si="112"/>
        <v>0</v>
      </c>
      <c r="I131" s="374">
        <f t="shared" si="113"/>
        <v>0</v>
      </c>
      <c r="J131" s="374">
        <f t="shared" si="114"/>
        <v>0</v>
      </c>
      <c r="W131" s="195">
        <f t="shared" si="115"/>
        <v>0</v>
      </c>
      <c r="Y131" s="195">
        <f t="shared" si="116"/>
        <v>0</v>
      </c>
      <c r="Z131" s="195">
        <f t="shared" si="117"/>
        <v>0</v>
      </c>
      <c r="AA131" s="195">
        <f t="shared" si="118"/>
        <v>0</v>
      </c>
      <c r="AB131" s="195">
        <f t="shared" si="119"/>
        <v>0</v>
      </c>
      <c r="AC131" s="195">
        <f t="shared" si="120"/>
        <v>0</v>
      </c>
      <c r="AD131" s="195">
        <f t="shared" si="121"/>
        <v>0</v>
      </c>
      <c r="AE131" s="195">
        <f t="shared" si="122"/>
        <v>0</v>
      </c>
      <c r="AF131" s="196"/>
      <c r="AG131" s="200">
        <f t="shared" si="123"/>
        <v>0</v>
      </c>
      <c r="AH131" s="200">
        <f t="shared" si="124"/>
        <v>0</v>
      </c>
      <c r="AI131" s="200">
        <f t="shared" si="125"/>
        <v>0</v>
      </c>
      <c r="AK131" s="195">
        <v>21</v>
      </c>
      <c r="AL131" s="195">
        <f>G131*1</f>
        <v>0</v>
      </c>
      <c r="AM131" s="195">
        <f>G131*(1-1)</f>
        <v>0</v>
      </c>
      <c r="AN131" s="201" t="s">
        <v>255</v>
      </c>
      <c r="AS131" s="195">
        <f t="shared" si="126"/>
        <v>0</v>
      </c>
      <c r="AT131" s="195">
        <f t="shared" si="127"/>
        <v>0</v>
      </c>
      <c r="AU131" s="195">
        <f t="shared" si="128"/>
        <v>0</v>
      </c>
      <c r="AV131" s="197" t="s">
        <v>2697</v>
      </c>
      <c r="AW131" s="197" t="s">
        <v>2073</v>
      </c>
      <c r="AX131" s="196" t="s">
        <v>2067</v>
      </c>
      <c r="AZ131" s="195">
        <f t="shared" si="129"/>
        <v>0</v>
      </c>
      <c r="BA131" s="195">
        <f t="shared" si="130"/>
        <v>0</v>
      </c>
      <c r="BB131" s="195">
        <v>0</v>
      </c>
      <c r="BC131" s="195" t="e">
        <f>#REF!</f>
        <v>#REF!</v>
      </c>
      <c r="BE131" s="200">
        <f t="shared" si="131"/>
        <v>0</v>
      </c>
      <c r="BF131" s="200">
        <f t="shared" si="132"/>
        <v>0</v>
      </c>
      <c r="BG131" s="200">
        <f t="shared" si="133"/>
        <v>0</v>
      </c>
    </row>
    <row r="132" spans="1:59">
      <c r="A132" s="371"/>
      <c r="B132" s="372"/>
      <c r="C132" s="372" t="s">
        <v>2696</v>
      </c>
      <c r="D132" s="372" t="s">
        <v>2695</v>
      </c>
      <c r="E132" s="371" t="s">
        <v>27</v>
      </c>
      <c r="F132" s="371" t="s">
        <v>27</v>
      </c>
      <c r="G132" s="356"/>
      <c r="H132" s="386">
        <f>SUM(H133:H152)</f>
        <v>0</v>
      </c>
      <c r="I132" s="386">
        <f>SUM(I133:I152)</f>
        <v>0</v>
      </c>
      <c r="J132" s="386">
        <f>SUM(J133:J152)</f>
        <v>0</v>
      </c>
      <c r="AF132" s="196"/>
      <c r="AP132" s="199">
        <f>SUM(AG133:AG152)</f>
        <v>0</v>
      </c>
      <c r="AQ132" s="199">
        <f>SUM(AH133:AH152)</f>
        <v>0</v>
      </c>
      <c r="AR132" s="199">
        <f>SUM(AI133:AI152)</f>
        <v>0</v>
      </c>
    </row>
    <row r="133" spans="1:59">
      <c r="A133" s="369" t="s">
        <v>899</v>
      </c>
      <c r="B133" s="369"/>
      <c r="C133" s="369" t="s">
        <v>2694</v>
      </c>
      <c r="D133" s="369" t="s">
        <v>2693</v>
      </c>
      <c r="E133" s="369" t="s">
        <v>291</v>
      </c>
      <c r="F133" s="370">
        <v>1</v>
      </c>
      <c r="G133" s="355">
        <v>0</v>
      </c>
      <c r="H133" s="370">
        <f>F133*AL133</f>
        <v>0</v>
      </c>
      <c r="I133" s="370">
        <f>F133*AM133</f>
        <v>0</v>
      </c>
      <c r="J133" s="370">
        <f>F133*G133</f>
        <v>0</v>
      </c>
      <c r="W133" s="195">
        <f>IF(AN133="5",BG133,0)</f>
        <v>0</v>
      </c>
      <c r="Y133" s="195">
        <f>IF(AN133="1",BE133,0)</f>
        <v>0</v>
      </c>
      <c r="Z133" s="195">
        <f>IF(AN133="1",BF133,0)</f>
        <v>0</v>
      </c>
      <c r="AA133" s="195">
        <f>IF(AN133="7",BE133,0)</f>
        <v>0</v>
      </c>
      <c r="AB133" s="195">
        <f>IF(AN133="7",BF133,0)</f>
        <v>0</v>
      </c>
      <c r="AC133" s="195">
        <f>IF(AN133="2",BE133,0)</f>
        <v>0</v>
      </c>
      <c r="AD133" s="195">
        <f>IF(AN133="2",BF133,0)</f>
        <v>0</v>
      </c>
      <c r="AE133" s="195">
        <f>IF(AN133="0",BG133,0)</f>
        <v>0</v>
      </c>
      <c r="AF133" s="196"/>
      <c r="AG133" s="194">
        <f>IF(AK133=0,J133,0)</f>
        <v>0</v>
      </c>
      <c r="AH133" s="194">
        <f>IF(AK133=15,J133,0)</f>
        <v>0</v>
      </c>
      <c r="AI133" s="194">
        <f>IF(AK133=21,J133,0)</f>
        <v>0</v>
      </c>
      <c r="AK133" s="195">
        <v>21</v>
      </c>
      <c r="AL133" s="195">
        <f>G133*0.945155884059217</f>
        <v>0</v>
      </c>
      <c r="AM133" s="195">
        <f>G133*(1-0.945155884059217)</f>
        <v>0</v>
      </c>
      <c r="AN133" s="198" t="s">
        <v>255</v>
      </c>
      <c r="AS133" s="195">
        <f>AT133+AU133</f>
        <v>0</v>
      </c>
      <c r="AT133" s="195">
        <f>F133*AL133</f>
        <v>0</v>
      </c>
      <c r="AU133" s="195">
        <f>F133*AM133</f>
        <v>0</v>
      </c>
      <c r="AV133" s="197" t="s">
        <v>2656</v>
      </c>
      <c r="AW133" s="197" t="s">
        <v>2073</v>
      </c>
      <c r="AX133" s="196" t="s">
        <v>2067</v>
      </c>
      <c r="AZ133" s="195">
        <f>AT133+AU133</f>
        <v>0</v>
      </c>
      <c r="BA133" s="195">
        <f>G133/(100-BB133)*100</f>
        <v>0</v>
      </c>
      <c r="BB133" s="195">
        <v>0</v>
      </c>
      <c r="BC133" s="195" t="e">
        <f>#REF!</f>
        <v>#REF!</v>
      </c>
      <c r="BE133" s="194">
        <f>F133*AL133</f>
        <v>0</v>
      </c>
      <c r="BF133" s="194">
        <f>F133*AM133</f>
        <v>0</v>
      </c>
      <c r="BG133" s="194">
        <f>F133*G133</f>
        <v>0</v>
      </c>
    </row>
    <row r="134" spans="1:59">
      <c r="A134" s="375"/>
      <c r="B134" s="375"/>
      <c r="C134" s="375"/>
      <c r="D134" s="376" t="s">
        <v>2692</v>
      </c>
      <c r="E134" s="375"/>
      <c r="F134" s="375"/>
      <c r="G134" s="358">
        <v>0</v>
      </c>
      <c r="H134" s="375"/>
      <c r="I134" s="375"/>
      <c r="J134" s="375"/>
    </row>
    <row r="135" spans="1:59">
      <c r="A135" s="369" t="s">
        <v>904</v>
      </c>
      <c r="B135" s="369"/>
      <c r="C135" s="369" t="s">
        <v>2691</v>
      </c>
      <c r="D135" s="369" t="s">
        <v>2690</v>
      </c>
      <c r="E135" s="369" t="s">
        <v>1766</v>
      </c>
      <c r="F135" s="370">
        <v>1</v>
      </c>
      <c r="G135" s="355">
        <v>0</v>
      </c>
      <c r="H135" s="370">
        <f t="shared" ref="H135:H150" si="134">F135*AL135</f>
        <v>0</v>
      </c>
      <c r="I135" s="370">
        <f t="shared" ref="I135:I150" si="135">F135*AM135</f>
        <v>0</v>
      </c>
      <c r="J135" s="370">
        <f t="shared" ref="J135:J150" si="136">F135*G135</f>
        <v>0</v>
      </c>
      <c r="W135" s="195">
        <f t="shared" ref="W135:W150" si="137">IF(AN135="5",BG135,0)</f>
        <v>0</v>
      </c>
      <c r="Y135" s="195">
        <f t="shared" ref="Y135:Y150" si="138">IF(AN135="1",BE135,0)</f>
        <v>0</v>
      </c>
      <c r="Z135" s="195">
        <f t="shared" ref="Z135:Z150" si="139">IF(AN135="1",BF135,0)</f>
        <v>0</v>
      </c>
      <c r="AA135" s="195">
        <f t="shared" ref="AA135:AA150" si="140">IF(AN135="7",BE135,0)</f>
        <v>0</v>
      </c>
      <c r="AB135" s="195">
        <f t="shared" ref="AB135:AB150" si="141">IF(AN135="7",BF135,0)</f>
        <v>0</v>
      </c>
      <c r="AC135" s="195">
        <f t="shared" ref="AC135:AC150" si="142">IF(AN135="2",BE135,0)</f>
        <v>0</v>
      </c>
      <c r="AD135" s="195">
        <f t="shared" ref="AD135:AD150" si="143">IF(AN135="2",BF135,0)</f>
        <v>0</v>
      </c>
      <c r="AE135" s="195">
        <f t="shared" ref="AE135:AE150" si="144">IF(AN135="0",BG135,0)</f>
        <v>0</v>
      </c>
      <c r="AF135" s="196"/>
      <c r="AG135" s="194">
        <f t="shared" ref="AG135:AG150" si="145">IF(AK135=0,J135,0)</f>
        <v>0</v>
      </c>
      <c r="AH135" s="194">
        <f t="shared" ref="AH135:AH150" si="146">IF(AK135=15,J135,0)</f>
        <v>0</v>
      </c>
      <c r="AI135" s="194">
        <f t="shared" ref="AI135:AI150" si="147">IF(AK135=21,J135,0)</f>
        <v>0</v>
      </c>
      <c r="AK135" s="195">
        <v>21</v>
      </c>
      <c r="AL135" s="195">
        <f>G135*0.781942765014107</f>
        <v>0</v>
      </c>
      <c r="AM135" s="195">
        <f>G135*(1-0.781942765014107)</f>
        <v>0</v>
      </c>
      <c r="AN135" s="198" t="s">
        <v>255</v>
      </c>
      <c r="AS135" s="195">
        <f t="shared" ref="AS135:AS150" si="148">AT135+AU135</f>
        <v>0</v>
      </c>
      <c r="AT135" s="195">
        <f t="shared" ref="AT135:AT150" si="149">F135*AL135</f>
        <v>0</v>
      </c>
      <c r="AU135" s="195">
        <f t="shared" ref="AU135:AU150" si="150">F135*AM135</f>
        <v>0</v>
      </c>
      <c r="AV135" s="197" t="s">
        <v>2656</v>
      </c>
      <c r="AW135" s="197" t="s">
        <v>2073</v>
      </c>
      <c r="AX135" s="196" t="s">
        <v>2067</v>
      </c>
      <c r="AZ135" s="195">
        <f t="shared" ref="AZ135:AZ150" si="151">AT135+AU135</f>
        <v>0</v>
      </c>
      <c r="BA135" s="195">
        <f t="shared" ref="BA135:BA150" si="152">G135/(100-BB135)*100</f>
        <v>0</v>
      </c>
      <c r="BB135" s="195">
        <v>0</v>
      </c>
      <c r="BC135" s="195" t="e">
        <f>#REF!</f>
        <v>#REF!</v>
      </c>
      <c r="BE135" s="194">
        <f t="shared" ref="BE135:BE150" si="153">F135*AL135</f>
        <v>0</v>
      </c>
      <c r="BF135" s="194">
        <f t="shared" ref="BF135:BF150" si="154">F135*AM135</f>
        <v>0</v>
      </c>
      <c r="BG135" s="194">
        <f t="shared" ref="BG135:BG150" si="155">F135*G135</f>
        <v>0</v>
      </c>
    </row>
    <row r="136" spans="1:59">
      <c r="A136" s="369" t="s">
        <v>910</v>
      </c>
      <c r="B136" s="369"/>
      <c r="C136" s="369" t="s">
        <v>2689</v>
      </c>
      <c r="D136" s="369" t="s">
        <v>2688</v>
      </c>
      <c r="E136" s="369" t="s">
        <v>291</v>
      </c>
      <c r="F136" s="370">
        <v>1</v>
      </c>
      <c r="G136" s="355">
        <v>0</v>
      </c>
      <c r="H136" s="370">
        <f t="shared" si="134"/>
        <v>0</v>
      </c>
      <c r="I136" s="370">
        <f t="shared" si="135"/>
        <v>0</v>
      </c>
      <c r="J136" s="370">
        <f t="shared" si="136"/>
        <v>0</v>
      </c>
      <c r="W136" s="195">
        <f t="shared" si="137"/>
        <v>0</v>
      </c>
      <c r="Y136" s="195">
        <f t="shared" si="138"/>
        <v>0</v>
      </c>
      <c r="Z136" s="195">
        <f t="shared" si="139"/>
        <v>0</v>
      </c>
      <c r="AA136" s="195">
        <f t="shared" si="140"/>
        <v>0</v>
      </c>
      <c r="AB136" s="195">
        <f t="shared" si="141"/>
        <v>0</v>
      </c>
      <c r="AC136" s="195">
        <f t="shared" si="142"/>
        <v>0</v>
      </c>
      <c r="AD136" s="195">
        <f t="shared" si="143"/>
        <v>0</v>
      </c>
      <c r="AE136" s="195">
        <f t="shared" si="144"/>
        <v>0</v>
      </c>
      <c r="AF136" s="196"/>
      <c r="AG136" s="194">
        <f t="shared" si="145"/>
        <v>0</v>
      </c>
      <c r="AH136" s="194">
        <f t="shared" si="146"/>
        <v>0</v>
      </c>
      <c r="AI136" s="194">
        <f t="shared" si="147"/>
        <v>0</v>
      </c>
      <c r="AK136" s="195">
        <v>21</v>
      </c>
      <c r="AL136" s="195">
        <f>G136*0.880485706090448</f>
        <v>0</v>
      </c>
      <c r="AM136" s="195">
        <f>G136*(1-0.880485706090448)</f>
        <v>0</v>
      </c>
      <c r="AN136" s="198" t="s">
        <v>255</v>
      </c>
      <c r="AS136" s="195">
        <f t="shared" si="148"/>
        <v>0</v>
      </c>
      <c r="AT136" s="195">
        <f t="shared" si="149"/>
        <v>0</v>
      </c>
      <c r="AU136" s="195">
        <f t="shared" si="150"/>
        <v>0</v>
      </c>
      <c r="AV136" s="197" t="s">
        <v>2656</v>
      </c>
      <c r="AW136" s="197" t="s">
        <v>2073</v>
      </c>
      <c r="AX136" s="196" t="s">
        <v>2067</v>
      </c>
      <c r="AZ136" s="195">
        <f t="shared" si="151"/>
        <v>0</v>
      </c>
      <c r="BA136" s="195">
        <f t="shared" si="152"/>
        <v>0</v>
      </c>
      <c r="BB136" s="195">
        <v>0</v>
      </c>
      <c r="BC136" s="195" t="e">
        <f>#REF!</f>
        <v>#REF!</v>
      </c>
      <c r="BE136" s="194">
        <f t="shared" si="153"/>
        <v>0</v>
      </c>
      <c r="BF136" s="194">
        <f t="shared" si="154"/>
        <v>0</v>
      </c>
      <c r="BG136" s="194">
        <f t="shared" si="155"/>
        <v>0</v>
      </c>
    </row>
    <row r="137" spans="1:59">
      <c r="A137" s="369" t="s">
        <v>164</v>
      </c>
      <c r="B137" s="369"/>
      <c r="C137" s="369" t="s">
        <v>2687</v>
      </c>
      <c r="D137" s="369" t="s">
        <v>2686</v>
      </c>
      <c r="E137" s="369" t="s">
        <v>291</v>
      </c>
      <c r="F137" s="370">
        <v>2</v>
      </c>
      <c r="G137" s="355">
        <v>0</v>
      </c>
      <c r="H137" s="370">
        <f t="shared" si="134"/>
        <v>0</v>
      </c>
      <c r="I137" s="370">
        <f t="shared" si="135"/>
        <v>0</v>
      </c>
      <c r="J137" s="370">
        <f t="shared" si="136"/>
        <v>0</v>
      </c>
      <c r="W137" s="195">
        <f t="shared" si="137"/>
        <v>0</v>
      </c>
      <c r="Y137" s="195">
        <f t="shared" si="138"/>
        <v>0</v>
      </c>
      <c r="Z137" s="195">
        <f t="shared" si="139"/>
        <v>0</v>
      </c>
      <c r="AA137" s="195">
        <f t="shared" si="140"/>
        <v>0</v>
      </c>
      <c r="AB137" s="195">
        <f t="shared" si="141"/>
        <v>0</v>
      </c>
      <c r="AC137" s="195">
        <f t="shared" si="142"/>
        <v>0</v>
      </c>
      <c r="AD137" s="195">
        <f t="shared" si="143"/>
        <v>0</v>
      </c>
      <c r="AE137" s="195">
        <f t="shared" si="144"/>
        <v>0</v>
      </c>
      <c r="AF137" s="196"/>
      <c r="AG137" s="194">
        <f t="shared" si="145"/>
        <v>0</v>
      </c>
      <c r="AH137" s="194">
        <f t="shared" si="146"/>
        <v>0</v>
      </c>
      <c r="AI137" s="194">
        <f t="shared" si="147"/>
        <v>0</v>
      </c>
      <c r="AK137" s="195">
        <v>21</v>
      </c>
      <c r="AL137" s="195">
        <f>G137*0.882667667902567</f>
        <v>0</v>
      </c>
      <c r="AM137" s="195">
        <f>G137*(1-0.882667667902567)</f>
        <v>0</v>
      </c>
      <c r="AN137" s="198" t="s">
        <v>255</v>
      </c>
      <c r="AS137" s="195">
        <f t="shared" si="148"/>
        <v>0</v>
      </c>
      <c r="AT137" s="195">
        <f t="shared" si="149"/>
        <v>0</v>
      </c>
      <c r="AU137" s="195">
        <f t="shared" si="150"/>
        <v>0</v>
      </c>
      <c r="AV137" s="197" t="s">
        <v>2656</v>
      </c>
      <c r="AW137" s="197" t="s">
        <v>2073</v>
      </c>
      <c r="AX137" s="196" t="s">
        <v>2067</v>
      </c>
      <c r="AZ137" s="195">
        <f t="shared" si="151"/>
        <v>0</v>
      </c>
      <c r="BA137" s="195">
        <f t="shared" si="152"/>
        <v>0</v>
      </c>
      <c r="BB137" s="195">
        <v>0</v>
      </c>
      <c r="BC137" s="195" t="e">
        <f>#REF!</f>
        <v>#REF!</v>
      </c>
      <c r="BE137" s="194">
        <f t="shared" si="153"/>
        <v>0</v>
      </c>
      <c r="BF137" s="194">
        <f t="shared" si="154"/>
        <v>0</v>
      </c>
      <c r="BG137" s="194">
        <f t="shared" si="155"/>
        <v>0</v>
      </c>
    </row>
    <row r="138" spans="1:59">
      <c r="A138" s="369" t="s">
        <v>919</v>
      </c>
      <c r="B138" s="369"/>
      <c r="C138" s="369" t="s">
        <v>2685</v>
      </c>
      <c r="D138" s="369" t="s">
        <v>2684</v>
      </c>
      <c r="E138" s="369" t="s">
        <v>291</v>
      </c>
      <c r="F138" s="370">
        <v>2</v>
      </c>
      <c r="G138" s="355">
        <v>0</v>
      </c>
      <c r="H138" s="370">
        <f t="shared" si="134"/>
        <v>0</v>
      </c>
      <c r="I138" s="370">
        <f t="shared" si="135"/>
        <v>0</v>
      </c>
      <c r="J138" s="370">
        <f t="shared" si="136"/>
        <v>0</v>
      </c>
      <c r="W138" s="195">
        <f t="shared" si="137"/>
        <v>0</v>
      </c>
      <c r="Y138" s="195">
        <f t="shared" si="138"/>
        <v>0</v>
      </c>
      <c r="Z138" s="195">
        <f t="shared" si="139"/>
        <v>0</v>
      </c>
      <c r="AA138" s="195">
        <f t="shared" si="140"/>
        <v>0</v>
      </c>
      <c r="AB138" s="195">
        <f t="shared" si="141"/>
        <v>0</v>
      </c>
      <c r="AC138" s="195">
        <f t="shared" si="142"/>
        <v>0</v>
      </c>
      <c r="AD138" s="195">
        <f t="shared" si="143"/>
        <v>0</v>
      </c>
      <c r="AE138" s="195">
        <f t="shared" si="144"/>
        <v>0</v>
      </c>
      <c r="AF138" s="196"/>
      <c r="AG138" s="194">
        <f t="shared" si="145"/>
        <v>0</v>
      </c>
      <c r="AH138" s="194">
        <f t="shared" si="146"/>
        <v>0</v>
      </c>
      <c r="AI138" s="194">
        <f t="shared" si="147"/>
        <v>0</v>
      </c>
      <c r="AK138" s="195">
        <v>21</v>
      </c>
      <c r="AL138" s="195">
        <f>G138*0.89504617968094</f>
        <v>0</v>
      </c>
      <c r="AM138" s="195">
        <f>G138*(1-0.89504617968094)</f>
        <v>0</v>
      </c>
      <c r="AN138" s="198" t="s">
        <v>255</v>
      </c>
      <c r="AS138" s="195">
        <f t="shared" si="148"/>
        <v>0</v>
      </c>
      <c r="AT138" s="195">
        <f t="shared" si="149"/>
        <v>0</v>
      </c>
      <c r="AU138" s="195">
        <f t="shared" si="150"/>
        <v>0</v>
      </c>
      <c r="AV138" s="197" t="s">
        <v>2656</v>
      </c>
      <c r="AW138" s="197" t="s">
        <v>2073</v>
      </c>
      <c r="AX138" s="196" t="s">
        <v>2067</v>
      </c>
      <c r="AZ138" s="195">
        <f t="shared" si="151"/>
        <v>0</v>
      </c>
      <c r="BA138" s="195">
        <f t="shared" si="152"/>
        <v>0</v>
      </c>
      <c r="BB138" s="195">
        <v>0</v>
      </c>
      <c r="BC138" s="195" t="e">
        <f>#REF!</f>
        <v>#REF!</v>
      </c>
      <c r="BE138" s="194">
        <f t="shared" si="153"/>
        <v>0</v>
      </c>
      <c r="BF138" s="194">
        <f t="shared" si="154"/>
        <v>0</v>
      </c>
      <c r="BG138" s="194">
        <f t="shared" si="155"/>
        <v>0</v>
      </c>
    </row>
    <row r="139" spans="1:59">
      <c r="A139" s="369" t="s">
        <v>924</v>
      </c>
      <c r="B139" s="369"/>
      <c r="C139" s="369" t="s">
        <v>2683</v>
      </c>
      <c r="D139" s="369" t="s">
        <v>2682</v>
      </c>
      <c r="E139" s="369" t="s">
        <v>291</v>
      </c>
      <c r="F139" s="370">
        <v>1</v>
      </c>
      <c r="G139" s="355">
        <v>0</v>
      </c>
      <c r="H139" s="370">
        <f t="shared" si="134"/>
        <v>0</v>
      </c>
      <c r="I139" s="370">
        <f t="shared" si="135"/>
        <v>0</v>
      </c>
      <c r="J139" s="370">
        <f t="shared" si="136"/>
        <v>0</v>
      </c>
      <c r="W139" s="195">
        <f t="shared" si="137"/>
        <v>0</v>
      </c>
      <c r="Y139" s="195">
        <f t="shared" si="138"/>
        <v>0</v>
      </c>
      <c r="Z139" s="195">
        <f t="shared" si="139"/>
        <v>0</v>
      </c>
      <c r="AA139" s="195">
        <f t="shared" si="140"/>
        <v>0</v>
      </c>
      <c r="AB139" s="195">
        <f t="shared" si="141"/>
        <v>0</v>
      </c>
      <c r="AC139" s="195">
        <f t="shared" si="142"/>
        <v>0</v>
      </c>
      <c r="AD139" s="195">
        <f t="shared" si="143"/>
        <v>0</v>
      </c>
      <c r="AE139" s="195">
        <f t="shared" si="144"/>
        <v>0</v>
      </c>
      <c r="AF139" s="196"/>
      <c r="AG139" s="194">
        <f t="shared" si="145"/>
        <v>0</v>
      </c>
      <c r="AH139" s="194">
        <f t="shared" si="146"/>
        <v>0</v>
      </c>
      <c r="AI139" s="194">
        <f t="shared" si="147"/>
        <v>0</v>
      </c>
      <c r="AK139" s="195">
        <v>21</v>
      </c>
      <c r="AL139" s="195">
        <f>G139*0.941766254810614</f>
        <v>0</v>
      </c>
      <c r="AM139" s="195">
        <f>G139*(1-0.941766254810614)</f>
        <v>0</v>
      </c>
      <c r="AN139" s="198" t="s">
        <v>255</v>
      </c>
      <c r="AS139" s="195">
        <f t="shared" si="148"/>
        <v>0</v>
      </c>
      <c r="AT139" s="195">
        <f t="shared" si="149"/>
        <v>0</v>
      </c>
      <c r="AU139" s="195">
        <f t="shared" si="150"/>
        <v>0</v>
      </c>
      <c r="AV139" s="197" t="s">
        <v>2656</v>
      </c>
      <c r="AW139" s="197" t="s">
        <v>2073</v>
      </c>
      <c r="AX139" s="196" t="s">
        <v>2067</v>
      </c>
      <c r="AZ139" s="195">
        <f t="shared" si="151"/>
        <v>0</v>
      </c>
      <c r="BA139" s="195">
        <f t="shared" si="152"/>
        <v>0</v>
      </c>
      <c r="BB139" s="195">
        <v>0</v>
      </c>
      <c r="BC139" s="195" t="e">
        <f>#REF!</f>
        <v>#REF!</v>
      </c>
      <c r="BE139" s="194">
        <f t="shared" si="153"/>
        <v>0</v>
      </c>
      <c r="BF139" s="194">
        <f t="shared" si="154"/>
        <v>0</v>
      </c>
      <c r="BG139" s="194">
        <f t="shared" si="155"/>
        <v>0</v>
      </c>
    </row>
    <row r="140" spans="1:59">
      <c r="A140" s="369" t="s">
        <v>930</v>
      </c>
      <c r="B140" s="369"/>
      <c r="C140" s="369" t="s">
        <v>2681</v>
      </c>
      <c r="D140" s="369" t="s">
        <v>2680</v>
      </c>
      <c r="E140" s="369" t="s">
        <v>291</v>
      </c>
      <c r="F140" s="370">
        <v>1</v>
      </c>
      <c r="G140" s="355">
        <v>0</v>
      </c>
      <c r="H140" s="370">
        <f t="shared" si="134"/>
        <v>0</v>
      </c>
      <c r="I140" s="370">
        <f t="shared" si="135"/>
        <v>0</v>
      </c>
      <c r="J140" s="370">
        <f t="shared" si="136"/>
        <v>0</v>
      </c>
      <c r="W140" s="195">
        <f t="shared" si="137"/>
        <v>0</v>
      </c>
      <c r="Y140" s="195">
        <f t="shared" si="138"/>
        <v>0</v>
      </c>
      <c r="Z140" s="195">
        <f t="shared" si="139"/>
        <v>0</v>
      </c>
      <c r="AA140" s="195">
        <f t="shared" si="140"/>
        <v>0</v>
      </c>
      <c r="AB140" s="195">
        <f t="shared" si="141"/>
        <v>0</v>
      </c>
      <c r="AC140" s="195">
        <f t="shared" si="142"/>
        <v>0</v>
      </c>
      <c r="AD140" s="195">
        <f t="shared" si="143"/>
        <v>0</v>
      </c>
      <c r="AE140" s="195">
        <f t="shared" si="144"/>
        <v>0</v>
      </c>
      <c r="AF140" s="196"/>
      <c r="AG140" s="194">
        <f t="shared" si="145"/>
        <v>0</v>
      </c>
      <c r="AH140" s="194">
        <f t="shared" si="146"/>
        <v>0</v>
      </c>
      <c r="AI140" s="194">
        <f t="shared" si="147"/>
        <v>0</v>
      </c>
      <c r="AK140" s="195">
        <v>21</v>
      </c>
      <c r="AL140" s="195">
        <f>G140*0.888477556686719</f>
        <v>0</v>
      </c>
      <c r="AM140" s="195">
        <f>G140*(1-0.888477556686719)</f>
        <v>0</v>
      </c>
      <c r="AN140" s="198" t="s">
        <v>255</v>
      </c>
      <c r="AS140" s="195">
        <f t="shared" si="148"/>
        <v>0</v>
      </c>
      <c r="AT140" s="195">
        <f t="shared" si="149"/>
        <v>0</v>
      </c>
      <c r="AU140" s="195">
        <f t="shared" si="150"/>
        <v>0</v>
      </c>
      <c r="AV140" s="197" t="s">
        <v>2656</v>
      </c>
      <c r="AW140" s="197" t="s">
        <v>2073</v>
      </c>
      <c r="AX140" s="196" t="s">
        <v>2067</v>
      </c>
      <c r="AZ140" s="195">
        <f t="shared" si="151"/>
        <v>0</v>
      </c>
      <c r="BA140" s="195">
        <f t="shared" si="152"/>
        <v>0</v>
      </c>
      <c r="BB140" s="195">
        <v>0</v>
      </c>
      <c r="BC140" s="195" t="e">
        <f>#REF!</f>
        <v>#REF!</v>
      </c>
      <c r="BE140" s="194">
        <f t="shared" si="153"/>
        <v>0</v>
      </c>
      <c r="BF140" s="194">
        <f t="shared" si="154"/>
        <v>0</v>
      </c>
      <c r="BG140" s="194">
        <f t="shared" si="155"/>
        <v>0</v>
      </c>
    </row>
    <row r="141" spans="1:59">
      <c r="A141" s="369" t="s">
        <v>937</v>
      </c>
      <c r="B141" s="369"/>
      <c r="C141" s="369" t="s">
        <v>2679</v>
      </c>
      <c r="D141" s="369" t="s">
        <v>2678</v>
      </c>
      <c r="E141" s="369" t="s">
        <v>291</v>
      </c>
      <c r="F141" s="370">
        <v>5</v>
      </c>
      <c r="G141" s="355">
        <v>0</v>
      </c>
      <c r="H141" s="370">
        <f t="shared" si="134"/>
        <v>0</v>
      </c>
      <c r="I141" s="370">
        <f t="shared" si="135"/>
        <v>0</v>
      </c>
      <c r="J141" s="370">
        <f t="shared" si="136"/>
        <v>0</v>
      </c>
      <c r="W141" s="195">
        <f t="shared" si="137"/>
        <v>0</v>
      </c>
      <c r="Y141" s="195">
        <f t="shared" si="138"/>
        <v>0</v>
      </c>
      <c r="Z141" s="195">
        <f t="shared" si="139"/>
        <v>0</v>
      </c>
      <c r="AA141" s="195">
        <f t="shared" si="140"/>
        <v>0</v>
      </c>
      <c r="AB141" s="195">
        <f t="shared" si="141"/>
        <v>0</v>
      </c>
      <c r="AC141" s="195">
        <f t="shared" si="142"/>
        <v>0</v>
      </c>
      <c r="AD141" s="195">
        <f t="shared" si="143"/>
        <v>0</v>
      </c>
      <c r="AE141" s="195">
        <f t="shared" si="144"/>
        <v>0</v>
      </c>
      <c r="AF141" s="196"/>
      <c r="AG141" s="194">
        <f t="shared" si="145"/>
        <v>0</v>
      </c>
      <c r="AH141" s="194">
        <f t="shared" si="146"/>
        <v>0</v>
      </c>
      <c r="AI141" s="194">
        <f t="shared" si="147"/>
        <v>0</v>
      </c>
      <c r="AK141" s="195">
        <v>21</v>
      </c>
      <c r="AL141" s="195">
        <f>G141*0.860299720599441</f>
        <v>0</v>
      </c>
      <c r="AM141" s="195">
        <f>G141*(1-0.860299720599441)</f>
        <v>0</v>
      </c>
      <c r="AN141" s="198" t="s">
        <v>255</v>
      </c>
      <c r="AS141" s="195">
        <f t="shared" si="148"/>
        <v>0</v>
      </c>
      <c r="AT141" s="195">
        <f t="shared" si="149"/>
        <v>0</v>
      </c>
      <c r="AU141" s="195">
        <f t="shared" si="150"/>
        <v>0</v>
      </c>
      <c r="AV141" s="197" t="s">
        <v>2656</v>
      </c>
      <c r="AW141" s="197" t="s">
        <v>2073</v>
      </c>
      <c r="AX141" s="196" t="s">
        <v>2067</v>
      </c>
      <c r="AZ141" s="195">
        <f t="shared" si="151"/>
        <v>0</v>
      </c>
      <c r="BA141" s="195">
        <f t="shared" si="152"/>
        <v>0</v>
      </c>
      <c r="BB141" s="195">
        <v>0</v>
      </c>
      <c r="BC141" s="195" t="e">
        <f>#REF!</f>
        <v>#REF!</v>
      </c>
      <c r="BE141" s="194">
        <f t="shared" si="153"/>
        <v>0</v>
      </c>
      <c r="BF141" s="194">
        <f t="shared" si="154"/>
        <v>0</v>
      </c>
      <c r="BG141" s="194">
        <f t="shared" si="155"/>
        <v>0</v>
      </c>
    </row>
    <row r="142" spans="1:59">
      <c r="A142" s="369" t="s">
        <v>941</v>
      </c>
      <c r="B142" s="369"/>
      <c r="C142" s="369" t="s">
        <v>2677</v>
      </c>
      <c r="D142" s="369" t="s">
        <v>2676</v>
      </c>
      <c r="E142" s="369" t="s">
        <v>291</v>
      </c>
      <c r="F142" s="370">
        <v>2</v>
      </c>
      <c r="G142" s="355">
        <v>0</v>
      </c>
      <c r="H142" s="370">
        <f t="shared" si="134"/>
        <v>0</v>
      </c>
      <c r="I142" s="370">
        <f t="shared" si="135"/>
        <v>0</v>
      </c>
      <c r="J142" s="370">
        <f t="shared" si="136"/>
        <v>0</v>
      </c>
      <c r="W142" s="195">
        <f t="shared" si="137"/>
        <v>0</v>
      </c>
      <c r="Y142" s="195">
        <f t="shared" si="138"/>
        <v>0</v>
      </c>
      <c r="Z142" s="195">
        <f t="shared" si="139"/>
        <v>0</v>
      </c>
      <c r="AA142" s="195">
        <f t="shared" si="140"/>
        <v>0</v>
      </c>
      <c r="AB142" s="195">
        <f t="shared" si="141"/>
        <v>0</v>
      </c>
      <c r="AC142" s="195">
        <f t="shared" si="142"/>
        <v>0</v>
      </c>
      <c r="AD142" s="195">
        <f t="shared" si="143"/>
        <v>0</v>
      </c>
      <c r="AE142" s="195">
        <f t="shared" si="144"/>
        <v>0</v>
      </c>
      <c r="AF142" s="196"/>
      <c r="AG142" s="194">
        <f t="shared" si="145"/>
        <v>0</v>
      </c>
      <c r="AH142" s="194">
        <f t="shared" si="146"/>
        <v>0</v>
      </c>
      <c r="AI142" s="194">
        <f t="shared" si="147"/>
        <v>0</v>
      </c>
      <c r="AK142" s="195">
        <v>21</v>
      </c>
      <c r="AL142" s="195">
        <f>G142*0.8608983647278</f>
        <v>0</v>
      </c>
      <c r="AM142" s="195">
        <f>G142*(1-0.8608983647278)</f>
        <v>0</v>
      </c>
      <c r="AN142" s="198" t="s">
        <v>255</v>
      </c>
      <c r="AS142" s="195">
        <f t="shared" si="148"/>
        <v>0</v>
      </c>
      <c r="AT142" s="195">
        <f t="shared" si="149"/>
        <v>0</v>
      </c>
      <c r="AU142" s="195">
        <f t="shared" si="150"/>
        <v>0</v>
      </c>
      <c r="AV142" s="197" t="s">
        <v>2656</v>
      </c>
      <c r="AW142" s="197" t="s">
        <v>2073</v>
      </c>
      <c r="AX142" s="196" t="s">
        <v>2067</v>
      </c>
      <c r="AZ142" s="195">
        <f t="shared" si="151"/>
        <v>0</v>
      </c>
      <c r="BA142" s="195">
        <f t="shared" si="152"/>
        <v>0</v>
      </c>
      <c r="BB142" s="195">
        <v>0</v>
      </c>
      <c r="BC142" s="195" t="e">
        <f>#REF!</f>
        <v>#REF!</v>
      </c>
      <c r="BE142" s="194">
        <f t="shared" si="153"/>
        <v>0</v>
      </c>
      <c r="BF142" s="194">
        <f t="shared" si="154"/>
        <v>0</v>
      </c>
      <c r="BG142" s="194">
        <f t="shared" si="155"/>
        <v>0</v>
      </c>
    </row>
    <row r="143" spans="1:59">
      <c r="A143" s="369" t="s">
        <v>945</v>
      </c>
      <c r="B143" s="369"/>
      <c r="C143" s="369" t="s">
        <v>2675</v>
      </c>
      <c r="D143" s="369" t="s">
        <v>2674</v>
      </c>
      <c r="E143" s="369" t="s">
        <v>291</v>
      </c>
      <c r="F143" s="370">
        <v>1</v>
      </c>
      <c r="G143" s="355">
        <v>0</v>
      </c>
      <c r="H143" s="370">
        <f t="shared" si="134"/>
        <v>0</v>
      </c>
      <c r="I143" s="370">
        <f t="shared" si="135"/>
        <v>0</v>
      </c>
      <c r="J143" s="370">
        <f t="shared" si="136"/>
        <v>0</v>
      </c>
      <c r="W143" s="195">
        <f t="shared" si="137"/>
        <v>0</v>
      </c>
      <c r="Y143" s="195">
        <f t="shared" si="138"/>
        <v>0</v>
      </c>
      <c r="Z143" s="195">
        <f t="shared" si="139"/>
        <v>0</v>
      </c>
      <c r="AA143" s="195">
        <f t="shared" si="140"/>
        <v>0</v>
      </c>
      <c r="AB143" s="195">
        <f t="shared" si="141"/>
        <v>0</v>
      </c>
      <c r="AC143" s="195">
        <f t="shared" si="142"/>
        <v>0</v>
      </c>
      <c r="AD143" s="195">
        <f t="shared" si="143"/>
        <v>0</v>
      </c>
      <c r="AE143" s="195">
        <f t="shared" si="144"/>
        <v>0</v>
      </c>
      <c r="AF143" s="196"/>
      <c r="AG143" s="194">
        <f t="shared" si="145"/>
        <v>0</v>
      </c>
      <c r="AH143" s="194">
        <f t="shared" si="146"/>
        <v>0</v>
      </c>
      <c r="AI143" s="194">
        <f t="shared" si="147"/>
        <v>0</v>
      </c>
      <c r="AK143" s="195">
        <v>21</v>
      </c>
      <c r="AL143" s="195">
        <f>G143*0.924700654240217</f>
        <v>0</v>
      </c>
      <c r="AM143" s="195">
        <f>G143*(1-0.924700654240217)</f>
        <v>0</v>
      </c>
      <c r="AN143" s="198" t="s">
        <v>255</v>
      </c>
      <c r="AS143" s="195">
        <f t="shared" si="148"/>
        <v>0</v>
      </c>
      <c r="AT143" s="195">
        <f t="shared" si="149"/>
        <v>0</v>
      </c>
      <c r="AU143" s="195">
        <f t="shared" si="150"/>
        <v>0</v>
      </c>
      <c r="AV143" s="197" t="s">
        <v>2656</v>
      </c>
      <c r="AW143" s="197" t="s">
        <v>2073</v>
      </c>
      <c r="AX143" s="196" t="s">
        <v>2067</v>
      </c>
      <c r="AZ143" s="195">
        <f t="shared" si="151"/>
        <v>0</v>
      </c>
      <c r="BA143" s="195">
        <f t="shared" si="152"/>
        <v>0</v>
      </c>
      <c r="BB143" s="195">
        <v>0</v>
      </c>
      <c r="BC143" s="195" t="e">
        <f>#REF!</f>
        <v>#REF!</v>
      </c>
      <c r="BE143" s="194">
        <f t="shared" si="153"/>
        <v>0</v>
      </c>
      <c r="BF143" s="194">
        <f t="shared" si="154"/>
        <v>0</v>
      </c>
      <c r="BG143" s="194">
        <f t="shared" si="155"/>
        <v>0</v>
      </c>
    </row>
    <row r="144" spans="1:59">
      <c r="A144" s="369" t="s">
        <v>949</v>
      </c>
      <c r="B144" s="369"/>
      <c r="C144" s="369" t="s">
        <v>2673</v>
      </c>
      <c r="D144" s="369" t="s">
        <v>2672</v>
      </c>
      <c r="E144" s="369" t="s">
        <v>291</v>
      </c>
      <c r="F144" s="370">
        <v>30</v>
      </c>
      <c r="G144" s="355">
        <v>0</v>
      </c>
      <c r="H144" s="370">
        <f t="shared" si="134"/>
        <v>0</v>
      </c>
      <c r="I144" s="370">
        <f t="shared" si="135"/>
        <v>0</v>
      </c>
      <c r="J144" s="370">
        <f t="shared" si="136"/>
        <v>0</v>
      </c>
      <c r="W144" s="195">
        <f t="shared" si="137"/>
        <v>0</v>
      </c>
      <c r="Y144" s="195">
        <f t="shared" si="138"/>
        <v>0</v>
      </c>
      <c r="Z144" s="195">
        <f t="shared" si="139"/>
        <v>0</v>
      </c>
      <c r="AA144" s="195">
        <f t="shared" si="140"/>
        <v>0</v>
      </c>
      <c r="AB144" s="195">
        <f t="shared" si="141"/>
        <v>0</v>
      </c>
      <c r="AC144" s="195">
        <f t="shared" si="142"/>
        <v>0</v>
      </c>
      <c r="AD144" s="195">
        <f t="shared" si="143"/>
        <v>0</v>
      </c>
      <c r="AE144" s="195">
        <f t="shared" si="144"/>
        <v>0</v>
      </c>
      <c r="AF144" s="196"/>
      <c r="AG144" s="194">
        <f t="shared" si="145"/>
        <v>0</v>
      </c>
      <c r="AH144" s="194">
        <f t="shared" si="146"/>
        <v>0</v>
      </c>
      <c r="AI144" s="194">
        <f t="shared" si="147"/>
        <v>0</v>
      </c>
      <c r="AK144" s="195">
        <v>21</v>
      </c>
      <c r="AL144" s="195">
        <f>G144*0.838235294117647</f>
        <v>0</v>
      </c>
      <c r="AM144" s="195">
        <f>G144*(1-0.838235294117647)</f>
        <v>0</v>
      </c>
      <c r="AN144" s="198" t="s">
        <v>255</v>
      </c>
      <c r="AS144" s="195">
        <f t="shared" si="148"/>
        <v>0</v>
      </c>
      <c r="AT144" s="195">
        <f t="shared" si="149"/>
        <v>0</v>
      </c>
      <c r="AU144" s="195">
        <f t="shared" si="150"/>
        <v>0</v>
      </c>
      <c r="AV144" s="197" t="s">
        <v>2656</v>
      </c>
      <c r="AW144" s="197" t="s">
        <v>2073</v>
      </c>
      <c r="AX144" s="196" t="s">
        <v>2067</v>
      </c>
      <c r="AZ144" s="195">
        <f t="shared" si="151"/>
        <v>0</v>
      </c>
      <c r="BA144" s="195">
        <f t="shared" si="152"/>
        <v>0</v>
      </c>
      <c r="BB144" s="195">
        <v>0</v>
      </c>
      <c r="BC144" s="195" t="e">
        <f>#REF!</f>
        <v>#REF!</v>
      </c>
      <c r="BE144" s="194">
        <f t="shared" si="153"/>
        <v>0</v>
      </c>
      <c r="BF144" s="194">
        <f t="shared" si="154"/>
        <v>0</v>
      </c>
      <c r="BG144" s="194">
        <f t="shared" si="155"/>
        <v>0</v>
      </c>
    </row>
    <row r="145" spans="1:59">
      <c r="A145" s="369" t="s">
        <v>953</v>
      </c>
      <c r="B145" s="369"/>
      <c r="C145" s="369" t="s">
        <v>2671</v>
      </c>
      <c r="D145" s="369" t="s">
        <v>2670</v>
      </c>
      <c r="E145" s="369" t="s">
        <v>2665</v>
      </c>
      <c r="F145" s="370">
        <v>25</v>
      </c>
      <c r="G145" s="355">
        <v>0</v>
      </c>
      <c r="H145" s="370">
        <f t="shared" si="134"/>
        <v>0</v>
      </c>
      <c r="I145" s="370">
        <f t="shared" si="135"/>
        <v>0</v>
      </c>
      <c r="J145" s="370">
        <f t="shared" si="136"/>
        <v>0</v>
      </c>
      <c r="W145" s="195">
        <f t="shared" si="137"/>
        <v>0</v>
      </c>
      <c r="Y145" s="195">
        <f t="shared" si="138"/>
        <v>0</v>
      </c>
      <c r="Z145" s="195">
        <f t="shared" si="139"/>
        <v>0</v>
      </c>
      <c r="AA145" s="195">
        <f t="shared" si="140"/>
        <v>0</v>
      </c>
      <c r="AB145" s="195">
        <f t="shared" si="141"/>
        <v>0</v>
      </c>
      <c r="AC145" s="195">
        <f t="shared" si="142"/>
        <v>0</v>
      </c>
      <c r="AD145" s="195">
        <f t="shared" si="143"/>
        <v>0</v>
      </c>
      <c r="AE145" s="195">
        <f t="shared" si="144"/>
        <v>0</v>
      </c>
      <c r="AF145" s="196"/>
      <c r="AG145" s="194">
        <f t="shared" si="145"/>
        <v>0</v>
      </c>
      <c r="AH145" s="194">
        <f t="shared" si="146"/>
        <v>0</v>
      </c>
      <c r="AI145" s="194">
        <f t="shared" si="147"/>
        <v>0</v>
      </c>
      <c r="AK145" s="195">
        <v>21</v>
      </c>
      <c r="AL145" s="195">
        <f>G145*0.848484848484849</f>
        <v>0</v>
      </c>
      <c r="AM145" s="195">
        <f>G145*(1-0.848484848484849)</f>
        <v>0</v>
      </c>
      <c r="AN145" s="198" t="s">
        <v>255</v>
      </c>
      <c r="AS145" s="195">
        <f t="shared" si="148"/>
        <v>0</v>
      </c>
      <c r="AT145" s="195">
        <f t="shared" si="149"/>
        <v>0</v>
      </c>
      <c r="AU145" s="195">
        <f t="shared" si="150"/>
        <v>0</v>
      </c>
      <c r="AV145" s="197" t="s">
        <v>2656</v>
      </c>
      <c r="AW145" s="197" t="s">
        <v>2073</v>
      </c>
      <c r="AX145" s="196" t="s">
        <v>2067</v>
      </c>
      <c r="AZ145" s="195">
        <f t="shared" si="151"/>
        <v>0</v>
      </c>
      <c r="BA145" s="195">
        <f t="shared" si="152"/>
        <v>0</v>
      </c>
      <c r="BB145" s="195">
        <v>0</v>
      </c>
      <c r="BC145" s="195" t="e">
        <f>#REF!</f>
        <v>#REF!</v>
      </c>
      <c r="BE145" s="194">
        <f t="shared" si="153"/>
        <v>0</v>
      </c>
      <c r="BF145" s="194">
        <f t="shared" si="154"/>
        <v>0</v>
      </c>
      <c r="BG145" s="194">
        <f t="shared" si="155"/>
        <v>0</v>
      </c>
    </row>
    <row r="146" spans="1:59">
      <c r="A146" s="369" t="s">
        <v>957</v>
      </c>
      <c r="B146" s="369"/>
      <c r="C146" s="369" t="s">
        <v>2669</v>
      </c>
      <c r="D146" s="369" t="s">
        <v>2668</v>
      </c>
      <c r="E146" s="369" t="s">
        <v>291</v>
      </c>
      <c r="F146" s="370">
        <v>30</v>
      </c>
      <c r="G146" s="355">
        <v>0</v>
      </c>
      <c r="H146" s="370">
        <f t="shared" si="134"/>
        <v>0</v>
      </c>
      <c r="I146" s="370">
        <f t="shared" si="135"/>
        <v>0</v>
      </c>
      <c r="J146" s="370">
        <f t="shared" si="136"/>
        <v>0</v>
      </c>
      <c r="W146" s="195">
        <f t="shared" si="137"/>
        <v>0</v>
      </c>
      <c r="Y146" s="195">
        <f t="shared" si="138"/>
        <v>0</v>
      </c>
      <c r="Z146" s="195">
        <f t="shared" si="139"/>
        <v>0</v>
      </c>
      <c r="AA146" s="195">
        <f t="shared" si="140"/>
        <v>0</v>
      </c>
      <c r="AB146" s="195">
        <f t="shared" si="141"/>
        <v>0</v>
      </c>
      <c r="AC146" s="195">
        <f t="shared" si="142"/>
        <v>0</v>
      </c>
      <c r="AD146" s="195">
        <f t="shared" si="143"/>
        <v>0</v>
      </c>
      <c r="AE146" s="195">
        <f t="shared" si="144"/>
        <v>0</v>
      </c>
      <c r="AF146" s="196"/>
      <c r="AG146" s="194">
        <f t="shared" si="145"/>
        <v>0</v>
      </c>
      <c r="AH146" s="194">
        <f t="shared" si="146"/>
        <v>0</v>
      </c>
      <c r="AI146" s="194">
        <f t="shared" si="147"/>
        <v>0</v>
      </c>
      <c r="AK146" s="195">
        <v>21</v>
      </c>
      <c r="AL146" s="195">
        <f>G146*0.834710743801653</f>
        <v>0</v>
      </c>
      <c r="AM146" s="195">
        <f>G146*(1-0.834710743801653)</f>
        <v>0</v>
      </c>
      <c r="AN146" s="198" t="s">
        <v>255</v>
      </c>
      <c r="AS146" s="195">
        <f t="shared" si="148"/>
        <v>0</v>
      </c>
      <c r="AT146" s="195">
        <f t="shared" si="149"/>
        <v>0</v>
      </c>
      <c r="AU146" s="195">
        <f t="shared" si="150"/>
        <v>0</v>
      </c>
      <c r="AV146" s="197" t="s">
        <v>2656</v>
      </c>
      <c r="AW146" s="197" t="s">
        <v>2073</v>
      </c>
      <c r="AX146" s="196" t="s">
        <v>2067</v>
      </c>
      <c r="AZ146" s="195">
        <f t="shared" si="151"/>
        <v>0</v>
      </c>
      <c r="BA146" s="195">
        <f t="shared" si="152"/>
        <v>0</v>
      </c>
      <c r="BB146" s="195">
        <v>0</v>
      </c>
      <c r="BC146" s="195" t="e">
        <f>#REF!</f>
        <v>#REF!</v>
      </c>
      <c r="BE146" s="194">
        <f t="shared" si="153"/>
        <v>0</v>
      </c>
      <c r="BF146" s="194">
        <f t="shared" si="154"/>
        <v>0</v>
      </c>
      <c r="BG146" s="194">
        <f t="shared" si="155"/>
        <v>0</v>
      </c>
    </row>
    <row r="147" spans="1:59">
      <c r="A147" s="369" t="s">
        <v>963</v>
      </c>
      <c r="B147" s="369"/>
      <c r="C147" s="369" t="s">
        <v>2667</v>
      </c>
      <c r="D147" s="369" t="s">
        <v>2666</v>
      </c>
      <c r="E147" s="369" t="s">
        <v>2665</v>
      </c>
      <c r="F147" s="370">
        <v>25</v>
      </c>
      <c r="G147" s="355">
        <v>0</v>
      </c>
      <c r="H147" s="370">
        <f t="shared" si="134"/>
        <v>0</v>
      </c>
      <c r="I147" s="370">
        <f t="shared" si="135"/>
        <v>0</v>
      </c>
      <c r="J147" s="370">
        <f t="shared" si="136"/>
        <v>0</v>
      </c>
      <c r="W147" s="195">
        <f t="shared" si="137"/>
        <v>0</v>
      </c>
      <c r="Y147" s="195">
        <f t="shared" si="138"/>
        <v>0</v>
      </c>
      <c r="Z147" s="195">
        <f t="shared" si="139"/>
        <v>0</v>
      </c>
      <c r="AA147" s="195">
        <f t="shared" si="140"/>
        <v>0</v>
      </c>
      <c r="AB147" s="195">
        <f t="shared" si="141"/>
        <v>0</v>
      </c>
      <c r="AC147" s="195">
        <f t="shared" si="142"/>
        <v>0</v>
      </c>
      <c r="AD147" s="195">
        <f t="shared" si="143"/>
        <v>0</v>
      </c>
      <c r="AE147" s="195">
        <f t="shared" si="144"/>
        <v>0</v>
      </c>
      <c r="AF147" s="196"/>
      <c r="AG147" s="194">
        <f t="shared" si="145"/>
        <v>0</v>
      </c>
      <c r="AH147" s="194">
        <f t="shared" si="146"/>
        <v>0</v>
      </c>
      <c r="AI147" s="194">
        <f t="shared" si="147"/>
        <v>0</v>
      </c>
      <c r="AK147" s="195">
        <v>21</v>
      </c>
      <c r="AL147" s="195">
        <f>G147*0.856459330143541</f>
        <v>0</v>
      </c>
      <c r="AM147" s="195">
        <f>G147*(1-0.856459330143541)</f>
        <v>0</v>
      </c>
      <c r="AN147" s="198" t="s">
        <v>255</v>
      </c>
      <c r="AS147" s="195">
        <f t="shared" si="148"/>
        <v>0</v>
      </c>
      <c r="AT147" s="195">
        <f t="shared" si="149"/>
        <v>0</v>
      </c>
      <c r="AU147" s="195">
        <f t="shared" si="150"/>
        <v>0</v>
      </c>
      <c r="AV147" s="197" t="s">
        <v>2656</v>
      </c>
      <c r="AW147" s="197" t="s">
        <v>2073</v>
      </c>
      <c r="AX147" s="196" t="s">
        <v>2067</v>
      </c>
      <c r="AZ147" s="195">
        <f t="shared" si="151"/>
        <v>0</v>
      </c>
      <c r="BA147" s="195">
        <f t="shared" si="152"/>
        <v>0</v>
      </c>
      <c r="BB147" s="195">
        <v>0</v>
      </c>
      <c r="BC147" s="195" t="e">
        <f>#REF!</f>
        <v>#REF!</v>
      </c>
      <c r="BE147" s="194">
        <f t="shared" si="153"/>
        <v>0</v>
      </c>
      <c r="BF147" s="194">
        <f t="shared" si="154"/>
        <v>0</v>
      </c>
      <c r="BG147" s="194">
        <f t="shared" si="155"/>
        <v>0</v>
      </c>
    </row>
    <row r="148" spans="1:59">
      <c r="A148" s="369" t="s">
        <v>967</v>
      </c>
      <c r="B148" s="369"/>
      <c r="C148" s="369" t="s">
        <v>2664</v>
      </c>
      <c r="D148" s="369" t="s">
        <v>2663</v>
      </c>
      <c r="E148" s="369" t="s">
        <v>291</v>
      </c>
      <c r="F148" s="370">
        <v>5</v>
      </c>
      <c r="G148" s="355">
        <v>0</v>
      </c>
      <c r="H148" s="370">
        <f t="shared" si="134"/>
        <v>0</v>
      </c>
      <c r="I148" s="370">
        <f t="shared" si="135"/>
        <v>0</v>
      </c>
      <c r="J148" s="370">
        <f t="shared" si="136"/>
        <v>0</v>
      </c>
      <c r="W148" s="195">
        <f t="shared" si="137"/>
        <v>0</v>
      </c>
      <c r="Y148" s="195">
        <f t="shared" si="138"/>
        <v>0</v>
      </c>
      <c r="Z148" s="195">
        <f t="shared" si="139"/>
        <v>0</v>
      </c>
      <c r="AA148" s="195">
        <f t="shared" si="140"/>
        <v>0</v>
      </c>
      <c r="AB148" s="195">
        <f t="shared" si="141"/>
        <v>0</v>
      </c>
      <c r="AC148" s="195">
        <f t="shared" si="142"/>
        <v>0</v>
      </c>
      <c r="AD148" s="195">
        <f t="shared" si="143"/>
        <v>0</v>
      </c>
      <c r="AE148" s="195">
        <f t="shared" si="144"/>
        <v>0</v>
      </c>
      <c r="AF148" s="196"/>
      <c r="AG148" s="194">
        <f t="shared" si="145"/>
        <v>0</v>
      </c>
      <c r="AH148" s="194">
        <f t="shared" si="146"/>
        <v>0</v>
      </c>
      <c r="AI148" s="194">
        <f t="shared" si="147"/>
        <v>0</v>
      </c>
      <c r="AK148" s="195">
        <v>21</v>
      </c>
      <c r="AL148" s="195">
        <f>G148*0.896321070234114</f>
        <v>0</v>
      </c>
      <c r="AM148" s="195">
        <f>G148*(1-0.896321070234114)</f>
        <v>0</v>
      </c>
      <c r="AN148" s="198" t="s">
        <v>255</v>
      </c>
      <c r="AS148" s="195">
        <f t="shared" si="148"/>
        <v>0</v>
      </c>
      <c r="AT148" s="195">
        <f t="shared" si="149"/>
        <v>0</v>
      </c>
      <c r="AU148" s="195">
        <f t="shared" si="150"/>
        <v>0</v>
      </c>
      <c r="AV148" s="197" t="s">
        <v>2656</v>
      </c>
      <c r="AW148" s="197" t="s">
        <v>2073</v>
      </c>
      <c r="AX148" s="196" t="s">
        <v>2067</v>
      </c>
      <c r="AZ148" s="195">
        <f t="shared" si="151"/>
        <v>0</v>
      </c>
      <c r="BA148" s="195">
        <f t="shared" si="152"/>
        <v>0</v>
      </c>
      <c r="BB148" s="195">
        <v>0</v>
      </c>
      <c r="BC148" s="195" t="e">
        <f>#REF!</f>
        <v>#REF!</v>
      </c>
      <c r="BE148" s="194">
        <f t="shared" si="153"/>
        <v>0</v>
      </c>
      <c r="BF148" s="194">
        <f t="shared" si="154"/>
        <v>0</v>
      </c>
      <c r="BG148" s="194">
        <f t="shared" si="155"/>
        <v>0</v>
      </c>
    </row>
    <row r="149" spans="1:59">
      <c r="A149" s="369" t="s">
        <v>973</v>
      </c>
      <c r="B149" s="369"/>
      <c r="C149" s="369" t="s">
        <v>2658</v>
      </c>
      <c r="D149" s="369" t="s">
        <v>2662</v>
      </c>
      <c r="E149" s="369" t="s">
        <v>1220</v>
      </c>
      <c r="F149" s="370">
        <v>3</v>
      </c>
      <c r="G149" s="355">
        <v>0</v>
      </c>
      <c r="H149" s="370">
        <f t="shared" si="134"/>
        <v>0</v>
      </c>
      <c r="I149" s="370">
        <f t="shared" si="135"/>
        <v>0</v>
      </c>
      <c r="J149" s="370">
        <f t="shared" si="136"/>
        <v>0</v>
      </c>
      <c r="W149" s="195">
        <f t="shared" si="137"/>
        <v>0</v>
      </c>
      <c r="Y149" s="195">
        <f t="shared" si="138"/>
        <v>0</v>
      </c>
      <c r="Z149" s="195">
        <f t="shared" si="139"/>
        <v>0</v>
      </c>
      <c r="AA149" s="195">
        <f t="shared" si="140"/>
        <v>0</v>
      </c>
      <c r="AB149" s="195">
        <f t="shared" si="141"/>
        <v>0</v>
      </c>
      <c r="AC149" s="195">
        <f t="shared" si="142"/>
        <v>0</v>
      </c>
      <c r="AD149" s="195">
        <f t="shared" si="143"/>
        <v>0</v>
      </c>
      <c r="AE149" s="195">
        <f t="shared" si="144"/>
        <v>0</v>
      </c>
      <c r="AF149" s="196"/>
      <c r="AG149" s="194">
        <f t="shared" si="145"/>
        <v>0</v>
      </c>
      <c r="AH149" s="194">
        <f t="shared" si="146"/>
        <v>0</v>
      </c>
      <c r="AI149" s="194">
        <f t="shared" si="147"/>
        <v>0</v>
      </c>
      <c r="AK149" s="195">
        <v>21</v>
      </c>
      <c r="AL149" s="195">
        <f>G149*0.955840455840456</f>
        <v>0</v>
      </c>
      <c r="AM149" s="195">
        <f>G149*(1-0.955840455840456)</f>
        <v>0</v>
      </c>
      <c r="AN149" s="198" t="s">
        <v>255</v>
      </c>
      <c r="AS149" s="195">
        <f t="shared" si="148"/>
        <v>0</v>
      </c>
      <c r="AT149" s="195">
        <f t="shared" si="149"/>
        <v>0</v>
      </c>
      <c r="AU149" s="195">
        <f t="shared" si="150"/>
        <v>0</v>
      </c>
      <c r="AV149" s="197" t="s">
        <v>2656</v>
      </c>
      <c r="AW149" s="197" t="s">
        <v>2073</v>
      </c>
      <c r="AX149" s="196" t="s">
        <v>2067</v>
      </c>
      <c r="AZ149" s="195">
        <f t="shared" si="151"/>
        <v>0</v>
      </c>
      <c r="BA149" s="195">
        <f t="shared" si="152"/>
        <v>0</v>
      </c>
      <c r="BB149" s="195">
        <v>0</v>
      </c>
      <c r="BC149" s="195" t="e">
        <f>#REF!</f>
        <v>#REF!</v>
      </c>
      <c r="BE149" s="194">
        <f t="shared" si="153"/>
        <v>0</v>
      </c>
      <c r="BF149" s="194">
        <f t="shared" si="154"/>
        <v>0</v>
      </c>
      <c r="BG149" s="194">
        <f t="shared" si="155"/>
        <v>0</v>
      </c>
    </row>
    <row r="150" spans="1:59">
      <c r="A150" s="369" t="s">
        <v>979</v>
      </c>
      <c r="B150" s="369"/>
      <c r="C150" s="369" t="s">
        <v>2661</v>
      </c>
      <c r="D150" s="369" t="s">
        <v>2660</v>
      </c>
      <c r="E150" s="369" t="s">
        <v>364</v>
      </c>
      <c r="F150" s="370">
        <v>70</v>
      </c>
      <c r="G150" s="355">
        <v>0</v>
      </c>
      <c r="H150" s="370">
        <f t="shared" si="134"/>
        <v>0</v>
      </c>
      <c r="I150" s="370">
        <f t="shared" si="135"/>
        <v>0</v>
      </c>
      <c r="J150" s="370">
        <f t="shared" si="136"/>
        <v>0</v>
      </c>
      <c r="W150" s="195">
        <f t="shared" si="137"/>
        <v>0</v>
      </c>
      <c r="Y150" s="195">
        <f t="shared" si="138"/>
        <v>0</v>
      </c>
      <c r="Z150" s="195">
        <f t="shared" si="139"/>
        <v>0</v>
      </c>
      <c r="AA150" s="195">
        <f t="shared" si="140"/>
        <v>0</v>
      </c>
      <c r="AB150" s="195">
        <f t="shared" si="141"/>
        <v>0</v>
      </c>
      <c r="AC150" s="195">
        <f t="shared" si="142"/>
        <v>0</v>
      </c>
      <c r="AD150" s="195">
        <f t="shared" si="143"/>
        <v>0</v>
      </c>
      <c r="AE150" s="195">
        <f t="shared" si="144"/>
        <v>0</v>
      </c>
      <c r="AF150" s="196"/>
      <c r="AG150" s="194">
        <f t="shared" si="145"/>
        <v>0</v>
      </c>
      <c r="AH150" s="194">
        <f t="shared" si="146"/>
        <v>0</v>
      </c>
      <c r="AI150" s="194">
        <f t="shared" si="147"/>
        <v>0</v>
      </c>
      <c r="AK150" s="195">
        <v>21</v>
      </c>
      <c r="AL150" s="195">
        <f>G150*0.333333333333333</f>
        <v>0</v>
      </c>
      <c r="AM150" s="195">
        <f>G150*(1-0.333333333333333)</f>
        <v>0</v>
      </c>
      <c r="AN150" s="198" t="s">
        <v>77</v>
      </c>
      <c r="AS150" s="195">
        <f t="shared" si="148"/>
        <v>0</v>
      </c>
      <c r="AT150" s="195">
        <f t="shared" si="149"/>
        <v>0</v>
      </c>
      <c r="AU150" s="195">
        <f t="shared" si="150"/>
        <v>0</v>
      </c>
      <c r="AV150" s="197" t="s">
        <v>2656</v>
      </c>
      <c r="AW150" s="197" t="s">
        <v>2073</v>
      </c>
      <c r="AX150" s="196" t="s">
        <v>2067</v>
      </c>
      <c r="AZ150" s="195">
        <f t="shared" si="151"/>
        <v>0</v>
      </c>
      <c r="BA150" s="195">
        <f t="shared" si="152"/>
        <v>0</v>
      </c>
      <c r="BB150" s="195">
        <v>0</v>
      </c>
      <c r="BC150" s="195" t="e">
        <f>#REF!</f>
        <v>#REF!</v>
      </c>
      <c r="BE150" s="194">
        <f t="shared" si="153"/>
        <v>0</v>
      </c>
      <c r="BF150" s="194">
        <f t="shared" si="154"/>
        <v>0</v>
      </c>
      <c r="BG150" s="194">
        <f t="shared" si="155"/>
        <v>0</v>
      </c>
    </row>
    <row r="151" spans="1:59">
      <c r="A151" s="375"/>
      <c r="B151" s="375"/>
      <c r="C151" s="375"/>
      <c r="D151" s="376" t="s">
        <v>2659</v>
      </c>
      <c r="E151" s="375"/>
      <c r="F151" s="375"/>
      <c r="G151" s="358">
        <v>0</v>
      </c>
      <c r="H151" s="375"/>
      <c r="I151" s="375"/>
      <c r="J151" s="375"/>
    </row>
    <row r="152" spans="1:59">
      <c r="A152" s="369" t="s">
        <v>986</v>
      </c>
      <c r="B152" s="369"/>
      <c r="C152" s="369" t="s">
        <v>2658</v>
      </c>
      <c r="D152" s="369" t="s">
        <v>2657</v>
      </c>
      <c r="E152" s="369" t="s">
        <v>1766</v>
      </c>
      <c r="F152" s="370">
        <v>2</v>
      </c>
      <c r="G152" s="355">
        <v>0</v>
      </c>
      <c r="H152" s="370">
        <f>F152*AL152</f>
        <v>0</v>
      </c>
      <c r="I152" s="370">
        <f>F152*AM152</f>
        <v>0</v>
      </c>
      <c r="J152" s="370">
        <f>F152*G152</f>
        <v>0</v>
      </c>
      <c r="W152" s="195">
        <f>IF(AN152="5",BG152,0)</f>
        <v>0</v>
      </c>
      <c r="Y152" s="195">
        <f>IF(AN152="1",BE152,0)</f>
        <v>0</v>
      </c>
      <c r="Z152" s="195">
        <f>IF(AN152="1",BF152,0)</f>
        <v>0</v>
      </c>
      <c r="AA152" s="195">
        <f>IF(AN152="7",BE152,0)</f>
        <v>0</v>
      </c>
      <c r="AB152" s="195">
        <f>IF(AN152="7",BF152,0)</f>
        <v>0</v>
      </c>
      <c r="AC152" s="195">
        <f>IF(AN152="2",BE152,0)</f>
        <v>0</v>
      </c>
      <c r="AD152" s="195">
        <f>IF(AN152="2",BF152,0)</f>
        <v>0</v>
      </c>
      <c r="AE152" s="195">
        <f>IF(AN152="0",BG152,0)</f>
        <v>0</v>
      </c>
      <c r="AF152" s="196"/>
      <c r="AG152" s="194">
        <f>IF(AK152=0,J152,0)</f>
        <v>0</v>
      </c>
      <c r="AH152" s="194">
        <f>IF(AK152=15,J152,0)</f>
        <v>0</v>
      </c>
      <c r="AI152" s="194">
        <f>IF(AK152=21,J152,0)</f>
        <v>0</v>
      </c>
      <c r="AK152" s="195">
        <v>21</v>
      </c>
      <c r="AL152" s="195">
        <f>G152*0.981786133960047</f>
        <v>0</v>
      </c>
      <c r="AM152" s="195">
        <f>G152*(1-0.981786133960047)</f>
        <v>0</v>
      </c>
      <c r="AN152" s="198" t="s">
        <v>255</v>
      </c>
      <c r="AS152" s="195">
        <f>AT152+AU152</f>
        <v>0</v>
      </c>
      <c r="AT152" s="195">
        <f>F152*AL152</f>
        <v>0</v>
      </c>
      <c r="AU152" s="195">
        <f>F152*AM152</f>
        <v>0</v>
      </c>
      <c r="AV152" s="197" t="s">
        <v>2656</v>
      </c>
      <c r="AW152" s="197" t="s">
        <v>2073</v>
      </c>
      <c r="AX152" s="196" t="s">
        <v>2067</v>
      </c>
      <c r="AZ152" s="195">
        <f>AT152+AU152</f>
        <v>0</v>
      </c>
      <c r="BA152" s="195">
        <f>G152/(100-BB152)*100</f>
        <v>0</v>
      </c>
      <c r="BB152" s="195">
        <v>0</v>
      </c>
      <c r="BC152" s="195" t="e">
        <f>#REF!</f>
        <v>#REF!</v>
      </c>
      <c r="BE152" s="194">
        <f>F152*AL152</f>
        <v>0</v>
      </c>
      <c r="BF152" s="194">
        <f>F152*AM152</f>
        <v>0</v>
      </c>
      <c r="BG152" s="194">
        <f>F152*G152</f>
        <v>0</v>
      </c>
    </row>
    <row r="153" spans="1:59">
      <c r="A153" s="371"/>
      <c r="B153" s="372"/>
      <c r="C153" s="372" t="s">
        <v>2655</v>
      </c>
      <c r="D153" s="372" t="s">
        <v>2654</v>
      </c>
      <c r="E153" s="371" t="s">
        <v>27</v>
      </c>
      <c r="F153" s="371" t="s">
        <v>27</v>
      </c>
      <c r="G153" s="356"/>
      <c r="H153" s="386">
        <f>SUM(H154:H163)</f>
        <v>0</v>
      </c>
      <c r="I153" s="386">
        <f>SUM(I154:I163)</f>
        <v>0</v>
      </c>
      <c r="J153" s="386">
        <f>SUM(J154:J163)</f>
        <v>0</v>
      </c>
      <c r="AF153" s="196"/>
      <c r="AP153" s="199">
        <f>SUM(AG154:AG163)</f>
        <v>0</v>
      </c>
      <c r="AQ153" s="199">
        <f>SUM(AH154:AH163)</f>
        <v>0</v>
      </c>
      <c r="AR153" s="199">
        <f>SUM(AI154:AI163)</f>
        <v>0</v>
      </c>
    </row>
    <row r="154" spans="1:59">
      <c r="A154" s="369" t="s">
        <v>996</v>
      </c>
      <c r="B154" s="369"/>
      <c r="C154" s="369" t="s">
        <v>2653</v>
      </c>
      <c r="D154" s="369" t="s">
        <v>2652</v>
      </c>
      <c r="E154" s="369" t="s">
        <v>291</v>
      </c>
      <c r="F154" s="370">
        <v>1</v>
      </c>
      <c r="G154" s="355">
        <v>0</v>
      </c>
      <c r="H154" s="370">
        <f t="shared" ref="H154:H163" si="156">F154*AL154</f>
        <v>0</v>
      </c>
      <c r="I154" s="370">
        <f t="shared" ref="I154:I163" si="157">F154*AM154</f>
        <v>0</v>
      </c>
      <c r="J154" s="370">
        <f t="shared" ref="J154:J163" si="158">F154*G154</f>
        <v>0</v>
      </c>
      <c r="W154" s="195">
        <f t="shared" ref="W154:W163" si="159">IF(AN154="5",BG154,0)</f>
        <v>0</v>
      </c>
      <c r="Y154" s="195">
        <f t="shared" ref="Y154:Y163" si="160">IF(AN154="1",BE154,0)</f>
        <v>0</v>
      </c>
      <c r="Z154" s="195">
        <f t="shared" ref="Z154:Z163" si="161">IF(AN154="1",BF154,0)</f>
        <v>0</v>
      </c>
      <c r="AA154" s="195">
        <f t="shared" ref="AA154:AA163" si="162">IF(AN154="7",BE154,0)</f>
        <v>0</v>
      </c>
      <c r="AB154" s="195">
        <f t="shared" ref="AB154:AB163" si="163">IF(AN154="7",BF154,0)</f>
        <v>0</v>
      </c>
      <c r="AC154" s="195">
        <f t="shared" ref="AC154:AC163" si="164">IF(AN154="2",BE154,0)</f>
        <v>0</v>
      </c>
      <c r="AD154" s="195">
        <f t="shared" ref="AD154:AD163" si="165">IF(AN154="2",BF154,0)</f>
        <v>0</v>
      </c>
      <c r="AE154" s="195">
        <f t="shared" ref="AE154:AE163" si="166">IF(AN154="0",BG154,0)</f>
        <v>0</v>
      </c>
      <c r="AF154" s="196"/>
      <c r="AG154" s="194">
        <f t="shared" ref="AG154:AG163" si="167">IF(AK154=0,J154,0)</f>
        <v>0</v>
      </c>
      <c r="AH154" s="194">
        <f t="shared" ref="AH154:AH163" si="168">IF(AK154=15,J154,0)</f>
        <v>0</v>
      </c>
      <c r="AI154" s="194">
        <f t="shared" ref="AI154:AI163" si="169">IF(AK154=21,J154,0)</f>
        <v>0</v>
      </c>
      <c r="AK154" s="195">
        <v>21</v>
      </c>
      <c r="AL154" s="195">
        <f>G154*0</f>
        <v>0</v>
      </c>
      <c r="AM154" s="195">
        <f>G154*(1-0)</f>
        <v>0</v>
      </c>
      <c r="AN154" s="198" t="s">
        <v>255</v>
      </c>
      <c r="AS154" s="195">
        <f t="shared" ref="AS154:AS163" si="170">AT154+AU154</f>
        <v>0</v>
      </c>
      <c r="AT154" s="195">
        <f t="shared" ref="AT154:AT163" si="171">F154*AL154</f>
        <v>0</v>
      </c>
      <c r="AU154" s="195">
        <f t="shared" ref="AU154:AU163" si="172">F154*AM154</f>
        <v>0</v>
      </c>
      <c r="AV154" s="197" t="s">
        <v>2633</v>
      </c>
      <c r="AW154" s="197" t="s">
        <v>2073</v>
      </c>
      <c r="AX154" s="196" t="s">
        <v>2067</v>
      </c>
      <c r="AZ154" s="195">
        <f t="shared" ref="AZ154:AZ163" si="173">AT154+AU154</f>
        <v>0</v>
      </c>
      <c r="BA154" s="195">
        <f t="shared" ref="BA154:BA163" si="174">G154/(100-BB154)*100</f>
        <v>0</v>
      </c>
      <c r="BB154" s="195">
        <v>0</v>
      </c>
      <c r="BC154" s="195" t="e">
        <f>#REF!</f>
        <v>#REF!</v>
      </c>
      <c r="BE154" s="194">
        <f t="shared" ref="BE154:BE163" si="175">F154*AL154</f>
        <v>0</v>
      </c>
      <c r="BF154" s="194">
        <f t="shared" ref="BF154:BF163" si="176">F154*AM154</f>
        <v>0</v>
      </c>
      <c r="BG154" s="194">
        <f t="shared" ref="BG154:BG163" si="177">F154*G154</f>
        <v>0</v>
      </c>
    </row>
    <row r="155" spans="1:59">
      <c r="A155" s="373" t="s">
        <v>1003</v>
      </c>
      <c r="B155" s="373"/>
      <c r="C155" s="373" t="s">
        <v>2651</v>
      </c>
      <c r="D155" s="373" t="s">
        <v>2650</v>
      </c>
      <c r="E155" s="373" t="s">
        <v>1766</v>
      </c>
      <c r="F155" s="374">
        <v>1</v>
      </c>
      <c r="G155" s="357">
        <v>0</v>
      </c>
      <c r="H155" s="374">
        <f t="shared" si="156"/>
        <v>0</v>
      </c>
      <c r="I155" s="374">
        <f t="shared" si="157"/>
        <v>0</v>
      </c>
      <c r="J155" s="374">
        <f t="shared" si="158"/>
        <v>0</v>
      </c>
      <c r="W155" s="195">
        <f t="shared" si="159"/>
        <v>0</v>
      </c>
      <c r="Y155" s="195">
        <f t="shared" si="160"/>
        <v>0</v>
      </c>
      <c r="Z155" s="195">
        <f t="shared" si="161"/>
        <v>0</v>
      </c>
      <c r="AA155" s="195">
        <f t="shared" si="162"/>
        <v>0</v>
      </c>
      <c r="AB155" s="195">
        <f t="shared" si="163"/>
        <v>0</v>
      </c>
      <c r="AC155" s="195">
        <f t="shared" si="164"/>
        <v>0</v>
      </c>
      <c r="AD155" s="195">
        <f t="shared" si="165"/>
        <v>0</v>
      </c>
      <c r="AE155" s="195">
        <f t="shared" si="166"/>
        <v>0</v>
      </c>
      <c r="AF155" s="196"/>
      <c r="AG155" s="200">
        <f t="shared" si="167"/>
        <v>0</v>
      </c>
      <c r="AH155" s="200">
        <f t="shared" si="168"/>
        <v>0</v>
      </c>
      <c r="AI155" s="200">
        <f t="shared" si="169"/>
        <v>0</v>
      </c>
      <c r="AK155" s="195">
        <v>21</v>
      </c>
      <c r="AL155" s="195">
        <f>G155*1</f>
        <v>0</v>
      </c>
      <c r="AM155" s="195">
        <f>G155*(1-1)</f>
        <v>0</v>
      </c>
      <c r="AN155" s="201" t="s">
        <v>255</v>
      </c>
      <c r="AS155" s="195">
        <f t="shared" si="170"/>
        <v>0</v>
      </c>
      <c r="AT155" s="195">
        <f t="shared" si="171"/>
        <v>0</v>
      </c>
      <c r="AU155" s="195">
        <f t="shared" si="172"/>
        <v>0</v>
      </c>
      <c r="AV155" s="197" t="s">
        <v>2633</v>
      </c>
      <c r="AW155" s="197" t="s">
        <v>2073</v>
      </c>
      <c r="AX155" s="196" t="s">
        <v>2067</v>
      </c>
      <c r="AZ155" s="195">
        <f t="shared" si="173"/>
        <v>0</v>
      </c>
      <c r="BA155" s="195">
        <f t="shared" si="174"/>
        <v>0</v>
      </c>
      <c r="BB155" s="195">
        <v>0</v>
      </c>
      <c r="BC155" s="195" t="e">
        <f>#REF!</f>
        <v>#REF!</v>
      </c>
      <c r="BE155" s="200">
        <f t="shared" si="175"/>
        <v>0</v>
      </c>
      <c r="BF155" s="200">
        <f t="shared" si="176"/>
        <v>0</v>
      </c>
      <c r="BG155" s="200">
        <f t="shared" si="177"/>
        <v>0</v>
      </c>
    </row>
    <row r="156" spans="1:59">
      <c r="A156" s="369" t="s">
        <v>1009</v>
      </c>
      <c r="B156" s="369"/>
      <c r="C156" s="369" t="s">
        <v>2649</v>
      </c>
      <c r="D156" s="369" t="s">
        <v>2648</v>
      </c>
      <c r="E156" s="369" t="s">
        <v>291</v>
      </c>
      <c r="F156" s="370">
        <v>1</v>
      </c>
      <c r="G156" s="355">
        <v>0</v>
      </c>
      <c r="H156" s="370">
        <f t="shared" si="156"/>
        <v>0</v>
      </c>
      <c r="I156" s="370">
        <f t="shared" si="157"/>
        <v>0</v>
      </c>
      <c r="J156" s="370">
        <f t="shared" si="158"/>
        <v>0</v>
      </c>
      <c r="W156" s="195">
        <f t="shared" si="159"/>
        <v>0</v>
      </c>
      <c r="Y156" s="195">
        <f t="shared" si="160"/>
        <v>0</v>
      </c>
      <c r="Z156" s="195">
        <f t="shared" si="161"/>
        <v>0</v>
      </c>
      <c r="AA156" s="195">
        <f t="shared" si="162"/>
        <v>0</v>
      </c>
      <c r="AB156" s="195">
        <f t="shared" si="163"/>
        <v>0</v>
      </c>
      <c r="AC156" s="195">
        <f t="shared" si="164"/>
        <v>0</v>
      </c>
      <c r="AD156" s="195">
        <f t="shared" si="165"/>
        <v>0</v>
      </c>
      <c r="AE156" s="195">
        <f t="shared" si="166"/>
        <v>0</v>
      </c>
      <c r="AF156" s="196"/>
      <c r="AG156" s="194">
        <f t="shared" si="167"/>
        <v>0</v>
      </c>
      <c r="AH156" s="194">
        <f t="shared" si="168"/>
        <v>0</v>
      </c>
      <c r="AI156" s="194">
        <f t="shared" si="169"/>
        <v>0</v>
      </c>
      <c r="AK156" s="195">
        <v>21</v>
      </c>
      <c r="AL156" s="195">
        <f>G156*0</f>
        <v>0</v>
      </c>
      <c r="AM156" s="195">
        <f>G156*(1-0)</f>
        <v>0</v>
      </c>
      <c r="AN156" s="198" t="s">
        <v>255</v>
      </c>
      <c r="AS156" s="195">
        <f t="shared" si="170"/>
        <v>0</v>
      </c>
      <c r="AT156" s="195">
        <f t="shared" si="171"/>
        <v>0</v>
      </c>
      <c r="AU156" s="195">
        <f t="shared" si="172"/>
        <v>0</v>
      </c>
      <c r="AV156" s="197" t="s">
        <v>2633</v>
      </c>
      <c r="AW156" s="197" t="s">
        <v>2073</v>
      </c>
      <c r="AX156" s="196" t="s">
        <v>2067</v>
      </c>
      <c r="AZ156" s="195">
        <f t="shared" si="173"/>
        <v>0</v>
      </c>
      <c r="BA156" s="195">
        <f t="shared" si="174"/>
        <v>0</v>
      </c>
      <c r="BB156" s="195">
        <v>0</v>
      </c>
      <c r="BC156" s="195" t="e">
        <f>#REF!</f>
        <v>#REF!</v>
      </c>
      <c r="BE156" s="194">
        <f t="shared" si="175"/>
        <v>0</v>
      </c>
      <c r="BF156" s="194">
        <f t="shared" si="176"/>
        <v>0</v>
      </c>
      <c r="BG156" s="194">
        <f t="shared" si="177"/>
        <v>0</v>
      </c>
    </row>
    <row r="157" spans="1:59">
      <c r="A157" s="369" t="s">
        <v>1019</v>
      </c>
      <c r="B157" s="369"/>
      <c r="C157" s="369" t="s">
        <v>2647</v>
      </c>
      <c r="D157" s="369" t="s">
        <v>2646</v>
      </c>
      <c r="E157" s="369" t="s">
        <v>291</v>
      </c>
      <c r="F157" s="370">
        <v>1</v>
      </c>
      <c r="G157" s="355">
        <v>0</v>
      </c>
      <c r="H157" s="370">
        <f t="shared" si="156"/>
        <v>0</v>
      </c>
      <c r="I157" s="370">
        <f t="shared" si="157"/>
        <v>0</v>
      </c>
      <c r="J157" s="370">
        <f t="shared" si="158"/>
        <v>0</v>
      </c>
      <c r="W157" s="195">
        <f t="shared" si="159"/>
        <v>0</v>
      </c>
      <c r="Y157" s="195">
        <f t="shared" si="160"/>
        <v>0</v>
      </c>
      <c r="Z157" s="195">
        <f t="shared" si="161"/>
        <v>0</v>
      </c>
      <c r="AA157" s="195">
        <f t="shared" si="162"/>
        <v>0</v>
      </c>
      <c r="AB157" s="195">
        <f t="shared" si="163"/>
        <v>0</v>
      </c>
      <c r="AC157" s="195">
        <f t="shared" si="164"/>
        <v>0</v>
      </c>
      <c r="AD157" s="195">
        <f t="shared" si="165"/>
        <v>0</v>
      </c>
      <c r="AE157" s="195">
        <f t="shared" si="166"/>
        <v>0</v>
      </c>
      <c r="AF157" s="196"/>
      <c r="AG157" s="194">
        <f t="shared" si="167"/>
        <v>0</v>
      </c>
      <c r="AH157" s="194">
        <f t="shared" si="168"/>
        <v>0</v>
      </c>
      <c r="AI157" s="194">
        <f t="shared" si="169"/>
        <v>0</v>
      </c>
      <c r="AK157" s="195">
        <v>21</v>
      </c>
      <c r="AL157" s="195">
        <f>G157*1</f>
        <v>0</v>
      </c>
      <c r="AM157" s="195">
        <f>G157*(1-1)</f>
        <v>0</v>
      </c>
      <c r="AN157" s="198" t="s">
        <v>255</v>
      </c>
      <c r="AS157" s="195">
        <f t="shared" si="170"/>
        <v>0</v>
      </c>
      <c r="AT157" s="195">
        <f t="shared" si="171"/>
        <v>0</v>
      </c>
      <c r="AU157" s="195">
        <f t="shared" si="172"/>
        <v>0</v>
      </c>
      <c r="AV157" s="197" t="s">
        <v>2633</v>
      </c>
      <c r="AW157" s="197" t="s">
        <v>2073</v>
      </c>
      <c r="AX157" s="196" t="s">
        <v>2067</v>
      </c>
      <c r="AZ157" s="195">
        <f t="shared" si="173"/>
        <v>0</v>
      </c>
      <c r="BA157" s="195">
        <f t="shared" si="174"/>
        <v>0</v>
      </c>
      <c r="BB157" s="195">
        <v>0</v>
      </c>
      <c r="BC157" s="195" t="e">
        <f>#REF!</f>
        <v>#REF!</v>
      </c>
      <c r="BE157" s="194">
        <f t="shared" si="175"/>
        <v>0</v>
      </c>
      <c r="BF157" s="194">
        <f t="shared" si="176"/>
        <v>0</v>
      </c>
      <c r="BG157" s="194">
        <f t="shared" si="177"/>
        <v>0</v>
      </c>
    </row>
    <row r="158" spans="1:59">
      <c r="A158" s="369" t="s">
        <v>1024</v>
      </c>
      <c r="B158" s="369"/>
      <c r="C158" s="369" t="s">
        <v>2645</v>
      </c>
      <c r="D158" s="369" t="s">
        <v>2644</v>
      </c>
      <c r="E158" s="369" t="s">
        <v>291</v>
      </c>
      <c r="F158" s="370">
        <v>2</v>
      </c>
      <c r="G158" s="355">
        <v>0</v>
      </c>
      <c r="H158" s="370">
        <f t="shared" si="156"/>
        <v>0</v>
      </c>
      <c r="I158" s="370">
        <f t="shared" si="157"/>
        <v>0</v>
      </c>
      <c r="J158" s="370">
        <f t="shared" si="158"/>
        <v>0</v>
      </c>
      <c r="W158" s="195">
        <f t="shared" si="159"/>
        <v>0</v>
      </c>
      <c r="Y158" s="195">
        <f t="shared" si="160"/>
        <v>0</v>
      </c>
      <c r="Z158" s="195">
        <f t="shared" si="161"/>
        <v>0</v>
      </c>
      <c r="AA158" s="195">
        <f t="shared" si="162"/>
        <v>0</v>
      </c>
      <c r="AB158" s="195">
        <f t="shared" si="163"/>
        <v>0</v>
      </c>
      <c r="AC158" s="195">
        <f t="shared" si="164"/>
        <v>0</v>
      </c>
      <c r="AD158" s="195">
        <f t="shared" si="165"/>
        <v>0</v>
      </c>
      <c r="AE158" s="195">
        <f t="shared" si="166"/>
        <v>0</v>
      </c>
      <c r="AF158" s="196"/>
      <c r="AG158" s="194">
        <f t="shared" si="167"/>
        <v>0</v>
      </c>
      <c r="AH158" s="194">
        <f t="shared" si="168"/>
        <v>0</v>
      </c>
      <c r="AI158" s="194">
        <f t="shared" si="169"/>
        <v>0</v>
      </c>
      <c r="AK158" s="195">
        <v>21</v>
      </c>
      <c r="AL158" s="195">
        <f>G158*0</f>
        <v>0</v>
      </c>
      <c r="AM158" s="195">
        <f>G158*(1-0)</f>
        <v>0</v>
      </c>
      <c r="AN158" s="198" t="s">
        <v>255</v>
      </c>
      <c r="AS158" s="195">
        <f t="shared" si="170"/>
        <v>0</v>
      </c>
      <c r="AT158" s="195">
        <f t="shared" si="171"/>
        <v>0</v>
      </c>
      <c r="AU158" s="195">
        <f t="shared" si="172"/>
        <v>0</v>
      </c>
      <c r="AV158" s="197" t="s">
        <v>2633</v>
      </c>
      <c r="AW158" s="197" t="s">
        <v>2073</v>
      </c>
      <c r="AX158" s="196" t="s">
        <v>2067</v>
      </c>
      <c r="AZ158" s="195">
        <f t="shared" si="173"/>
        <v>0</v>
      </c>
      <c r="BA158" s="195">
        <f t="shared" si="174"/>
        <v>0</v>
      </c>
      <c r="BB158" s="195">
        <v>0</v>
      </c>
      <c r="BC158" s="195" t="e">
        <f>#REF!</f>
        <v>#REF!</v>
      </c>
      <c r="BE158" s="194">
        <f t="shared" si="175"/>
        <v>0</v>
      </c>
      <c r="BF158" s="194">
        <f t="shared" si="176"/>
        <v>0</v>
      </c>
      <c r="BG158" s="194">
        <f t="shared" si="177"/>
        <v>0</v>
      </c>
    </row>
    <row r="159" spans="1:59">
      <c r="A159" s="373" t="s">
        <v>1029</v>
      </c>
      <c r="B159" s="373"/>
      <c r="C159" s="373" t="s">
        <v>2643</v>
      </c>
      <c r="D159" s="373" t="s">
        <v>2642</v>
      </c>
      <c r="E159" s="373" t="s">
        <v>2353</v>
      </c>
      <c r="F159" s="374">
        <v>2</v>
      </c>
      <c r="G159" s="357">
        <v>0</v>
      </c>
      <c r="H159" s="374">
        <f t="shared" si="156"/>
        <v>0</v>
      </c>
      <c r="I159" s="374">
        <f t="shared" si="157"/>
        <v>0</v>
      </c>
      <c r="J159" s="374">
        <f t="shared" si="158"/>
        <v>0</v>
      </c>
      <c r="W159" s="195">
        <f t="shared" si="159"/>
        <v>0</v>
      </c>
      <c r="Y159" s="195">
        <f t="shared" si="160"/>
        <v>0</v>
      </c>
      <c r="Z159" s="195">
        <f t="shared" si="161"/>
        <v>0</v>
      </c>
      <c r="AA159" s="195">
        <f t="shared" si="162"/>
        <v>0</v>
      </c>
      <c r="AB159" s="195">
        <f t="shared" si="163"/>
        <v>0</v>
      </c>
      <c r="AC159" s="195">
        <f t="shared" si="164"/>
        <v>0</v>
      </c>
      <c r="AD159" s="195">
        <f t="shared" si="165"/>
        <v>0</v>
      </c>
      <c r="AE159" s="195">
        <f t="shared" si="166"/>
        <v>0</v>
      </c>
      <c r="AF159" s="196"/>
      <c r="AG159" s="200">
        <f t="shared" si="167"/>
        <v>0</v>
      </c>
      <c r="AH159" s="200">
        <f t="shared" si="168"/>
        <v>0</v>
      </c>
      <c r="AI159" s="200">
        <f t="shared" si="169"/>
        <v>0</v>
      </c>
      <c r="AK159" s="195">
        <v>21</v>
      </c>
      <c r="AL159" s="195">
        <f>G159*1</f>
        <v>0</v>
      </c>
      <c r="AM159" s="195">
        <f>G159*(1-1)</f>
        <v>0</v>
      </c>
      <c r="AN159" s="201" t="s">
        <v>255</v>
      </c>
      <c r="AS159" s="195">
        <f t="shared" si="170"/>
        <v>0</v>
      </c>
      <c r="AT159" s="195">
        <f t="shared" si="171"/>
        <v>0</v>
      </c>
      <c r="AU159" s="195">
        <f t="shared" si="172"/>
        <v>0</v>
      </c>
      <c r="AV159" s="197" t="s">
        <v>2633</v>
      </c>
      <c r="AW159" s="197" t="s">
        <v>2073</v>
      </c>
      <c r="AX159" s="196" t="s">
        <v>2067</v>
      </c>
      <c r="AZ159" s="195">
        <f t="shared" si="173"/>
        <v>0</v>
      </c>
      <c r="BA159" s="195">
        <f t="shared" si="174"/>
        <v>0</v>
      </c>
      <c r="BB159" s="195">
        <v>0</v>
      </c>
      <c r="BC159" s="195" t="e">
        <f>#REF!</f>
        <v>#REF!</v>
      </c>
      <c r="BE159" s="200">
        <f t="shared" si="175"/>
        <v>0</v>
      </c>
      <c r="BF159" s="200">
        <f t="shared" si="176"/>
        <v>0</v>
      </c>
      <c r="BG159" s="200">
        <f t="shared" si="177"/>
        <v>0</v>
      </c>
    </row>
    <row r="160" spans="1:59">
      <c r="A160" s="369" t="s">
        <v>1036</v>
      </c>
      <c r="B160" s="369"/>
      <c r="C160" s="369" t="s">
        <v>2641</v>
      </c>
      <c r="D160" s="369" t="s">
        <v>2640</v>
      </c>
      <c r="E160" s="369" t="s">
        <v>291</v>
      </c>
      <c r="F160" s="370">
        <v>3</v>
      </c>
      <c r="G160" s="355">
        <v>0</v>
      </c>
      <c r="H160" s="370">
        <f t="shared" si="156"/>
        <v>0</v>
      </c>
      <c r="I160" s="370">
        <f t="shared" si="157"/>
        <v>0</v>
      </c>
      <c r="J160" s="370">
        <f t="shared" si="158"/>
        <v>0</v>
      </c>
      <c r="W160" s="195">
        <f t="shared" si="159"/>
        <v>0</v>
      </c>
      <c r="Y160" s="195">
        <f t="shared" si="160"/>
        <v>0</v>
      </c>
      <c r="Z160" s="195">
        <f t="shared" si="161"/>
        <v>0</v>
      </c>
      <c r="AA160" s="195">
        <f t="shared" si="162"/>
        <v>0</v>
      </c>
      <c r="AB160" s="195">
        <f t="shared" si="163"/>
        <v>0</v>
      </c>
      <c r="AC160" s="195">
        <f t="shared" si="164"/>
        <v>0</v>
      </c>
      <c r="AD160" s="195">
        <f t="shared" si="165"/>
        <v>0</v>
      </c>
      <c r="AE160" s="195">
        <f t="shared" si="166"/>
        <v>0</v>
      </c>
      <c r="AF160" s="196"/>
      <c r="AG160" s="194">
        <f t="shared" si="167"/>
        <v>0</v>
      </c>
      <c r="AH160" s="194">
        <f t="shared" si="168"/>
        <v>0</v>
      </c>
      <c r="AI160" s="194">
        <f t="shared" si="169"/>
        <v>0</v>
      </c>
      <c r="AK160" s="195">
        <v>21</v>
      </c>
      <c r="AL160" s="195">
        <f>G160*0</f>
        <v>0</v>
      </c>
      <c r="AM160" s="195">
        <f>G160*(1-0)</f>
        <v>0</v>
      </c>
      <c r="AN160" s="198" t="s">
        <v>255</v>
      </c>
      <c r="AS160" s="195">
        <f t="shared" si="170"/>
        <v>0</v>
      </c>
      <c r="AT160" s="195">
        <f t="shared" si="171"/>
        <v>0</v>
      </c>
      <c r="AU160" s="195">
        <f t="shared" si="172"/>
        <v>0</v>
      </c>
      <c r="AV160" s="197" t="s">
        <v>2633</v>
      </c>
      <c r="AW160" s="197" t="s">
        <v>2073</v>
      </c>
      <c r="AX160" s="196" t="s">
        <v>2067</v>
      </c>
      <c r="AZ160" s="195">
        <f t="shared" si="173"/>
        <v>0</v>
      </c>
      <c r="BA160" s="195">
        <f t="shared" si="174"/>
        <v>0</v>
      </c>
      <c r="BB160" s="195">
        <v>0</v>
      </c>
      <c r="BC160" s="195" t="e">
        <f>#REF!</f>
        <v>#REF!</v>
      </c>
      <c r="BE160" s="194">
        <f t="shared" si="175"/>
        <v>0</v>
      </c>
      <c r="BF160" s="194">
        <f t="shared" si="176"/>
        <v>0</v>
      </c>
      <c r="BG160" s="194">
        <f t="shared" si="177"/>
        <v>0</v>
      </c>
    </row>
    <row r="161" spans="1:59">
      <c r="A161" s="369" t="s">
        <v>1042</v>
      </c>
      <c r="B161" s="369"/>
      <c r="C161" s="369" t="s">
        <v>2639</v>
      </c>
      <c r="D161" s="369" t="s">
        <v>2638</v>
      </c>
      <c r="E161" s="369" t="s">
        <v>291</v>
      </c>
      <c r="F161" s="370">
        <v>3</v>
      </c>
      <c r="G161" s="355">
        <v>0</v>
      </c>
      <c r="H161" s="370">
        <f t="shared" si="156"/>
        <v>0</v>
      </c>
      <c r="I161" s="370">
        <f t="shared" si="157"/>
        <v>0</v>
      </c>
      <c r="J161" s="370">
        <f t="shared" si="158"/>
        <v>0</v>
      </c>
      <c r="W161" s="195">
        <f t="shared" si="159"/>
        <v>0</v>
      </c>
      <c r="Y161" s="195">
        <f t="shared" si="160"/>
        <v>0</v>
      </c>
      <c r="Z161" s="195">
        <f t="shared" si="161"/>
        <v>0</v>
      </c>
      <c r="AA161" s="195">
        <f t="shared" si="162"/>
        <v>0</v>
      </c>
      <c r="AB161" s="195">
        <f t="shared" si="163"/>
        <v>0</v>
      </c>
      <c r="AC161" s="195">
        <f t="shared" si="164"/>
        <v>0</v>
      </c>
      <c r="AD161" s="195">
        <f t="shared" si="165"/>
        <v>0</v>
      </c>
      <c r="AE161" s="195">
        <f t="shared" si="166"/>
        <v>0</v>
      </c>
      <c r="AF161" s="196"/>
      <c r="AG161" s="194">
        <f t="shared" si="167"/>
        <v>0</v>
      </c>
      <c r="AH161" s="194">
        <f t="shared" si="168"/>
        <v>0</v>
      </c>
      <c r="AI161" s="194">
        <f t="shared" si="169"/>
        <v>0</v>
      </c>
      <c r="AK161" s="195">
        <v>21</v>
      </c>
      <c r="AL161" s="195">
        <f>G161*1</f>
        <v>0</v>
      </c>
      <c r="AM161" s="195">
        <f>G161*(1-1)</f>
        <v>0</v>
      </c>
      <c r="AN161" s="198" t="s">
        <v>255</v>
      </c>
      <c r="AS161" s="195">
        <f t="shared" si="170"/>
        <v>0</v>
      </c>
      <c r="AT161" s="195">
        <f t="shared" si="171"/>
        <v>0</v>
      </c>
      <c r="AU161" s="195">
        <f t="shared" si="172"/>
        <v>0</v>
      </c>
      <c r="AV161" s="197" t="s">
        <v>2633</v>
      </c>
      <c r="AW161" s="197" t="s">
        <v>2073</v>
      </c>
      <c r="AX161" s="196" t="s">
        <v>2067</v>
      </c>
      <c r="AZ161" s="195">
        <f t="shared" si="173"/>
        <v>0</v>
      </c>
      <c r="BA161" s="195">
        <f t="shared" si="174"/>
        <v>0</v>
      </c>
      <c r="BB161" s="195">
        <v>0</v>
      </c>
      <c r="BC161" s="195" t="e">
        <f>#REF!</f>
        <v>#REF!</v>
      </c>
      <c r="BE161" s="194">
        <f t="shared" si="175"/>
        <v>0</v>
      </c>
      <c r="BF161" s="194">
        <f t="shared" si="176"/>
        <v>0</v>
      </c>
      <c r="BG161" s="194">
        <f t="shared" si="177"/>
        <v>0</v>
      </c>
    </row>
    <row r="162" spans="1:59">
      <c r="A162" s="369" t="s">
        <v>1046</v>
      </c>
      <c r="B162" s="369"/>
      <c r="C162" s="369" t="s">
        <v>2637</v>
      </c>
      <c r="D162" s="369" t="s">
        <v>2636</v>
      </c>
      <c r="E162" s="369" t="s">
        <v>291</v>
      </c>
      <c r="F162" s="370">
        <v>1</v>
      </c>
      <c r="G162" s="355">
        <v>0</v>
      </c>
      <c r="H162" s="370">
        <f t="shared" si="156"/>
        <v>0</v>
      </c>
      <c r="I162" s="370">
        <f t="shared" si="157"/>
        <v>0</v>
      </c>
      <c r="J162" s="370">
        <f t="shared" si="158"/>
        <v>0</v>
      </c>
      <c r="W162" s="195">
        <f t="shared" si="159"/>
        <v>0</v>
      </c>
      <c r="Y162" s="195">
        <f t="shared" si="160"/>
        <v>0</v>
      </c>
      <c r="Z162" s="195">
        <f t="shared" si="161"/>
        <v>0</v>
      </c>
      <c r="AA162" s="195">
        <f t="shared" si="162"/>
        <v>0</v>
      </c>
      <c r="AB162" s="195">
        <f t="shared" si="163"/>
        <v>0</v>
      </c>
      <c r="AC162" s="195">
        <f t="shared" si="164"/>
        <v>0</v>
      </c>
      <c r="AD162" s="195">
        <f t="shared" si="165"/>
        <v>0</v>
      </c>
      <c r="AE162" s="195">
        <f t="shared" si="166"/>
        <v>0</v>
      </c>
      <c r="AF162" s="196"/>
      <c r="AG162" s="194">
        <f t="shared" si="167"/>
        <v>0</v>
      </c>
      <c r="AH162" s="194">
        <f t="shared" si="168"/>
        <v>0</v>
      </c>
      <c r="AI162" s="194">
        <f t="shared" si="169"/>
        <v>0</v>
      </c>
      <c r="AK162" s="195">
        <v>21</v>
      </c>
      <c r="AL162" s="195">
        <f>G162*0</f>
        <v>0</v>
      </c>
      <c r="AM162" s="195">
        <f>G162*(1-0)</f>
        <v>0</v>
      </c>
      <c r="AN162" s="198" t="s">
        <v>255</v>
      </c>
      <c r="AS162" s="195">
        <f t="shared" si="170"/>
        <v>0</v>
      </c>
      <c r="AT162" s="195">
        <f t="shared" si="171"/>
        <v>0</v>
      </c>
      <c r="AU162" s="195">
        <f t="shared" si="172"/>
        <v>0</v>
      </c>
      <c r="AV162" s="197" t="s">
        <v>2633</v>
      </c>
      <c r="AW162" s="197" t="s">
        <v>2073</v>
      </c>
      <c r="AX162" s="196" t="s">
        <v>2067</v>
      </c>
      <c r="AZ162" s="195">
        <f t="shared" si="173"/>
        <v>0</v>
      </c>
      <c r="BA162" s="195">
        <f t="shared" si="174"/>
        <v>0</v>
      </c>
      <c r="BB162" s="195">
        <v>0</v>
      </c>
      <c r="BC162" s="195" t="e">
        <f>#REF!</f>
        <v>#REF!</v>
      </c>
      <c r="BE162" s="194">
        <f t="shared" si="175"/>
        <v>0</v>
      </c>
      <c r="BF162" s="194">
        <f t="shared" si="176"/>
        <v>0</v>
      </c>
      <c r="BG162" s="194">
        <f t="shared" si="177"/>
        <v>0</v>
      </c>
    </row>
    <row r="163" spans="1:59">
      <c r="A163" s="369" t="s">
        <v>1054</v>
      </c>
      <c r="B163" s="369"/>
      <c r="C163" s="369" t="s">
        <v>2635</v>
      </c>
      <c r="D163" s="369" t="s">
        <v>2634</v>
      </c>
      <c r="E163" s="369" t="s">
        <v>291</v>
      </c>
      <c r="F163" s="370">
        <v>2</v>
      </c>
      <c r="G163" s="355">
        <v>0</v>
      </c>
      <c r="H163" s="370">
        <f t="shared" si="156"/>
        <v>0</v>
      </c>
      <c r="I163" s="370">
        <f t="shared" si="157"/>
        <v>0</v>
      </c>
      <c r="J163" s="370">
        <f t="shared" si="158"/>
        <v>0</v>
      </c>
      <c r="W163" s="195">
        <f t="shared" si="159"/>
        <v>0</v>
      </c>
      <c r="Y163" s="195">
        <f t="shared" si="160"/>
        <v>0</v>
      </c>
      <c r="Z163" s="195">
        <f t="shared" si="161"/>
        <v>0</v>
      </c>
      <c r="AA163" s="195">
        <f t="shared" si="162"/>
        <v>0</v>
      </c>
      <c r="AB163" s="195">
        <f t="shared" si="163"/>
        <v>0</v>
      </c>
      <c r="AC163" s="195">
        <f t="shared" si="164"/>
        <v>0</v>
      </c>
      <c r="AD163" s="195">
        <f t="shared" si="165"/>
        <v>0</v>
      </c>
      <c r="AE163" s="195">
        <f t="shared" si="166"/>
        <v>0</v>
      </c>
      <c r="AF163" s="196"/>
      <c r="AG163" s="194">
        <f t="shared" si="167"/>
        <v>0</v>
      </c>
      <c r="AH163" s="194">
        <f t="shared" si="168"/>
        <v>0</v>
      </c>
      <c r="AI163" s="194">
        <f t="shared" si="169"/>
        <v>0</v>
      </c>
      <c r="AK163" s="195">
        <v>21</v>
      </c>
      <c r="AL163" s="195">
        <f>G163*0</f>
        <v>0</v>
      </c>
      <c r="AM163" s="195">
        <f>G163*(1-0)</f>
        <v>0</v>
      </c>
      <c r="AN163" s="198" t="s">
        <v>255</v>
      </c>
      <c r="AS163" s="195">
        <f t="shared" si="170"/>
        <v>0</v>
      </c>
      <c r="AT163" s="195">
        <f t="shared" si="171"/>
        <v>0</v>
      </c>
      <c r="AU163" s="195">
        <f t="shared" si="172"/>
        <v>0</v>
      </c>
      <c r="AV163" s="197" t="s">
        <v>2633</v>
      </c>
      <c r="AW163" s="197" t="s">
        <v>2073</v>
      </c>
      <c r="AX163" s="196" t="s">
        <v>2067</v>
      </c>
      <c r="AZ163" s="195">
        <f t="shared" si="173"/>
        <v>0</v>
      </c>
      <c r="BA163" s="195">
        <f t="shared" si="174"/>
        <v>0</v>
      </c>
      <c r="BB163" s="195">
        <v>0</v>
      </c>
      <c r="BC163" s="195" t="e">
        <f>#REF!</f>
        <v>#REF!</v>
      </c>
      <c r="BE163" s="194">
        <f t="shared" si="175"/>
        <v>0</v>
      </c>
      <c r="BF163" s="194">
        <f t="shared" si="176"/>
        <v>0</v>
      </c>
      <c r="BG163" s="194">
        <f t="shared" si="177"/>
        <v>0</v>
      </c>
    </row>
    <row r="164" spans="1:59">
      <c r="A164" s="371"/>
      <c r="B164" s="372"/>
      <c r="C164" s="372" t="s">
        <v>2632</v>
      </c>
      <c r="D164" s="372" t="s">
        <v>1900</v>
      </c>
      <c r="E164" s="371" t="s">
        <v>27</v>
      </c>
      <c r="F164" s="371" t="s">
        <v>27</v>
      </c>
      <c r="G164" s="356"/>
      <c r="H164" s="386">
        <f>SUM(H165:H168)</f>
        <v>0</v>
      </c>
      <c r="I164" s="386">
        <f>SUM(I165:I168)</f>
        <v>0</v>
      </c>
      <c r="J164" s="386">
        <f>SUM(J165:J168)</f>
        <v>0</v>
      </c>
      <c r="AF164" s="196"/>
      <c r="AP164" s="199">
        <f>SUM(AG165:AG168)</f>
        <v>0</v>
      </c>
      <c r="AQ164" s="199">
        <f>SUM(AH165:AH168)</f>
        <v>0</v>
      </c>
      <c r="AR164" s="199">
        <f>SUM(AI165:AI168)</f>
        <v>0</v>
      </c>
    </row>
    <row r="165" spans="1:59">
      <c r="A165" s="369" t="s">
        <v>1061</v>
      </c>
      <c r="B165" s="369"/>
      <c r="C165" s="369" t="s">
        <v>2071</v>
      </c>
      <c r="D165" s="369" t="s">
        <v>2070</v>
      </c>
      <c r="E165" s="369" t="s">
        <v>1766</v>
      </c>
      <c r="F165" s="370">
        <v>1</v>
      </c>
      <c r="G165" s="355">
        <v>0</v>
      </c>
      <c r="H165" s="370">
        <f>F165*AL165</f>
        <v>0</v>
      </c>
      <c r="I165" s="370">
        <f>F165*AM165</f>
        <v>0</v>
      </c>
      <c r="J165" s="370">
        <f>F165*G165</f>
        <v>0</v>
      </c>
      <c r="W165" s="195">
        <f>IF(AN165="5",BG165,0)</f>
        <v>0</v>
      </c>
      <c r="Y165" s="195">
        <f>IF(AN165="1",BE165,0)</f>
        <v>0</v>
      </c>
      <c r="Z165" s="195">
        <f>IF(AN165="1",BF165,0)</f>
        <v>0</v>
      </c>
      <c r="AA165" s="195">
        <f>IF(AN165="7",BE165,0)</f>
        <v>0</v>
      </c>
      <c r="AB165" s="195">
        <f>IF(AN165="7",BF165,0)</f>
        <v>0</v>
      </c>
      <c r="AC165" s="195">
        <f>IF(AN165="2",BE165,0)</f>
        <v>0</v>
      </c>
      <c r="AD165" s="195">
        <f>IF(AN165="2",BF165,0)</f>
        <v>0</v>
      </c>
      <c r="AE165" s="195">
        <f>IF(AN165="0",BG165,0)</f>
        <v>0</v>
      </c>
      <c r="AF165" s="196"/>
      <c r="AG165" s="194">
        <f>IF(AK165=0,J165,0)</f>
        <v>0</v>
      </c>
      <c r="AH165" s="194">
        <f>IF(AK165=15,J165,0)</f>
        <v>0</v>
      </c>
      <c r="AI165" s="194">
        <f>IF(AK165=21,J165,0)</f>
        <v>0</v>
      </c>
      <c r="AK165" s="195">
        <v>21</v>
      </c>
      <c r="AL165" s="195">
        <f>G165*0</f>
        <v>0</v>
      </c>
      <c r="AM165" s="195">
        <f>G165*(1-0)</f>
        <v>0</v>
      </c>
      <c r="AN165" s="198" t="s">
        <v>75</v>
      </c>
      <c r="AS165" s="195">
        <f>AT165+AU165</f>
        <v>0</v>
      </c>
      <c r="AT165" s="195">
        <f>F165*AL165</f>
        <v>0</v>
      </c>
      <c r="AU165" s="195">
        <f>F165*AM165</f>
        <v>0</v>
      </c>
      <c r="AV165" s="197" t="s">
        <v>2627</v>
      </c>
      <c r="AW165" s="197" t="s">
        <v>2626</v>
      </c>
      <c r="AX165" s="196" t="s">
        <v>2067</v>
      </c>
      <c r="AZ165" s="195">
        <f>AT165+AU165</f>
        <v>0</v>
      </c>
      <c r="BA165" s="195">
        <f>G165/(100-BB165)*100</f>
        <v>0</v>
      </c>
      <c r="BB165" s="195">
        <v>0</v>
      </c>
      <c r="BC165" s="195" t="e">
        <f>#REF!</f>
        <v>#REF!</v>
      </c>
      <c r="BE165" s="194">
        <f>F165*AL165</f>
        <v>0</v>
      </c>
      <c r="BF165" s="194">
        <f>F165*AM165</f>
        <v>0</v>
      </c>
      <c r="BG165" s="194">
        <f>F165*G165</f>
        <v>0</v>
      </c>
    </row>
    <row r="166" spans="1:59">
      <c r="A166" s="369" t="s">
        <v>1066</v>
      </c>
      <c r="B166" s="369"/>
      <c r="C166" s="369" t="s">
        <v>2631</v>
      </c>
      <c r="D166" s="369" t="s">
        <v>2630</v>
      </c>
      <c r="E166" s="369" t="s">
        <v>1766</v>
      </c>
      <c r="F166" s="370">
        <v>1</v>
      </c>
      <c r="G166" s="355">
        <v>0</v>
      </c>
      <c r="H166" s="370">
        <f>F166*AL166</f>
        <v>0</v>
      </c>
      <c r="I166" s="370">
        <f>F166*AM166</f>
        <v>0</v>
      </c>
      <c r="J166" s="370">
        <f>F166*G166</f>
        <v>0</v>
      </c>
      <c r="W166" s="195">
        <f>IF(AN166="5",BG166,0)</f>
        <v>0</v>
      </c>
      <c r="Y166" s="195">
        <f>IF(AN166="1",BE166,0)</f>
        <v>0</v>
      </c>
      <c r="Z166" s="195">
        <f>IF(AN166="1",BF166,0)</f>
        <v>0</v>
      </c>
      <c r="AA166" s="195">
        <f>IF(AN166="7",BE166,0)</f>
        <v>0</v>
      </c>
      <c r="AB166" s="195">
        <f>IF(AN166="7",BF166,0)</f>
        <v>0</v>
      </c>
      <c r="AC166" s="195">
        <f>IF(AN166="2",BE166,0)</f>
        <v>0</v>
      </c>
      <c r="AD166" s="195">
        <f>IF(AN166="2",BF166,0)</f>
        <v>0</v>
      </c>
      <c r="AE166" s="195">
        <f>IF(AN166="0",BG166,0)</f>
        <v>0</v>
      </c>
      <c r="AF166" s="196"/>
      <c r="AG166" s="194">
        <f>IF(AK166=0,J166,0)</f>
        <v>0</v>
      </c>
      <c r="AH166" s="194">
        <f>IF(AK166=15,J166,0)</f>
        <v>0</v>
      </c>
      <c r="AI166" s="194">
        <f>IF(AK166=21,J166,0)</f>
        <v>0</v>
      </c>
      <c r="AK166" s="195">
        <v>21</v>
      </c>
      <c r="AL166" s="195">
        <f>G166*0</f>
        <v>0</v>
      </c>
      <c r="AM166" s="195">
        <f>G166*(1-0)</f>
        <v>0</v>
      </c>
      <c r="AN166" s="198" t="s">
        <v>75</v>
      </c>
      <c r="AS166" s="195">
        <f>AT166+AU166</f>
        <v>0</v>
      </c>
      <c r="AT166" s="195">
        <f>F166*AL166</f>
        <v>0</v>
      </c>
      <c r="AU166" s="195">
        <f>F166*AM166</f>
        <v>0</v>
      </c>
      <c r="AV166" s="197" t="s">
        <v>2627</v>
      </c>
      <c r="AW166" s="197" t="s">
        <v>2626</v>
      </c>
      <c r="AX166" s="196" t="s">
        <v>2067</v>
      </c>
      <c r="AZ166" s="195">
        <f>AT166+AU166</f>
        <v>0</v>
      </c>
      <c r="BA166" s="195">
        <f>G166/(100-BB166)*100</f>
        <v>0</v>
      </c>
      <c r="BB166" s="195">
        <v>0</v>
      </c>
      <c r="BC166" s="195" t="e">
        <f>#REF!</f>
        <v>#REF!</v>
      </c>
      <c r="BE166" s="194">
        <f>F166*AL166</f>
        <v>0</v>
      </c>
      <c r="BF166" s="194">
        <f>F166*AM166</f>
        <v>0</v>
      </c>
      <c r="BG166" s="194">
        <f>F166*G166</f>
        <v>0</v>
      </c>
    </row>
    <row r="167" spans="1:59">
      <c r="A167" s="369" t="s">
        <v>1073</v>
      </c>
      <c r="B167" s="377"/>
      <c r="C167" s="377" t="s">
        <v>2629</v>
      </c>
      <c r="D167" s="377" t="s">
        <v>2628</v>
      </c>
      <c r="E167" s="377" t="s">
        <v>1766</v>
      </c>
      <c r="F167" s="378">
        <v>1</v>
      </c>
      <c r="G167" s="359">
        <v>0</v>
      </c>
      <c r="H167" s="378">
        <f>F167*AL167</f>
        <v>0</v>
      </c>
      <c r="I167" s="378">
        <f>F167*AM167</f>
        <v>0</v>
      </c>
      <c r="J167" s="378">
        <f>F167*G167</f>
        <v>0</v>
      </c>
      <c r="W167" s="195">
        <f>IF(AN167="5",BG167,0)</f>
        <v>0</v>
      </c>
      <c r="Y167" s="195">
        <f>IF(AN167="1",BE167,0)</f>
        <v>0</v>
      </c>
      <c r="Z167" s="195">
        <f>IF(AN167="1",BF167,0)</f>
        <v>0</v>
      </c>
      <c r="AA167" s="195">
        <f>IF(AN167="7",BE167,0)</f>
        <v>0</v>
      </c>
      <c r="AB167" s="195">
        <f>IF(AN167="7",BF167,0)</f>
        <v>0</v>
      </c>
      <c r="AC167" s="195">
        <f>IF(AN167="2",BE167,0)</f>
        <v>0</v>
      </c>
      <c r="AD167" s="195">
        <f>IF(AN167="2",BF167,0)</f>
        <v>0</v>
      </c>
      <c r="AE167" s="195">
        <f>IF(AN167="0",BG167,0)</f>
        <v>0</v>
      </c>
      <c r="AF167" s="196"/>
      <c r="AG167" s="194">
        <f>IF(AK167=0,J167,0)</f>
        <v>0</v>
      </c>
      <c r="AH167" s="194">
        <f>IF(AK167=15,J167,0)</f>
        <v>0</v>
      </c>
      <c r="AI167" s="194">
        <f>IF(AK167=21,J167,0)</f>
        <v>0</v>
      </c>
      <c r="AK167" s="195">
        <v>21</v>
      </c>
      <c r="AL167" s="195">
        <f>G167*0</f>
        <v>0</v>
      </c>
      <c r="AM167" s="195">
        <f>G167*(1-0)</f>
        <v>0</v>
      </c>
      <c r="AN167" s="198" t="s">
        <v>75</v>
      </c>
      <c r="AS167" s="195">
        <f>AT167+AU167</f>
        <v>0</v>
      </c>
      <c r="AT167" s="195">
        <f>F167*AL167</f>
        <v>0</v>
      </c>
      <c r="AU167" s="195">
        <f>F167*AM167</f>
        <v>0</v>
      </c>
      <c r="AV167" s="197" t="s">
        <v>2627</v>
      </c>
      <c r="AW167" s="197" t="s">
        <v>2626</v>
      </c>
      <c r="AX167" s="196" t="s">
        <v>2067</v>
      </c>
      <c r="AZ167" s="195">
        <f>AT167+AU167</f>
        <v>0</v>
      </c>
      <c r="BA167" s="195">
        <f>G167/(100-BB167)*100</f>
        <v>0</v>
      </c>
      <c r="BB167" s="195">
        <v>0</v>
      </c>
      <c r="BC167" s="195" t="e">
        <f>#REF!</f>
        <v>#REF!</v>
      </c>
      <c r="BE167" s="194">
        <f>F167*AL167</f>
        <v>0</v>
      </c>
      <c r="BF167" s="194">
        <f>F167*AM167</f>
        <v>0</v>
      </c>
      <c r="BG167" s="194">
        <f>F167*G167</f>
        <v>0</v>
      </c>
    </row>
    <row r="168" spans="1:59">
      <c r="A168" s="369" t="s">
        <v>1078</v>
      </c>
      <c r="B168" s="377"/>
      <c r="C168" s="377" t="s">
        <v>2856</v>
      </c>
      <c r="D168" s="377" t="s">
        <v>1830</v>
      </c>
      <c r="E168" s="377" t="s">
        <v>1766</v>
      </c>
      <c r="F168" s="378">
        <v>1</v>
      </c>
      <c r="G168" s="359">
        <v>0</v>
      </c>
      <c r="H168" s="378">
        <f>F168*AL168</f>
        <v>0</v>
      </c>
      <c r="I168" s="378">
        <f>F168*AM168</f>
        <v>0</v>
      </c>
      <c r="J168" s="378">
        <f>F168*G168</f>
        <v>0</v>
      </c>
      <c r="W168" s="195">
        <f>IF(AN168="5",BG168,0)</f>
        <v>0</v>
      </c>
      <c r="Y168" s="195">
        <f>IF(AN168="1",BE168,0)</f>
        <v>0</v>
      </c>
      <c r="Z168" s="195">
        <f>IF(AN168="1",BF168,0)</f>
        <v>0</v>
      </c>
      <c r="AA168" s="195">
        <f>IF(AN168="7",BE168,0)</f>
        <v>0</v>
      </c>
      <c r="AB168" s="195">
        <f>IF(AN168="7",BF168,0)</f>
        <v>0</v>
      </c>
      <c r="AC168" s="195">
        <f>IF(AN168="2",BE168,0)</f>
        <v>0</v>
      </c>
      <c r="AD168" s="195">
        <f>IF(AN168="2",BF168,0)</f>
        <v>0</v>
      </c>
      <c r="AE168" s="195">
        <f>IF(AN168="0",BG168,0)</f>
        <v>0</v>
      </c>
      <c r="AF168" s="196"/>
      <c r="AG168" s="194">
        <f>IF(AK168=0,J168,0)</f>
        <v>0</v>
      </c>
      <c r="AH168" s="194">
        <f>IF(AK168=15,J168,0)</f>
        <v>0</v>
      </c>
      <c r="AI168" s="194">
        <f>IF(AK168=21,J168,0)</f>
        <v>0</v>
      </c>
      <c r="AK168" s="195">
        <v>21</v>
      </c>
      <c r="AL168" s="195">
        <f>G168*0</f>
        <v>0</v>
      </c>
      <c r="AM168" s="195">
        <f>G168*(1-0)</f>
        <v>0</v>
      </c>
      <c r="AN168" s="198" t="s">
        <v>75</v>
      </c>
      <c r="AS168" s="195">
        <f>AT168+AU168</f>
        <v>0</v>
      </c>
      <c r="AT168" s="195">
        <f>F168*AL168</f>
        <v>0</v>
      </c>
      <c r="AU168" s="195">
        <f>F168*AM168</f>
        <v>0</v>
      </c>
      <c r="AV168" s="197" t="s">
        <v>2627</v>
      </c>
      <c r="AW168" s="197" t="s">
        <v>2626</v>
      </c>
      <c r="AX168" s="196" t="s">
        <v>2067</v>
      </c>
      <c r="AZ168" s="195">
        <f>AT168+AU168</f>
        <v>0</v>
      </c>
      <c r="BA168" s="195">
        <f>G168/(100-BB168)*100</f>
        <v>0</v>
      </c>
      <c r="BB168" s="195">
        <v>0</v>
      </c>
      <c r="BC168" s="195" t="e">
        <f>#REF!</f>
        <v>#REF!</v>
      </c>
      <c r="BE168" s="194">
        <f>F168*AL168</f>
        <v>0</v>
      </c>
      <c r="BF168" s="194">
        <f>F168*AM168</f>
        <v>0</v>
      </c>
      <c r="BG168" s="194">
        <f>F168*G168</f>
        <v>0</v>
      </c>
    </row>
    <row r="169" spans="1:59">
      <c r="A169" s="379"/>
      <c r="B169" s="379"/>
      <c r="C169" s="379"/>
      <c r="D169" s="379"/>
      <c r="E169" s="379"/>
      <c r="F169" s="379"/>
      <c r="G169" s="360"/>
      <c r="H169" s="727" t="s">
        <v>2066</v>
      </c>
      <c r="I169" s="728"/>
      <c r="J169" s="415">
        <f>J12+J74+J109+J121+J132+J153+J164</f>
        <v>0</v>
      </c>
    </row>
    <row r="170" spans="1:59" ht="11.25" customHeight="1">
      <c r="A170" s="380"/>
      <c r="B170" s="375"/>
      <c r="C170" s="375"/>
      <c r="D170" s="375"/>
      <c r="E170" s="375"/>
      <c r="F170" s="375"/>
      <c r="G170" s="375"/>
      <c r="H170" s="375"/>
      <c r="I170" s="375"/>
      <c r="J170" s="375"/>
    </row>
    <row r="171" spans="1:59" ht="47.25" customHeight="1">
      <c r="A171" s="747" t="s">
        <v>3469</v>
      </c>
      <c r="B171" s="763"/>
      <c r="C171" s="763"/>
      <c r="D171" s="763"/>
      <c r="E171" s="763"/>
      <c r="F171" s="763"/>
      <c r="G171" s="763"/>
      <c r="H171" s="763"/>
      <c r="I171" s="763"/>
      <c r="J171" s="763"/>
      <c r="K171" s="763"/>
      <c r="L171" s="763"/>
    </row>
  </sheetData>
  <sheetProtection password="CAB1" sheet="1" objects="1" scenarios="1"/>
  <mergeCells count="28">
    <mergeCell ref="A1:J1"/>
    <mergeCell ref="A2:C3"/>
    <mergeCell ref="D2:D3"/>
    <mergeCell ref="E2:F3"/>
    <mergeCell ref="G2:G3"/>
    <mergeCell ref="H2:H3"/>
    <mergeCell ref="I2:J3"/>
    <mergeCell ref="A171:L171"/>
    <mergeCell ref="I4:J5"/>
    <mergeCell ref="A6:C7"/>
    <mergeCell ref="D6:D7"/>
    <mergeCell ref="E6:F7"/>
    <mergeCell ref="G6:G7"/>
    <mergeCell ref="H6:H7"/>
    <mergeCell ref="I6:J7"/>
    <mergeCell ref="A4:C5"/>
    <mergeCell ref="D4:D5"/>
    <mergeCell ref="E4:F5"/>
    <mergeCell ref="G4:G5"/>
    <mergeCell ref="H4:H5"/>
    <mergeCell ref="H10:J10"/>
    <mergeCell ref="H169:I169"/>
    <mergeCell ref="A8:C9"/>
    <mergeCell ref="D8:D9"/>
    <mergeCell ref="E8:F9"/>
    <mergeCell ref="G8:G9"/>
    <mergeCell ref="H8:H9"/>
    <mergeCell ref="I8:J9"/>
  </mergeCells>
  <phoneticPr fontId="0" type="noConversion"/>
  <pageMargins left="0.39400000000000002" right="0.39400000000000002" top="0.59099999999999997" bottom="0.59099999999999997" header="0.5" footer="0.5"/>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BM98"/>
  <sheetViews>
    <sheetView showGridLines="0" topLeftCell="A77" workbookViewId="0">
      <selection activeCell="F89" sqref="F8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118</v>
      </c>
    </row>
    <row r="3" spans="1:46" s="1" customFormat="1" ht="6.95" customHeight="1">
      <c r="A3" s="61"/>
      <c r="B3" s="263"/>
      <c r="C3" s="264"/>
      <c r="D3" s="264"/>
      <c r="E3" s="264"/>
      <c r="F3" s="264"/>
      <c r="G3" s="264"/>
      <c r="H3" s="264"/>
      <c r="I3" s="264"/>
      <c r="J3" s="264"/>
      <c r="K3" s="264"/>
      <c r="L3" s="20"/>
      <c r="AT3" s="19" t="s">
        <v>77</v>
      </c>
    </row>
    <row r="4" spans="1:46" s="1" customFormat="1" ht="24.95" customHeight="1">
      <c r="A4" s="61"/>
      <c r="B4" s="265"/>
      <c r="C4" s="61"/>
      <c r="D4" s="266" t="s">
        <v>142</v>
      </c>
      <c r="E4" s="61"/>
      <c r="F4" s="61"/>
      <c r="G4" s="61"/>
      <c r="H4" s="61"/>
      <c r="I4" s="61"/>
      <c r="J4" s="61"/>
      <c r="K4" s="61"/>
      <c r="L4" s="20"/>
      <c r="M4" s="63" t="s">
        <v>11</v>
      </c>
      <c r="AT4" s="19" t="s">
        <v>4</v>
      </c>
    </row>
    <row r="5" spans="1:46" s="1" customFormat="1" ht="6.95" customHeight="1">
      <c r="A5" s="61"/>
      <c r="B5" s="265"/>
      <c r="C5" s="61"/>
      <c r="D5" s="61"/>
      <c r="E5" s="61"/>
      <c r="F5" s="61"/>
      <c r="G5" s="61"/>
      <c r="H5" s="61"/>
      <c r="I5" s="61"/>
      <c r="J5" s="61"/>
      <c r="K5" s="61"/>
      <c r="L5" s="20"/>
    </row>
    <row r="6" spans="1:46" s="1" customFormat="1" ht="12" customHeight="1">
      <c r="A6" s="61"/>
      <c r="B6" s="265"/>
      <c r="C6" s="61"/>
      <c r="D6" s="268" t="s">
        <v>15</v>
      </c>
      <c r="E6" s="61"/>
      <c r="F6" s="61"/>
      <c r="G6" s="61"/>
      <c r="H6" s="61"/>
      <c r="I6" s="61"/>
      <c r="J6" s="61"/>
      <c r="K6" s="61"/>
      <c r="L6" s="20"/>
    </row>
    <row r="7" spans="1:46" s="1" customFormat="1" ht="14.45" customHeight="1">
      <c r="A7" s="61"/>
      <c r="B7" s="265"/>
      <c r="C7" s="61"/>
      <c r="D7" s="61"/>
      <c r="E7" s="722" t="str">
        <f>'Rekapitulace stavby'!K6</f>
        <v>Úpravy gastroprovozu Úřadu vlády ČR v 1.pp Strakovy akademie</v>
      </c>
      <c r="F7" s="723"/>
      <c r="G7" s="723"/>
      <c r="H7" s="723"/>
      <c r="I7" s="61"/>
      <c r="J7" s="61"/>
      <c r="K7" s="61"/>
      <c r="L7" s="20"/>
    </row>
    <row r="8" spans="1:46" ht="12.75">
      <c r="A8" s="61"/>
      <c r="B8" s="265"/>
      <c r="C8" s="61"/>
      <c r="D8" s="268" t="s">
        <v>151</v>
      </c>
      <c r="E8" s="61"/>
      <c r="F8" s="61"/>
      <c r="G8" s="61"/>
      <c r="H8" s="61"/>
      <c r="I8" s="61"/>
      <c r="J8" s="61"/>
      <c r="K8" s="61"/>
      <c r="L8" s="20"/>
    </row>
    <row r="9" spans="1:46" s="1" customFormat="1" ht="14.45" customHeight="1">
      <c r="A9" s="61"/>
      <c r="B9" s="265"/>
      <c r="C9" s="61"/>
      <c r="D9" s="61"/>
      <c r="E9" s="722" t="s">
        <v>1759</v>
      </c>
      <c r="F9" s="715"/>
      <c r="G9" s="715"/>
      <c r="H9" s="715"/>
      <c r="I9" s="61"/>
      <c r="J9" s="61"/>
      <c r="K9" s="61"/>
      <c r="L9" s="20"/>
    </row>
    <row r="10" spans="1:46" s="1" customFormat="1" ht="12" customHeight="1">
      <c r="A10" s="61"/>
      <c r="B10" s="265"/>
      <c r="C10" s="61"/>
      <c r="D10" s="268" t="s">
        <v>157</v>
      </c>
      <c r="E10" s="61"/>
      <c r="F10" s="61"/>
      <c r="G10" s="61"/>
      <c r="H10" s="61"/>
      <c r="I10" s="61"/>
      <c r="J10" s="61"/>
      <c r="K10" s="61"/>
      <c r="L10" s="20"/>
    </row>
    <row r="11" spans="1:46" s="2" customFormat="1" ht="14.45" customHeight="1">
      <c r="A11" s="271"/>
      <c r="B11" s="270"/>
      <c r="C11" s="271"/>
      <c r="D11" s="271"/>
      <c r="E11" s="762" t="s">
        <v>1795</v>
      </c>
      <c r="F11" s="721"/>
      <c r="G11" s="721"/>
      <c r="H11" s="721"/>
      <c r="I11" s="271"/>
      <c r="J11" s="271"/>
      <c r="K11" s="271"/>
      <c r="L11" s="64"/>
      <c r="S11" s="23"/>
      <c r="T11" s="23"/>
      <c r="U11" s="23"/>
      <c r="V11" s="23"/>
      <c r="W11" s="23"/>
      <c r="X11" s="23"/>
      <c r="Y11" s="23"/>
      <c r="Z11" s="23"/>
      <c r="AA11" s="23"/>
      <c r="AB11" s="23"/>
      <c r="AC11" s="23"/>
      <c r="AD11" s="23"/>
      <c r="AE11" s="23"/>
    </row>
    <row r="12" spans="1:46" s="2" customFormat="1" ht="12" customHeight="1">
      <c r="A12" s="271"/>
      <c r="B12" s="270"/>
      <c r="C12" s="271"/>
      <c r="D12" s="268" t="s">
        <v>1777</v>
      </c>
      <c r="E12" s="271"/>
      <c r="F12" s="271"/>
      <c r="G12" s="271"/>
      <c r="H12" s="271"/>
      <c r="I12" s="271"/>
      <c r="J12" s="271"/>
      <c r="K12" s="271"/>
      <c r="L12" s="64"/>
      <c r="S12" s="23"/>
      <c r="T12" s="23"/>
      <c r="U12" s="23"/>
      <c r="V12" s="23"/>
      <c r="W12" s="23"/>
      <c r="X12" s="23"/>
      <c r="Y12" s="23"/>
      <c r="Z12" s="23"/>
      <c r="AA12" s="23"/>
      <c r="AB12" s="23"/>
      <c r="AC12" s="23"/>
      <c r="AD12" s="23"/>
      <c r="AE12" s="23"/>
    </row>
    <row r="13" spans="1:46" s="2" customFormat="1" ht="14.45" customHeight="1">
      <c r="A13" s="271"/>
      <c r="B13" s="270"/>
      <c r="C13" s="271"/>
      <c r="D13" s="271"/>
      <c r="E13" s="689" t="s">
        <v>1796</v>
      </c>
      <c r="F13" s="721"/>
      <c r="G13" s="721"/>
      <c r="H13" s="721"/>
      <c r="I13" s="271"/>
      <c r="J13" s="271"/>
      <c r="K13" s="271"/>
      <c r="L13" s="64"/>
      <c r="S13" s="23"/>
      <c r="T13" s="23"/>
      <c r="U13" s="23"/>
      <c r="V13" s="23"/>
      <c r="W13" s="23"/>
      <c r="X13" s="23"/>
      <c r="Y13" s="23"/>
      <c r="Z13" s="23"/>
      <c r="AA13" s="23"/>
      <c r="AB13" s="23"/>
      <c r="AC13" s="23"/>
      <c r="AD13" s="23"/>
      <c r="AE13" s="23"/>
    </row>
    <row r="14" spans="1:46" s="2" customFormat="1">
      <c r="A14" s="271"/>
      <c r="B14" s="270"/>
      <c r="C14" s="271"/>
      <c r="D14" s="271"/>
      <c r="E14" s="271"/>
      <c r="F14" s="271"/>
      <c r="G14" s="271"/>
      <c r="H14" s="271"/>
      <c r="I14" s="271"/>
      <c r="J14" s="271"/>
      <c r="K14" s="271"/>
      <c r="L14" s="64"/>
      <c r="S14" s="23"/>
      <c r="T14" s="23"/>
      <c r="U14" s="23"/>
      <c r="V14" s="23"/>
      <c r="W14" s="23"/>
      <c r="X14" s="23"/>
      <c r="Y14" s="23"/>
      <c r="Z14" s="23"/>
      <c r="AA14" s="23"/>
      <c r="AB14" s="23"/>
      <c r="AC14" s="23"/>
      <c r="AD14" s="23"/>
      <c r="AE14" s="23"/>
    </row>
    <row r="15" spans="1:46" s="2" customFormat="1" ht="12" customHeight="1">
      <c r="A15" s="271"/>
      <c r="B15" s="270"/>
      <c r="C15" s="271"/>
      <c r="D15" s="268" t="s">
        <v>17</v>
      </c>
      <c r="E15" s="271"/>
      <c r="F15" s="273" t="s">
        <v>3</v>
      </c>
      <c r="G15" s="271"/>
      <c r="H15" s="271"/>
      <c r="I15" s="268" t="s">
        <v>18</v>
      </c>
      <c r="J15" s="273" t="s">
        <v>3</v>
      </c>
      <c r="K15" s="271"/>
      <c r="L15" s="64"/>
      <c r="S15" s="23"/>
      <c r="T15" s="23"/>
      <c r="U15" s="23"/>
      <c r="V15" s="23"/>
      <c r="W15" s="23"/>
      <c r="X15" s="23"/>
      <c r="Y15" s="23"/>
      <c r="Z15" s="23"/>
      <c r="AA15" s="23"/>
      <c r="AB15" s="23"/>
      <c r="AC15" s="23"/>
      <c r="AD15" s="23"/>
      <c r="AE15" s="23"/>
    </row>
    <row r="16" spans="1:46" s="2" customFormat="1" ht="12" customHeight="1">
      <c r="A16" s="271"/>
      <c r="B16" s="270"/>
      <c r="C16" s="271"/>
      <c r="D16" s="268" t="s">
        <v>19</v>
      </c>
      <c r="E16" s="271"/>
      <c r="F16" s="273" t="s">
        <v>27</v>
      </c>
      <c r="G16" s="271"/>
      <c r="H16" s="271"/>
      <c r="I16" s="268" t="s">
        <v>21</v>
      </c>
      <c r="J16" s="387">
        <f>'Rekapitulace stavby'!AN8</f>
        <v>44077</v>
      </c>
      <c r="K16" s="271"/>
      <c r="L16" s="64"/>
      <c r="S16" s="23"/>
      <c r="T16" s="23"/>
      <c r="U16" s="23"/>
      <c r="V16" s="23"/>
      <c r="W16" s="23"/>
      <c r="X16" s="23"/>
      <c r="Y16" s="23"/>
      <c r="Z16" s="23"/>
      <c r="AA16" s="23"/>
      <c r="AB16" s="23"/>
      <c r="AC16" s="23"/>
      <c r="AD16" s="23"/>
      <c r="AE16" s="23"/>
    </row>
    <row r="17" spans="1:31" s="2" customFormat="1" ht="10.9" customHeight="1">
      <c r="A17" s="271"/>
      <c r="B17" s="270"/>
      <c r="C17" s="271"/>
      <c r="D17" s="271"/>
      <c r="E17" s="271"/>
      <c r="F17" s="271"/>
      <c r="G17" s="271"/>
      <c r="H17" s="271"/>
      <c r="I17" s="271"/>
      <c r="J17" s="271"/>
      <c r="K17" s="271"/>
      <c r="L17" s="64"/>
      <c r="S17" s="23"/>
      <c r="T17" s="23"/>
      <c r="U17" s="23"/>
      <c r="V17" s="23"/>
      <c r="W17" s="23"/>
      <c r="X17" s="23"/>
      <c r="Y17" s="23"/>
      <c r="Z17" s="23"/>
      <c r="AA17" s="23"/>
      <c r="AB17" s="23"/>
      <c r="AC17" s="23"/>
      <c r="AD17" s="23"/>
      <c r="AE17" s="23"/>
    </row>
    <row r="18" spans="1:31" s="2" customFormat="1" ht="12" customHeight="1">
      <c r="A18" s="271"/>
      <c r="B18" s="270"/>
      <c r="C18" s="271"/>
      <c r="D18" s="268" t="s">
        <v>22</v>
      </c>
      <c r="E18" s="271"/>
      <c r="F18" s="271"/>
      <c r="G18" s="271"/>
      <c r="H18" s="271"/>
      <c r="I18" s="268" t="s">
        <v>23</v>
      </c>
      <c r="J18" s="273" t="s">
        <v>3</v>
      </c>
      <c r="K18" s="271"/>
      <c r="L18" s="64"/>
      <c r="S18" s="23"/>
      <c r="T18" s="23"/>
      <c r="U18" s="23"/>
      <c r="V18" s="23"/>
      <c r="W18" s="23"/>
      <c r="X18" s="23"/>
      <c r="Y18" s="23"/>
      <c r="Z18" s="23"/>
      <c r="AA18" s="23"/>
      <c r="AB18" s="23"/>
      <c r="AC18" s="23"/>
      <c r="AD18" s="23"/>
      <c r="AE18" s="23"/>
    </row>
    <row r="19" spans="1:31" s="2" customFormat="1" ht="18" customHeight="1">
      <c r="A19" s="271"/>
      <c r="B19" s="270"/>
      <c r="C19" s="271"/>
      <c r="D19" s="271"/>
      <c r="E19" s="273" t="s">
        <v>24</v>
      </c>
      <c r="F19" s="271"/>
      <c r="G19" s="271"/>
      <c r="H19" s="271"/>
      <c r="I19" s="268" t="s">
        <v>25</v>
      </c>
      <c r="J19" s="273" t="s">
        <v>3</v>
      </c>
      <c r="K19" s="271"/>
      <c r="L19" s="64"/>
      <c r="S19" s="23"/>
      <c r="T19" s="23"/>
      <c r="U19" s="23"/>
      <c r="V19" s="23"/>
      <c r="W19" s="23"/>
      <c r="X19" s="23"/>
      <c r="Y19" s="23"/>
      <c r="Z19" s="23"/>
      <c r="AA19" s="23"/>
      <c r="AB19" s="23"/>
      <c r="AC19" s="23"/>
      <c r="AD19" s="23"/>
      <c r="AE19" s="23"/>
    </row>
    <row r="20" spans="1:31" s="2" customFormat="1" ht="6.95" customHeight="1">
      <c r="A20" s="271"/>
      <c r="B20" s="270"/>
      <c r="C20" s="271"/>
      <c r="D20" s="271"/>
      <c r="E20" s="271"/>
      <c r="F20" s="271"/>
      <c r="G20" s="271"/>
      <c r="H20" s="271"/>
      <c r="I20" s="271"/>
      <c r="J20" s="271"/>
      <c r="K20" s="271"/>
      <c r="L20" s="64"/>
      <c r="S20" s="23"/>
      <c r="T20" s="23"/>
      <c r="U20" s="23"/>
      <c r="V20" s="23"/>
      <c r="W20" s="23"/>
      <c r="X20" s="23"/>
      <c r="Y20" s="23"/>
      <c r="Z20" s="23"/>
      <c r="AA20" s="23"/>
      <c r="AB20" s="23"/>
      <c r="AC20" s="23"/>
      <c r="AD20" s="23"/>
      <c r="AE20" s="23"/>
    </row>
    <row r="21" spans="1:31" s="2" customFormat="1" ht="12" customHeight="1">
      <c r="A21" s="271"/>
      <c r="B21" s="270"/>
      <c r="C21" s="271"/>
      <c r="D21" s="268" t="s">
        <v>26</v>
      </c>
      <c r="E21" s="271"/>
      <c r="F21" s="271"/>
      <c r="G21" s="271"/>
      <c r="H21" s="271"/>
      <c r="I21" s="268" t="s">
        <v>23</v>
      </c>
      <c r="J21" s="273" t="str">
        <f>'Rekapitulace stavby'!AN13</f>
        <v/>
      </c>
      <c r="K21" s="271"/>
      <c r="L21" s="64"/>
      <c r="S21" s="23"/>
      <c r="T21" s="23"/>
      <c r="U21" s="23"/>
      <c r="V21" s="23"/>
      <c r="W21" s="23"/>
      <c r="X21" s="23"/>
      <c r="Y21" s="23"/>
      <c r="Z21" s="23"/>
      <c r="AA21" s="23"/>
      <c r="AB21" s="23"/>
      <c r="AC21" s="23"/>
      <c r="AD21" s="23"/>
      <c r="AE21" s="23"/>
    </row>
    <row r="22" spans="1:31" s="2" customFormat="1" ht="18" customHeight="1">
      <c r="A22" s="271"/>
      <c r="B22" s="270"/>
      <c r="C22" s="271"/>
      <c r="D22" s="271"/>
      <c r="E22" s="714" t="str">
        <f>'Rekapitulace stavby'!E14</f>
        <v xml:space="preserve"> </v>
      </c>
      <c r="F22" s="714"/>
      <c r="G22" s="714"/>
      <c r="H22" s="714"/>
      <c r="I22" s="268" t="s">
        <v>25</v>
      </c>
      <c r="J22" s="273" t="str">
        <f>'Rekapitulace stavby'!AN14</f>
        <v/>
      </c>
      <c r="K22" s="271"/>
      <c r="L22" s="64"/>
      <c r="S22" s="23"/>
      <c r="T22" s="23"/>
      <c r="U22" s="23"/>
      <c r="V22" s="23"/>
      <c r="W22" s="23"/>
      <c r="X22" s="23"/>
      <c r="Y22" s="23"/>
      <c r="Z22" s="23"/>
      <c r="AA22" s="23"/>
      <c r="AB22" s="23"/>
      <c r="AC22" s="23"/>
      <c r="AD22" s="23"/>
      <c r="AE22" s="23"/>
    </row>
    <row r="23" spans="1:31" s="2" customFormat="1" ht="6.95" customHeight="1">
      <c r="A23" s="271"/>
      <c r="B23" s="270"/>
      <c r="C23" s="271"/>
      <c r="D23" s="271"/>
      <c r="E23" s="271"/>
      <c r="F23" s="271"/>
      <c r="G23" s="271"/>
      <c r="H23" s="271"/>
      <c r="I23" s="271"/>
      <c r="J23" s="271"/>
      <c r="K23" s="271"/>
      <c r="L23" s="64"/>
      <c r="S23" s="23"/>
      <c r="T23" s="23"/>
      <c r="U23" s="23"/>
      <c r="V23" s="23"/>
      <c r="W23" s="23"/>
      <c r="X23" s="23"/>
      <c r="Y23" s="23"/>
      <c r="Z23" s="23"/>
      <c r="AA23" s="23"/>
      <c r="AB23" s="23"/>
      <c r="AC23" s="23"/>
      <c r="AD23" s="23"/>
      <c r="AE23" s="23"/>
    </row>
    <row r="24" spans="1:31" s="2" customFormat="1" ht="12" customHeight="1">
      <c r="A24" s="271"/>
      <c r="B24" s="270"/>
      <c r="C24" s="271"/>
      <c r="D24" s="268" t="s">
        <v>28</v>
      </c>
      <c r="E24" s="271"/>
      <c r="F24" s="271"/>
      <c r="G24" s="271"/>
      <c r="H24" s="271"/>
      <c r="I24" s="268" t="s">
        <v>23</v>
      </c>
      <c r="J24" s="273" t="s">
        <v>3</v>
      </c>
      <c r="K24" s="271"/>
      <c r="L24" s="64"/>
      <c r="S24" s="23"/>
      <c r="T24" s="23"/>
      <c r="U24" s="23"/>
      <c r="V24" s="23"/>
      <c r="W24" s="23"/>
      <c r="X24" s="23"/>
      <c r="Y24" s="23"/>
      <c r="Z24" s="23"/>
      <c r="AA24" s="23"/>
      <c r="AB24" s="23"/>
      <c r="AC24" s="23"/>
      <c r="AD24" s="23"/>
      <c r="AE24" s="23"/>
    </row>
    <row r="25" spans="1:31" s="2" customFormat="1" ht="18" customHeight="1">
      <c r="A25" s="271"/>
      <c r="B25" s="270"/>
      <c r="C25" s="271"/>
      <c r="D25" s="271"/>
      <c r="E25" s="273" t="s">
        <v>29</v>
      </c>
      <c r="F25" s="271"/>
      <c r="G25" s="271"/>
      <c r="H25" s="271"/>
      <c r="I25" s="268" t="s">
        <v>25</v>
      </c>
      <c r="J25" s="273" t="s">
        <v>3</v>
      </c>
      <c r="K25" s="271"/>
      <c r="L25" s="64"/>
      <c r="S25" s="23"/>
      <c r="T25" s="23"/>
      <c r="U25" s="23"/>
      <c r="V25" s="23"/>
      <c r="W25" s="23"/>
      <c r="X25" s="23"/>
      <c r="Y25" s="23"/>
      <c r="Z25" s="23"/>
      <c r="AA25" s="23"/>
      <c r="AB25" s="23"/>
      <c r="AC25" s="23"/>
      <c r="AD25" s="23"/>
      <c r="AE25" s="23"/>
    </row>
    <row r="26" spans="1:31" s="2" customFormat="1" ht="6.95" customHeight="1">
      <c r="A26" s="271"/>
      <c r="B26" s="270"/>
      <c r="C26" s="271"/>
      <c r="D26" s="271"/>
      <c r="E26" s="271"/>
      <c r="F26" s="271"/>
      <c r="G26" s="271"/>
      <c r="H26" s="271"/>
      <c r="I26" s="271"/>
      <c r="J26" s="271"/>
      <c r="K26" s="271"/>
      <c r="L26" s="64"/>
      <c r="S26" s="23"/>
      <c r="T26" s="23"/>
      <c r="U26" s="23"/>
      <c r="V26" s="23"/>
      <c r="W26" s="23"/>
      <c r="X26" s="23"/>
      <c r="Y26" s="23"/>
      <c r="Z26" s="23"/>
      <c r="AA26" s="23"/>
      <c r="AB26" s="23"/>
      <c r="AC26" s="23"/>
      <c r="AD26" s="23"/>
      <c r="AE26" s="23"/>
    </row>
    <row r="27" spans="1:31" s="2" customFormat="1" ht="12" customHeight="1">
      <c r="A27" s="271"/>
      <c r="B27" s="270"/>
      <c r="C27" s="271"/>
      <c r="D27" s="268" t="s">
        <v>31</v>
      </c>
      <c r="E27" s="271"/>
      <c r="F27" s="271"/>
      <c r="G27" s="271"/>
      <c r="H27" s="271"/>
      <c r="I27" s="268" t="s">
        <v>23</v>
      </c>
      <c r="J27" s="273" t="s">
        <v>3</v>
      </c>
      <c r="K27" s="271"/>
      <c r="L27" s="64"/>
      <c r="S27" s="23"/>
      <c r="T27" s="23"/>
      <c r="U27" s="23"/>
      <c r="V27" s="23"/>
      <c r="W27" s="23"/>
      <c r="X27" s="23"/>
      <c r="Y27" s="23"/>
      <c r="Z27" s="23"/>
      <c r="AA27" s="23"/>
      <c r="AB27" s="23"/>
      <c r="AC27" s="23"/>
      <c r="AD27" s="23"/>
      <c r="AE27" s="23"/>
    </row>
    <row r="28" spans="1:31" s="2" customFormat="1" ht="18" customHeight="1">
      <c r="A28" s="271"/>
      <c r="B28" s="270"/>
      <c r="C28" s="271"/>
      <c r="D28" s="271"/>
      <c r="E28" s="273" t="s">
        <v>29</v>
      </c>
      <c r="F28" s="271"/>
      <c r="G28" s="271"/>
      <c r="H28" s="271"/>
      <c r="I28" s="268" t="s">
        <v>25</v>
      </c>
      <c r="J28" s="273" t="s">
        <v>3</v>
      </c>
      <c r="K28" s="271"/>
      <c r="L28" s="64"/>
      <c r="S28" s="23"/>
      <c r="T28" s="23"/>
      <c r="U28" s="23"/>
      <c r="V28" s="23"/>
      <c r="W28" s="23"/>
      <c r="X28" s="23"/>
      <c r="Y28" s="23"/>
      <c r="Z28" s="23"/>
      <c r="AA28" s="23"/>
      <c r="AB28" s="23"/>
      <c r="AC28" s="23"/>
      <c r="AD28" s="23"/>
      <c r="AE28" s="23"/>
    </row>
    <row r="29" spans="1:31" s="2" customFormat="1" ht="6.95" customHeight="1">
      <c r="A29" s="271"/>
      <c r="B29" s="270"/>
      <c r="C29" s="271"/>
      <c r="D29" s="271"/>
      <c r="E29" s="271"/>
      <c r="F29" s="271"/>
      <c r="G29" s="271"/>
      <c r="H29" s="271"/>
      <c r="I29" s="271"/>
      <c r="J29" s="271"/>
      <c r="K29" s="271"/>
      <c r="L29" s="64"/>
      <c r="S29" s="23"/>
      <c r="T29" s="23"/>
      <c r="U29" s="23"/>
      <c r="V29" s="23"/>
      <c r="W29" s="23"/>
      <c r="X29" s="23"/>
      <c r="Y29" s="23"/>
      <c r="Z29" s="23"/>
      <c r="AA29" s="23"/>
      <c r="AB29" s="23"/>
      <c r="AC29" s="23"/>
      <c r="AD29" s="23"/>
      <c r="AE29" s="23"/>
    </row>
    <row r="30" spans="1:31" s="2" customFormat="1" ht="12" customHeight="1">
      <c r="A30" s="271"/>
      <c r="B30" s="270"/>
      <c r="C30" s="271"/>
      <c r="D30" s="268" t="s">
        <v>32</v>
      </c>
      <c r="E30" s="271"/>
      <c r="F30" s="271"/>
      <c r="G30" s="271"/>
      <c r="H30" s="271"/>
      <c r="I30" s="271"/>
      <c r="J30" s="271"/>
      <c r="K30" s="271"/>
      <c r="L30" s="64"/>
      <c r="S30" s="23"/>
      <c r="T30" s="23"/>
      <c r="U30" s="23"/>
      <c r="V30" s="23"/>
      <c r="W30" s="23"/>
      <c r="X30" s="23"/>
      <c r="Y30" s="23"/>
      <c r="Z30" s="23"/>
      <c r="AA30" s="23"/>
      <c r="AB30" s="23"/>
      <c r="AC30" s="23"/>
      <c r="AD30" s="23"/>
      <c r="AE30" s="23"/>
    </row>
    <row r="31" spans="1:31" s="8" customFormat="1" ht="14.45" customHeight="1">
      <c r="A31" s="274"/>
      <c r="B31" s="275"/>
      <c r="C31" s="274"/>
      <c r="D31" s="274"/>
      <c r="E31" s="707" t="s">
        <v>3</v>
      </c>
      <c r="F31" s="707"/>
      <c r="G31" s="707"/>
      <c r="H31" s="707"/>
      <c r="I31" s="274"/>
      <c r="J31" s="274"/>
      <c r="K31" s="274"/>
      <c r="L31" s="66"/>
      <c r="S31" s="65"/>
      <c r="T31" s="65"/>
      <c r="U31" s="65"/>
      <c r="V31" s="65"/>
      <c r="W31" s="65"/>
      <c r="X31" s="65"/>
      <c r="Y31" s="65"/>
      <c r="Z31" s="65"/>
      <c r="AA31" s="65"/>
      <c r="AB31" s="65"/>
      <c r="AC31" s="65"/>
      <c r="AD31" s="65"/>
      <c r="AE31" s="65"/>
    </row>
    <row r="32" spans="1:31" s="2" customFormat="1" ht="6.95" customHeight="1">
      <c r="A32" s="271"/>
      <c r="B32" s="270"/>
      <c r="C32" s="271"/>
      <c r="D32" s="271"/>
      <c r="E32" s="271"/>
      <c r="F32" s="271"/>
      <c r="G32" s="271"/>
      <c r="H32" s="271"/>
      <c r="I32" s="271"/>
      <c r="J32" s="271"/>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25.35" customHeight="1">
      <c r="A34" s="271"/>
      <c r="B34" s="270"/>
      <c r="C34" s="271"/>
      <c r="D34" s="277" t="s">
        <v>34</v>
      </c>
      <c r="E34" s="271"/>
      <c r="F34" s="271"/>
      <c r="G34" s="271"/>
      <c r="H34" s="271"/>
      <c r="I34" s="271"/>
      <c r="J34" s="388">
        <f>ROUND(J93, 2)</f>
        <v>0</v>
      </c>
      <c r="K34" s="271"/>
      <c r="L34" s="64"/>
      <c r="S34" s="23"/>
      <c r="T34" s="23"/>
      <c r="U34" s="23"/>
      <c r="V34" s="23"/>
      <c r="W34" s="23"/>
      <c r="X34" s="23"/>
      <c r="Y34" s="23"/>
      <c r="Z34" s="23"/>
      <c r="AA34" s="23"/>
      <c r="AB34" s="23"/>
      <c r="AC34" s="23"/>
      <c r="AD34" s="23"/>
      <c r="AE34" s="23"/>
    </row>
    <row r="35" spans="1:31" s="2" customFormat="1" ht="6.95" customHeight="1">
      <c r="A35" s="271"/>
      <c r="B35" s="270"/>
      <c r="C35" s="271"/>
      <c r="D35" s="276"/>
      <c r="E35" s="276"/>
      <c r="F35" s="276"/>
      <c r="G35" s="276"/>
      <c r="H35" s="276"/>
      <c r="I35" s="276"/>
      <c r="J35" s="276"/>
      <c r="K35" s="276"/>
      <c r="L35" s="64"/>
      <c r="S35" s="23"/>
      <c r="T35" s="23"/>
      <c r="U35" s="23"/>
      <c r="V35" s="23"/>
      <c r="W35" s="23"/>
      <c r="X35" s="23"/>
      <c r="Y35" s="23"/>
      <c r="Z35" s="23"/>
      <c r="AA35" s="23"/>
      <c r="AB35" s="23"/>
      <c r="AC35" s="23"/>
      <c r="AD35" s="23"/>
      <c r="AE35" s="23"/>
    </row>
    <row r="36" spans="1:31" s="2" customFormat="1" ht="14.45" customHeight="1">
      <c r="A36" s="271"/>
      <c r="B36" s="270"/>
      <c r="C36" s="271"/>
      <c r="D36" s="271"/>
      <c r="E36" s="271"/>
      <c r="F36" s="278" t="s">
        <v>36</v>
      </c>
      <c r="G36" s="271"/>
      <c r="H36" s="271"/>
      <c r="I36" s="278" t="s">
        <v>35</v>
      </c>
      <c r="J36" s="278" t="s">
        <v>37</v>
      </c>
      <c r="K36" s="271"/>
      <c r="L36" s="64"/>
      <c r="S36" s="23"/>
      <c r="T36" s="23"/>
      <c r="U36" s="23"/>
      <c r="V36" s="23"/>
      <c r="W36" s="23"/>
      <c r="X36" s="23"/>
      <c r="Y36" s="23"/>
      <c r="Z36" s="23"/>
      <c r="AA36" s="23"/>
      <c r="AB36" s="23"/>
      <c r="AC36" s="23"/>
      <c r="AD36" s="23"/>
      <c r="AE36" s="23"/>
    </row>
    <row r="37" spans="1:31" s="2" customFormat="1" ht="14.45" customHeight="1">
      <c r="A37" s="271"/>
      <c r="B37" s="270"/>
      <c r="C37" s="271"/>
      <c r="D37" s="279" t="s">
        <v>38</v>
      </c>
      <c r="E37" s="268" t="s">
        <v>39</v>
      </c>
      <c r="F37" s="280">
        <f>ROUND((SUM(BE93:BE97)),  2)</f>
        <v>0</v>
      </c>
      <c r="G37" s="271"/>
      <c r="H37" s="271"/>
      <c r="I37" s="389">
        <v>0.21</v>
      </c>
      <c r="J37" s="280">
        <f>ROUND(((SUM(BE93:BE97))*I37),  2)</f>
        <v>0</v>
      </c>
      <c r="K37" s="271"/>
      <c r="L37" s="64"/>
      <c r="S37" s="23"/>
      <c r="T37" s="23"/>
      <c r="U37" s="23"/>
      <c r="V37" s="23"/>
      <c r="W37" s="23"/>
      <c r="X37" s="23"/>
      <c r="Y37" s="23"/>
      <c r="Z37" s="23"/>
      <c r="AA37" s="23"/>
      <c r="AB37" s="23"/>
      <c r="AC37" s="23"/>
      <c r="AD37" s="23"/>
      <c r="AE37" s="23"/>
    </row>
    <row r="38" spans="1:31" s="2" customFormat="1" ht="14.45" customHeight="1">
      <c r="A38" s="271"/>
      <c r="B38" s="270"/>
      <c r="C38" s="271"/>
      <c r="D38" s="271"/>
      <c r="E38" s="268" t="s">
        <v>40</v>
      </c>
      <c r="F38" s="280">
        <f>ROUND((SUM(BF93:BF97)),  2)</f>
        <v>0</v>
      </c>
      <c r="G38" s="271"/>
      <c r="H38" s="271"/>
      <c r="I38" s="389">
        <v>0.15</v>
      </c>
      <c r="J38" s="280">
        <f>ROUND(((SUM(BF93:BF97))*I38),  2)</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41</v>
      </c>
      <c r="F39" s="280">
        <f>ROUND((SUM(BG93:BG97)),  2)</f>
        <v>0</v>
      </c>
      <c r="G39" s="271"/>
      <c r="H39" s="271"/>
      <c r="I39" s="389">
        <v>0.21</v>
      </c>
      <c r="J39" s="280">
        <f>0</f>
        <v>0</v>
      </c>
      <c r="K39" s="271"/>
      <c r="L39" s="64"/>
      <c r="S39" s="23"/>
      <c r="T39" s="23"/>
      <c r="U39" s="23"/>
      <c r="V39" s="23"/>
      <c r="W39" s="23"/>
      <c r="X39" s="23"/>
      <c r="Y39" s="23"/>
      <c r="Z39" s="23"/>
      <c r="AA39" s="23"/>
      <c r="AB39" s="23"/>
      <c r="AC39" s="23"/>
      <c r="AD39" s="23"/>
      <c r="AE39" s="23"/>
    </row>
    <row r="40" spans="1:31" s="2" customFormat="1" ht="14.45" hidden="1" customHeight="1">
      <c r="A40" s="271"/>
      <c r="B40" s="270"/>
      <c r="C40" s="271"/>
      <c r="D40" s="271"/>
      <c r="E40" s="268" t="s">
        <v>42</v>
      </c>
      <c r="F40" s="280">
        <f>ROUND((SUM(BH93:BH97)),  2)</f>
        <v>0</v>
      </c>
      <c r="G40" s="271"/>
      <c r="H40" s="271"/>
      <c r="I40" s="389">
        <v>0.15</v>
      </c>
      <c r="J40" s="280">
        <f>0</f>
        <v>0</v>
      </c>
      <c r="K40" s="271"/>
      <c r="L40" s="64"/>
      <c r="S40" s="23"/>
      <c r="T40" s="23"/>
      <c r="U40" s="23"/>
      <c r="V40" s="23"/>
      <c r="W40" s="23"/>
      <c r="X40" s="23"/>
      <c r="Y40" s="23"/>
      <c r="Z40" s="23"/>
      <c r="AA40" s="23"/>
      <c r="AB40" s="23"/>
      <c r="AC40" s="23"/>
      <c r="AD40" s="23"/>
      <c r="AE40" s="23"/>
    </row>
    <row r="41" spans="1:31" s="2" customFormat="1" ht="14.45" hidden="1" customHeight="1">
      <c r="A41" s="271"/>
      <c r="B41" s="270"/>
      <c r="C41" s="271"/>
      <c r="D41" s="271"/>
      <c r="E41" s="268" t="s">
        <v>43</v>
      </c>
      <c r="F41" s="280">
        <f>ROUND((SUM(BI93:BI97)),  2)</f>
        <v>0</v>
      </c>
      <c r="G41" s="271"/>
      <c r="H41" s="271"/>
      <c r="I41" s="389">
        <v>0</v>
      </c>
      <c r="J41" s="280">
        <f>0</f>
        <v>0</v>
      </c>
      <c r="K41" s="271"/>
      <c r="L41" s="64"/>
      <c r="S41" s="23"/>
      <c r="T41" s="23"/>
      <c r="U41" s="23"/>
      <c r="V41" s="23"/>
      <c r="W41" s="23"/>
      <c r="X41" s="23"/>
      <c r="Y41" s="23"/>
      <c r="Z41" s="23"/>
      <c r="AA41" s="23"/>
      <c r="AB41" s="23"/>
      <c r="AC41" s="23"/>
      <c r="AD41" s="23"/>
      <c r="AE41" s="23"/>
    </row>
    <row r="42" spans="1:31" s="2" customFormat="1" ht="6.95" customHeight="1">
      <c r="A42" s="271"/>
      <c r="B42" s="270"/>
      <c r="C42" s="271"/>
      <c r="D42" s="271"/>
      <c r="E42" s="271"/>
      <c r="F42" s="271"/>
      <c r="G42" s="271"/>
      <c r="H42" s="271"/>
      <c r="I42" s="271"/>
      <c r="J42" s="271"/>
      <c r="K42" s="271"/>
      <c r="L42" s="64"/>
      <c r="S42" s="23"/>
      <c r="T42" s="23"/>
      <c r="U42" s="23"/>
      <c r="V42" s="23"/>
      <c r="W42" s="23"/>
      <c r="X42" s="23"/>
      <c r="Y42" s="23"/>
      <c r="Z42" s="23"/>
      <c r="AA42" s="23"/>
      <c r="AB42" s="23"/>
      <c r="AC42" s="23"/>
      <c r="AD42" s="23"/>
      <c r="AE42" s="23"/>
    </row>
    <row r="43" spans="1:31" s="2" customFormat="1" ht="25.35" customHeight="1">
      <c r="A43" s="271"/>
      <c r="B43" s="270"/>
      <c r="C43" s="281"/>
      <c r="D43" s="282" t="s">
        <v>44</v>
      </c>
      <c r="E43" s="283"/>
      <c r="F43" s="283"/>
      <c r="G43" s="284" t="s">
        <v>45</v>
      </c>
      <c r="H43" s="285" t="s">
        <v>46</v>
      </c>
      <c r="I43" s="283"/>
      <c r="J43" s="390">
        <f>SUM(J34:J41)</f>
        <v>0</v>
      </c>
      <c r="K43" s="339"/>
      <c r="L43" s="64"/>
      <c r="S43" s="23"/>
      <c r="T43" s="23"/>
      <c r="U43" s="23"/>
      <c r="V43" s="23"/>
      <c r="W43" s="23"/>
      <c r="X43" s="23"/>
      <c r="Y43" s="23"/>
      <c r="Z43" s="23"/>
      <c r="AA43" s="23"/>
      <c r="AB43" s="23"/>
      <c r="AC43" s="23"/>
      <c r="AD43" s="23"/>
      <c r="AE43" s="23"/>
    </row>
    <row r="44" spans="1:31" s="2" customFormat="1" ht="14.45" customHeight="1">
      <c r="A44" s="271"/>
      <c r="B44" s="286"/>
      <c r="C44" s="287"/>
      <c r="D44" s="287"/>
      <c r="E44" s="287"/>
      <c r="F44" s="287"/>
      <c r="G44" s="287"/>
      <c r="H44" s="287"/>
      <c r="I44" s="287"/>
      <c r="J44" s="287"/>
      <c r="K44" s="287"/>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1"/>
      <c r="B48" s="288"/>
      <c r="C48" s="289"/>
      <c r="D48" s="289"/>
      <c r="E48" s="289"/>
      <c r="F48" s="289"/>
      <c r="G48" s="289"/>
      <c r="H48" s="289"/>
      <c r="I48" s="289"/>
      <c r="J48" s="289"/>
      <c r="K48" s="289"/>
      <c r="L48" s="64"/>
      <c r="S48" s="23"/>
      <c r="T48" s="23"/>
      <c r="U48" s="23"/>
      <c r="V48" s="23"/>
      <c r="W48" s="23"/>
      <c r="X48" s="23"/>
      <c r="Y48" s="23"/>
      <c r="Z48" s="23"/>
      <c r="AA48" s="23"/>
      <c r="AB48" s="23"/>
      <c r="AC48" s="23"/>
      <c r="AD48" s="23"/>
      <c r="AE48" s="23"/>
    </row>
    <row r="49" spans="1:31" s="2" customFormat="1" ht="24.95" customHeight="1">
      <c r="A49" s="271"/>
      <c r="B49" s="270"/>
      <c r="C49" s="266" t="s">
        <v>167</v>
      </c>
      <c r="D49" s="271"/>
      <c r="E49" s="271"/>
      <c r="F49" s="271"/>
      <c r="G49" s="271"/>
      <c r="H49" s="271"/>
      <c r="I49" s="271"/>
      <c r="J49" s="271"/>
      <c r="K49" s="271"/>
      <c r="L49" s="64"/>
      <c r="S49" s="23"/>
      <c r="T49" s="23"/>
      <c r="U49" s="23"/>
      <c r="V49" s="23"/>
      <c r="W49" s="23"/>
      <c r="X49" s="23"/>
      <c r="Y49" s="23"/>
      <c r="Z49" s="23"/>
      <c r="AA49" s="23"/>
      <c r="AB49" s="23"/>
      <c r="AC49" s="23"/>
      <c r="AD49" s="23"/>
      <c r="AE49" s="23"/>
    </row>
    <row r="50" spans="1:31" s="2" customFormat="1" ht="6.95" customHeight="1">
      <c r="A50" s="271"/>
      <c r="B50" s="270"/>
      <c r="C50" s="271"/>
      <c r="D50" s="271"/>
      <c r="E50" s="271"/>
      <c r="F50" s="271"/>
      <c r="G50" s="271"/>
      <c r="H50" s="271"/>
      <c r="I50" s="271"/>
      <c r="J50" s="271"/>
      <c r="K50" s="271"/>
      <c r="L50" s="64"/>
      <c r="S50" s="23"/>
      <c r="T50" s="23"/>
      <c r="U50" s="23"/>
      <c r="V50" s="23"/>
      <c r="W50" s="23"/>
      <c r="X50" s="23"/>
      <c r="Y50" s="23"/>
      <c r="Z50" s="23"/>
      <c r="AA50" s="23"/>
      <c r="AB50" s="23"/>
      <c r="AC50" s="23"/>
      <c r="AD50" s="23"/>
      <c r="AE50" s="23"/>
    </row>
    <row r="51" spans="1:31" s="2" customFormat="1" ht="12" customHeight="1">
      <c r="A51" s="271"/>
      <c r="B51" s="270"/>
      <c r="C51" s="268" t="s">
        <v>15</v>
      </c>
      <c r="D51" s="271"/>
      <c r="E51" s="271"/>
      <c r="F51" s="271"/>
      <c r="G51" s="271"/>
      <c r="H51" s="271"/>
      <c r="I51" s="271"/>
      <c r="J51" s="271"/>
      <c r="K51" s="271"/>
      <c r="L51" s="64"/>
      <c r="S51" s="23"/>
      <c r="T51" s="23"/>
      <c r="U51" s="23"/>
      <c r="V51" s="23"/>
      <c r="W51" s="23"/>
      <c r="X51" s="23"/>
      <c r="Y51" s="23"/>
      <c r="Z51" s="23"/>
      <c r="AA51" s="23"/>
      <c r="AB51" s="23"/>
      <c r="AC51" s="23"/>
      <c r="AD51" s="23"/>
      <c r="AE51" s="23"/>
    </row>
    <row r="52" spans="1:31" s="2" customFormat="1" ht="14.45" customHeight="1">
      <c r="A52" s="271"/>
      <c r="B52" s="270"/>
      <c r="C52" s="271"/>
      <c r="D52" s="271"/>
      <c r="E52" s="722" t="str">
        <f>E7</f>
        <v>Úpravy gastroprovozu Úřadu vlády ČR v 1.pp Strakovy akademie</v>
      </c>
      <c r="F52" s="723"/>
      <c r="G52" s="723"/>
      <c r="H52" s="723"/>
      <c r="I52" s="271"/>
      <c r="J52" s="271"/>
      <c r="K52" s="271"/>
      <c r="L52" s="64"/>
      <c r="S52" s="23"/>
      <c r="T52" s="23"/>
      <c r="U52" s="23"/>
      <c r="V52" s="23"/>
      <c r="W52" s="23"/>
      <c r="X52" s="23"/>
      <c r="Y52" s="23"/>
      <c r="Z52" s="23"/>
      <c r="AA52" s="23"/>
      <c r="AB52" s="23"/>
      <c r="AC52" s="23"/>
      <c r="AD52" s="23"/>
      <c r="AE52" s="23"/>
    </row>
    <row r="53" spans="1:31" s="1" customFormat="1" ht="12" customHeight="1">
      <c r="A53" s="61"/>
      <c r="B53" s="265"/>
      <c r="C53" s="268" t="s">
        <v>151</v>
      </c>
      <c r="D53" s="61"/>
      <c r="E53" s="61"/>
      <c r="F53" s="61"/>
      <c r="G53" s="61"/>
      <c r="H53" s="61"/>
      <c r="I53" s="61"/>
      <c r="J53" s="61"/>
      <c r="K53" s="61"/>
      <c r="L53" s="20"/>
    </row>
    <row r="54" spans="1:31" s="1" customFormat="1" ht="14.45" customHeight="1">
      <c r="A54" s="61"/>
      <c r="B54" s="265"/>
      <c r="C54" s="61"/>
      <c r="D54" s="61"/>
      <c r="E54" s="722" t="s">
        <v>1759</v>
      </c>
      <c r="F54" s="715"/>
      <c r="G54" s="715"/>
      <c r="H54" s="715"/>
      <c r="I54" s="61"/>
      <c r="J54" s="61"/>
      <c r="K54" s="61"/>
      <c r="L54" s="20"/>
    </row>
    <row r="55" spans="1:31" s="1" customFormat="1" ht="12" customHeight="1">
      <c r="A55" s="61"/>
      <c r="B55" s="265"/>
      <c r="C55" s="268" t="s">
        <v>157</v>
      </c>
      <c r="D55" s="61"/>
      <c r="E55" s="61"/>
      <c r="F55" s="61"/>
      <c r="G55" s="61"/>
      <c r="H55" s="61"/>
      <c r="I55" s="61"/>
      <c r="J55" s="61"/>
      <c r="K55" s="61"/>
      <c r="L55" s="20"/>
    </row>
    <row r="56" spans="1:31" s="2" customFormat="1" ht="14.45" customHeight="1">
      <c r="A56" s="271"/>
      <c r="B56" s="270"/>
      <c r="C56" s="271"/>
      <c r="D56" s="271"/>
      <c r="E56" s="762" t="s">
        <v>1795</v>
      </c>
      <c r="F56" s="721"/>
      <c r="G56" s="721"/>
      <c r="H56" s="721"/>
      <c r="I56" s="271"/>
      <c r="J56" s="271"/>
      <c r="K56" s="271"/>
      <c r="L56" s="64"/>
      <c r="S56" s="23"/>
      <c r="T56" s="23"/>
      <c r="U56" s="23"/>
      <c r="V56" s="23"/>
      <c r="W56" s="23"/>
      <c r="X56" s="23"/>
      <c r="Y56" s="23"/>
      <c r="Z56" s="23"/>
      <c r="AA56" s="23"/>
      <c r="AB56" s="23"/>
      <c r="AC56" s="23"/>
      <c r="AD56" s="23"/>
      <c r="AE56" s="23"/>
    </row>
    <row r="57" spans="1:31" s="2" customFormat="1" ht="12" customHeight="1">
      <c r="A57" s="271"/>
      <c r="B57" s="270"/>
      <c r="C57" s="268" t="s">
        <v>1777</v>
      </c>
      <c r="D57" s="271"/>
      <c r="E57" s="271"/>
      <c r="F57" s="271"/>
      <c r="G57" s="271"/>
      <c r="H57" s="271"/>
      <c r="I57" s="271"/>
      <c r="J57" s="271"/>
      <c r="K57" s="271"/>
      <c r="L57" s="64"/>
      <c r="S57" s="23"/>
      <c r="T57" s="23"/>
      <c r="U57" s="23"/>
      <c r="V57" s="23"/>
      <c r="W57" s="23"/>
      <c r="X57" s="23"/>
      <c r="Y57" s="23"/>
      <c r="Z57" s="23"/>
      <c r="AA57" s="23"/>
      <c r="AB57" s="23"/>
      <c r="AC57" s="23"/>
      <c r="AD57" s="23"/>
      <c r="AE57" s="23"/>
    </row>
    <row r="58" spans="1:31" s="2" customFormat="1" ht="14.45" customHeight="1">
      <c r="A58" s="271"/>
      <c r="B58" s="270"/>
      <c r="C58" s="271"/>
      <c r="D58" s="271"/>
      <c r="E58" s="689" t="str">
        <f>E13</f>
        <v xml:space="preserve">D.1.4.06.1 - Soupis prací - Gastro </v>
      </c>
      <c r="F58" s="721"/>
      <c r="G58" s="721"/>
      <c r="H58" s="721"/>
      <c r="I58" s="271"/>
      <c r="J58" s="271"/>
      <c r="K58" s="271"/>
      <c r="L58" s="64"/>
      <c r="S58" s="23"/>
      <c r="T58" s="23"/>
      <c r="U58" s="23"/>
      <c r="V58" s="23"/>
      <c r="W58" s="23"/>
      <c r="X58" s="23"/>
      <c r="Y58" s="23"/>
      <c r="Z58" s="23"/>
      <c r="AA58" s="23"/>
      <c r="AB58" s="23"/>
      <c r="AC58" s="23"/>
      <c r="AD58" s="23"/>
      <c r="AE58" s="23"/>
    </row>
    <row r="59" spans="1:31" s="2" customFormat="1" ht="6.95" customHeight="1">
      <c r="A59" s="271"/>
      <c r="B59" s="270"/>
      <c r="C59" s="271"/>
      <c r="D59" s="271"/>
      <c r="E59" s="271"/>
      <c r="F59" s="271"/>
      <c r="G59" s="271"/>
      <c r="H59" s="271"/>
      <c r="I59" s="271"/>
      <c r="J59" s="271"/>
      <c r="K59" s="271"/>
      <c r="L59" s="64"/>
      <c r="S59" s="23"/>
      <c r="T59" s="23"/>
      <c r="U59" s="23"/>
      <c r="V59" s="23"/>
      <c r="W59" s="23"/>
      <c r="X59" s="23"/>
      <c r="Y59" s="23"/>
      <c r="Z59" s="23"/>
      <c r="AA59" s="23"/>
      <c r="AB59" s="23"/>
      <c r="AC59" s="23"/>
      <c r="AD59" s="23"/>
      <c r="AE59" s="23"/>
    </row>
    <row r="60" spans="1:31" s="2" customFormat="1" ht="12" customHeight="1">
      <c r="A60" s="271"/>
      <c r="B60" s="270"/>
      <c r="C60" s="268" t="s">
        <v>19</v>
      </c>
      <c r="D60" s="271"/>
      <c r="E60" s="271"/>
      <c r="F60" s="273" t="str">
        <f>F16</f>
        <v xml:space="preserve"> </v>
      </c>
      <c r="G60" s="271"/>
      <c r="H60" s="271"/>
      <c r="I60" s="268" t="s">
        <v>21</v>
      </c>
      <c r="J60" s="387">
        <f>IF(J16="","",J16)</f>
        <v>44077</v>
      </c>
      <c r="K60" s="271"/>
      <c r="L60" s="64"/>
      <c r="S60" s="23"/>
      <c r="T60" s="23"/>
      <c r="U60" s="23"/>
      <c r="V60" s="23"/>
      <c r="W60" s="23"/>
      <c r="X60" s="23"/>
      <c r="Y60" s="23"/>
      <c r="Z60" s="23"/>
      <c r="AA60" s="23"/>
      <c r="AB60" s="23"/>
      <c r="AC60" s="23"/>
      <c r="AD60" s="23"/>
      <c r="AE60" s="23"/>
    </row>
    <row r="61" spans="1:31" s="2" customFormat="1" ht="6.95" customHeight="1">
      <c r="A61" s="271"/>
      <c r="B61" s="270"/>
      <c r="C61" s="271"/>
      <c r="D61" s="271"/>
      <c r="E61" s="271"/>
      <c r="F61" s="271"/>
      <c r="G61" s="271"/>
      <c r="H61" s="271"/>
      <c r="I61" s="271"/>
      <c r="J61" s="271"/>
      <c r="K61" s="271"/>
      <c r="L61" s="64"/>
      <c r="S61" s="23"/>
      <c r="T61" s="23"/>
      <c r="U61" s="23"/>
      <c r="V61" s="23"/>
      <c r="W61" s="23"/>
      <c r="X61" s="23"/>
      <c r="Y61" s="23"/>
      <c r="Z61" s="23"/>
      <c r="AA61" s="23"/>
      <c r="AB61" s="23"/>
      <c r="AC61" s="23"/>
      <c r="AD61" s="23"/>
      <c r="AE61" s="23"/>
    </row>
    <row r="62" spans="1:31" s="2" customFormat="1" ht="26.45" customHeight="1">
      <c r="A62" s="271"/>
      <c r="B62" s="270"/>
      <c r="C62" s="268" t="s">
        <v>22</v>
      </c>
      <c r="D62" s="271"/>
      <c r="E62" s="271"/>
      <c r="F62" s="273" t="str">
        <f>E19</f>
        <v xml:space="preserve">Úřad vlády České republiky </v>
      </c>
      <c r="G62" s="271"/>
      <c r="H62" s="271"/>
      <c r="I62" s="268" t="s">
        <v>28</v>
      </c>
      <c r="J62" s="391" t="str">
        <f>E25</f>
        <v>Ateliér Simona Group</v>
      </c>
      <c r="K62" s="271"/>
      <c r="L62" s="64"/>
      <c r="S62" s="23"/>
      <c r="T62" s="23"/>
      <c r="U62" s="23"/>
      <c r="V62" s="23"/>
      <c r="W62" s="23"/>
      <c r="X62" s="23"/>
      <c r="Y62" s="23"/>
      <c r="Z62" s="23"/>
      <c r="AA62" s="23"/>
      <c r="AB62" s="23"/>
      <c r="AC62" s="23"/>
      <c r="AD62" s="23"/>
      <c r="AE62" s="23"/>
    </row>
    <row r="63" spans="1:31" s="2" customFormat="1" ht="26.45" customHeight="1">
      <c r="A63" s="271"/>
      <c r="B63" s="270"/>
      <c r="C63" s="268" t="s">
        <v>26</v>
      </c>
      <c r="D63" s="271"/>
      <c r="E63" s="271"/>
      <c r="F63" s="273" t="str">
        <f>IF(E22="","",E22)</f>
        <v xml:space="preserve"> </v>
      </c>
      <c r="G63" s="271"/>
      <c r="H63" s="271"/>
      <c r="I63" s="268" t="s">
        <v>31</v>
      </c>
      <c r="J63" s="391" t="str">
        <f>E28</f>
        <v>Ateliér Simona Group</v>
      </c>
      <c r="K63" s="271"/>
      <c r="L63" s="64"/>
      <c r="S63" s="23"/>
      <c r="T63" s="23"/>
      <c r="U63" s="23"/>
      <c r="V63" s="23"/>
      <c r="W63" s="23"/>
      <c r="X63" s="23"/>
      <c r="Y63" s="23"/>
      <c r="Z63" s="23"/>
      <c r="AA63" s="23"/>
      <c r="AB63" s="23"/>
      <c r="AC63" s="23"/>
      <c r="AD63" s="23"/>
      <c r="AE63" s="23"/>
    </row>
    <row r="64" spans="1:31" s="2" customFormat="1" ht="10.35" customHeight="1">
      <c r="A64" s="271"/>
      <c r="B64" s="270"/>
      <c r="C64" s="271"/>
      <c r="D64" s="271"/>
      <c r="E64" s="271"/>
      <c r="F64" s="271"/>
      <c r="G64" s="271"/>
      <c r="H64" s="271"/>
      <c r="I64" s="271"/>
      <c r="J64" s="271"/>
      <c r="K64" s="271"/>
      <c r="L64" s="64"/>
      <c r="S64" s="23"/>
      <c r="T64" s="23"/>
      <c r="U64" s="23"/>
      <c r="V64" s="23"/>
      <c r="W64" s="23"/>
      <c r="X64" s="23"/>
      <c r="Y64" s="23"/>
      <c r="Z64" s="23"/>
      <c r="AA64" s="23"/>
      <c r="AB64" s="23"/>
      <c r="AC64" s="23"/>
      <c r="AD64" s="23"/>
      <c r="AE64" s="23"/>
    </row>
    <row r="65" spans="1:47" s="2" customFormat="1" ht="29.25" customHeight="1">
      <c r="A65" s="271"/>
      <c r="B65" s="270"/>
      <c r="C65" s="290" t="s">
        <v>168</v>
      </c>
      <c r="D65" s="281"/>
      <c r="E65" s="281"/>
      <c r="F65" s="281"/>
      <c r="G65" s="281"/>
      <c r="H65" s="281"/>
      <c r="I65" s="281"/>
      <c r="J65" s="392" t="s">
        <v>169</v>
      </c>
      <c r="K65" s="281"/>
      <c r="L65" s="64"/>
      <c r="S65" s="23"/>
      <c r="T65" s="23"/>
      <c r="U65" s="23"/>
      <c r="V65" s="23"/>
      <c r="W65" s="23"/>
      <c r="X65" s="23"/>
      <c r="Y65" s="23"/>
      <c r="Z65" s="23"/>
      <c r="AA65" s="23"/>
      <c r="AB65" s="23"/>
      <c r="AC65" s="23"/>
      <c r="AD65" s="23"/>
      <c r="AE65" s="23"/>
    </row>
    <row r="66" spans="1:47" s="2" customFormat="1" ht="10.35" customHeight="1">
      <c r="A66" s="271"/>
      <c r="B66" s="270"/>
      <c r="C66" s="271"/>
      <c r="D66" s="271"/>
      <c r="E66" s="271"/>
      <c r="F66" s="271"/>
      <c r="G66" s="271"/>
      <c r="H66" s="271"/>
      <c r="I66" s="271"/>
      <c r="J66" s="271"/>
      <c r="K66" s="271"/>
      <c r="L66" s="64"/>
      <c r="S66" s="23"/>
      <c r="T66" s="23"/>
      <c r="U66" s="23"/>
      <c r="V66" s="23"/>
      <c r="W66" s="23"/>
      <c r="X66" s="23"/>
      <c r="Y66" s="23"/>
      <c r="Z66" s="23"/>
      <c r="AA66" s="23"/>
      <c r="AB66" s="23"/>
      <c r="AC66" s="23"/>
      <c r="AD66" s="23"/>
      <c r="AE66" s="23"/>
    </row>
    <row r="67" spans="1:47" s="2" customFormat="1" ht="22.9" customHeight="1">
      <c r="A67" s="271"/>
      <c r="B67" s="270"/>
      <c r="C67" s="291" t="s">
        <v>66</v>
      </c>
      <c r="D67" s="271"/>
      <c r="E67" s="271"/>
      <c r="F67" s="271"/>
      <c r="G67" s="271"/>
      <c r="H67" s="271"/>
      <c r="I67" s="271"/>
      <c r="J67" s="388">
        <f>J93</f>
        <v>0</v>
      </c>
      <c r="K67" s="271"/>
      <c r="L67" s="64"/>
      <c r="S67" s="23"/>
      <c r="T67" s="23"/>
      <c r="U67" s="23"/>
      <c r="V67" s="23"/>
      <c r="W67" s="23"/>
      <c r="X67" s="23"/>
      <c r="Y67" s="23"/>
      <c r="Z67" s="23"/>
      <c r="AA67" s="23"/>
      <c r="AB67" s="23"/>
      <c r="AC67" s="23"/>
      <c r="AD67" s="23"/>
      <c r="AE67" s="23"/>
      <c r="AU67" s="19" t="s">
        <v>170</v>
      </c>
    </row>
    <row r="68" spans="1:47" s="9" customFormat="1" ht="24.95" customHeight="1">
      <c r="A68" s="292"/>
      <c r="B68" s="293"/>
      <c r="C68" s="292"/>
      <c r="D68" s="294" t="s">
        <v>181</v>
      </c>
      <c r="E68" s="295"/>
      <c r="F68" s="295"/>
      <c r="G68" s="295"/>
      <c r="H68" s="295"/>
      <c r="I68" s="295"/>
      <c r="J68" s="393">
        <f>J94</f>
        <v>0</v>
      </c>
      <c r="K68" s="292"/>
      <c r="L68" s="67"/>
    </row>
    <row r="69" spans="1:47" s="10" customFormat="1" ht="19.899999999999999" customHeight="1">
      <c r="A69" s="246"/>
      <c r="B69" s="296"/>
      <c r="C69" s="246"/>
      <c r="D69" s="297" t="s">
        <v>196</v>
      </c>
      <c r="E69" s="298"/>
      <c r="F69" s="298"/>
      <c r="G69" s="298"/>
      <c r="H69" s="298"/>
      <c r="I69" s="298"/>
      <c r="J69" s="394">
        <f>J95</f>
        <v>0</v>
      </c>
      <c r="K69" s="246"/>
      <c r="L69" s="68"/>
    </row>
    <row r="70" spans="1:47" s="2" customFormat="1" ht="21.75" customHeight="1">
      <c r="A70" s="271"/>
      <c r="B70" s="270"/>
      <c r="C70" s="271"/>
      <c r="D70" s="271"/>
      <c r="E70" s="271"/>
      <c r="F70" s="271"/>
      <c r="G70" s="271"/>
      <c r="H70" s="271"/>
      <c r="I70" s="271"/>
      <c r="J70" s="271"/>
      <c r="K70" s="271"/>
      <c r="L70" s="64"/>
      <c r="S70" s="23"/>
      <c r="T70" s="23"/>
      <c r="U70" s="23"/>
      <c r="V70" s="23"/>
      <c r="W70" s="23"/>
      <c r="X70" s="23"/>
      <c r="Y70" s="23"/>
      <c r="Z70" s="23"/>
      <c r="AA70" s="23"/>
      <c r="AB70" s="23"/>
      <c r="AC70" s="23"/>
      <c r="AD70" s="23"/>
      <c r="AE70" s="23"/>
    </row>
    <row r="71" spans="1:47" s="2" customFormat="1" ht="6.95" customHeight="1">
      <c r="A71" s="271"/>
      <c r="B71" s="286"/>
      <c r="C71" s="287"/>
      <c r="D71" s="287"/>
      <c r="E71" s="287"/>
      <c r="F71" s="287"/>
      <c r="G71" s="287"/>
      <c r="H71" s="287"/>
      <c r="I71" s="287"/>
      <c r="J71" s="287"/>
      <c r="K71" s="287"/>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1"/>
      <c r="B75" s="288"/>
      <c r="C75" s="289"/>
      <c r="D75" s="289"/>
      <c r="E75" s="289"/>
      <c r="F75" s="289"/>
      <c r="G75" s="289"/>
      <c r="H75" s="289"/>
      <c r="I75" s="289"/>
      <c r="J75" s="289"/>
      <c r="K75" s="289"/>
      <c r="L75" s="64"/>
      <c r="S75" s="23"/>
      <c r="T75" s="23"/>
      <c r="U75" s="23"/>
      <c r="V75" s="23"/>
      <c r="W75" s="23"/>
      <c r="X75" s="23"/>
      <c r="Y75" s="23"/>
      <c r="Z75" s="23"/>
      <c r="AA75" s="23"/>
      <c r="AB75" s="23"/>
      <c r="AC75" s="23"/>
      <c r="AD75" s="23"/>
      <c r="AE75" s="23"/>
    </row>
    <row r="76" spans="1:47" s="2" customFormat="1" ht="24.95" customHeight="1">
      <c r="A76" s="271"/>
      <c r="B76" s="270"/>
      <c r="C76" s="266" t="s">
        <v>201</v>
      </c>
      <c r="D76" s="271"/>
      <c r="E76" s="271"/>
      <c r="F76" s="271"/>
      <c r="G76" s="271"/>
      <c r="H76" s="271"/>
      <c r="I76" s="271"/>
      <c r="J76" s="271"/>
      <c r="K76" s="271"/>
      <c r="L76" s="64"/>
      <c r="S76" s="23"/>
      <c r="T76" s="23"/>
      <c r="U76" s="23"/>
      <c r="V76" s="23"/>
      <c r="W76" s="23"/>
      <c r="X76" s="23"/>
      <c r="Y76" s="23"/>
      <c r="Z76" s="23"/>
      <c r="AA76" s="23"/>
      <c r="AB76" s="23"/>
      <c r="AC76" s="23"/>
      <c r="AD76" s="23"/>
      <c r="AE76" s="23"/>
    </row>
    <row r="77" spans="1:47" s="2" customFormat="1" ht="6.95" customHeight="1">
      <c r="A77" s="271"/>
      <c r="B77" s="270"/>
      <c r="C77" s="271"/>
      <c r="D77" s="271"/>
      <c r="E77" s="271"/>
      <c r="F77" s="271"/>
      <c r="G77" s="271"/>
      <c r="H77" s="271"/>
      <c r="I77" s="271"/>
      <c r="J77" s="271"/>
      <c r="K77" s="271"/>
      <c r="L77" s="64"/>
      <c r="S77" s="23"/>
      <c r="T77" s="23"/>
      <c r="U77" s="23"/>
      <c r="V77" s="23"/>
      <c r="W77" s="23"/>
      <c r="X77" s="23"/>
      <c r="Y77" s="23"/>
      <c r="Z77" s="23"/>
      <c r="AA77" s="23"/>
      <c r="AB77" s="23"/>
      <c r="AC77" s="23"/>
      <c r="AD77" s="23"/>
      <c r="AE77" s="23"/>
    </row>
    <row r="78" spans="1:47" s="2" customFormat="1" ht="12" customHeight="1">
      <c r="A78" s="271"/>
      <c r="B78" s="270"/>
      <c r="C78" s="268" t="s">
        <v>15</v>
      </c>
      <c r="D78" s="271"/>
      <c r="E78" s="271"/>
      <c r="F78" s="271"/>
      <c r="G78" s="271"/>
      <c r="H78" s="271"/>
      <c r="I78" s="271"/>
      <c r="J78" s="271"/>
      <c r="K78" s="271"/>
      <c r="L78" s="64"/>
      <c r="S78" s="23"/>
      <c r="T78" s="23"/>
      <c r="U78" s="23"/>
      <c r="V78" s="23"/>
      <c r="W78" s="23"/>
      <c r="X78" s="23"/>
      <c r="Y78" s="23"/>
      <c r="Z78" s="23"/>
      <c r="AA78" s="23"/>
      <c r="AB78" s="23"/>
      <c r="AC78" s="23"/>
      <c r="AD78" s="23"/>
      <c r="AE78" s="23"/>
    </row>
    <row r="79" spans="1:47" s="2" customFormat="1" ht="14.45" customHeight="1">
      <c r="A79" s="271"/>
      <c r="B79" s="270"/>
      <c r="C79" s="271"/>
      <c r="D79" s="271"/>
      <c r="E79" s="722" t="str">
        <f>E7</f>
        <v>Úpravy gastroprovozu Úřadu vlády ČR v 1.pp Strakovy akademie</v>
      </c>
      <c r="F79" s="723"/>
      <c r="G79" s="723"/>
      <c r="H79" s="723"/>
      <c r="I79" s="271"/>
      <c r="J79" s="271"/>
      <c r="K79" s="271"/>
      <c r="L79" s="64"/>
      <c r="S79" s="23"/>
      <c r="T79" s="23"/>
      <c r="U79" s="23"/>
      <c r="V79" s="23"/>
      <c r="W79" s="23"/>
      <c r="X79" s="23"/>
      <c r="Y79" s="23"/>
      <c r="Z79" s="23"/>
      <c r="AA79" s="23"/>
      <c r="AB79" s="23"/>
      <c r="AC79" s="23"/>
      <c r="AD79" s="23"/>
      <c r="AE79" s="23"/>
    </row>
    <row r="80" spans="1:47" s="1" customFormat="1" ht="12" customHeight="1">
      <c r="A80" s="61"/>
      <c r="B80" s="265"/>
      <c r="C80" s="268" t="s">
        <v>151</v>
      </c>
      <c r="D80" s="61"/>
      <c r="E80" s="61"/>
      <c r="F80" s="61"/>
      <c r="G80" s="61"/>
      <c r="H80" s="61"/>
      <c r="I80" s="61"/>
      <c r="J80" s="61"/>
      <c r="K80" s="61"/>
      <c r="L80" s="20"/>
    </row>
    <row r="81" spans="1:65" s="1" customFormat="1" ht="14.45" customHeight="1">
      <c r="A81" s="61"/>
      <c r="B81" s="265"/>
      <c r="C81" s="61"/>
      <c r="D81" s="61"/>
      <c r="E81" s="722" t="s">
        <v>1759</v>
      </c>
      <c r="F81" s="715"/>
      <c r="G81" s="715"/>
      <c r="H81" s="715"/>
      <c r="I81" s="61"/>
      <c r="J81" s="61"/>
      <c r="K81" s="61"/>
      <c r="L81" s="20"/>
    </row>
    <row r="82" spans="1:65" s="1" customFormat="1" ht="12" customHeight="1">
      <c r="A82" s="61"/>
      <c r="B82" s="265"/>
      <c r="C82" s="268" t="s">
        <v>157</v>
      </c>
      <c r="D82" s="61"/>
      <c r="E82" s="61"/>
      <c r="F82" s="61"/>
      <c r="G82" s="61"/>
      <c r="H82" s="61"/>
      <c r="I82" s="61"/>
      <c r="J82" s="61"/>
      <c r="K82" s="61"/>
      <c r="L82" s="20"/>
    </row>
    <row r="83" spans="1:65" s="2" customFormat="1" ht="14.45" customHeight="1">
      <c r="A83" s="271"/>
      <c r="B83" s="270"/>
      <c r="C83" s="271"/>
      <c r="D83" s="271"/>
      <c r="E83" s="762" t="s">
        <v>1795</v>
      </c>
      <c r="F83" s="721"/>
      <c r="G83" s="721"/>
      <c r="H83" s="721"/>
      <c r="I83" s="271"/>
      <c r="J83" s="271"/>
      <c r="K83" s="271"/>
      <c r="L83" s="64"/>
      <c r="S83" s="23"/>
      <c r="T83" s="23"/>
      <c r="U83" s="23"/>
      <c r="V83" s="23"/>
      <c r="W83" s="23"/>
      <c r="X83" s="23"/>
      <c r="Y83" s="23"/>
      <c r="Z83" s="23"/>
      <c r="AA83" s="23"/>
      <c r="AB83" s="23"/>
      <c r="AC83" s="23"/>
      <c r="AD83" s="23"/>
      <c r="AE83" s="23"/>
    </row>
    <row r="84" spans="1:65" s="2" customFormat="1" ht="12" customHeight="1">
      <c r="A84" s="271"/>
      <c r="B84" s="270"/>
      <c r="C84" s="268" t="s">
        <v>1777</v>
      </c>
      <c r="D84" s="271"/>
      <c r="E84" s="271"/>
      <c r="F84" s="271"/>
      <c r="G84" s="271"/>
      <c r="H84" s="271"/>
      <c r="I84" s="271"/>
      <c r="J84" s="271"/>
      <c r="K84" s="271"/>
      <c r="L84" s="64"/>
      <c r="S84" s="23"/>
      <c r="T84" s="23"/>
      <c r="U84" s="23"/>
      <c r="V84" s="23"/>
      <c r="W84" s="23"/>
      <c r="X84" s="23"/>
      <c r="Y84" s="23"/>
      <c r="Z84" s="23"/>
      <c r="AA84" s="23"/>
      <c r="AB84" s="23"/>
      <c r="AC84" s="23"/>
      <c r="AD84" s="23"/>
      <c r="AE84" s="23"/>
    </row>
    <row r="85" spans="1:65" s="2" customFormat="1" ht="14.45" customHeight="1">
      <c r="A85" s="271"/>
      <c r="B85" s="270"/>
      <c r="C85" s="271"/>
      <c r="D85" s="271"/>
      <c r="E85" s="689" t="str">
        <f>E13</f>
        <v xml:space="preserve">D.1.4.06.1 - Soupis prací - Gastro </v>
      </c>
      <c r="F85" s="721"/>
      <c r="G85" s="721"/>
      <c r="H85" s="721"/>
      <c r="I85" s="271"/>
      <c r="J85" s="271"/>
      <c r="K85" s="271"/>
      <c r="L85" s="64"/>
      <c r="S85" s="23"/>
      <c r="T85" s="23"/>
      <c r="U85" s="23"/>
      <c r="V85" s="23"/>
      <c r="W85" s="23"/>
      <c r="X85" s="23"/>
      <c r="Y85" s="23"/>
      <c r="Z85" s="23"/>
      <c r="AA85" s="23"/>
      <c r="AB85" s="23"/>
      <c r="AC85" s="23"/>
      <c r="AD85" s="23"/>
      <c r="AE85" s="23"/>
    </row>
    <row r="86" spans="1:65" s="2" customFormat="1" ht="6.95" customHeight="1">
      <c r="A86" s="271"/>
      <c r="B86" s="270"/>
      <c r="C86" s="271"/>
      <c r="D86" s="271"/>
      <c r="E86" s="271"/>
      <c r="F86" s="271"/>
      <c r="G86" s="271"/>
      <c r="H86" s="271"/>
      <c r="I86" s="271"/>
      <c r="J86" s="271"/>
      <c r="K86" s="271"/>
      <c r="L86" s="64"/>
      <c r="S86" s="23"/>
      <c r="T86" s="23"/>
      <c r="U86" s="23"/>
      <c r="V86" s="23"/>
      <c r="W86" s="23"/>
      <c r="X86" s="23"/>
      <c r="Y86" s="23"/>
      <c r="Z86" s="23"/>
      <c r="AA86" s="23"/>
      <c r="AB86" s="23"/>
      <c r="AC86" s="23"/>
      <c r="AD86" s="23"/>
      <c r="AE86" s="23"/>
    </row>
    <row r="87" spans="1:65" s="2" customFormat="1" ht="12" customHeight="1">
      <c r="A87" s="271"/>
      <c r="B87" s="270"/>
      <c r="C87" s="268" t="s">
        <v>19</v>
      </c>
      <c r="D87" s="271"/>
      <c r="E87" s="271"/>
      <c r="F87" s="273" t="str">
        <f>F16</f>
        <v xml:space="preserve"> </v>
      </c>
      <c r="G87" s="271"/>
      <c r="H87" s="271"/>
      <c r="I87" s="268" t="s">
        <v>21</v>
      </c>
      <c r="J87" s="387">
        <f>IF(J16="","",J16)</f>
        <v>44077</v>
      </c>
      <c r="K87" s="271"/>
      <c r="L87" s="64"/>
      <c r="S87" s="23"/>
      <c r="T87" s="23"/>
      <c r="U87" s="23"/>
      <c r="V87" s="23"/>
      <c r="W87" s="23"/>
      <c r="X87" s="23"/>
      <c r="Y87" s="23"/>
      <c r="Z87" s="23"/>
      <c r="AA87" s="23"/>
      <c r="AB87" s="23"/>
      <c r="AC87" s="23"/>
      <c r="AD87" s="23"/>
      <c r="AE87" s="23"/>
    </row>
    <row r="88" spans="1:65" s="2" customFormat="1" ht="6.95" customHeight="1">
      <c r="A88" s="271"/>
      <c r="B88" s="270"/>
      <c r="C88" s="271"/>
      <c r="D88" s="271"/>
      <c r="E88" s="271"/>
      <c r="F88" s="271"/>
      <c r="G88" s="271"/>
      <c r="H88" s="271"/>
      <c r="I88" s="271"/>
      <c r="J88" s="271"/>
      <c r="K88" s="271"/>
      <c r="L88" s="64"/>
      <c r="S88" s="23"/>
      <c r="T88" s="23"/>
      <c r="U88" s="23"/>
      <c r="V88" s="23"/>
      <c r="W88" s="23"/>
      <c r="X88" s="23"/>
      <c r="Y88" s="23"/>
      <c r="Z88" s="23"/>
      <c r="AA88" s="23"/>
      <c r="AB88" s="23"/>
      <c r="AC88" s="23"/>
      <c r="AD88" s="23"/>
      <c r="AE88" s="23"/>
    </row>
    <row r="89" spans="1:65" s="2" customFormat="1" ht="26.45" customHeight="1">
      <c r="A89" s="271"/>
      <c r="B89" s="270"/>
      <c r="C89" s="268" t="s">
        <v>22</v>
      </c>
      <c r="D89" s="271"/>
      <c r="E89" s="271"/>
      <c r="F89" s="273" t="str">
        <f>E19</f>
        <v xml:space="preserve">Úřad vlády České republiky </v>
      </c>
      <c r="G89" s="271"/>
      <c r="H89" s="271"/>
      <c r="I89" s="268" t="s">
        <v>28</v>
      </c>
      <c r="J89" s="391" t="str">
        <f>E25</f>
        <v>Ateliér Simona Group</v>
      </c>
      <c r="K89" s="271"/>
      <c r="L89" s="64"/>
      <c r="S89" s="23"/>
      <c r="T89" s="23"/>
      <c r="U89" s="23"/>
      <c r="V89" s="23"/>
      <c r="W89" s="23"/>
      <c r="X89" s="23"/>
      <c r="Y89" s="23"/>
      <c r="Z89" s="23"/>
      <c r="AA89" s="23"/>
      <c r="AB89" s="23"/>
      <c r="AC89" s="23"/>
      <c r="AD89" s="23"/>
      <c r="AE89" s="23"/>
    </row>
    <row r="90" spans="1:65" s="2" customFormat="1" ht="26.45" customHeight="1">
      <c r="A90" s="271"/>
      <c r="B90" s="270"/>
      <c r="C90" s="268" t="s">
        <v>26</v>
      </c>
      <c r="D90" s="271"/>
      <c r="E90" s="271"/>
      <c r="F90" s="273" t="str">
        <f>IF(E22="","",E22)</f>
        <v xml:space="preserve"> </v>
      </c>
      <c r="G90" s="271"/>
      <c r="H90" s="271"/>
      <c r="I90" s="268" t="s">
        <v>31</v>
      </c>
      <c r="J90" s="391" t="str">
        <f>E28</f>
        <v>Ateliér Simona Group</v>
      </c>
      <c r="K90" s="271"/>
      <c r="L90" s="64"/>
      <c r="S90" s="23"/>
      <c r="T90" s="23"/>
      <c r="U90" s="23"/>
      <c r="V90" s="23"/>
      <c r="W90" s="23"/>
      <c r="X90" s="23"/>
      <c r="Y90" s="23"/>
      <c r="Z90" s="23"/>
      <c r="AA90" s="23"/>
      <c r="AB90" s="23"/>
      <c r="AC90" s="23"/>
      <c r="AD90" s="23"/>
      <c r="AE90" s="23"/>
    </row>
    <row r="91" spans="1:65" s="2" customFormat="1" ht="10.35" customHeight="1">
      <c r="A91" s="271"/>
      <c r="B91" s="270"/>
      <c r="C91" s="271"/>
      <c r="D91" s="271"/>
      <c r="E91" s="271"/>
      <c r="F91" s="271"/>
      <c r="G91" s="271"/>
      <c r="H91" s="271"/>
      <c r="I91" s="271"/>
      <c r="J91" s="271"/>
      <c r="K91" s="271"/>
      <c r="L91" s="64"/>
      <c r="S91" s="23"/>
      <c r="T91" s="23"/>
      <c r="U91" s="23"/>
      <c r="V91" s="23"/>
      <c r="W91" s="23"/>
      <c r="X91" s="23"/>
      <c r="Y91" s="23"/>
      <c r="Z91" s="23"/>
      <c r="AA91" s="23"/>
      <c r="AB91" s="23"/>
      <c r="AC91" s="23"/>
      <c r="AD91" s="23"/>
      <c r="AE91" s="23"/>
    </row>
    <row r="92" spans="1:65" s="11" customFormat="1" ht="29.25" customHeight="1">
      <c r="A92" s="299"/>
      <c r="B92" s="300"/>
      <c r="C92" s="301" t="s">
        <v>202</v>
      </c>
      <c r="D92" s="302" t="s">
        <v>53</v>
      </c>
      <c r="E92" s="302" t="s">
        <v>49</v>
      </c>
      <c r="F92" s="302" t="s">
        <v>50</v>
      </c>
      <c r="G92" s="302" t="s">
        <v>203</v>
      </c>
      <c r="H92" s="302" t="s">
        <v>204</v>
      </c>
      <c r="I92" s="302" t="s">
        <v>205</v>
      </c>
      <c r="J92" s="302" t="s">
        <v>169</v>
      </c>
      <c r="K92" s="340" t="s">
        <v>206</v>
      </c>
      <c r="L92" s="70"/>
      <c r="M92" s="34" t="s">
        <v>3</v>
      </c>
      <c r="N92" s="35" t="s">
        <v>38</v>
      </c>
      <c r="O92" s="35" t="s">
        <v>207</v>
      </c>
      <c r="P92" s="35" t="s">
        <v>208</v>
      </c>
      <c r="Q92" s="35" t="s">
        <v>209</v>
      </c>
      <c r="R92" s="35" t="s">
        <v>210</v>
      </c>
      <c r="S92" s="35" t="s">
        <v>211</v>
      </c>
      <c r="T92" s="36" t="s">
        <v>212</v>
      </c>
      <c r="U92" s="69"/>
      <c r="V92" s="69"/>
      <c r="W92" s="69"/>
      <c r="X92" s="69"/>
      <c r="Y92" s="69"/>
      <c r="Z92" s="69"/>
      <c r="AA92" s="69"/>
      <c r="AB92" s="69"/>
      <c r="AC92" s="69"/>
      <c r="AD92" s="69"/>
      <c r="AE92" s="69"/>
    </row>
    <row r="93" spans="1:65" s="2" customFormat="1" ht="22.9" customHeight="1">
      <c r="A93" s="271"/>
      <c r="B93" s="270"/>
      <c r="C93" s="243" t="s">
        <v>213</v>
      </c>
      <c r="D93" s="271"/>
      <c r="E93" s="271"/>
      <c r="F93" s="271"/>
      <c r="G93" s="271"/>
      <c r="H93" s="271"/>
      <c r="I93" s="271"/>
      <c r="J93" s="410">
        <f>BK93</f>
        <v>0</v>
      </c>
      <c r="K93" s="271"/>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170</v>
      </c>
      <c r="BK93" s="73">
        <f>BK94</f>
        <v>0</v>
      </c>
    </row>
    <row r="94" spans="1:65" s="12" customFormat="1" ht="25.9" customHeight="1">
      <c r="A94" s="303"/>
      <c r="B94" s="304"/>
      <c r="C94" s="303"/>
      <c r="D94" s="305" t="s">
        <v>67</v>
      </c>
      <c r="E94" s="306" t="s">
        <v>895</v>
      </c>
      <c r="F94" s="306" t="s">
        <v>896</v>
      </c>
      <c r="G94" s="303"/>
      <c r="H94" s="303"/>
      <c r="I94" s="303"/>
      <c r="J94" s="411">
        <f>BK94</f>
        <v>0</v>
      </c>
      <c r="K94" s="303"/>
      <c r="L94" s="74"/>
      <c r="M94" s="76"/>
      <c r="N94" s="77"/>
      <c r="O94" s="77"/>
      <c r="P94" s="78">
        <f>P95</f>
        <v>0</v>
      </c>
      <c r="Q94" s="77"/>
      <c r="R94" s="78">
        <f>R95</f>
        <v>0</v>
      </c>
      <c r="S94" s="77"/>
      <c r="T94" s="79">
        <f>T95</f>
        <v>0</v>
      </c>
      <c r="AR94" s="75" t="s">
        <v>77</v>
      </c>
      <c r="AT94" s="80" t="s">
        <v>67</v>
      </c>
      <c r="AU94" s="80" t="s">
        <v>68</v>
      </c>
      <c r="AY94" s="75" t="s">
        <v>216</v>
      </c>
      <c r="BK94" s="81">
        <f>BK95</f>
        <v>0</v>
      </c>
    </row>
    <row r="95" spans="1:65" s="12" customFormat="1" ht="22.9" customHeight="1">
      <c r="A95" s="303"/>
      <c r="B95" s="304"/>
      <c r="C95" s="303"/>
      <c r="D95" s="305" t="s">
        <v>67</v>
      </c>
      <c r="E95" s="307" t="s">
        <v>1655</v>
      </c>
      <c r="F95" s="307" t="s">
        <v>1656</v>
      </c>
      <c r="G95" s="303"/>
      <c r="H95" s="303"/>
      <c r="I95" s="303"/>
      <c r="J95" s="412">
        <f>BK95</f>
        <v>0</v>
      </c>
      <c r="K95" s="303"/>
      <c r="L95" s="74"/>
      <c r="M95" s="76"/>
      <c r="N95" s="77"/>
      <c r="O95" s="77"/>
      <c r="P95" s="78">
        <f>SUM(P96:P97)</f>
        <v>0</v>
      </c>
      <c r="Q95" s="77"/>
      <c r="R95" s="78">
        <f>SUM(R96:R97)</f>
        <v>0</v>
      </c>
      <c r="S95" s="77"/>
      <c r="T95" s="79">
        <f>SUM(T96:T97)</f>
        <v>0</v>
      </c>
      <c r="AR95" s="75" t="s">
        <v>77</v>
      </c>
      <c r="AT95" s="80" t="s">
        <v>67</v>
      </c>
      <c r="AU95" s="80" t="s">
        <v>75</v>
      </c>
      <c r="AY95" s="75" t="s">
        <v>216</v>
      </c>
      <c r="BK95" s="81">
        <f>SUM(BK96:BK97)</f>
        <v>0</v>
      </c>
    </row>
    <row r="96" spans="1:65" s="2" customFormat="1" ht="14.45" customHeight="1">
      <c r="A96" s="271"/>
      <c r="B96" s="270"/>
      <c r="C96" s="308" t="s">
        <v>75</v>
      </c>
      <c r="D96" s="308" t="s">
        <v>218</v>
      </c>
      <c r="E96" s="309" t="s">
        <v>1797</v>
      </c>
      <c r="F96" s="310" t="s">
        <v>3049</v>
      </c>
      <c r="G96" s="311" t="s">
        <v>1766</v>
      </c>
      <c r="H96" s="312">
        <v>1</v>
      </c>
      <c r="I96" s="413">
        <f>'G-PS'!L68</f>
        <v>0</v>
      </c>
      <c r="J96" s="413">
        <f>ROUND(I96*H96,2)</f>
        <v>0</v>
      </c>
      <c r="K96" s="310" t="s">
        <v>3</v>
      </c>
      <c r="L96" s="24"/>
      <c r="M96" s="83" t="s">
        <v>3</v>
      </c>
      <c r="N96" s="84" t="s">
        <v>39</v>
      </c>
      <c r="O96" s="85">
        <v>0</v>
      </c>
      <c r="P96" s="85">
        <f>O96*H96</f>
        <v>0</v>
      </c>
      <c r="Q96" s="85">
        <v>0</v>
      </c>
      <c r="R96" s="85">
        <f>Q96*H96</f>
        <v>0</v>
      </c>
      <c r="S96" s="85">
        <v>0</v>
      </c>
      <c r="T96" s="86">
        <f>S96*H96</f>
        <v>0</v>
      </c>
      <c r="U96" s="23"/>
      <c r="V96" s="23"/>
      <c r="W96" s="23"/>
      <c r="X96" s="23"/>
      <c r="Y96" s="23"/>
      <c r="Z96" s="23"/>
      <c r="AA96" s="23"/>
      <c r="AB96" s="23"/>
      <c r="AC96" s="23"/>
      <c r="AD96" s="23"/>
      <c r="AE96" s="23"/>
      <c r="AR96" s="87" t="s">
        <v>305</v>
      </c>
      <c r="AT96" s="87" t="s">
        <v>218</v>
      </c>
      <c r="AU96" s="87" t="s">
        <v>77</v>
      </c>
      <c r="AY96" s="19" t="s">
        <v>216</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305</v>
      </c>
      <c r="BM96" s="87" t="s">
        <v>1798</v>
      </c>
    </row>
    <row r="97" spans="1:65" s="2" customFormat="1" ht="14.45" customHeight="1">
      <c r="A97" s="271"/>
      <c r="B97" s="270"/>
      <c r="C97" s="308" t="s">
        <v>77</v>
      </c>
      <c r="D97" s="308" t="s">
        <v>218</v>
      </c>
      <c r="E97" s="309" t="s">
        <v>1799</v>
      </c>
      <c r="F97" s="310" t="s">
        <v>3050</v>
      </c>
      <c r="G97" s="311" t="s">
        <v>1766</v>
      </c>
      <c r="H97" s="312">
        <v>1</v>
      </c>
      <c r="I97" s="413">
        <f>'G-BPS'!L92</f>
        <v>0</v>
      </c>
      <c r="J97" s="413">
        <f>ROUND(I97*H97,2)</f>
        <v>0</v>
      </c>
      <c r="K97" s="310" t="s">
        <v>3</v>
      </c>
      <c r="L97" s="24"/>
      <c r="M97" s="115" t="s">
        <v>3</v>
      </c>
      <c r="N97" s="116" t="s">
        <v>39</v>
      </c>
      <c r="O97" s="117">
        <v>0</v>
      </c>
      <c r="P97" s="117">
        <f>O97*H97</f>
        <v>0</v>
      </c>
      <c r="Q97" s="117">
        <v>0</v>
      </c>
      <c r="R97" s="117">
        <f>Q97*H97</f>
        <v>0</v>
      </c>
      <c r="S97" s="117">
        <v>0</v>
      </c>
      <c r="T97" s="118">
        <f>S97*H97</f>
        <v>0</v>
      </c>
      <c r="U97" s="23"/>
      <c r="V97" s="23"/>
      <c r="W97" s="23"/>
      <c r="X97" s="23"/>
      <c r="Y97" s="23"/>
      <c r="Z97" s="23"/>
      <c r="AA97" s="23"/>
      <c r="AB97" s="23"/>
      <c r="AC97" s="23"/>
      <c r="AD97" s="23"/>
      <c r="AE97" s="23"/>
      <c r="AR97" s="87" t="s">
        <v>305</v>
      </c>
      <c r="AT97" s="87" t="s">
        <v>218</v>
      </c>
      <c r="AU97" s="87" t="s">
        <v>77</v>
      </c>
      <c r="AY97" s="19" t="s">
        <v>216</v>
      </c>
      <c r="BE97" s="88">
        <f>IF(N97="základní",J97,0)</f>
        <v>0</v>
      </c>
      <c r="BF97" s="88">
        <f>IF(N97="snížená",J97,0)</f>
        <v>0</v>
      </c>
      <c r="BG97" s="88">
        <f>IF(N97="zákl. přenesená",J97,0)</f>
        <v>0</v>
      </c>
      <c r="BH97" s="88">
        <f>IF(N97="sníž. přenesená",J97,0)</f>
        <v>0</v>
      </c>
      <c r="BI97" s="88">
        <f>IF(N97="nulová",J97,0)</f>
        <v>0</v>
      </c>
      <c r="BJ97" s="19" t="s">
        <v>75</v>
      </c>
      <c r="BK97" s="88">
        <f>ROUND(I97*H97,2)</f>
        <v>0</v>
      </c>
      <c r="BL97" s="19" t="s">
        <v>305</v>
      </c>
      <c r="BM97" s="87" t="s">
        <v>1800</v>
      </c>
    </row>
    <row r="98" spans="1:65" s="2" customFormat="1" ht="6.95" customHeight="1">
      <c r="A98" s="271"/>
      <c r="B98" s="286"/>
      <c r="C98" s="287"/>
      <c r="D98" s="287"/>
      <c r="E98" s="287"/>
      <c r="F98" s="287"/>
      <c r="G98" s="287"/>
      <c r="H98" s="287"/>
      <c r="I98" s="287"/>
      <c r="J98" s="287"/>
      <c r="K98" s="287"/>
      <c r="L98" s="24"/>
      <c r="M98" s="23"/>
      <c r="O98" s="23"/>
      <c r="P98" s="23"/>
      <c r="Q98" s="23"/>
      <c r="R98" s="23"/>
      <c r="S98" s="23"/>
      <c r="T98" s="23"/>
      <c r="U98" s="23"/>
      <c r="V98" s="23"/>
      <c r="W98" s="23"/>
      <c r="X98" s="23"/>
      <c r="Y98" s="23"/>
      <c r="Z98" s="23"/>
      <c r="AA98" s="23"/>
      <c r="AB98" s="23"/>
      <c r="AC98" s="23"/>
      <c r="AD98" s="23"/>
      <c r="AE98" s="23"/>
    </row>
  </sheetData>
  <sheetProtection password="CAB1" sheet="1" objects="1" scenarios="1"/>
  <autoFilter ref="C92:K9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N100"/>
  <sheetViews>
    <sheetView view="pageBreakPreview" topLeftCell="A22" zoomScale="50" zoomScaleSheetLayoutView="50" workbookViewId="0">
      <selection activeCell="B34" sqref="B34"/>
    </sheetView>
  </sheetViews>
  <sheetFormatPr defaultRowHeight="15"/>
  <cols>
    <col min="1" max="1" width="9.33203125" style="234"/>
    <col min="2" max="2" width="203.5" style="233" customWidth="1"/>
    <col min="3" max="3" width="22.1640625" style="234" customWidth="1"/>
    <col min="4" max="4" width="20" style="234" bestFit="1" customWidth="1"/>
    <col min="5" max="5" width="7.33203125" style="234" bestFit="1" customWidth="1"/>
    <col min="6" max="6" width="9.83203125" style="234" bestFit="1" customWidth="1"/>
    <col min="7" max="7" width="7.33203125" style="234" bestFit="1" customWidth="1"/>
    <col min="8" max="8" width="12" style="234" customWidth="1"/>
    <col min="9" max="9" width="14.1640625" style="234" customWidth="1"/>
    <col min="10" max="10" width="19.5" style="233" bestFit="1" customWidth="1"/>
    <col min="11" max="11" width="6.6640625" style="234" bestFit="1" customWidth="1"/>
    <col min="12" max="12" width="19.6640625" style="233" bestFit="1" customWidth="1"/>
    <col min="13" max="13" width="6.1640625" style="233" bestFit="1" customWidth="1"/>
    <col min="14" max="14" width="21" style="233" bestFit="1" customWidth="1"/>
    <col min="15" max="16384" width="9.33203125" style="233"/>
  </cols>
  <sheetData>
    <row r="1" spans="1:14" ht="45">
      <c r="A1" s="573" t="s">
        <v>2939</v>
      </c>
      <c r="B1" s="544" t="s">
        <v>2938</v>
      </c>
      <c r="C1" s="619" t="s">
        <v>2937</v>
      </c>
      <c r="D1" s="619" t="s">
        <v>2936</v>
      </c>
      <c r="E1" s="545" t="s">
        <v>2935</v>
      </c>
      <c r="F1" s="545" t="s">
        <v>2934</v>
      </c>
      <c r="G1" s="545" t="s">
        <v>2933</v>
      </c>
      <c r="H1" s="545" t="s">
        <v>2932</v>
      </c>
      <c r="I1" s="545" t="s">
        <v>2931</v>
      </c>
      <c r="J1" s="671" t="s">
        <v>2930</v>
      </c>
      <c r="K1" s="622" t="s">
        <v>2929</v>
      </c>
      <c r="L1" s="623" t="s">
        <v>2928</v>
      </c>
      <c r="M1" s="623" t="s">
        <v>38</v>
      </c>
      <c r="N1" s="623" t="s">
        <v>2927</v>
      </c>
    </row>
    <row r="2" spans="1:14">
      <c r="A2" s="665"/>
      <c r="B2" s="544" t="s">
        <v>2926</v>
      </c>
      <c r="C2" s="545"/>
      <c r="D2" s="545"/>
      <c r="E2" s="545"/>
      <c r="F2" s="545"/>
      <c r="G2" s="545"/>
      <c r="H2" s="545"/>
      <c r="I2" s="545"/>
      <c r="J2" s="537"/>
      <c r="K2" s="573"/>
      <c r="L2" s="574"/>
      <c r="M2" s="574"/>
      <c r="N2" s="574"/>
    </row>
    <row r="3" spans="1:14">
      <c r="A3" s="665"/>
      <c r="B3" s="544" t="s">
        <v>2925</v>
      </c>
      <c r="C3" s="545"/>
      <c r="D3" s="545"/>
      <c r="E3" s="665"/>
      <c r="F3" s="665"/>
      <c r="G3" s="665"/>
      <c r="H3" s="665"/>
      <c r="I3" s="665"/>
      <c r="J3" s="537"/>
      <c r="K3" s="665"/>
      <c r="L3" s="574"/>
      <c r="M3" s="574"/>
      <c r="N3" s="574"/>
    </row>
    <row r="4" spans="1:14" ht="90">
      <c r="A4" s="666" t="s">
        <v>2924</v>
      </c>
      <c r="B4" s="548" t="s">
        <v>2923</v>
      </c>
      <c r="C4" s="549"/>
      <c r="D4" s="549"/>
      <c r="E4" s="665">
        <v>1200</v>
      </c>
      <c r="F4" s="665">
        <v>700</v>
      </c>
      <c r="G4" s="665">
        <v>750</v>
      </c>
      <c r="H4" s="665"/>
      <c r="I4" s="665">
        <v>3.1</v>
      </c>
      <c r="J4" s="238">
        <v>0</v>
      </c>
      <c r="K4" s="665">
        <v>1</v>
      </c>
      <c r="L4" s="667">
        <f t="shared" ref="L4:L10" si="0">K4*J4</f>
        <v>0</v>
      </c>
      <c r="M4" s="577">
        <v>21</v>
      </c>
      <c r="N4" s="667">
        <f t="shared" ref="N4:N10" si="1">L4*(1+(M4/100))</f>
        <v>0</v>
      </c>
    </row>
    <row r="5" spans="1:14" ht="75">
      <c r="A5" s="666" t="s">
        <v>2922</v>
      </c>
      <c r="B5" s="548" t="s">
        <v>2921</v>
      </c>
      <c r="C5" s="549"/>
      <c r="D5" s="549"/>
      <c r="E5" s="665">
        <v>1800</v>
      </c>
      <c r="F5" s="665">
        <v>700</v>
      </c>
      <c r="G5" s="665">
        <v>750</v>
      </c>
      <c r="H5" s="665"/>
      <c r="I5" s="665">
        <v>4.0999999999999996</v>
      </c>
      <c r="J5" s="238">
        <v>0</v>
      </c>
      <c r="K5" s="665">
        <v>1</v>
      </c>
      <c r="L5" s="667">
        <f t="shared" si="0"/>
        <v>0</v>
      </c>
      <c r="M5" s="577">
        <v>21</v>
      </c>
      <c r="N5" s="667">
        <f t="shared" si="1"/>
        <v>0</v>
      </c>
    </row>
    <row r="6" spans="1:14">
      <c r="A6" s="666" t="s">
        <v>2920</v>
      </c>
      <c r="B6" s="548" t="s">
        <v>2869</v>
      </c>
      <c r="C6" s="665"/>
      <c r="D6" s="665"/>
      <c r="E6" s="665">
        <v>560</v>
      </c>
      <c r="F6" s="665">
        <v>435</v>
      </c>
      <c r="G6" s="665">
        <v>185</v>
      </c>
      <c r="H6" s="665"/>
      <c r="I6" s="665"/>
      <c r="J6" s="239">
        <v>0</v>
      </c>
      <c r="K6" s="665">
        <v>1</v>
      </c>
      <c r="L6" s="667">
        <f t="shared" si="0"/>
        <v>0</v>
      </c>
      <c r="M6" s="577">
        <v>21</v>
      </c>
      <c r="N6" s="667">
        <f t="shared" si="1"/>
        <v>0</v>
      </c>
    </row>
    <row r="7" spans="1:14" ht="45">
      <c r="A7" s="666"/>
      <c r="B7" s="548" t="s">
        <v>2868</v>
      </c>
      <c r="C7" s="550"/>
      <c r="D7" s="550"/>
      <c r="E7" s="665"/>
      <c r="F7" s="665"/>
      <c r="G7" s="665"/>
      <c r="H7" s="665" t="s">
        <v>2867</v>
      </c>
      <c r="I7" s="665">
        <v>0</v>
      </c>
      <c r="J7" s="239">
        <v>0</v>
      </c>
      <c r="K7" s="665">
        <v>1</v>
      </c>
      <c r="L7" s="667">
        <f t="shared" si="0"/>
        <v>0</v>
      </c>
      <c r="M7" s="577">
        <v>21</v>
      </c>
      <c r="N7" s="667">
        <f t="shared" si="1"/>
        <v>0</v>
      </c>
    </row>
    <row r="8" spans="1:14" ht="30">
      <c r="A8" s="666"/>
      <c r="B8" s="548" t="s">
        <v>2866</v>
      </c>
      <c r="C8" s="550"/>
      <c r="D8" s="550"/>
      <c r="E8" s="665"/>
      <c r="F8" s="665"/>
      <c r="G8" s="665"/>
      <c r="H8" s="665"/>
      <c r="I8" s="665"/>
      <c r="J8" s="239">
        <v>0</v>
      </c>
      <c r="K8" s="665">
        <v>1</v>
      </c>
      <c r="L8" s="667">
        <f t="shared" si="0"/>
        <v>0</v>
      </c>
      <c r="M8" s="577">
        <v>21</v>
      </c>
      <c r="N8" s="667">
        <f t="shared" si="1"/>
        <v>0</v>
      </c>
    </row>
    <row r="9" spans="1:14">
      <c r="A9" s="666"/>
      <c r="B9" s="548" t="s">
        <v>2865</v>
      </c>
      <c r="C9" s="550"/>
      <c r="D9" s="550"/>
      <c r="E9" s="665"/>
      <c r="F9" s="665"/>
      <c r="G9" s="665"/>
      <c r="H9" s="665"/>
      <c r="I9" s="665"/>
      <c r="J9" s="239">
        <v>0</v>
      </c>
      <c r="K9" s="665">
        <v>1</v>
      </c>
      <c r="L9" s="667">
        <f t="shared" si="0"/>
        <v>0</v>
      </c>
      <c r="M9" s="577">
        <v>21</v>
      </c>
      <c r="N9" s="667">
        <f t="shared" si="1"/>
        <v>0</v>
      </c>
    </row>
    <row r="10" spans="1:14">
      <c r="A10" s="665"/>
      <c r="B10" s="544" t="s">
        <v>2919</v>
      </c>
      <c r="C10" s="545"/>
      <c r="D10" s="545"/>
      <c r="E10" s="665"/>
      <c r="F10" s="665"/>
      <c r="G10" s="665"/>
      <c r="H10" s="665"/>
      <c r="I10" s="665"/>
      <c r="J10" s="238">
        <v>0</v>
      </c>
      <c r="K10" s="665"/>
      <c r="L10" s="667">
        <f t="shared" si="0"/>
        <v>0</v>
      </c>
      <c r="M10" s="577">
        <v>21</v>
      </c>
      <c r="N10" s="667">
        <f t="shared" si="1"/>
        <v>0</v>
      </c>
    </row>
    <row r="11" spans="1:14" ht="357" customHeight="1">
      <c r="A11" s="772" t="s">
        <v>3464</v>
      </c>
      <c r="B11" s="770" t="s">
        <v>2918</v>
      </c>
      <c r="C11" s="765"/>
      <c r="D11" s="765"/>
      <c r="E11" s="764">
        <v>1100</v>
      </c>
      <c r="F11" s="764">
        <v>938</v>
      </c>
      <c r="G11" s="764">
        <v>485</v>
      </c>
      <c r="H11" s="764"/>
      <c r="I11" s="764">
        <v>21</v>
      </c>
      <c r="J11" s="768">
        <v>0</v>
      </c>
      <c r="K11" s="764">
        <v>1</v>
      </c>
      <c r="L11" s="766">
        <f>K11*J11</f>
        <v>0</v>
      </c>
      <c r="M11" s="767">
        <v>21</v>
      </c>
      <c r="N11" s="766">
        <f>L11*(1+(M11/100))</f>
        <v>0</v>
      </c>
    </row>
    <row r="12" spans="1:14" ht="409.5" hidden="1" customHeight="1">
      <c r="A12" s="773"/>
      <c r="B12" s="771"/>
      <c r="C12" s="765"/>
      <c r="D12" s="765"/>
      <c r="E12" s="764"/>
      <c r="F12" s="764"/>
      <c r="G12" s="764"/>
      <c r="H12" s="764"/>
      <c r="I12" s="764"/>
      <c r="J12" s="768"/>
      <c r="K12" s="764"/>
      <c r="L12" s="766"/>
      <c r="M12" s="767"/>
      <c r="N12" s="766"/>
    </row>
    <row r="13" spans="1:14" ht="250.5" customHeight="1">
      <c r="A13" s="772" t="s">
        <v>3465</v>
      </c>
      <c r="B13" s="770" t="s">
        <v>2918</v>
      </c>
      <c r="C13" s="764"/>
      <c r="D13" s="764"/>
      <c r="E13" s="764">
        <v>1100</v>
      </c>
      <c r="F13" s="764">
        <v>938</v>
      </c>
      <c r="G13" s="764">
        <v>485</v>
      </c>
      <c r="H13" s="764">
        <v>0</v>
      </c>
      <c r="I13" s="764">
        <v>21</v>
      </c>
      <c r="J13" s="768">
        <v>0</v>
      </c>
      <c r="K13" s="764">
        <v>1</v>
      </c>
      <c r="L13" s="766">
        <f>K13*J13</f>
        <v>0</v>
      </c>
      <c r="M13" s="767">
        <v>21</v>
      </c>
      <c r="N13" s="766">
        <f>L13*(1+(M13/100))</f>
        <v>0</v>
      </c>
    </row>
    <row r="14" spans="1:14" ht="102" customHeight="1">
      <c r="A14" s="773"/>
      <c r="B14" s="771"/>
      <c r="C14" s="764"/>
      <c r="D14" s="764"/>
      <c r="E14" s="764"/>
      <c r="F14" s="764"/>
      <c r="G14" s="764"/>
      <c r="H14" s="764"/>
      <c r="I14" s="764"/>
      <c r="J14" s="769"/>
      <c r="K14" s="764"/>
      <c r="L14" s="766"/>
      <c r="M14" s="767"/>
      <c r="N14" s="766"/>
    </row>
    <row r="15" spans="1:14" ht="264.75" customHeight="1">
      <c r="A15" s="673" t="s">
        <v>3466</v>
      </c>
      <c r="B15" s="643" t="s">
        <v>3449</v>
      </c>
      <c r="C15" s="549"/>
      <c r="D15" s="549"/>
      <c r="E15" s="665">
        <v>850</v>
      </c>
      <c r="F15" s="665">
        <v>842</v>
      </c>
      <c r="G15" s="665">
        <v>754</v>
      </c>
      <c r="H15" s="665">
        <v>0</v>
      </c>
      <c r="I15" s="665">
        <v>11</v>
      </c>
      <c r="J15" s="238">
        <v>0</v>
      </c>
      <c r="K15" s="665">
        <v>1</v>
      </c>
      <c r="L15" s="667">
        <f t="shared" ref="L15:L46" si="2">K15*J15</f>
        <v>0</v>
      </c>
      <c r="M15" s="577">
        <v>21</v>
      </c>
      <c r="N15" s="667">
        <f t="shared" ref="N15:N46" si="3">L15*(1+(M15/100))</f>
        <v>0</v>
      </c>
    </row>
    <row r="16" spans="1:14" ht="279.75" customHeight="1">
      <c r="A16" s="673" t="s">
        <v>3467</v>
      </c>
      <c r="B16" s="643" t="s">
        <v>3450</v>
      </c>
      <c r="C16" s="549"/>
      <c r="D16" s="549"/>
      <c r="E16" s="665">
        <v>850</v>
      </c>
      <c r="F16" s="665">
        <v>842</v>
      </c>
      <c r="G16" s="665">
        <v>1014</v>
      </c>
      <c r="H16" s="665">
        <v>0</v>
      </c>
      <c r="I16" s="665">
        <v>18</v>
      </c>
      <c r="J16" s="238">
        <v>0</v>
      </c>
      <c r="K16" s="665">
        <v>1</v>
      </c>
      <c r="L16" s="667">
        <f t="shared" si="2"/>
        <v>0</v>
      </c>
      <c r="M16" s="577">
        <v>21</v>
      </c>
      <c r="N16" s="667">
        <f t="shared" si="3"/>
        <v>0</v>
      </c>
    </row>
    <row r="17" spans="1:14" ht="105" customHeight="1">
      <c r="A17" s="666" t="s">
        <v>2917</v>
      </c>
      <c r="B17" s="644" t="s">
        <v>3451</v>
      </c>
      <c r="C17" s="665"/>
      <c r="D17" s="665"/>
      <c r="E17" s="665"/>
      <c r="F17" s="665"/>
      <c r="G17" s="665"/>
      <c r="H17" s="665"/>
      <c r="I17" s="665">
        <v>3.5</v>
      </c>
      <c r="J17" s="238">
        <v>0</v>
      </c>
      <c r="K17" s="665">
        <v>4</v>
      </c>
      <c r="L17" s="667">
        <f t="shared" si="2"/>
        <v>0</v>
      </c>
      <c r="M17" s="577">
        <v>21</v>
      </c>
      <c r="N17" s="667">
        <f t="shared" si="3"/>
        <v>0</v>
      </c>
    </row>
    <row r="18" spans="1:14">
      <c r="A18" s="666" t="s">
        <v>2916</v>
      </c>
      <c r="B18" s="548" t="s">
        <v>2915</v>
      </c>
      <c r="C18" s="549"/>
      <c r="D18" s="549"/>
      <c r="E18" s="665"/>
      <c r="F18" s="665"/>
      <c r="G18" s="665"/>
      <c r="H18" s="665"/>
      <c r="I18" s="665"/>
      <c r="J18" s="238">
        <v>0</v>
      </c>
      <c r="K18" s="665">
        <v>1</v>
      </c>
      <c r="L18" s="667">
        <f t="shared" si="2"/>
        <v>0</v>
      </c>
      <c r="M18" s="577">
        <v>21</v>
      </c>
      <c r="N18" s="667">
        <f t="shared" si="3"/>
        <v>0</v>
      </c>
    </row>
    <row r="19" spans="1:14" ht="55.5" customHeight="1">
      <c r="A19" s="666" t="s">
        <v>2914</v>
      </c>
      <c r="B19" s="548" t="s">
        <v>2913</v>
      </c>
      <c r="C19" s="549"/>
      <c r="D19" s="549"/>
      <c r="E19" s="665">
        <v>1900</v>
      </c>
      <c r="F19" s="665">
        <v>700</v>
      </c>
      <c r="G19" s="665">
        <v>750</v>
      </c>
      <c r="H19" s="665">
        <v>0</v>
      </c>
      <c r="I19" s="665">
        <v>0</v>
      </c>
      <c r="J19" s="238">
        <v>0</v>
      </c>
      <c r="K19" s="665">
        <v>1</v>
      </c>
      <c r="L19" s="667">
        <f t="shared" si="2"/>
        <v>0</v>
      </c>
      <c r="M19" s="577">
        <v>21</v>
      </c>
      <c r="N19" s="667">
        <f t="shared" si="3"/>
        <v>0</v>
      </c>
    </row>
    <row r="20" spans="1:14">
      <c r="A20" s="666"/>
      <c r="B20" s="548" t="s">
        <v>2882</v>
      </c>
      <c r="C20" s="549"/>
      <c r="D20" s="549"/>
      <c r="E20" s="665"/>
      <c r="F20" s="665"/>
      <c r="G20" s="665"/>
      <c r="H20" s="665"/>
      <c r="I20" s="665"/>
      <c r="J20" s="238">
        <v>0</v>
      </c>
      <c r="K20" s="665">
        <v>1</v>
      </c>
      <c r="L20" s="667">
        <f t="shared" si="2"/>
        <v>0</v>
      </c>
      <c r="M20" s="577">
        <v>21</v>
      </c>
      <c r="N20" s="667">
        <f t="shared" si="3"/>
        <v>0</v>
      </c>
    </row>
    <row r="21" spans="1:14" s="240" customFormat="1" ht="75" customHeight="1">
      <c r="A21" s="666" t="s">
        <v>2912</v>
      </c>
      <c r="B21" s="548" t="s">
        <v>2911</v>
      </c>
      <c r="C21" s="549"/>
      <c r="D21" s="549"/>
      <c r="E21" s="549">
        <v>3000</v>
      </c>
      <c r="F21" s="549">
        <v>700</v>
      </c>
      <c r="G21" s="549">
        <v>750</v>
      </c>
      <c r="H21" s="549"/>
      <c r="I21" s="549">
        <v>0</v>
      </c>
      <c r="J21" s="238">
        <v>0</v>
      </c>
      <c r="K21" s="549">
        <v>1</v>
      </c>
      <c r="L21" s="667">
        <f t="shared" si="2"/>
        <v>0</v>
      </c>
      <c r="M21" s="577">
        <v>21</v>
      </c>
      <c r="N21" s="667">
        <f t="shared" si="3"/>
        <v>0</v>
      </c>
    </row>
    <row r="22" spans="1:14" s="240" customFormat="1">
      <c r="A22" s="666"/>
      <c r="B22" s="548" t="s">
        <v>2882</v>
      </c>
      <c r="C22" s="549"/>
      <c r="D22" s="549"/>
      <c r="E22" s="665"/>
      <c r="F22" s="665"/>
      <c r="G22" s="665"/>
      <c r="H22" s="665"/>
      <c r="I22" s="665"/>
      <c r="J22" s="238">
        <v>0</v>
      </c>
      <c r="K22" s="665">
        <v>1</v>
      </c>
      <c r="L22" s="667">
        <f t="shared" si="2"/>
        <v>0</v>
      </c>
      <c r="M22" s="577">
        <v>21</v>
      </c>
      <c r="N22" s="667">
        <f t="shared" si="3"/>
        <v>0</v>
      </c>
    </row>
    <row r="23" spans="1:14" s="240" customFormat="1" ht="60" customHeight="1">
      <c r="A23" s="666"/>
      <c r="B23" s="548" t="s">
        <v>2868</v>
      </c>
      <c r="C23" s="550"/>
      <c r="D23" s="550"/>
      <c r="E23" s="665"/>
      <c r="F23" s="665"/>
      <c r="G23" s="665"/>
      <c r="H23" s="665" t="s">
        <v>2867</v>
      </c>
      <c r="I23" s="665">
        <v>0</v>
      </c>
      <c r="J23" s="238">
        <v>0</v>
      </c>
      <c r="K23" s="549">
        <v>1</v>
      </c>
      <c r="L23" s="667">
        <f t="shared" si="2"/>
        <v>0</v>
      </c>
      <c r="M23" s="577">
        <v>21</v>
      </c>
      <c r="N23" s="667">
        <f t="shared" si="3"/>
        <v>0</v>
      </c>
    </row>
    <row r="24" spans="1:14" s="240" customFormat="1" ht="30">
      <c r="A24" s="666"/>
      <c r="B24" s="551" t="s">
        <v>2866</v>
      </c>
      <c r="C24" s="549"/>
      <c r="D24" s="549"/>
      <c r="E24" s="552">
        <v>100</v>
      </c>
      <c r="F24" s="552">
        <v>75</v>
      </c>
      <c r="G24" s="552">
        <v>190</v>
      </c>
      <c r="H24" s="665"/>
      <c r="I24" s="549"/>
      <c r="J24" s="238">
        <v>0</v>
      </c>
      <c r="K24" s="549">
        <v>1</v>
      </c>
      <c r="L24" s="667">
        <f t="shared" si="2"/>
        <v>0</v>
      </c>
      <c r="M24" s="577">
        <v>21</v>
      </c>
      <c r="N24" s="667">
        <f t="shared" si="3"/>
        <v>0</v>
      </c>
    </row>
    <row r="25" spans="1:14" s="240" customFormat="1" ht="30" customHeight="1">
      <c r="A25" s="666"/>
      <c r="B25" s="551" t="s">
        <v>2865</v>
      </c>
      <c r="C25" s="549"/>
      <c r="D25" s="549"/>
      <c r="E25" s="552">
        <v>255</v>
      </c>
      <c r="F25" s="552">
        <v>120</v>
      </c>
      <c r="G25" s="552">
        <v>155</v>
      </c>
      <c r="H25" s="665"/>
      <c r="I25" s="549"/>
      <c r="J25" s="238">
        <v>0</v>
      </c>
      <c r="K25" s="549">
        <v>1</v>
      </c>
      <c r="L25" s="667">
        <f t="shared" si="2"/>
        <v>0</v>
      </c>
      <c r="M25" s="577">
        <v>21</v>
      </c>
      <c r="N25" s="667">
        <f t="shared" si="3"/>
        <v>0</v>
      </c>
    </row>
    <row r="26" spans="1:14" s="240" customFormat="1" ht="60" customHeight="1">
      <c r="A26" s="666" t="s">
        <v>2910</v>
      </c>
      <c r="B26" s="644" t="s">
        <v>3452</v>
      </c>
      <c r="C26" s="554"/>
      <c r="D26" s="554"/>
      <c r="E26" s="665">
        <v>576</v>
      </c>
      <c r="F26" s="665">
        <v>668</v>
      </c>
      <c r="G26" s="665">
        <v>1172</v>
      </c>
      <c r="H26" s="665">
        <v>0</v>
      </c>
      <c r="I26" s="665">
        <v>0.75</v>
      </c>
      <c r="J26" s="238">
        <v>0</v>
      </c>
      <c r="K26" s="665">
        <v>1</v>
      </c>
      <c r="L26" s="667">
        <f t="shared" si="2"/>
        <v>0</v>
      </c>
      <c r="M26" s="577">
        <v>21</v>
      </c>
      <c r="N26" s="667">
        <f t="shared" si="3"/>
        <v>0</v>
      </c>
    </row>
    <row r="27" spans="1:14" s="240" customFormat="1">
      <c r="A27" s="666" t="s">
        <v>2909</v>
      </c>
      <c r="B27" s="555" t="s">
        <v>2908</v>
      </c>
      <c r="C27" s="549"/>
      <c r="D27" s="549"/>
      <c r="E27" s="549">
        <v>1300</v>
      </c>
      <c r="F27" s="549">
        <v>1300</v>
      </c>
      <c r="G27" s="549">
        <v>500</v>
      </c>
      <c r="H27" s="549"/>
      <c r="I27" s="549"/>
      <c r="J27" s="238">
        <v>0</v>
      </c>
      <c r="K27" s="549">
        <v>1</v>
      </c>
      <c r="L27" s="667">
        <f t="shared" si="2"/>
        <v>0</v>
      </c>
      <c r="M27" s="577">
        <v>21</v>
      </c>
      <c r="N27" s="667">
        <f t="shared" si="3"/>
        <v>0</v>
      </c>
    </row>
    <row r="28" spans="1:14" s="240" customFormat="1">
      <c r="A28" s="666" t="s">
        <v>2907</v>
      </c>
      <c r="B28" s="555" t="s">
        <v>2906</v>
      </c>
      <c r="C28" s="549"/>
      <c r="D28" s="549"/>
      <c r="E28" s="549">
        <v>1500</v>
      </c>
      <c r="F28" s="549">
        <v>1000</v>
      </c>
      <c r="G28" s="549">
        <v>500</v>
      </c>
      <c r="H28" s="549">
        <v>0.5</v>
      </c>
      <c r="I28" s="549"/>
      <c r="J28" s="238">
        <v>0</v>
      </c>
      <c r="K28" s="549">
        <v>1</v>
      </c>
      <c r="L28" s="667">
        <f t="shared" si="2"/>
        <v>0</v>
      </c>
      <c r="M28" s="577">
        <v>21</v>
      </c>
      <c r="N28" s="667">
        <f t="shared" si="3"/>
        <v>0</v>
      </c>
    </row>
    <row r="29" spans="1:14" s="240" customFormat="1">
      <c r="A29" s="666" t="s">
        <v>2905</v>
      </c>
      <c r="B29" s="555" t="s">
        <v>2904</v>
      </c>
      <c r="C29" s="549"/>
      <c r="D29" s="549"/>
      <c r="E29" s="549">
        <v>2800</v>
      </c>
      <c r="F29" s="549">
        <v>1000</v>
      </c>
      <c r="G29" s="549">
        <v>500</v>
      </c>
      <c r="H29" s="549">
        <v>0.5</v>
      </c>
      <c r="I29" s="549"/>
      <c r="J29" s="238">
        <v>0</v>
      </c>
      <c r="K29" s="549">
        <v>1</v>
      </c>
      <c r="L29" s="667">
        <f t="shared" si="2"/>
        <v>0</v>
      </c>
      <c r="M29" s="577">
        <v>21</v>
      </c>
      <c r="N29" s="667">
        <f t="shared" si="3"/>
        <v>0</v>
      </c>
    </row>
    <row r="30" spans="1:14" s="240" customFormat="1">
      <c r="A30" s="666" t="s">
        <v>2903</v>
      </c>
      <c r="B30" s="555" t="s">
        <v>2900</v>
      </c>
      <c r="C30" s="549"/>
      <c r="D30" s="549"/>
      <c r="E30" s="549">
        <v>800</v>
      </c>
      <c r="F30" s="549">
        <v>350</v>
      </c>
      <c r="G30" s="549">
        <v>600</v>
      </c>
      <c r="H30" s="549"/>
      <c r="I30" s="549"/>
      <c r="J30" s="238">
        <v>0</v>
      </c>
      <c r="K30" s="549">
        <v>1</v>
      </c>
      <c r="L30" s="667">
        <f t="shared" si="2"/>
        <v>0</v>
      </c>
      <c r="M30" s="577">
        <v>21</v>
      </c>
      <c r="N30" s="667">
        <f t="shared" si="3"/>
        <v>0</v>
      </c>
    </row>
    <row r="31" spans="1:14" s="240" customFormat="1">
      <c r="A31" s="666" t="s">
        <v>2902</v>
      </c>
      <c r="B31" s="555" t="s">
        <v>2900</v>
      </c>
      <c r="C31" s="549"/>
      <c r="D31" s="549"/>
      <c r="E31" s="549">
        <v>950</v>
      </c>
      <c r="F31" s="549">
        <v>350</v>
      </c>
      <c r="G31" s="549">
        <v>600</v>
      </c>
      <c r="H31" s="549"/>
      <c r="I31" s="549"/>
      <c r="J31" s="238">
        <v>0</v>
      </c>
      <c r="K31" s="549">
        <v>2</v>
      </c>
      <c r="L31" s="667">
        <f t="shared" si="2"/>
        <v>0</v>
      </c>
      <c r="M31" s="577">
        <v>21</v>
      </c>
      <c r="N31" s="667">
        <f t="shared" si="3"/>
        <v>0</v>
      </c>
    </row>
    <row r="32" spans="1:14" s="240" customFormat="1">
      <c r="A32" s="666" t="s">
        <v>2901</v>
      </c>
      <c r="B32" s="555" t="s">
        <v>2900</v>
      </c>
      <c r="C32" s="549"/>
      <c r="D32" s="549"/>
      <c r="E32" s="549">
        <v>1200</v>
      </c>
      <c r="F32" s="549">
        <v>350</v>
      </c>
      <c r="G32" s="549">
        <v>600</v>
      </c>
      <c r="H32" s="549"/>
      <c r="I32" s="549"/>
      <c r="J32" s="238">
        <v>0</v>
      </c>
      <c r="K32" s="549">
        <v>1</v>
      </c>
      <c r="L32" s="667">
        <f t="shared" si="2"/>
        <v>0</v>
      </c>
      <c r="M32" s="577">
        <v>21</v>
      </c>
      <c r="N32" s="667">
        <f t="shared" si="3"/>
        <v>0</v>
      </c>
    </row>
    <row r="33" spans="1:14">
      <c r="A33" s="665"/>
      <c r="B33" s="544" t="s">
        <v>2899</v>
      </c>
      <c r="C33" s="545"/>
      <c r="D33" s="545"/>
      <c r="E33" s="665"/>
      <c r="F33" s="665"/>
      <c r="G33" s="665"/>
      <c r="H33" s="665"/>
      <c r="I33" s="665"/>
      <c r="J33" s="238">
        <v>0</v>
      </c>
      <c r="K33" s="665"/>
      <c r="L33" s="667">
        <f t="shared" si="2"/>
        <v>0</v>
      </c>
      <c r="M33" s="577">
        <v>21</v>
      </c>
      <c r="N33" s="667">
        <f t="shared" si="3"/>
        <v>0</v>
      </c>
    </row>
    <row r="34" spans="1:14" ht="291" customHeight="1">
      <c r="A34" s="673" t="s">
        <v>3468</v>
      </c>
      <c r="B34" s="644" t="s">
        <v>3453</v>
      </c>
      <c r="C34" s="549"/>
      <c r="D34" s="549"/>
      <c r="E34" s="665">
        <v>850</v>
      </c>
      <c r="F34" s="665">
        <v>1002</v>
      </c>
      <c r="G34" s="665">
        <v>2339</v>
      </c>
      <c r="H34" s="665">
        <v>0</v>
      </c>
      <c r="I34" s="665">
        <v>17.600000000000001</v>
      </c>
      <c r="J34" s="238">
        <v>0</v>
      </c>
      <c r="K34" s="665">
        <v>1</v>
      </c>
      <c r="L34" s="667">
        <f t="shared" si="2"/>
        <v>0</v>
      </c>
      <c r="M34" s="577">
        <v>21</v>
      </c>
      <c r="N34" s="667">
        <f t="shared" si="3"/>
        <v>0</v>
      </c>
    </row>
    <row r="35" spans="1:14" ht="45">
      <c r="A35" s="666" t="s">
        <v>2898</v>
      </c>
      <c r="B35" s="548" t="s">
        <v>2897</v>
      </c>
      <c r="C35" s="549"/>
      <c r="D35" s="549"/>
      <c r="E35" s="665">
        <v>2200</v>
      </c>
      <c r="F35" s="665">
        <v>750</v>
      </c>
      <c r="G35" s="665">
        <v>900</v>
      </c>
      <c r="H35" s="665">
        <v>0</v>
      </c>
      <c r="I35" s="665">
        <v>0</v>
      </c>
      <c r="J35" s="238">
        <v>0</v>
      </c>
      <c r="K35" s="665">
        <v>1</v>
      </c>
      <c r="L35" s="667">
        <f t="shared" si="2"/>
        <v>0</v>
      </c>
      <c r="M35" s="577">
        <v>21</v>
      </c>
      <c r="N35" s="667">
        <f t="shared" si="3"/>
        <v>0</v>
      </c>
    </row>
    <row r="36" spans="1:14">
      <c r="A36" s="666"/>
      <c r="B36" s="548" t="s">
        <v>2888</v>
      </c>
      <c r="C36" s="549"/>
      <c r="D36" s="549"/>
      <c r="E36" s="665"/>
      <c r="F36" s="665"/>
      <c r="G36" s="665"/>
      <c r="H36" s="665"/>
      <c r="I36" s="665"/>
      <c r="J36" s="238">
        <v>0</v>
      </c>
      <c r="K36" s="665">
        <v>1</v>
      </c>
      <c r="L36" s="667">
        <f t="shared" si="2"/>
        <v>0</v>
      </c>
      <c r="M36" s="577">
        <v>21</v>
      </c>
      <c r="N36" s="667">
        <f t="shared" si="3"/>
        <v>0</v>
      </c>
    </row>
    <row r="37" spans="1:14">
      <c r="A37" s="666" t="s">
        <v>2896</v>
      </c>
      <c r="B37" s="548" t="s">
        <v>2869</v>
      </c>
      <c r="C37" s="665"/>
      <c r="D37" s="665"/>
      <c r="E37" s="665">
        <v>560</v>
      </c>
      <c r="F37" s="665">
        <v>435</v>
      </c>
      <c r="G37" s="665">
        <v>185</v>
      </c>
      <c r="H37" s="665"/>
      <c r="I37" s="665"/>
      <c r="J37" s="238">
        <v>0</v>
      </c>
      <c r="K37" s="665">
        <v>1</v>
      </c>
      <c r="L37" s="667">
        <f t="shared" si="2"/>
        <v>0</v>
      </c>
      <c r="M37" s="577">
        <v>21</v>
      </c>
      <c r="N37" s="667">
        <f t="shared" si="3"/>
        <v>0</v>
      </c>
    </row>
    <row r="38" spans="1:14" ht="45">
      <c r="A38" s="666"/>
      <c r="B38" s="548" t="s">
        <v>2868</v>
      </c>
      <c r="C38" s="550"/>
      <c r="D38" s="550"/>
      <c r="E38" s="665"/>
      <c r="F38" s="665"/>
      <c r="G38" s="665"/>
      <c r="H38" s="665" t="s">
        <v>2867</v>
      </c>
      <c r="I38" s="665">
        <v>0</v>
      </c>
      <c r="J38" s="238">
        <v>0</v>
      </c>
      <c r="K38" s="549">
        <v>1</v>
      </c>
      <c r="L38" s="667">
        <f t="shared" si="2"/>
        <v>0</v>
      </c>
      <c r="M38" s="577">
        <v>21</v>
      </c>
      <c r="N38" s="667">
        <f t="shared" si="3"/>
        <v>0</v>
      </c>
    </row>
    <row r="39" spans="1:14" ht="30">
      <c r="A39" s="666"/>
      <c r="B39" s="548" t="s">
        <v>2866</v>
      </c>
      <c r="C39" s="550"/>
      <c r="D39" s="550"/>
      <c r="E39" s="665"/>
      <c r="F39" s="665"/>
      <c r="G39" s="665"/>
      <c r="H39" s="665"/>
      <c r="I39" s="665"/>
      <c r="J39" s="238">
        <v>0</v>
      </c>
      <c r="K39" s="549">
        <v>1</v>
      </c>
      <c r="L39" s="667">
        <f t="shared" si="2"/>
        <v>0</v>
      </c>
      <c r="M39" s="577">
        <v>21</v>
      </c>
      <c r="N39" s="667">
        <f t="shared" si="3"/>
        <v>0</v>
      </c>
    </row>
    <row r="40" spans="1:14">
      <c r="A40" s="666"/>
      <c r="B40" s="548" t="s">
        <v>2865</v>
      </c>
      <c r="C40" s="550"/>
      <c r="D40" s="550"/>
      <c r="E40" s="665"/>
      <c r="F40" s="665"/>
      <c r="G40" s="665"/>
      <c r="H40" s="665"/>
      <c r="I40" s="665"/>
      <c r="J40" s="238">
        <v>0</v>
      </c>
      <c r="K40" s="549">
        <v>1</v>
      </c>
      <c r="L40" s="667">
        <f t="shared" si="2"/>
        <v>0</v>
      </c>
      <c r="M40" s="577">
        <v>21</v>
      </c>
      <c r="N40" s="667">
        <f t="shared" si="3"/>
        <v>0</v>
      </c>
    </row>
    <row r="41" spans="1:14">
      <c r="A41" s="666" t="s">
        <v>2895</v>
      </c>
      <c r="B41" s="548" t="s">
        <v>2894</v>
      </c>
      <c r="C41" s="549"/>
      <c r="D41" s="549"/>
      <c r="E41" s="665">
        <v>900</v>
      </c>
      <c r="F41" s="665">
        <v>300</v>
      </c>
      <c r="G41" s="665">
        <v>180</v>
      </c>
      <c r="H41" s="665"/>
      <c r="I41" s="665"/>
      <c r="J41" s="238">
        <v>0</v>
      </c>
      <c r="K41" s="665">
        <v>1</v>
      </c>
      <c r="L41" s="667">
        <f t="shared" si="2"/>
        <v>0</v>
      </c>
      <c r="M41" s="577">
        <v>21</v>
      </c>
      <c r="N41" s="667">
        <f t="shared" si="3"/>
        <v>0</v>
      </c>
    </row>
    <row r="42" spans="1:14" ht="45">
      <c r="A42" s="666" t="s">
        <v>2893</v>
      </c>
      <c r="B42" s="556" t="s">
        <v>2892</v>
      </c>
      <c r="C42" s="557"/>
      <c r="D42" s="557"/>
      <c r="E42" s="550">
        <v>240</v>
      </c>
      <c r="F42" s="550">
        <v>500</v>
      </c>
      <c r="G42" s="550">
        <v>590</v>
      </c>
      <c r="H42" s="549"/>
      <c r="I42" s="549"/>
      <c r="J42" s="238">
        <v>0</v>
      </c>
      <c r="K42" s="549">
        <v>1</v>
      </c>
      <c r="L42" s="667">
        <f t="shared" si="2"/>
        <v>0</v>
      </c>
      <c r="M42" s="577">
        <v>21</v>
      </c>
      <c r="N42" s="667">
        <f t="shared" si="3"/>
        <v>0</v>
      </c>
    </row>
    <row r="43" spans="1:14">
      <c r="A43" s="666"/>
      <c r="B43" s="544" t="s">
        <v>2891</v>
      </c>
      <c r="C43" s="545"/>
      <c r="D43" s="545"/>
      <c r="E43" s="665"/>
      <c r="F43" s="665"/>
      <c r="G43" s="665"/>
      <c r="H43" s="549"/>
      <c r="I43" s="549"/>
      <c r="J43" s="238">
        <v>0</v>
      </c>
      <c r="K43" s="665"/>
      <c r="L43" s="667">
        <f t="shared" si="2"/>
        <v>0</v>
      </c>
      <c r="M43" s="577">
        <v>21</v>
      </c>
      <c r="N43" s="667">
        <f t="shared" si="3"/>
        <v>0</v>
      </c>
    </row>
    <row r="44" spans="1:14" ht="30">
      <c r="A44" s="666" t="s">
        <v>2890</v>
      </c>
      <c r="B44" s="553" t="s">
        <v>2889</v>
      </c>
      <c r="C44" s="549"/>
      <c r="D44" s="549"/>
      <c r="E44" s="665">
        <v>1400</v>
      </c>
      <c r="F44" s="665">
        <v>700</v>
      </c>
      <c r="G44" s="665">
        <v>900</v>
      </c>
      <c r="H44" s="549"/>
      <c r="I44" s="549"/>
      <c r="J44" s="238">
        <v>0</v>
      </c>
      <c r="K44" s="665">
        <v>1</v>
      </c>
      <c r="L44" s="667">
        <f t="shared" si="2"/>
        <v>0</v>
      </c>
      <c r="M44" s="577">
        <v>21</v>
      </c>
      <c r="N44" s="667">
        <f t="shared" si="3"/>
        <v>0</v>
      </c>
    </row>
    <row r="45" spans="1:14">
      <c r="A45" s="666"/>
      <c r="B45" s="548" t="s">
        <v>2888</v>
      </c>
      <c r="C45" s="549"/>
      <c r="D45" s="549"/>
      <c r="E45" s="665"/>
      <c r="F45" s="665"/>
      <c r="G45" s="665"/>
      <c r="H45" s="549"/>
      <c r="I45" s="549"/>
      <c r="J45" s="238">
        <v>0</v>
      </c>
      <c r="K45" s="665">
        <v>1</v>
      </c>
      <c r="L45" s="667">
        <f t="shared" si="2"/>
        <v>0</v>
      </c>
      <c r="M45" s="577">
        <v>21</v>
      </c>
      <c r="N45" s="667">
        <f t="shared" si="3"/>
        <v>0</v>
      </c>
    </row>
    <row r="46" spans="1:14">
      <c r="A46" s="665"/>
      <c r="B46" s="544" t="s">
        <v>2887</v>
      </c>
      <c r="C46" s="545"/>
      <c r="D46" s="545"/>
      <c r="E46" s="665"/>
      <c r="F46" s="665"/>
      <c r="G46" s="665"/>
      <c r="H46" s="665"/>
      <c r="I46" s="665"/>
      <c r="J46" s="238">
        <v>0</v>
      </c>
      <c r="K46" s="665"/>
      <c r="L46" s="667">
        <f t="shared" si="2"/>
        <v>0</v>
      </c>
      <c r="M46" s="577">
        <v>21</v>
      </c>
      <c r="N46" s="667">
        <f t="shared" si="3"/>
        <v>0</v>
      </c>
    </row>
    <row r="47" spans="1:14">
      <c r="A47" s="665"/>
      <c r="B47" s="544" t="s">
        <v>2886</v>
      </c>
      <c r="C47" s="545"/>
      <c r="D47" s="545"/>
      <c r="E47" s="665"/>
      <c r="F47" s="665"/>
      <c r="G47" s="665"/>
      <c r="H47" s="665"/>
      <c r="I47" s="665"/>
      <c r="J47" s="238">
        <v>0</v>
      </c>
      <c r="K47" s="665"/>
      <c r="L47" s="667">
        <f t="shared" ref="L47:L67" si="4">K47*J47</f>
        <v>0</v>
      </c>
      <c r="M47" s="577">
        <v>21</v>
      </c>
      <c r="N47" s="667">
        <f t="shared" ref="N47:N67" si="5">L47*(1+(M47/100))</f>
        <v>0</v>
      </c>
    </row>
    <row r="48" spans="1:14">
      <c r="A48" s="665"/>
      <c r="B48" s="544" t="s">
        <v>2885</v>
      </c>
      <c r="C48" s="545"/>
      <c r="D48" s="545"/>
      <c r="E48" s="665"/>
      <c r="F48" s="665"/>
      <c r="G48" s="665"/>
      <c r="H48" s="665"/>
      <c r="I48" s="665"/>
      <c r="J48" s="238">
        <v>0</v>
      </c>
      <c r="K48" s="665"/>
      <c r="L48" s="667">
        <f t="shared" si="4"/>
        <v>0</v>
      </c>
      <c r="M48" s="577">
        <v>21</v>
      </c>
      <c r="N48" s="667">
        <f t="shared" si="5"/>
        <v>0</v>
      </c>
    </row>
    <row r="49" spans="1:14" ht="60">
      <c r="A49" s="666" t="s">
        <v>2884</v>
      </c>
      <c r="B49" s="548" t="s">
        <v>2883</v>
      </c>
      <c r="C49" s="549"/>
      <c r="D49" s="549"/>
      <c r="E49" s="665">
        <v>3200</v>
      </c>
      <c r="F49" s="665">
        <v>700</v>
      </c>
      <c r="G49" s="665">
        <v>750</v>
      </c>
      <c r="H49" s="665">
        <v>0</v>
      </c>
      <c r="I49" s="665">
        <v>0</v>
      </c>
      <c r="J49" s="238">
        <v>0</v>
      </c>
      <c r="K49" s="665">
        <v>1</v>
      </c>
      <c r="L49" s="667">
        <f t="shared" si="4"/>
        <v>0</v>
      </c>
      <c r="M49" s="577">
        <v>21</v>
      </c>
      <c r="N49" s="667">
        <f t="shared" si="5"/>
        <v>0</v>
      </c>
    </row>
    <row r="50" spans="1:14" ht="45">
      <c r="A50" s="666"/>
      <c r="B50" s="548" t="s">
        <v>2868</v>
      </c>
      <c r="C50" s="550"/>
      <c r="D50" s="550"/>
      <c r="E50" s="665"/>
      <c r="F50" s="665"/>
      <c r="G50" s="665"/>
      <c r="H50" s="665" t="s">
        <v>2867</v>
      </c>
      <c r="I50" s="665">
        <v>0</v>
      </c>
      <c r="J50" s="238">
        <v>0</v>
      </c>
      <c r="K50" s="549">
        <v>1</v>
      </c>
      <c r="L50" s="667">
        <f t="shared" si="4"/>
        <v>0</v>
      </c>
      <c r="M50" s="577">
        <v>21</v>
      </c>
      <c r="N50" s="667">
        <f t="shared" si="5"/>
        <v>0</v>
      </c>
    </row>
    <row r="51" spans="1:14">
      <c r="A51" s="666"/>
      <c r="B51" s="548" t="s">
        <v>2882</v>
      </c>
      <c r="C51" s="549"/>
      <c r="D51" s="549"/>
      <c r="E51" s="665"/>
      <c r="F51" s="665"/>
      <c r="G51" s="665"/>
      <c r="H51" s="665"/>
      <c r="I51" s="665"/>
      <c r="J51" s="238">
        <v>0</v>
      </c>
      <c r="K51" s="665">
        <v>1</v>
      </c>
      <c r="L51" s="667">
        <f t="shared" si="4"/>
        <v>0</v>
      </c>
      <c r="M51" s="577">
        <v>21</v>
      </c>
      <c r="N51" s="667">
        <f t="shared" si="5"/>
        <v>0</v>
      </c>
    </row>
    <row r="52" spans="1:14" ht="30">
      <c r="A52" s="666"/>
      <c r="B52" s="551" t="s">
        <v>2866</v>
      </c>
      <c r="C52" s="549"/>
      <c r="D52" s="549"/>
      <c r="E52" s="552">
        <v>100</v>
      </c>
      <c r="F52" s="552">
        <v>75</v>
      </c>
      <c r="G52" s="552">
        <v>190</v>
      </c>
      <c r="H52" s="665"/>
      <c r="I52" s="549"/>
      <c r="J52" s="238">
        <v>0</v>
      </c>
      <c r="K52" s="665">
        <v>1</v>
      </c>
      <c r="L52" s="667">
        <f t="shared" si="4"/>
        <v>0</v>
      </c>
      <c r="M52" s="577">
        <v>21</v>
      </c>
      <c r="N52" s="667">
        <f t="shared" si="5"/>
        <v>0</v>
      </c>
    </row>
    <row r="53" spans="1:14">
      <c r="A53" s="666"/>
      <c r="B53" s="551" t="s">
        <v>2865</v>
      </c>
      <c r="C53" s="549"/>
      <c r="D53" s="549"/>
      <c r="E53" s="552">
        <v>255</v>
      </c>
      <c r="F53" s="552">
        <v>120</v>
      </c>
      <c r="G53" s="552">
        <v>155</v>
      </c>
      <c r="H53" s="665"/>
      <c r="I53" s="549"/>
      <c r="J53" s="238">
        <v>0</v>
      </c>
      <c r="K53" s="549">
        <v>1</v>
      </c>
      <c r="L53" s="667">
        <f t="shared" si="4"/>
        <v>0</v>
      </c>
      <c r="M53" s="577">
        <v>21</v>
      </c>
      <c r="N53" s="667">
        <f t="shared" si="5"/>
        <v>0</v>
      </c>
    </row>
    <row r="54" spans="1:14" ht="75">
      <c r="A54" s="666" t="s">
        <v>2881</v>
      </c>
      <c r="B54" s="548" t="s">
        <v>2880</v>
      </c>
      <c r="C54" s="549"/>
      <c r="D54" s="549"/>
      <c r="E54" s="549">
        <v>280</v>
      </c>
      <c r="F54" s="549">
        <v>350</v>
      </c>
      <c r="G54" s="549">
        <v>490</v>
      </c>
      <c r="H54" s="549">
        <v>0</v>
      </c>
      <c r="I54" s="549">
        <v>1.2</v>
      </c>
      <c r="J54" s="238">
        <v>0</v>
      </c>
      <c r="K54" s="549">
        <v>1</v>
      </c>
      <c r="L54" s="667">
        <f t="shared" si="4"/>
        <v>0</v>
      </c>
      <c r="M54" s="577">
        <v>21</v>
      </c>
      <c r="N54" s="667">
        <f t="shared" si="5"/>
        <v>0</v>
      </c>
    </row>
    <row r="55" spans="1:14">
      <c r="A55" s="666" t="s">
        <v>2879</v>
      </c>
      <c r="B55" s="555" t="s">
        <v>2878</v>
      </c>
      <c r="C55" s="549"/>
      <c r="D55" s="549"/>
      <c r="E55" s="549">
        <v>1400</v>
      </c>
      <c r="F55" s="549">
        <v>350</v>
      </c>
      <c r="G55" s="549">
        <v>600</v>
      </c>
      <c r="H55" s="549"/>
      <c r="I55" s="549"/>
      <c r="J55" s="238">
        <v>0</v>
      </c>
      <c r="K55" s="549">
        <v>1</v>
      </c>
      <c r="L55" s="667">
        <f t="shared" si="4"/>
        <v>0</v>
      </c>
      <c r="M55" s="577">
        <v>21</v>
      </c>
      <c r="N55" s="667">
        <f t="shared" si="5"/>
        <v>0</v>
      </c>
    </row>
    <row r="56" spans="1:14">
      <c r="A56" s="665"/>
      <c r="B56" s="544" t="s">
        <v>2877</v>
      </c>
      <c r="C56" s="545"/>
      <c r="D56" s="545"/>
      <c r="E56" s="665"/>
      <c r="F56" s="665"/>
      <c r="G56" s="665"/>
      <c r="H56" s="665"/>
      <c r="I56" s="665"/>
      <c r="J56" s="238">
        <v>0</v>
      </c>
      <c r="K56" s="665"/>
      <c r="L56" s="667">
        <f t="shared" si="4"/>
        <v>0</v>
      </c>
      <c r="M56" s="577">
        <v>21</v>
      </c>
      <c r="N56" s="667">
        <f t="shared" si="5"/>
        <v>0</v>
      </c>
    </row>
    <row r="57" spans="1:14" ht="45">
      <c r="A57" s="666" t="s">
        <v>2876</v>
      </c>
      <c r="B57" s="548" t="s">
        <v>2875</v>
      </c>
      <c r="C57" s="665"/>
      <c r="D57" s="665"/>
      <c r="E57" s="665">
        <v>742</v>
      </c>
      <c r="F57" s="665">
        <v>570</v>
      </c>
      <c r="G57" s="665">
        <v>888</v>
      </c>
      <c r="H57" s="665">
        <v>0</v>
      </c>
      <c r="I57" s="665">
        <v>9.24</v>
      </c>
      <c r="J57" s="238">
        <v>0</v>
      </c>
      <c r="K57" s="665">
        <v>1</v>
      </c>
      <c r="L57" s="667">
        <f t="shared" si="4"/>
        <v>0</v>
      </c>
      <c r="M57" s="577">
        <v>21</v>
      </c>
      <c r="N57" s="667">
        <f t="shared" si="5"/>
        <v>0</v>
      </c>
    </row>
    <row r="58" spans="1:14">
      <c r="A58" s="666"/>
      <c r="B58" s="548" t="s">
        <v>2874</v>
      </c>
      <c r="C58" s="549"/>
      <c r="D58" s="549"/>
      <c r="E58" s="665">
        <v>119</v>
      </c>
      <c r="F58" s="665"/>
      <c r="G58" s="665">
        <v>236</v>
      </c>
      <c r="H58" s="665"/>
      <c r="I58" s="665"/>
      <c r="J58" s="238">
        <v>0</v>
      </c>
      <c r="K58" s="665">
        <v>1</v>
      </c>
      <c r="L58" s="667">
        <f t="shared" si="4"/>
        <v>0</v>
      </c>
      <c r="M58" s="577">
        <v>21</v>
      </c>
      <c r="N58" s="667">
        <f t="shared" si="5"/>
        <v>0</v>
      </c>
    </row>
    <row r="59" spans="1:14">
      <c r="A59" s="665"/>
      <c r="B59" s="544" t="s">
        <v>2873</v>
      </c>
      <c r="C59" s="545"/>
      <c r="D59" s="545"/>
      <c r="E59" s="665"/>
      <c r="F59" s="665"/>
      <c r="G59" s="665"/>
      <c r="H59" s="665"/>
      <c r="I59" s="665"/>
      <c r="J59" s="238">
        <v>0</v>
      </c>
      <c r="K59" s="665"/>
      <c r="L59" s="667">
        <f t="shared" si="4"/>
        <v>0</v>
      </c>
      <c r="M59" s="577">
        <v>21</v>
      </c>
      <c r="N59" s="667">
        <f t="shared" si="5"/>
        <v>0</v>
      </c>
    </row>
    <row r="60" spans="1:14">
      <c r="A60" s="665"/>
      <c r="B60" s="544" t="s">
        <v>2872</v>
      </c>
      <c r="C60" s="545"/>
      <c r="D60" s="545"/>
      <c r="E60" s="665"/>
      <c r="F60" s="665"/>
      <c r="G60" s="665"/>
      <c r="H60" s="665"/>
      <c r="I60" s="665"/>
      <c r="J60" s="238">
        <v>0</v>
      </c>
      <c r="K60" s="665"/>
      <c r="L60" s="667">
        <f t="shared" si="4"/>
        <v>0</v>
      </c>
      <c r="M60" s="577">
        <v>21</v>
      </c>
      <c r="N60" s="667">
        <f t="shared" si="5"/>
        <v>0</v>
      </c>
    </row>
    <row r="61" spans="1:14">
      <c r="A61" s="665"/>
      <c r="B61" s="544" t="s">
        <v>2871</v>
      </c>
      <c r="C61" s="545"/>
      <c r="D61" s="545"/>
      <c r="E61" s="665"/>
      <c r="F61" s="665"/>
      <c r="G61" s="665"/>
      <c r="H61" s="665"/>
      <c r="I61" s="665"/>
      <c r="J61" s="238">
        <v>0</v>
      </c>
      <c r="K61" s="665"/>
      <c r="L61" s="667">
        <f t="shared" si="4"/>
        <v>0</v>
      </c>
      <c r="M61" s="577">
        <v>21</v>
      </c>
      <c r="N61" s="667">
        <f t="shared" si="5"/>
        <v>0</v>
      </c>
    </row>
    <row r="62" spans="1:14">
      <c r="A62" s="666" t="s">
        <v>2870</v>
      </c>
      <c r="B62" s="548" t="s">
        <v>2869</v>
      </c>
      <c r="C62" s="665"/>
      <c r="D62" s="665"/>
      <c r="E62" s="665">
        <v>560</v>
      </c>
      <c r="F62" s="665">
        <v>435</v>
      </c>
      <c r="G62" s="665">
        <v>185</v>
      </c>
      <c r="H62" s="665"/>
      <c r="I62" s="665"/>
      <c r="J62" s="238">
        <v>0</v>
      </c>
      <c r="K62" s="665">
        <v>1</v>
      </c>
      <c r="L62" s="667">
        <f t="shared" si="4"/>
        <v>0</v>
      </c>
      <c r="M62" s="577">
        <v>21</v>
      </c>
      <c r="N62" s="667">
        <f t="shared" si="5"/>
        <v>0</v>
      </c>
    </row>
    <row r="63" spans="1:14" ht="45">
      <c r="A63" s="666"/>
      <c r="B63" s="548" t="s">
        <v>2868</v>
      </c>
      <c r="C63" s="550"/>
      <c r="D63" s="550"/>
      <c r="E63" s="665"/>
      <c r="F63" s="665"/>
      <c r="G63" s="665"/>
      <c r="H63" s="665" t="s">
        <v>2867</v>
      </c>
      <c r="I63" s="665">
        <v>0</v>
      </c>
      <c r="J63" s="238">
        <v>0</v>
      </c>
      <c r="K63" s="549">
        <v>1</v>
      </c>
      <c r="L63" s="667">
        <f t="shared" si="4"/>
        <v>0</v>
      </c>
      <c r="M63" s="577">
        <v>21</v>
      </c>
      <c r="N63" s="667">
        <f t="shared" si="5"/>
        <v>0</v>
      </c>
    </row>
    <row r="64" spans="1:14" ht="30">
      <c r="A64" s="666"/>
      <c r="B64" s="548" t="s">
        <v>2866</v>
      </c>
      <c r="C64" s="550"/>
      <c r="D64" s="550"/>
      <c r="E64" s="665"/>
      <c r="F64" s="665"/>
      <c r="G64" s="665"/>
      <c r="H64" s="665"/>
      <c r="I64" s="665"/>
      <c r="J64" s="238">
        <v>0</v>
      </c>
      <c r="K64" s="665">
        <v>1</v>
      </c>
      <c r="L64" s="667">
        <f t="shared" si="4"/>
        <v>0</v>
      </c>
      <c r="M64" s="577">
        <v>21</v>
      </c>
      <c r="N64" s="667">
        <f t="shared" si="5"/>
        <v>0</v>
      </c>
    </row>
    <row r="65" spans="1:14">
      <c r="A65" s="666"/>
      <c r="B65" s="548" t="s">
        <v>2865</v>
      </c>
      <c r="C65" s="550"/>
      <c r="D65" s="550"/>
      <c r="E65" s="665"/>
      <c r="F65" s="665"/>
      <c r="G65" s="665"/>
      <c r="H65" s="665"/>
      <c r="I65" s="665"/>
      <c r="J65" s="238">
        <v>0</v>
      </c>
      <c r="K65" s="549">
        <v>1</v>
      </c>
      <c r="L65" s="667">
        <f t="shared" si="4"/>
        <v>0</v>
      </c>
      <c r="M65" s="577">
        <v>21</v>
      </c>
      <c r="N65" s="667">
        <f t="shared" si="5"/>
        <v>0</v>
      </c>
    </row>
    <row r="66" spans="1:14">
      <c r="A66" s="666" t="s">
        <v>2864</v>
      </c>
      <c r="B66" s="548" t="s">
        <v>2863</v>
      </c>
      <c r="C66" s="549"/>
      <c r="D66" s="549"/>
      <c r="E66" s="665">
        <v>1900</v>
      </c>
      <c r="F66" s="665">
        <v>700</v>
      </c>
      <c r="G66" s="665">
        <v>900</v>
      </c>
      <c r="H66" s="665">
        <v>0</v>
      </c>
      <c r="I66" s="665">
        <v>0</v>
      </c>
      <c r="J66" s="238">
        <v>0</v>
      </c>
      <c r="K66" s="665">
        <v>1</v>
      </c>
      <c r="L66" s="667">
        <f t="shared" si="4"/>
        <v>0</v>
      </c>
      <c r="M66" s="577">
        <v>21</v>
      </c>
      <c r="N66" s="667">
        <f t="shared" si="5"/>
        <v>0</v>
      </c>
    </row>
    <row r="67" spans="1:14">
      <c r="A67" s="666"/>
      <c r="B67" s="548" t="s">
        <v>2862</v>
      </c>
      <c r="C67" s="549"/>
      <c r="D67" s="549"/>
      <c r="E67" s="665"/>
      <c r="F67" s="665"/>
      <c r="G67" s="665"/>
      <c r="H67" s="665"/>
      <c r="I67" s="665"/>
      <c r="J67" s="238">
        <v>0</v>
      </c>
      <c r="K67" s="665">
        <v>1</v>
      </c>
      <c r="L67" s="667">
        <f t="shared" si="4"/>
        <v>0</v>
      </c>
      <c r="M67" s="577">
        <v>21</v>
      </c>
      <c r="N67" s="667">
        <f t="shared" si="5"/>
        <v>0</v>
      </c>
    </row>
    <row r="68" spans="1:14" ht="16.5" customHeight="1">
      <c r="A68" s="561"/>
      <c r="B68" s="562" t="s">
        <v>2861</v>
      </c>
      <c r="C68" s="563"/>
      <c r="D68" s="563"/>
      <c r="E68" s="561"/>
      <c r="F68" s="561"/>
      <c r="G68" s="561"/>
      <c r="H68" s="561"/>
      <c r="I68" s="561"/>
      <c r="J68" s="565"/>
      <c r="K68" s="561"/>
      <c r="L68" s="582">
        <f>SUM(L4:L67)</f>
        <v>0</v>
      </c>
      <c r="M68" s="565"/>
      <c r="N68" s="582">
        <f>SUM(N4:N67)</f>
        <v>0</v>
      </c>
    </row>
    <row r="69" spans="1:14" ht="16.5" customHeight="1">
      <c r="A69" s="561"/>
      <c r="B69" s="564"/>
      <c r="C69" s="563"/>
      <c r="D69" s="563"/>
      <c r="E69" s="561"/>
      <c r="F69" s="561"/>
      <c r="G69" s="561"/>
      <c r="H69" s="561"/>
      <c r="I69" s="561"/>
      <c r="J69" s="565"/>
      <c r="K69" s="561"/>
      <c r="L69" s="583"/>
      <c r="M69" s="584"/>
      <c r="N69" s="583"/>
    </row>
    <row r="70" spans="1:14" ht="15.75" thickBot="1">
      <c r="A70" s="561"/>
      <c r="B70" s="565"/>
      <c r="C70" s="561"/>
      <c r="D70" s="561"/>
      <c r="E70" s="561"/>
      <c r="F70" s="561"/>
      <c r="G70" s="561"/>
      <c r="H70" s="561"/>
      <c r="I70" s="561"/>
      <c r="J70" s="565"/>
      <c r="K70" s="561"/>
      <c r="L70" s="565"/>
      <c r="M70" s="565"/>
      <c r="N70" s="565"/>
    </row>
    <row r="71" spans="1:14">
      <c r="A71" s="561"/>
      <c r="B71" s="566" t="s">
        <v>2860</v>
      </c>
      <c r="C71" s="561"/>
      <c r="D71" s="561"/>
      <c r="E71" s="561"/>
      <c r="F71" s="561"/>
      <c r="G71" s="561"/>
      <c r="H71" s="561"/>
      <c r="I71" s="561"/>
      <c r="J71" s="565"/>
      <c r="K71" s="561"/>
      <c r="L71" s="565"/>
      <c r="M71" s="565"/>
      <c r="N71" s="565"/>
    </row>
    <row r="72" spans="1:14" ht="15.75" thickBot="1">
      <c r="A72" s="561"/>
      <c r="B72" s="567" t="s">
        <v>2859</v>
      </c>
      <c r="C72" s="561"/>
      <c r="D72" s="561"/>
      <c r="E72" s="561"/>
      <c r="F72" s="561"/>
      <c r="G72" s="561"/>
      <c r="H72" s="561"/>
      <c r="I72" s="561"/>
      <c r="J72" s="565"/>
      <c r="K72" s="561"/>
      <c r="L72" s="585"/>
      <c r="M72" s="565"/>
      <c r="N72" s="565"/>
    </row>
    <row r="73" spans="1:14">
      <c r="A73" s="561"/>
      <c r="B73" s="565"/>
      <c r="C73" s="561"/>
      <c r="D73" s="561"/>
      <c r="E73" s="561"/>
      <c r="F73" s="561"/>
      <c r="G73" s="561"/>
      <c r="H73" s="561"/>
      <c r="I73" s="561"/>
      <c r="J73" s="565"/>
      <c r="K73" s="561"/>
      <c r="L73" s="565"/>
      <c r="M73" s="565"/>
      <c r="N73" s="565"/>
    </row>
    <row r="74" spans="1:14" ht="72.75" customHeight="1">
      <c r="A74" s="561"/>
      <c r="B74" s="548" t="s">
        <v>3469</v>
      </c>
      <c r="C74" s="561"/>
      <c r="D74" s="561"/>
      <c r="E74" s="561"/>
      <c r="F74" s="561"/>
      <c r="G74" s="561"/>
      <c r="H74" s="561"/>
      <c r="I74" s="561"/>
      <c r="J74" s="565"/>
      <c r="K74" s="561"/>
      <c r="L74" s="565"/>
      <c r="M74" s="565"/>
      <c r="N74" s="565"/>
    </row>
    <row r="75" spans="1:14">
      <c r="A75" s="561"/>
      <c r="B75" s="568"/>
      <c r="C75" s="561"/>
      <c r="D75" s="561"/>
      <c r="E75" s="561"/>
      <c r="F75" s="561"/>
      <c r="G75" s="561"/>
      <c r="H75" s="561"/>
      <c r="I75" s="561"/>
      <c r="J75" s="565"/>
      <c r="K75" s="561"/>
      <c r="L75" s="565"/>
      <c r="M75" s="565"/>
      <c r="N75" s="565"/>
    </row>
    <row r="76" spans="1:14">
      <c r="A76" s="561"/>
      <c r="B76" s="569"/>
      <c r="C76" s="561"/>
      <c r="D76" s="561"/>
      <c r="E76" s="561"/>
      <c r="F76" s="561"/>
      <c r="G76" s="561"/>
      <c r="H76" s="561"/>
      <c r="I76" s="561"/>
      <c r="J76" s="565"/>
      <c r="K76" s="561"/>
      <c r="L76" s="565"/>
      <c r="M76" s="565"/>
      <c r="N76" s="565"/>
    </row>
    <row r="77" spans="1:14">
      <c r="A77" s="561"/>
      <c r="B77" s="568"/>
      <c r="C77" s="561"/>
      <c r="D77" s="561"/>
      <c r="E77" s="561"/>
      <c r="F77" s="561"/>
      <c r="G77" s="561"/>
      <c r="H77" s="561"/>
      <c r="I77" s="561"/>
      <c r="J77" s="565"/>
      <c r="K77" s="561"/>
      <c r="L77" s="565"/>
      <c r="M77" s="565"/>
      <c r="N77" s="565"/>
    </row>
    <row r="78" spans="1:14">
      <c r="A78" s="561"/>
      <c r="B78" s="568"/>
      <c r="C78" s="561"/>
      <c r="D78" s="561"/>
      <c r="E78" s="561"/>
      <c r="F78" s="561"/>
      <c r="G78" s="561"/>
      <c r="H78" s="561"/>
      <c r="I78" s="561"/>
      <c r="J78" s="565"/>
      <c r="K78" s="561"/>
      <c r="L78" s="565"/>
      <c r="M78" s="565"/>
      <c r="N78" s="565"/>
    </row>
    <row r="79" spans="1:14">
      <c r="A79" s="561"/>
      <c r="B79" s="568"/>
      <c r="C79" s="561"/>
      <c r="D79" s="561"/>
      <c r="E79" s="561"/>
      <c r="F79" s="561"/>
      <c r="G79" s="561"/>
      <c r="H79" s="561"/>
      <c r="I79" s="561"/>
      <c r="J79" s="565"/>
      <c r="K79" s="561"/>
      <c r="L79" s="565"/>
      <c r="M79" s="565"/>
      <c r="N79" s="565"/>
    </row>
    <row r="80" spans="1:14">
      <c r="B80" s="235"/>
    </row>
    <row r="81" spans="2:2">
      <c r="B81" s="235"/>
    </row>
    <row r="82" spans="2:2">
      <c r="B82" s="235"/>
    </row>
    <row r="83" spans="2:2">
      <c r="B83" s="235"/>
    </row>
    <row r="84" spans="2:2">
      <c r="B84" s="236"/>
    </row>
    <row r="85" spans="2:2">
      <c r="B85" s="235"/>
    </row>
    <row r="86" spans="2:2">
      <c r="B86" s="235"/>
    </row>
    <row r="87" spans="2:2">
      <c r="B87" s="235"/>
    </row>
    <row r="88" spans="2:2">
      <c r="B88" s="235"/>
    </row>
    <row r="89" spans="2:2">
      <c r="B89" s="235"/>
    </row>
    <row r="90" spans="2:2">
      <c r="B90" s="235"/>
    </row>
    <row r="100" spans="2:2" ht="285">
      <c r="B100" s="668" t="s">
        <v>2858</v>
      </c>
    </row>
  </sheetData>
  <sheetProtection password="CAB1" sheet="1" objects="1" scenarios="1"/>
  <mergeCells count="28">
    <mergeCell ref="B11:B12"/>
    <mergeCell ref="A11:A12"/>
    <mergeCell ref="C13:C14"/>
    <mergeCell ref="C11:C12"/>
    <mergeCell ref="I13:I14"/>
    <mergeCell ref="H13:H14"/>
    <mergeCell ref="G13:G14"/>
    <mergeCell ref="F13:F14"/>
    <mergeCell ref="H11:H12"/>
    <mergeCell ref="G11:G12"/>
    <mergeCell ref="I11:I12"/>
    <mergeCell ref="B13:B14"/>
    <mergeCell ref="A13:A14"/>
    <mergeCell ref="E13:E14"/>
    <mergeCell ref="D13:D14"/>
    <mergeCell ref="F11:F12"/>
    <mergeCell ref="E11:E12"/>
    <mergeCell ref="D11:D12"/>
    <mergeCell ref="N13:N14"/>
    <mergeCell ref="M13:M14"/>
    <mergeCell ref="L13:L14"/>
    <mergeCell ref="K13:K14"/>
    <mergeCell ref="J13:J14"/>
    <mergeCell ref="N11:N12"/>
    <mergeCell ref="M11:M12"/>
    <mergeCell ref="L11:L12"/>
    <mergeCell ref="K11:K12"/>
    <mergeCell ref="J11:J12"/>
  </mergeCells>
  <printOptions horizontalCentered="1"/>
  <pageMargins left="0.51181102362204722" right="0.51181102362204722" top="0.78740157480314965" bottom="0.78740157480314965" header="0.31496062992125984" footer="0.31496062992125984"/>
  <pageSetup paperSize="8" scale="66" fitToHeight="7" orientation="landscape" r:id="rId1"/>
  <headerFooter>
    <oddHeader>&amp;LČeská republika - Úřad vlády ČRGastroprovoz Úřadu vlády ČR v 1.PP Strakovy akademie&amp;CSeznam strojů a zařízení s pevným spojením se stavbou&amp;R08/2020</oddHeader>
    <oddFooter>&amp;C&amp;P/&amp;N&amp;RD.2.2.1</oddFooter>
  </headerFooter>
  <rowBreaks count="2" manualBreakCount="2">
    <brk id="12" max="13" man="1"/>
    <brk id="21"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N103"/>
  <sheetViews>
    <sheetView view="pageBreakPreview" topLeftCell="A51" zoomScale="75" zoomScaleSheetLayoutView="75" workbookViewId="0">
      <selection activeCell="J55" sqref="J55"/>
    </sheetView>
  </sheetViews>
  <sheetFormatPr defaultRowHeight="15"/>
  <cols>
    <col min="1" max="1" width="9.33203125" style="234"/>
    <col min="2" max="2" width="127.83203125" style="233" customWidth="1"/>
    <col min="3" max="3" width="22.1640625" style="234" customWidth="1"/>
    <col min="4" max="4" width="20" style="234" bestFit="1" customWidth="1"/>
    <col min="5" max="5" width="7" style="234" bestFit="1" customWidth="1"/>
    <col min="6" max="6" width="9.6640625" style="234" bestFit="1" customWidth="1"/>
    <col min="7" max="7" width="7.1640625" style="234" bestFit="1" customWidth="1"/>
    <col min="8" max="8" width="12" style="234" customWidth="1"/>
    <col min="9" max="9" width="14.1640625" style="234" customWidth="1"/>
    <col min="10" max="10" width="17.5" style="233" bestFit="1" customWidth="1"/>
    <col min="11" max="11" width="6.5" style="234" bestFit="1" customWidth="1"/>
    <col min="12" max="12" width="19.5" style="233" bestFit="1" customWidth="1"/>
    <col min="13" max="13" width="6" style="233" bestFit="1" customWidth="1"/>
    <col min="14" max="14" width="20.83203125" style="233" bestFit="1" customWidth="1"/>
    <col min="15" max="16384" width="9.33203125" style="233"/>
  </cols>
  <sheetData>
    <row r="1" spans="1:14" ht="45">
      <c r="A1" s="539" t="s">
        <v>2939</v>
      </c>
      <c r="B1" s="540" t="s">
        <v>2938</v>
      </c>
      <c r="C1" s="541" t="s">
        <v>2937</v>
      </c>
      <c r="D1" s="541" t="s">
        <v>2936</v>
      </c>
      <c r="E1" s="542" t="s">
        <v>2935</v>
      </c>
      <c r="F1" s="542" t="s">
        <v>2934</v>
      </c>
      <c r="G1" s="542" t="s">
        <v>2933</v>
      </c>
      <c r="H1" s="542" t="s">
        <v>2932</v>
      </c>
      <c r="I1" s="542" t="s">
        <v>2931</v>
      </c>
      <c r="J1" s="593" t="s">
        <v>2930</v>
      </c>
      <c r="K1" s="570" t="s">
        <v>2929</v>
      </c>
      <c r="L1" s="571" t="s">
        <v>2928</v>
      </c>
      <c r="M1" s="571" t="s">
        <v>38</v>
      </c>
      <c r="N1" s="572" t="s">
        <v>2927</v>
      </c>
    </row>
    <row r="2" spans="1:14">
      <c r="A2" s="543"/>
      <c r="B2" s="544" t="s">
        <v>2926</v>
      </c>
      <c r="C2" s="545"/>
      <c r="D2" s="545"/>
      <c r="E2" s="545"/>
      <c r="F2" s="545"/>
      <c r="G2" s="545"/>
      <c r="H2" s="545"/>
      <c r="I2" s="545"/>
      <c r="J2" s="537"/>
      <c r="K2" s="573"/>
      <c r="L2" s="574"/>
      <c r="M2" s="574"/>
      <c r="N2" s="575"/>
    </row>
    <row r="3" spans="1:14">
      <c r="A3" s="543"/>
      <c r="B3" s="544" t="s">
        <v>2925</v>
      </c>
      <c r="C3" s="545"/>
      <c r="D3" s="545"/>
      <c r="E3" s="648"/>
      <c r="F3" s="648"/>
      <c r="G3" s="648"/>
      <c r="H3" s="648"/>
      <c r="I3" s="648"/>
      <c r="J3" s="537"/>
      <c r="K3" s="648"/>
      <c r="L3" s="574"/>
      <c r="M3" s="574"/>
      <c r="N3" s="575"/>
    </row>
    <row r="4" spans="1:14" ht="30">
      <c r="A4" s="547"/>
      <c r="B4" s="548" t="s">
        <v>3048</v>
      </c>
      <c r="C4" s="549"/>
      <c r="D4" s="549"/>
      <c r="E4" s="648">
        <v>1200</v>
      </c>
      <c r="F4" s="648">
        <v>400</v>
      </c>
      <c r="G4" s="648">
        <v>450</v>
      </c>
      <c r="H4" s="648">
        <v>0.9</v>
      </c>
      <c r="I4" s="648"/>
      <c r="J4" s="238">
        <v>0</v>
      </c>
      <c r="K4" s="648">
        <v>1</v>
      </c>
      <c r="L4" s="647">
        <f t="shared" ref="L4:L35" si="0">K4*J4</f>
        <v>0</v>
      </c>
      <c r="M4" s="577">
        <v>21</v>
      </c>
      <c r="N4" s="578">
        <f t="shared" ref="N4:N35" si="1">L4*(1+(M4/100))</f>
        <v>0</v>
      </c>
    </row>
    <row r="5" spans="1:14" ht="75">
      <c r="A5" s="543" t="s">
        <v>3047</v>
      </c>
      <c r="B5" s="548" t="s">
        <v>3046</v>
      </c>
      <c r="C5" s="549"/>
      <c r="D5" s="549"/>
      <c r="E5" s="648">
        <v>1200</v>
      </c>
      <c r="F5" s="648">
        <v>700</v>
      </c>
      <c r="G5" s="648">
        <v>750</v>
      </c>
      <c r="H5" s="648">
        <v>0.3</v>
      </c>
      <c r="I5" s="648">
        <v>0</v>
      </c>
      <c r="J5" s="238">
        <v>0</v>
      </c>
      <c r="K5" s="648">
        <v>1</v>
      </c>
      <c r="L5" s="647">
        <f t="shared" si="0"/>
        <v>0</v>
      </c>
      <c r="M5" s="577">
        <v>21</v>
      </c>
      <c r="N5" s="578">
        <f t="shared" si="1"/>
        <v>0</v>
      </c>
    </row>
    <row r="6" spans="1:14" ht="30">
      <c r="A6" s="543"/>
      <c r="B6" s="548" t="s">
        <v>3045</v>
      </c>
      <c r="C6" s="549"/>
      <c r="D6" s="549"/>
      <c r="E6" s="648">
        <v>1200</v>
      </c>
      <c r="F6" s="648">
        <v>400</v>
      </c>
      <c r="G6" s="648">
        <v>450</v>
      </c>
      <c r="H6" s="648">
        <v>0.1</v>
      </c>
      <c r="I6" s="648"/>
      <c r="J6" s="238">
        <v>0</v>
      </c>
      <c r="K6" s="648">
        <v>1</v>
      </c>
      <c r="L6" s="647">
        <f t="shared" si="0"/>
        <v>0</v>
      </c>
      <c r="M6" s="577">
        <v>21</v>
      </c>
      <c r="N6" s="578">
        <f t="shared" si="1"/>
        <v>0</v>
      </c>
    </row>
    <row r="7" spans="1:14" ht="30">
      <c r="A7" s="547"/>
      <c r="B7" s="548" t="s">
        <v>3044</v>
      </c>
      <c r="C7" s="549"/>
      <c r="D7" s="549"/>
      <c r="E7" s="648">
        <v>1500</v>
      </c>
      <c r="F7" s="648">
        <v>400</v>
      </c>
      <c r="G7" s="648">
        <v>450</v>
      </c>
      <c r="H7" s="648">
        <v>0.1</v>
      </c>
      <c r="I7" s="648"/>
      <c r="J7" s="238">
        <v>0</v>
      </c>
      <c r="K7" s="648">
        <v>1</v>
      </c>
      <c r="L7" s="647">
        <f t="shared" si="0"/>
        <v>0</v>
      </c>
      <c r="M7" s="577">
        <v>21</v>
      </c>
      <c r="N7" s="578">
        <f t="shared" si="1"/>
        <v>0</v>
      </c>
    </row>
    <row r="8" spans="1:14" ht="45">
      <c r="A8" s="547" t="s">
        <v>3043</v>
      </c>
      <c r="B8" s="586" t="s">
        <v>3460</v>
      </c>
      <c r="C8" s="549"/>
      <c r="D8" s="549"/>
      <c r="E8" s="648">
        <v>680</v>
      </c>
      <c r="F8" s="648">
        <v>520</v>
      </c>
      <c r="G8" s="648">
        <v>1030</v>
      </c>
      <c r="H8" s="648">
        <v>0.9</v>
      </c>
      <c r="I8" s="648">
        <v>0</v>
      </c>
      <c r="J8" s="238">
        <v>0</v>
      </c>
      <c r="K8" s="648">
        <v>2</v>
      </c>
      <c r="L8" s="647">
        <f t="shared" si="0"/>
        <v>0</v>
      </c>
      <c r="M8" s="577">
        <v>21</v>
      </c>
      <c r="N8" s="578">
        <f t="shared" si="1"/>
        <v>0</v>
      </c>
    </row>
    <row r="9" spans="1:14" ht="45">
      <c r="A9" s="547" t="s">
        <v>3042</v>
      </c>
      <c r="B9" s="586" t="s">
        <v>3461</v>
      </c>
      <c r="C9" s="549"/>
      <c r="D9" s="549"/>
      <c r="E9" s="648">
        <v>680</v>
      </c>
      <c r="F9" s="648">
        <v>520</v>
      </c>
      <c r="G9" s="648">
        <v>1030</v>
      </c>
      <c r="H9" s="648">
        <v>0.9</v>
      </c>
      <c r="I9" s="648">
        <v>0</v>
      </c>
      <c r="J9" s="238">
        <v>0</v>
      </c>
      <c r="K9" s="648">
        <v>2</v>
      </c>
      <c r="L9" s="647">
        <f t="shared" si="0"/>
        <v>0</v>
      </c>
      <c r="M9" s="577">
        <v>21</v>
      </c>
      <c r="N9" s="578">
        <f t="shared" si="1"/>
        <v>0</v>
      </c>
    </row>
    <row r="10" spans="1:14" ht="60">
      <c r="A10" s="547" t="s">
        <v>3041</v>
      </c>
      <c r="B10" s="548" t="s">
        <v>3040</v>
      </c>
      <c r="C10" s="549"/>
      <c r="D10" s="549"/>
      <c r="E10" s="648">
        <v>970</v>
      </c>
      <c r="F10" s="648">
        <v>800</v>
      </c>
      <c r="G10" s="648">
        <v>750</v>
      </c>
      <c r="H10" s="648">
        <v>0</v>
      </c>
      <c r="I10" s="648">
        <v>0</v>
      </c>
      <c r="J10" s="238">
        <v>0</v>
      </c>
      <c r="K10" s="648">
        <v>1</v>
      </c>
      <c r="L10" s="647">
        <f t="shared" si="0"/>
        <v>0</v>
      </c>
      <c r="M10" s="577">
        <v>21</v>
      </c>
      <c r="N10" s="578">
        <f t="shared" si="1"/>
        <v>0</v>
      </c>
    </row>
    <row r="11" spans="1:14" ht="30">
      <c r="A11" s="547"/>
      <c r="B11" s="548" t="s">
        <v>2954</v>
      </c>
      <c r="C11" s="550"/>
      <c r="D11" s="648"/>
      <c r="E11" s="648"/>
      <c r="F11" s="648"/>
      <c r="G11" s="648"/>
      <c r="H11" s="648"/>
      <c r="I11" s="648"/>
      <c r="J11" s="239">
        <v>0</v>
      </c>
      <c r="K11" s="648">
        <v>1</v>
      </c>
      <c r="L11" s="647">
        <f t="shared" si="0"/>
        <v>0</v>
      </c>
      <c r="M11" s="577">
        <v>21</v>
      </c>
      <c r="N11" s="578">
        <f t="shared" si="1"/>
        <v>0</v>
      </c>
    </row>
    <row r="12" spans="1:14" ht="30">
      <c r="A12" s="547" t="s">
        <v>3039</v>
      </c>
      <c r="B12" s="644" t="s">
        <v>3454</v>
      </c>
      <c r="C12" s="549"/>
      <c r="D12" s="549"/>
      <c r="E12" s="648">
        <v>286</v>
      </c>
      <c r="F12" s="648">
        <v>0</v>
      </c>
      <c r="G12" s="648">
        <v>464</v>
      </c>
      <c r="H12" s="648">
        <v>0.28000000000000003</v>
      </c>
      <c r="I12" s="648">
        <v>0</v>
      </c>
      <c r="J12" s="238">
        <v>0</v>
      </c>
      <c r="K12" s="648">
        <v>1</v>
      </c>
      <c r="L12" s="647">
        <f t="shared" si="0"/>
        <v>0</v>
      </c>
      <c r="M12" s="577">
        <v>21</v>
      </c>
      <c r="N12" s="578">
        <f t="shared" si="1"/>
        <v>0</v>
      </c>
    </row>
    <row r="13" spans="1:14" ht="45">
      <c r="A13" s="547" t="s">
        <v>3038</v>
      </c>
      <c r="B13" s="553" t="s">
        <v>2940</v>
      </c>
      <c r="C13" s="587"/>
      <c r="D13" s="587"/>
      <c r="E13" s="648">
        <v>260</v>
      </c>
      <c r="F13" s="648">
        <v>287</v>
      </c>
      <c r="G13" s="648">
        <v>137</v>
      </c>
      <c r="H13" s="648">
        <v>0.01</v>
      </c>
      <c r="I13" s="648">
        <v>0</v>
      </c>
      <c r="J13" s="238">
        <v>0</v>
      </c>
      <c r="K13" s="648">
        <v>3</v>
      </c>
      <c r="L13" s="647">
        <f t="shared" si="0"/>
        <v>0</v>
      </c>
      <c r="M13" s="577">
        <v>21</v>
      </c>
      <c r="N13" s="578">
        <f t="shared" si="1"/>
        <v>0</v>
      </c>
    </row>
    <row r="14" spans="1:14" ht="30">
      <c r="A14" s="547" t="s">
        <v>3037</v>
      </c>
      <c r="B14" s="551" t="s">
        <v>3036</v>
      </c>
      <c r="C14" s="549"/>
      <c r="D14" s="549"/>
      <c r="E14" s="552">
        <v>752</v>
      </c>
      <c r="F14" s="552">
        <v>630</v>
      </c>
      <c r="G14" s="552">
        <v>1277</v>
      </c>
      <c r="H14" s="648">
        <v>0</v>
      </c>
      <c r="I14" s="648">
        <v>0</v>
      </c>
      <c r="J14" s="238">
        <v>0</v>
      </c>
      <c r="K14" s="648">
        <v>1</v>
      </c>
      <c r="L14" s="647">
        <f t="shared" si="0"/>
        <v>0</v>
      </c>
      <c r="M14" s="577">
        <v>21</v>
      </c>
      <c r="N14" s="578">
        <f t="shared" si="1"/>
        <v>0</v>
      </c>
    </row>
    <row r="15" spans="1:14" ht="60">
      <c r="A15" s="547" t="s">
        <v>3035</v>
      </c>
      <c r="B15" s="548" t="s">
        <v>3034</v>
      </c>
      <c r="C15" s="549"/>
      <c r="D15" s="549"/>
      <c r="E15" s="648">
        <v>1300</v>
      </c>
      <c r="F15" s="648">
        <v>700</v>
      </c>
      <c r="G15" s="648">
        <v>750</v>
      </c>
      <c r="H15" s="648">
        <v>0</v>
      </c>
      <c r="I15" s="648">
        <v>0</v>
      </c>
      <c r="J15" s="238">
        <v>0</v>
      </c>
      <c r="K15" s="648">
        <v>1</v>
      </c>
      <c r="L15" s="647">
        <f t="shared" si="0"/>
        <v>0</v>
      </c>
      <c r="M15" s="577">
        <v>21</v>
      </c>
      <c r="N15" s="578">
        <f t="shared" si="1"/>
        <v>0</v>
      </c>
    </row>
    <row r="16" spans="1:14" ht="60">
      <c r="A16" s="547" t="s">
        <v>3033</v>
      </c>
      <c r="B16" s="548" t="s">
        <v>3032</v>
      </c>
      <c r="C16" s="549"/>
      <c r="D16" s="549"/>
      <c r="E16" s="648">
        <v>650</v>
      </c>
      <c r="F16" s="648">
        <v>700</v>
      </c>
      <c r="G16" s="648">
        <v>750</v>
      </c>
      <c r="H16" s="648">
        <v>0</v>
      </c>
      <c r="I16" s="648">
        <v>0</v>
      </c>
      <c r="J16" s="238">
        <v>0</v>
      </c>
      <c r="K16" s="648">
        <v>1</v>
      </c>
      <c r="L16" s="647">
        <f t="shared" si="0"/>
        <v>0</v>
      </c>
      <c r="M16" s="577">
        <v>21</v>
      </c>
      <c r="N16" s="578">
        <f t="shared" si="1"/>
        <v>0</v>
      </c>
    </row>
    <row r="17" spans="1:14" ht="75">
      <c r="A17" s="547" t="s">
        <v>3031</v>
      </c>
      <c r="B17" s="548" t="s">
        <v>3030</v>
      </c>
      <c r="C17" s="549"/>
      <c r="D17" s="549"/>
      <c r="E17" s="648">
        <v>1000</v>
      </c>
      <c r="F17" s="648">
        <v>700</v>
      </c>
      <c r="G17" s="648">
        <v>750</v>
      </c>
      <c r="H17" s="648">
        <v>0</v>
      </c>
      <c r="I17" s="648">
        <v>0</v>
      </c>
      <c r="J17" s="238">
        <v>0</v>
      </c>
      <c r="K17" s="648">
        <v>1</v>
      </c>
      <c r="L17" s="647">
        <f t="shared" si="0"/>
        <v>0</v>
      </c>
      <c r="M17" s="577">
        <v>21</v>
      </c>
      <c r="N17" s="578">
        <f t="shared" si="1"/>
        <v>0</v>
      </c>
    </row>
    <row r="18" spans="1:14" ht="30">
      <c r="A18" s="547" t="s">
        <v>3029</v>
      </c>
      <c r="B18" s="555" t="s">
        <v>3028</v>
      </c>
      <c r="C18" s="588"/>
      <c r="D18" s="588"/>
      <c r="E18" s="648">
        <v>340</v>
      </c>
      <c r="F18" s="648">
        <v>0</v>
      </c>
      <c r="G18" s="648">
        <v>400</v>
      </c>
      <c r="H18" s="648">
        <v>0.4</v>
      </c>
      <c r="I18" s="648">
        <v>0</v>
      </c>
      <c r="J18" s="238">
        <v>0</v>
      </c>
      <c r="K18" s="648">
        <v>2</v>
      </c>
      <c r="L18" s="647">
        <f t="shared" si="0"/>
        <v>0</v>
      </c>
      <c r="M18" s="577">
        <v>21</v>
      </c>
      <c r="N18" s="578">
        <f t="shared" si="1"/>
        <v>0</v>
      </c>
    </row>
    <row r="19" spans="1:14" ht="75">
      <c r="A19" s="547" t="s">
        <v>3027</v>
      </c>
      <c r="B19" s="548" t="s">
        <v>3026</v>
      </c>
      <c r="C19" s="549"/>
      <c r="D19" s="549"/>
      <c r="E19" s="648">
        <v>1000</v>
      </c>
      <c r="F19" s="648">
        <v>700</v>
      </c>
      <c r="G19" s="648">
        <v>750</v>
      </c>
      <c r="H19" s="648">
        <v>0</v>
      </c>
      <c r="I19" s="648">
        <v>0</v>
      </c>
      <c r="J19" s="238">
        <v>0</v>
      </c>
      <c r="K19" s="648">
        <v>1</v>
      </c>
      <c r="L19" s="647">
        <f t="shared" si="0"/>
        <v>0</v>
      </c>
      <c r="M19" s="577">
        <v>21</v>
      </c>
      <c r="N19" s="578">
        <f t="shared" si="1"/>
        <v>0</v>
      </c>
    </row>
    <row r="20" spans="1:14" ht="45">
      <c r="A20" s="547" t="s">
        <v>3025</v>
      </c>
      <c r="B20" s="548" t="s">
        <v>3024</v>
      </c>
      <c r="C20" s="588"/>
      <c r="D20" s="588"/>
      <c r="E20" s="648">
        <v>430</v>
      </c>
      <c r="F20" s="648">
        <v>480</v>
      </c>
      <c r="G20" s="648">
        <v>640</v>
      </c>
      <c r="H20" s="648">
        <v>0.31</v>
      </c>
      <c r="I20" s="648">
        <v>0</v>
      </c>
      <c r="J20" s="238">
        <v>0</v>
      </c>
      <c r="K20" s="648">
        <v>1</v>
      </c>
      <c r="L20" s="647">
        <f t="shared" si="0"/>
        <v>0</v>
      </c>
      <c r="M20" s="577">
        <v>21</v>
      </c>
      <c r="N20" s="578">
        <f t="shared" si="1"/>
        <v>0</v>
      </c>
    </row>
    <row r="21" spans="1:14" ht="56.25" customHeight="1">
      <c r="A21" s="547" t="s">
        <v>3023</v>
      </c>
      <c r="B21" s="548" t="s">
        <v>3022</v>
      </c>
      <c r="C21" s="588"/>
      <c r="D21" s="588"/>
      <c r="E21" s="648">
        <v>352</v>
      </c>
      <c r="F21" s="648">
        <v>696</v>
      </c>
      <c r="G21" s="648">
        <v>416</v>
      </c>
      <c r="H21" s="648">
        <v>0.7</v>
      </c>
      <c r="I21" s="648">
        <v>0</v>
      </c>
      <c r="J21" s="238">
        <v>0</v>
      </c>
      <c r="K21" s="648">
        <v>1</v>
      </c>
      <c r="L21" s="647">
        <f t="shared" si="0"/>
        <v>0</v>
      </c>
      <c r="M21" s="577">
        <v>21</v>
      </c>
      <c r="N21" s="578">
        <f t="shared" si="1"/>
        <v>0</v>
      </c>
    </row>
    <row r="22" spans="1:14" ht="60">
      <c r="A22" s="547" t="s">
        <v>3021</v>
      </c>
      <c r="B22" s="548" t="s">
        <v>3020</v>
      </c>
      <c r="C22" s="549"/>
      <c r="D22" s="549"/>
      <c r="E22" s="648">
        <v>1520</v>
      </c>
      <c r="F22" s="648">
        <v>700</v>
      </c>
      <c r="G22" s="648">
        <v>750</v>
      </c>
      <c r="H22" s="648">
        <v>0.1</v>
      </c>
      <c r="I22" s="648">
        <v>0</v>
      </c>
      <c r="J22" s="238">
        <v>0</v>
      </c>
      <c r="K22" s="648">
        <v>1</v>
      </c>
      <c r="L22" s="647">
        <f t="shared" si="0"/>
        <v>0</v>
      </c>
      <c r="M22" s="577">
        <v>21</v>
      </c>
      <c r="N22" s="578">
        <f t="shared" si="1"/>
        <v>0</v>
      </c>
    </row>
    <row r="23" spans="1:14">
      <c r="A23" s="547" t="s">
        <v>3019</v>
      </c>
      <c r="B23" s="555" t="s">
        <v>3014</v>
      </c>
      <c r="C23" s="549"/>
      <c r="D23" s="549"/>
      <c r="E23" s="648">
        <v>2000</v>
      </c>
      <c r="F23" s="648">
        <v>300</v>
      </c>
      <c r="G23" s="648">
        <v>30</v>
      </c>
      <c r="H23" s="648">
        <v>0</v>
      </c>
      <c r="I23" s="648">
        <v>0</v>
      </c>
      <c r="J23" s="238">
        <v>0</v>
      </c>
      <c r="K23" s="648">
        <v>1</v>
      </c>
      <c r="L23" s="647">
        <f t="shared" si="0"/>
        <v>0</v>
      </c>
      <c r="M23" s="577">
        <v>21</v>
      </c>
      <c r="N23" s="578">
        <f t="shared" si="1"/>
        <v>0</v>
      </c>
    </row>
    <row r="24" spans="1:14">
      <c r="A24" s="547" t="s">
        <v>3018</v>
      </c>
      <c r="B24" s="555" t="s">
        <v>3014</v>
      </c>
      <c r="C24" s="549"/>
      <c r="D24" s="549"/>
      <c r="E24" s="648">
        <v>2200</v>
      </c>
      <c r="F24" s="648">
        <v>300</v>
      </c>
      <c r="G24" s="648">
        <v>30</v>
      </c>
      <c r="H24" s="648">
        <v>0</v>
      </c>
      <c r="I24" s="648">
        <v>0</v>
      </c>
      <c r="J24" s="238">
        <v>0</v>
      </c>
      <c r="K24" s="648">
        <v>1</v>
      </c>
      <c r="L24" s="647">
        <f t="shared" si="0"/>
        <v>0</v>
      </c>
      <c r="M24" s="577">
        <v>21</v>
      </c>
      <c r="N24" s="578">
        <f t="shared" si="1"/>
        <v>0</v>
      </c>
    </row>
    <row r="25" spans="1:14">
      <c r="A25" s="547" t="s">
        <v>3017</v>
      </c>
      <c r="B25" s="555" t="s">
        <v>3014</v>
      </c>
      <c r="C25" s="549"/>
      <c r="D25" s="549"/>
      <c r="E25" s="648">
        <v>1200</v>
      </c>
      <c r="F25" s="648">
        <v>300</v>
      </c>
      <c r="G25" s="648">
        <v>30</v>
      </c>
      <c r="H25" s="648">
        <v>0</v>
      </c>
      <c r="I25" s="648">
        <v>0</v>
      </c>
      <c r="J25" s="238">
        <v>0</v>
      </c>
      <c r="K25" s="648">
        <v>1</v>
      </c>
      <c r="L25" s="647">
        <f t="shared" si="0"/>
        <v>0</v>
      </c>
      <c r="M25" s="577">
        <v>21</v>
      </c>
      <c r="N25" s="578">
        <f t="shared" si="1"/>
        <v>0</v>
      </c>
    </row>
    <row r="26" spans="1:14">
      <c r="A26" s="547" t="s">
        <v>3016</v>
      </c>
      <c r="B26" s="555" t="s">
        <v>3014</v>
      </c>
      <c r="C26" s="549"/>
      <c r="D26" s="549"/>
      <c r="E26" s="648">
        <v>4000</v>
      </c>
      <c r="F26" s="648">
        <v>300</v>
      </c>
      <c r="G26" s="648">
        <v>30</v>
      </c>
      <c r="H26" s="648">
        <v>0</v>
      </c>
      <c r="I26" s="648">
        <v>0</v>
      </c>
      <c r="J26" s="238">
        <v>0</v>
      </c>
      <c r="K26" s="648">
        <v>1</v>
      </c>
      <c r="L26" s="647">
        <f t="shared" si="0"/>
        <v>0</v>
      </c>
      <c r="M26" s="577">
        <v>21</v>
      </c>
      <c r="N26" s="578">
        <f t="shared" si="1"/>
        <v>0</v>
      </c>
    </row>
    <row r="27" spans="1:14">
      <c r="A27" s="547" t="s">
        <v>3015</v>
      </c>
      <c r="B27" s="555" t="s">
        <v>3014</v>
      </c>
      <c r="C27" s="549"/>
      <c r="D27" s="549"/>
      <c r="E27" s="648">
        <v>2200</v>
      </c>
      <c r="F27" s="648">
        <v>300</v>
      </c>
      <c r="G27" s="648">
        <v>30</v>
      </c>
      <c r="H27" s="648">
        <v>0</v>
      </c>
      <c r="I27" s="648">
        <v>0</v>
      </c>
      <c r="J27" s="238">
        <v>0</v>
      </c>
      <c r="K27" s="648">
        <v>1</v>
      </c>
      <c r="L27" s="647">
        <f t="shared" si="0"/>
        <v>0</v>
      </c>
      <c r="M27" s="577">
        <v>21</v>
      </c>
      <c r="N27" s="578">
        <f t="shared" si="1"/>
        <v>0</v>
      </c>
    </row>
    <row r="28" spans="1:14" ht="45">
      <c r="A28" s="547" t="s">
        <v>3013</v>
      </c>
      <c r="B28" s="555" t="s">
        <v>3012</v>
      </c>
      <c r="C28" s="549"/>
      <c r="D28" s="549"/>
      <c r="E28" s="648">
        <v>1200</v>
      </c>
      <c r="F28" s="648">
        <v>300</v>
      </c>
      <c r="G28" s="648">
        <v>900</v>
      </c>
      <c r="H28" s="648"/>
      <c r="I28" s="648"/>
      <c r="J28" s="238">
        <v>0</v>
      </c>
      <c r="K28" s="648">
        <v>1</v>
      </c>
      <c r="L28" s="647">
        <f t="shared" si="0"/>
        <v>0</v>
      </c>
      <c r="M28" s="577">
        <v>21</v>
      </c>
      <c r="N28" s="578">
        <f t="shared" si="1"/>
        <v>0</v>
      </c>
    </row>
    <row r="29" spans="1:14" ht="39" customHeight="1">
      <c r="A29" s="547" t="s">
        <v>3011</v>
      </c>
      <c r="B29" s="555" t="s">
        <v>3010</v>
      </c>
      <c r="C29" s="549"/>
      <c r="D29" s="549"/>
      <c r="E29" s="648">
        <v>1000</v>
      </c>
      <c r="F29" s="648">
        <v>300</v>
      </c>
      <c r="G29" s="648">
        <v>40</v>
      </c>
      <c r="H29" s="648"/>
      <c r="I29" s="648"/>
      <c r="J29" s="238">
        <v>0</v>
      </c>
      <c r="K29" s="648">
        <v>1</v>
      </c>
      <c r="L29" s="647">
        <f t="shared" si="0"/>
        <v>0</v>
      </c>
      <c r="M29" s="577">
        <v>21</v>
      </c>
      <c r="N29" s="578">
        <f t="shared" si="1"/>
        <v>0</v>
      </c>
    </row>
    <row r="30" spans="1:14">
      <c r="A30" s="547" t="s">
        <v>3009</v>
      </c>
      <c r="B30" s="555" t="s">
        <v>3008</v>
      </c>
      <c r="C30" s="549"/>
      <c r="D30" s="549"/>
      <c r="E30" s="648"/>
      <c r="F30" s="648"/>
      <c r="G30" s="648"/>
      <c r="H30" s="648"/>
      <c r="I30" s="648"/>
      <c r="J30" s="238">
        <v>0</v>
      </c>
      <c r="K30" s="648">
        <v>1</v>
      </c>
      <c r="L30" s="647">
        <f t="shared" si="0"/>
        <v>0</v>
      </c>
      <c r="M30" s="577">
        <v>21</v>
      </c>
      <c r="N30" s="578">
        <f t="shared" si="1"/>
        <v>0</v>
      </c>
    </row>
    <row r="31" spans="1:14">
      <c r="A31" s="543"/>
      <c r="B31" s="544" t="s">
        <v>2919</v>
      </c>
      <c r="C31" s="545"/>
      <c r="D31" s="545"/>
      <c r="E31" s="648"/>
      <c r="F31" s="648"/>
      <c r="G31" s="648"/>
      <c r="H31" s="648"/>
      <c r="I31" s="648"/>
      <c r="J31" s="238">
        <v>0</v>
      </c>
      <c r="K31" s="648"/>
      <c r="L31" s="647">
        <f t="shared" si="0"/>
        <v>0</v>
      </c>
      <c r="M31" s="577">
        <v>21</v>
      </c>
      <c r="N31" s="578">
        <f t="shared" si="1"/>
        <v>0</v>
      </c>
    </row>
    <row r="32" spans="1:14" ht="30">
      <c r="A32" s="547"/>
      <c r="B32" s="645" t="s">
        <v>3455</v>
      </c>
      <c r="C32" s="549"/>
      <c r="D32" s="549"/>
      <c r="E32" s="648"/>
      <c r="F32" s="648"/>
      <c r="G32" s="648"/>
      <c r="H32" s="648"/>
      <c r="I32" s="648"/>
      <c r="J32" s="238">
        <v>0</v>
      </c>
      <c r="K32" s="648">
        <v>1</v>
      </c>
      <c r="L32" s="647">
        <f t="shared" si="0"/>
        <v>0</v>
      </c>
      <c r="M32" s="577">
        <v>21</v>
      </c>
      <c r="N32" s="578">
        <f t="shared" si="1"/>
        <v>0</v>
      </c>
    </row>
    <row r="33" spans="1:14" ht="30">
      <c r="A33" s="547"/>
      <c r="B33" s="645" t="s">
        <v>3456</v>
      </c>
      <c r="C33" s="549"/>
      <c r="D33" s="549"/>
      <c r="E33" s="648"/>
      <c r="F33" s="648"/>
      <c r="G33" s="648"/>
      <c r="H33" s="648"/>
      <c r="I33" s="648"/>
      <c r="J33" s="238">
        <v>0</v>
      </c>
      <c r="K33" s="648">
        <v>1</v>
      </c>
      <c r="L33" s="647">
        <f t="shared" si="0"/>
        <v>0</v>
      </c>
      <c r="M33" s="577">
        <v>21</v>
      </c>
      <c r="N33" s="578">
        <f t="shared" si="1"/>
        <v>0</v>
      </c>
    </row>
    <row r="34" spans="1:14" ht="165" customHeight="1">
      <c r="A34" s="547" t="s">
        <v>3007</v>
      </c>
      <c r="B34" s="646" t="s">
        <v>3457</v>
      </c>
      <c r="C34" s="549"/>
      <c r="D34" s="549"/>
      <c r="E34" s="648">
        <v>5350</v>
      </c>
      <c r="F34" s="648">
        <v>900</v>
      </c>
      <c r="G34" s="648">
        <v>750</v>
      </c>
      <c r="H34" s="648">
        <v>0.5</v>
      </c>
      <c r="I34" s="648">
        <v>0</v>
      </c>
      <c r="J34" s="238">
        <v>0</v>
      </c>
      <c r="K34" s="648">
        <v>1</v>
      </c>
      <c r="L34" s="647">
        <f t="shared" si="0"/>
        <v>0</v>
      </c>
      <c r="M34" s="577">
        <v>21</v>
      </c>
      <c r="N34" s="578">
        <f t="shared" si="1"/>
        <v>0</v>
      </c>
    </row>
    <row r="35" spans="1:14" ht="60">
      <c r="A35" s="547" t="s">
        <v>3006</v>
      </c>
      <c r="B35" s="548" t="s">
        <v>3005</v>
      </c>
      <c r="C35" s="549"/>
      <c r="D35" s="549"/>
      <c r="E35" s="648">
        <v>1300</v>
      </c>
      <c r="F35" s="648">
        <v>670</v>
      </c>
      <c r="G35" s="648">
        <v>710</v>
      </c>
      <c r="H35" s="648">
        <v>0.68</v>
      </c>
      <c r="I35" s="648"/>
      <c r="J35" s="238">
        <v>0</v>
      </c>
      <c r="K35" s="648">
        <v>1</v>
      </c>
      <c r="L35" s="647">
        <f t="shared" si="0"/>
        <v>0</v>
      </c>
      <c r="M35" s="577">
        <v>21</v>
      </c>
      <c r="N35" s="578">
        <f t="shared" si="1"/>
        <v>0</v>
      </c>
    </row>
    <row r="36" spans="1:14" s="240" customFormat="1">
      <c r="A36" s="547"/>
      <c r="B36" s="548" t="s">
        <v>3004</v>
      </c>
      <c r="C36" s="549"/>
      <c r="D36" s="549"/>
      <c r="E36" s="549"/>
      <c r="F36" s="549"/>
      <c r="G36" s="549"/>
      <c r="H36" s="648"/>
      <c r="I36" s="549"/>
      <c r="J36" s="238"/>
      <c r="K36" s="648">
        <v>1</v>
      </c>
      <c r="L36" s="647">
        <f t="shared" ref="L36:L67" si="2">K36*J36</f>
        <v>0</v>
      </c>
      <c r="M36" s="577">
        <v>21</v>
      </c>
      <c r="N36" s="578">
        <f t="shared" ref="N36:N67" si="3">L36*(1+(M36/100))</f>
        <v>0</v>
      </c>
    </row>
    <row r="37" spans="1:14" s="240" customFormat="1" ht="117" customHeight="1">
      <c r="A37" s="547" t="s">
        <v>3003</v>
      </c>
      <c r="B37" s="669" t="s">
        <v>3463</v>
      </c>
      <c r="C37" s="549"/>
      <c r="D37" s="549"/>
      <c r="E37" s="552">
        <v>540</v>
      </c>
      <c r="F37" s="552">
        <v>810</v>
      </c>
      <c r="G37" s="552">
        <v>1440</v>
      </c>
      <c r="H37" s="549">
        <v>0.6</v>
      </c>
      <c r="I37" s="549">
        <v>0</v>
      </c>
      <c r="J37" s="238">
        <v>0</v>
      </c>
      <c r="K37" s="549">
        <v>2</v>
      </c>
      <c r="L37" s="647">
        <f t="shared" si="2"/>
        <v>0</v>
      </c>
      <c r="M37" s="577">
        <v>21</v>
      </c>
      <c r="N37" s="578">
        <f t="shared" si="3"/>
        <v>0</v>
      </c>
    </row>
    <row r="38" spans="1:14" s="240" customFormat="1" ht="45">
      <c r="A38" s="547" t="s">
        <v>3002</v>
      </c>
      <c r="B38" s="553" t="s">
        <v>2940</v>
      </c>
      <c r="C38" s="587"/>
      <c r="D38" s="587"/>
      <c r="E38" s="648">
        <v>260</v>
      </c>
      <c r="F38" s="648">
        <v>287</v>
      </c>
      <c r="G38" s="648">
        <v>137</v>
      </c>
      <c r="H38" s="648">
        <v>0.01</v>
      </c>
      <c r="I38" s="648">
        <v>0</v>
      </c>
      <c r="J38" s="238">
        <v>0</v>
      </c>
      <c r="K38" s="549">
        <v>1</v>
      </c>
      <c r="L38" s="647">
        <f t="shared" si="2"/>
        <v>0</v>
      </c>
      <c r="M38" s="577">
        <v>21</v>
      </c>
      <c r="N38" s="578">
        <f t="shared" si="3"/>
        <v>0</v>
      </c>
    </row>
    <row r="39" spans="1:14" s="240" customFormat="1" ht="30">
      <c r="A39" s="547" t="s">
        <v>3001</v>
      </c>
      <c r="B39" s="555" t="s">
        <v>3000</v>
      </c>
      <c r="C39" s="588"/>
      <c r="D39" s="588"/>
      <c r="E39" s="549">
        <v>0</v>
      </c>
      <c r="F39" s="549">
        <v>0</v>
      </c>
      <c r="G39" s="549">
        <v>0</v>
      </c>
      <c r="H39" s="549">
        <v>0.31</v>
      </c>
      <c r="I39" s="549">
        <v>0</v>
      </c>
      <c r="J39" s="238">
        <v>0</v>
      </c>
      <c r="K39" s="549">
        <v>1</v>
      </c>
      <c r="L39" s="647">
        <f t="shared" si="2"/>
        <v>0</v>
      </c>
      <c r="M39" s="577">
        <v>21</v>
      </c>
      <c r="N39" s="578">
        <f t="shared" si="3"/>
        <v>0</v>
      </c>
    </row>
    <row r="40" spans="1:14" s="240" customFormat="1">
      <c r="A40" s="547"/>
      <c r="B40" s="644" t="s">
        <v>3458</v>
      </c>
      <c r="C40" s="549"/>
      <c r="D40" s="549"/>
      <c r="E40" s="648"/>
      <c r="F40" s="648"/>
      <c r="G40" s="648"/>
      <c r="H40" s="648"/>
      <c r="I40" s="648"/>
      <c r="J40" s="238">
        <v>0</v>
      </c>
      <c r="K40" s="648">
        <v>1</v>
      </c>
      <c r="L40" s="647">
        <f t="shared" si="2"/>
        <v>0</v>
      </c>
      <c r="M40" s="577">
        <v>21</v>
      </c>
      <c r="N40" s="578">
        <f t="shared" si="3"/>
        <v>0</v>
      </c>
    </row>
    <row r="41" spans="1:14">
      <c r="A41" s="543"/>
      <c r="B41" s="544" t="s">
        <v>2899</v>
      </c>
      <c r="C41" s="545"/>
      <c r="D41" s="545"/>
      <c r="E41" s="648"/>
      <c r="F41" s="648"/>
      <c r="G41" s="648"/>
      <c r="H41" s="648"/>
      <c r="I41" s="648"/>
      <c r="J41" s="238">
        <v>0</v>
      </c>
      <c r="K41" s="648"/>
      <c r="L41" s="647">
        <f t="shared" si="2"/>
        <v>0</v>
      </c>
      <c r="M41" s="577">
        <v>21</v>
      </c>
      <c r="N41" s="578">
        <f t="shared" si="3"/>
        <v>0</v>
      </c>
    </row>
    <row r="42" spans="1:14" ht="45">
      <c r="A42" s="547" t="s">
        <v>2999</v>
      </c>
      <c r="B42" s="548" t="s">
        <v>2998</v>
      </c>
      <c r="C42" s="549"/>
      <c r="D42" s="549"/>
      <c r="E42" s="648">
        <v>700</v>
      </c>
      <c r="F42" s="648">
        <v>750</v>
      </c>
      <c r="G42" s="648">
        <v>900</v>
      </c>
      <c r="H42" s="648">
        <v>0</v>
      </c>
      <c r="I42" s="648">
        <v>0</v>
      </c>
      <c r="J42" s="238">
        <v>0</v>
      </c>
      <c r="K42" s="648">
        <v>1</v>
      </c>
      <c r="L42" s="647">
        <f t="shared" si="2"/>
        <v>0</v>
      </c>
      <c r="M42" s="577">
        <v>21</v>
      </c>
      <c r="N42" s="578">
        <f t="shared" si="3"/>
        <v>0</v>
      </c>
    </row>
    <row r="43" spans="1:14">
      <c r="A43" s="547"/>
      <c r="B43" s="548" t="s">
        <v>2997</v>
      </c>
      <c r="C43" s="549"/>
      <c r="D43" s="549"/>
      <c r="E43" s="648">
        <v>700</v>
      </c>
      <c r="F43" s="648">
        <v>450</v>
      </c>
      <c r="G43" s="648">
        <v>150</v>
      </c>
      <c r="H43" s="648"/>
      <c r="I43" s="648"/>
      <c r="J43" s="238">
        <v>0</v>
      </c>
      <c r="K43" s="648">
        <v>1</v>
      </c>
      <c r="L43" s="647">
        <f t="shared" si="2"/>
        <v>0</v>
      </c>
      <c r="M43" s="577">
        <v>21</v>
      </c>
      <c r="N43" s="578">
        <f t="shared" si="3"/>
        <v>0</v>
      </c>
    </row>
    <row r="44" spans="1:14" ht="30">
      <c r="A44" s="547" t="s">
        <v>2996</v>
      </c>
      <c r="B44" s="548" t="s">
        <v>2944</v>
      </c>
      <c r="C44" s="549"/>
      <c r="D44" s="549"/>
      <c r="E44" s="648">
        <v>1000</v>
      </c>
      <c r="F44" s="648">
        <v>450</v>
      </c>
      <c r="G44" s="648">
        <v>1800</v>
      </c>
      <c r="H44" s="648">
        <v>0</v>
      </c>
      <c r="I44" s="648">
        <v>0</v>
      </c>
      <c r="J44" s="238">
        <v>0</v>
      </c>
      <c r="K44" s="648">
        <v>1</v>
      </c>
      <c r="L44" s="647">
        <f t="shared" si="2"/>
        <v>0</v>
      </c>
      <c r="M44" s="577">
        <v>21</v>
      </c>
      <c r="N44" s="578">
        <f t="shared" si="3"/>
        <v>0</v>
      </c>
    </row>
    <row r="45" spans="1:14" ht="45">
      <c r="A45" s="547" t="s">
        <v>2995</v>
      </c>
      <c r="B45" s="586" t="s">
        <v>3462</v>
      </c>
      <c r="C45" s="549"/>
      <c r="D45" s="549"/>
      <c r="E45" s="648">
        <v>680</v>
      </c>
      <c r="F45" s="648">
        <v>520</v>
      </c>
      <c r="G45" s="648">
        <v>1030</v>
      </c>
      <c r="H45" s="648">
        <v>0.9</v>
      </c>
      <c r="I45" s="648">
        <v>0</v>
      </c>
      <c r="J45" s="238">
        <v>0</v>
      </c>
      <c r="K45" s="648">
        <v>4</v>
      </c>
      <c r="L45" s="647">
        <f t="shared" si="2"/>
        <v>0</v>
      </c>
      <c r="M45" s="577">
        <v>21</v>
      </c>
      <c r="N45" s="578">
        <f t="shared" si="3"/>
        <v>0</v>
      </c>
    </row>
    <row r="46" spans="1:14" ht="30">
      <c r="A46" s="547"/>
      <c r="B46" s="548" t="s">
        <v>2954</v>
      </c>
      <c r="C46" s="550"/>
      <c r="D46" s="648"/>
      <c r="E46" s="648"/>
      <c r="F46" s="648"/>
      <c r="G46" s="648"/>
      <c r="H46" s="648"/>
      <c r="I46" s="648"/>
      <c r="J46" s="239">
        <v>0</v>
      </c>
      <c r="K46" s="648">
        <v>1</v>
      </c>
      <c r="L46" s="647">
        <f t="shared" si="2"/>
        <v>0</v>
      </c>
      <c r="M46" s="577">
        <v>21</v>
      </c>
      <c r="N46" s="578">
        <f t="shared" si="3"/>
        <v>0</v>
      </c>
    </row>
    <row r="47" spans="1:14" ht="45">
      <c r="A47" s="547" t="s">
        <v>2994</v>
      </c>
      <c r="B47" s="548" t="s">
        <v>2993</v>
      </c>
      <c r="C47" s="549"/>
      <c r="D47" s="549"/>
      <c r="E47" s="648">
        <v>700</v>
      </c>
      <c r="F47" s="648">
        <v>560</v>
      </c>
      <c r="G47" s="648">
        <v>1640</v>
      </c>
      <c r="H47" s="648">
        <v>0</v>
      </c>
      <c r="I47" s="648">
        <v>0</v>
      </c>
      <c r="J47" s="238">
        <v>0</v>
      </c>
      <c r="K47" s="648">
        <v>4</v>
      </c>
      <c r="L47" s="647">
        <f t="shared" si="2"/>
        <v>0</v>
      </c>
      <c r="M47" s="577">
        <v>21</v>
      </c>
      <c r="N47" s="578">
        <f t="shared" si="3"/>
        <v>0</v>
      </c>
    </row>
    <row r="48" spans="1:14">
      <c r="A48" s="543"/>
      <c r="B48" s="548" t="s">
        <v>2992</v>
      </c>
      <c r="C48" s="549"/>
      <c r="D48" s="549"/>
      <c r="E48" s="648">
        <v>500</v>
      </c>
      <c r="F48" s="648">
        <v>500</v>
      </c>
      <c r="G48" s="648">
        <v>100</v>
      </c>
      <c r="H48" s="648">
        <v>0</v>
      </c>
      <c r="I48" s="648">
        <v>0</v>
      </c>
      <c r="J48" s="238">
        <v>0</v>
      </c>
      <c r="K48" s="648">
        <v>12</v>
      </c>
      <c r="L48" s="647">
        <f t="shared" si="2"/>
        <v>0</v>
      </c>
      <c r="M48" s="577">
        <v>21</v>
      </c>
      <c r="N48" s="578">
        <f t="shared" si="3"/>
        <v>0</v>
      </c>
    </row>
    <row r="49" spans="1:14">
      <c r="A49" s="543"/>
      <c r="B49" s="589" t="s">
        <v>2991</v>
      </c>
      <c r="C49" s="590"/>
      <c r="D49" s="590"/>
      <c r="E49" s="648">
        <v>688</v>
      </c>
      <c r="F49" s="648">
        <v>716</v>
      </c>
      <c r="G49" s="648">
        <v>100</v>
      </c>
      <c r="H49" s="648">
        <v>0</v>
      </c>
      <c r="I49" s="648">
        <v>0</v>
      </c>
      <c r="J49" s="238">
        <v>0</v>
      </c>
      <c r="K49" s="648">
        <v>3</v>
      </c>
      <c r="L49" s="647">
        <f t="shared" si="2"/>
        <v>0</v>
      </c>
      <c r="M49" s="577">
        <v>21</v>
      </c>
      <c r="N49" s="578">
        <f t="shared" si="3"/>
        <v>0</v>
      </c>
    </row>
    <row r="50" spans="1:14" ht="30">
      <c r="A50" s="547" t="s">
        <v>2990</v>
      </c>
      <c r="B50" s="548" t="s">
        <v>2944</v>
      </c>
      <c r="C50" s="549"/>
      <c r="D50" s="549"/>
      <c r="E50" s="648">
        <v>900</v>
      </c>
      <c r="F50" s="648">
        <v>400</v>
      </c>
      <c r="G50" s="648">
        <v>1800</v>
      </c>
      <c r="H50" s="549"/>
      <c r="I50" s="549"/>
      <c r="J50" s="238">
        <v>0</v>
      </c>
      <c r="K50" s="648">
        <v>1</v>
      </c>
      <c r="L50" s="647">
        <f t="shared" si="2"/>
        <v>0</v>
      </c>
      <c r="M50" s="577">
        <v>21</v>
      </c>
      <c r="N50" s="578">
        <f t="shared" si="3"/>
        <v>0</v>
      </c>
    </row>
    <row r="51" spans="1:14">
      <c r="A51" s="547"/>
      <c r="B51" s="544" t="s">
        <v>2891</v>
      </c>
      <c r="C51" s="545"/>
      <c r="D51" s="545"/>
      <c r="E51" s="648"/>
      <c r="F51" s="648"/>
      <c r="G51" s="648"/>
      <c r="H51" s="549"/>
      <c r="I51" s="549"/>
      <c r="J51" s="238">
        <v>0</v>
      </c>
      <c r="K51" s="648"/>
      <c r="L51" s="647">
        <f t="shared" si="2"/>
        <v>0</v>
      </c>
      <c r="M51" s="577">
        <v>21</v>
      </c>
      <c r="N51" s="578">
        <f t="shared" si="3"/>
        <v>0</v>
      </c>
    </row>
    <row r="52" spans="1:14">
      <c r="A52" s="543"/>
      <c r="B52" s="544" t="s">
        <v>2887</v>
      </c>
      <c r="C52" s="545"/>
      <c r="D52" s="545"/>
      <c r="E52" s="648"/>
      <c r="F52" s="648"/>
      <c r="G52" s="648"/>
      <c r="H52" s="648"/>
      <c r="I52" s="648"/>
      <c r="J52" s="238">
        <v>0</v>
      </c>
      <c r="K52" s="648"/>
      <c r="L52" s="647">
        <f t="shared" si="2"/>
        <v>0</v>
      </c>
      <c r="M52" s="577">
        <v>21</v>
      </c>
      <c r="N52" s="578">
        <f t="shared" si="3"/>
        <v>0</v>
      </c>
    </row>
    <row r="53" spans="1:14" ht="75">
      <c r="A53" s="547" t="s">
        <v>2989</v>
      </c>
      <c r="B53" s="548" t="s">
        <v>2988</v>
      </c>
      <c r="C53" s="549"/>
      <c r="D53" s="549"/>
      <c r="E53" s="648">
        <v>695</v>
      </c>
      <c r="F53" s="648">
        <v>810</v>
      </c>
      <c r="G53" s="648">
        <v>2020</v>
      </c>
      <c r="H53" s="648">
        <v>0.45</v>
      </c>
      <c r="I53" s="648">
        <v>0</v>
      </c>
      <c r="J53" s="238">
        <v>0</v>
      </c>
      <c r="K53" s="648">
        <v>2</v>
      </c>
      <c r="L53" s="647">
        <f t="shared" si="2"/>
        <v>0</v>
      </c>
      <c r="M53" s="577">
        <v>21</v>
      </c>
      <c r="N53" s="578">
        <f t="shared" si="3"/>
        <v>0</v>
      </c>
    </row>
    <row r="54" spans="1:14" ht="75">
      <c r="A54" s="547" t="s">
        <v>2987</v>
      </c>
      <c r="B54" s="548" t="s">
        <v>2957</v>
      </c>
      <c r="C54" s="549"/>
      <c r="D54" s="549"/>
      <c r="E54" s="648">
        <v>695</v>
      </c>
      <c r="F54" s="648">
        <v>810</v>
      </c>
      <c r="G54" s="648">
        <v>2020</v>
      </c>
      <c r="H54" s="648">
        <v>0.28000000000000003</v>
      </c>
      <c r="I54" s="648">
        <v>0</v>
      </c>
      <c r="J54" s="238">
        <v>0</v>
      </c>
      <c r="K54" s="648">
        <v>4</v>
      </c>
      <c r="L54" s="647">
        <f t="shared" si="2"/>
        <v>0</v>
      </c>
      <c r="M54" s="577">
        <v>21</v>
      </c>
      <c r="N54" s="578">
        <f t="shared" si="3"/>
        <v>0</v>
      </c>
    </row>
    <row r="55" spans="1:14" ht="30">
      <c r="A55" s="547" t="s">
        <v>2986</v>
      </c>
      <c r="B55" s="548" t="s">
        <v>2944</v>
      </c>
      <c r="C55" s="549"/>
      <c r="D55" s="549"/>
      <c r="E55" s="648">
        <v>1000</v>
      </c>
      <c r="F55" s="648">
        <v>550</v>
      </c>
      <c r="G55" s="648">
        <v>1800</v>
      </c>
      <c r="H55" s="648">
        <v>0</v>
      </c>
      <c r="I55" s="648">
        <v>0</v>
      </c>
      <c r="J55" s="238">
        <v>0</v>
      </c>
      <c r="K55" s="648">
        <v>3</v>
      </c>
      <c r="L55" s="647">
        <f t="shared" si="2"/>
        <v>0</v>
      </c>
      <c r="M55" s="577">
        <v>21</v>
      </c>
      <c r="N55" s="578">
        <f t="shared" si="3"/>
        <v>0</v>
      </c>
    </row>
    <row r="56" spans="1:14" ht="30">
      <c r="A56" s="547" t="s">
        <v>2985</v>
      </c>
      <c r="B56" s="548" t="s">
        <v>2944</v>
      </c>
      <c r="C56" s="549"/>
      <c r="D56" s="549"/>
      <c r="E56" s="648">
        <v>1400</v>
      </c>
      <c r="F56" s="648">
        <v>550</v>
      </c>
      <c r="G56" s="648">
        <v>1800</v>
      </c>
      <c r="H56" s="648">
        <v>0</v>
      </c>
      <c r="I56" s="648">
        <v>0</v>
      </c>
      <c r="J56" s="238">
        <v>0</v>
      </c>
      <c r="K56" s="648">
        <v>1</v>
      </c>
      <c r="L56" s="647">
        <f t="shared" si="2"/>
        <v>0</v>
      </c>
      <c r="M56" s="577">
        <v>21</v>
      </c>
      <c r="N56" s="578">
        <f t="shared" si="3"/>
        <v>0</v>
      </c>
    </row>
    <row r="57" spans="1:14">
      <c r="A57" s="543"/>
      <c r="B57" s="544" t="s">
        <v>2886</v>
      </c>
      <c r="C57" s="545"/>
      <c r="D57" s="545"/>
      <c r="E57" s="648"/>
      <c r="F57" s="648"/>
      <c r="G57" s="648"/>
      <c r="H57" s="648"/>
      <c r="I57" s="648"/>
      <c r="J57" s="238">
        <v>0</v>
      </c>
      <c r="K57" s="648"/>
      <c r="L57" s="647">
        <f t="shared" si="2"/>
        <v>0</v>
      </c>
      <c r="M57" s="577">
        <v>21</v>
      </c>
      <c r="N57" s="578">
        <f t="shared" si="3"/>
        <v>0</v>
      </c>
    </row>
    <row r="58" spans="1:14" ht="75">
      <c r="A58" s="547" t="s">
        <v>2984</v>
      </c>
      <c r="B58" s="548" t="s">
        <v>2957</v>
      </c>
      <c r="C58" s="549"/>
      <c r="D58" s="549"/>
      <c r="E58" s="648">
        <v>695</v>
      </c>
      <c r="F58" s="648">
        <v>810</v>
      </c>
      <c r="G58" s="648">
        <v>2020</v>
      </c>
      <c r="H58" s="648">
        <v>0.28000000000000003</v>
      </c>
      <c r="I58" s="648">
        <v>0</v>
      </c>
      <c r="J58" s="238">
        <v>0</v>
      </c>
      <c r="K58" s="648">
        <v>1</v>
      </c>
      <c r="L58" s="647">
        <f t="shared" si="2"/>
        <v>0</v>
      </c>
      <c r="M58" s="577">
        <v>21</v>
      </c>
      <c r="N58" s="578">
        <f t="shared" si="3"/>
        <v>0</v>
      </c>
    </row>
    <row r="59" spans="1:14" ht="30">
      <c r="A59" s="547" t="s">
        <v>2983</v>
      </c>
      <c r="B59" s="548" t="s">
        <v>2982</v>
      </c>
      <c r="C59" s="549"/>
      <c r="D59" s="549"/>
      <c r="E59" s="648">
        <v>560</v>
      </c>
      <c r="F59" s="648">
        <v>385</v>
      </c>
      <c r="G59" s="648">
        <v>1640</v>
      </c>
      <c r="H59" s="648">
        <v>0</v>
      </c>
      <c r="I59" s="648">
        <v>0</v>
      </c>
      <c r="J59" s="238">
        <v>0</v>
      </c>
      <c r="K59" s="648">
        <v>2</v>
      </c>
      <c r="L59" s="647">
        <f t="shared" si="2"/>
        <v>0</v>
      </c>
      <c r="M59" s="577">
        <v>21</v>
      </c>
      <c r="N59" s="578">
        <f t="shared" si="3"/>
        <v>0</v>
      </c>
    </row>
    <row r="60" spans="1:14" ht="90">
      <c r="A60" s="547" t="s">
        <v>2981</v>
      </c>
      <c r="B60" s="548" t="s">
        <v>2980</v>
      </c>
      <c r="C60" s="648"/>
      <c r="D60" s="648"/>
      <c r="E60" s="549">
        <v>360</v>
      </c>
      <c r="F60" s="549">
        <v>460</v>
      </c>
      <c r="G60" s="549">
        <v>765</v>
      </c>
      <c r="H60" s="648">
        <v>0.1</v>
      </c>
      <c r="I60" s="648"/>
      <c r="J60" s="238">
        <v>0</v>
      </c>
      <c r="K60" s="648">
        <v>1</v>
      </c>
      <c r="L60" s="647">
        <f t="shared" si="2"/>
        <v>0</v>
      </c>
      <c r="M60" s="577">
        <v>21</v>
      </c>
      <c r="N60" s="578">
        <f t="shared" si="3"/>
        <v>0</v>
      </c>
    </row>
    <row r="61" spans="1:14">
      <c r="A61" s="543"/>
      <c r="B61" s="544" t="s">
        <v>2885</v>
      </c>
      <c r="C61" s="545"/>
      <c r="D61" s="545"/>
      <c r="E61" s="648"/>
      <c r="F61" s="648"/>
      <c r="G61" s="648"/>
      <c r="H61" s="648"/>
      <c r="I61" s="648"/>
      <c r="J61" s="238">
        <v>0</v>
      </c>
      <c r="K61" s="648"/>
      <c r="L61" s="647">
        <f t="shared" si="2"/>
        <v>0</v>
      </c>
      <c r="M61" s="577">
        <v>21</v>
      </c>
      <c r="N61" s="578">
        <f t="shared" si="3"/>
        <v>0</v>
      </c>
    </row>
    <row r="62" spans="1:14" ht="30">
      <c r="A62" s="547" t="s">
        <v>2979</v>
      </c>
      <c r="B62" s="548" t="s">
        <v>2944</v>
      </c>
      <c r="C62" s="549"/>
      <c r="D62" s="549"/>
      <c r="E62" s="648">
        <v>700</v>
      </c>
      <c r="F62" s="648">
        <v>500</v>
      </c>
      <c r="G62" s="648">
        <v>1800</v>
      </c>
      <c r="H62" s="648">
        <v>0</v>
      </c>
      <c r="I62" s="648">
        <v>0</v>
      </c>
      <c r="J62" s="238">
        <v>0</v>
      </c>
      <c r="K62" s="648">
        <v>1</v>
      </c>
      <c r="L62" s="647">
        <f t="shared" si="2"/>
        <v>0</v>
      </c>
      <c r="M62" s="577">
        <v>21</v>
      </c>
      <c r="N62" s="578">
        <f t="shared" si="3"/>
        <v>0</v>
      </c>
    </row>
    <row r="63" spans="1:14" ht="75">
      <c r="A63" s="547" t="s">
        <v>2978</v>
      </c>
      <c r="B63" s="548" t="s">
        <v>2957</v>
      </c>
      <c r="C63" s="549"/>
      <c r="D63" s="549"/>
      <c r="E63" s="648">
        <v>695</v>
      </c>
      <c r="F63" s="648">
        <v>810</v>
      </c>
      <c r="G63" s="648">
        <v>2020</v>
      </c>
      <c r="H63" s="648">
        <v>0.28000000000000003</v>
      </c>
      <c r="I63" s="648">
        <v>0</v>
      </c>
      <c r="J63" s="238">
        <v>0</v>
      </c>
      <c r="K63" s="648">
        <v>2</v>
      </c>
      <c r="L63" s="647">
        <f t="shared" si="2"/>
        <v>0</v>
      </c>
      <c r="M63" s="577">
        <v>21</v>
      </c>
      <c r="N63" s="578">
        <f t="shared" si="3"/>
        <v>0</v>
      </c>
    </row>
    <row r="64" spans="1:14" ht="60">
      <c r="A64" s="547" t="s">
        <v>2977</v>
      </c>
      <c r="B64" s="548" t="s">
        <v>2976</v>
      </c>
      <c r="C64" s="549"/>
      <c r="D64" s="549"/>
      <c r="E64" s="549">
        <v>350</v>
      </c>
      <c r="F64" s="549">
        <v>320</v>
      </c>
      <c r="G64" s="549">
        <v>590</v>
      </c>
      <c r="H64" s="549">
        <v>0.6</v>
      </c>
      <c r="I64" s="549">
        <v>0</v>
      </c>
      <c r="J64" s="238">
        <v>0</v>
      </c>
      <c r="K64" s="549">
        <v>1</v>
      </c>
      <c r="L64" s="647">
        <f t="shared" si="2"/>
        <v>0</v>
      </c>
      <c r="M64" s="577">
        <v>21</v>
      </c>
      <c r="N64" s="578">
        <f t="shared" si="3"/>
        <v>0</v>
      </c>
    </row>
    <row r="65" spans="1:14" ht="30">
      <c r="A65" s="547"/>
      <c r="B65" s="548" t="s">
        <v>2975</v>
      </c>
      <c r="C65" s="549"/>
      <c r="D65" s="549"/>
      <c r="E65" s="549"/>
      <c r="F65" s="549"/>
      <c r="G65" s="549"/>
      <c r="H65" s="549"/>
      <c r="I65" s="549"/>
      <c r="J65" s="238">
        <v>0</v>
      </c>
      <c r="K65" s="549">
        <v>1</v>
      </c>
      <c r="L65" s="647">
        <f t="shared" si="2"/>
        <v>0</v>
      </c>
      <c r="M65" s="577">
        <v>21</v>
      </c>
      <c r="N65" s="578">
        <f t="shared" si="3"/>
        <v>0</v>
      </c>
    </row>
    <row r="66" spans="1:14" ht="45">
      <c r="A66" s="547" t="s">
        <v>2974</v>
      </c>
      <c r="B66" s="553" t="s">
        <v>2940</v>
      </c>
      <c r="C66" s="587"/>
      <c r="D66" s="587"/>
      <c r="E66" s="648">
        <v>260</v>
      </c>
      <c r="F66" s="648">
        <v>287</v>
      </c>
      <c r="G66" s="648">
        <v>137</v>
      </c>
      <c r="H66" s="648">
        <v>0.01</v>
      </c>
      <c r="I66" s="648">
        <v>0</v>
      </c>
      <c r="J66" s="238">
        <v>0</v>
      </c>
      <c r="K66" s="549">
        <v>1</v>
      </c>
      <c r="L66" s="647">
        <f t="shared" si="2"/>
        <v>0</v>
      </c>
      <c r="M66" s="577">
        <v>21</v>
      </c>
      <c r="N66" s="578">
        <f t="shared" si="3"/>
        <v>0</v>
      </c>
    </row>
    <row r="67" spans="1:14" ht="60">
      <c r="A67" s="547" t="s">
        <v>2973</v>
      </c>
      <c r="B67" s="644" t="s">
        <v>3459</v>
      </c>
      <c r="C67" s="549"/>
      <c r="D67" s="549"/>
      <c r="E67" s="549">
        <v>535</v>
      </c>
      <c r="F67" s="549">
        <v>570</v>
      </c>
      <c r="G67" s="549">
        <v>410</v>
      </c>
      <c r="H67" s="549">
        <v>0.14699999999999999</v>
      </c>
      <c r="I67" s="549"/>
      <c r="J67" s="238">
        <v>0</v>
      </c>
      <c r="K67" s="549">
        <v>1</v>
      </c>
      <c r="L67" s="647">
        <f t="shared" si="2"/>
        <v>0</v>
      </c>
      <c r="M67" s="577">
        <v>21</v>
      </c>
      <c r="N67" s="578">
        <f t="shared" si="3"/>
        <v>0</v>
      </c>
    </row>
    <row r="68" spans="1:14">
      <c r="A68" s="543"/>
      <c r="B68" s="544" t="s">
        <v>2877</v>
      </c>
      <c r="C68" s="545"/>
      <c r="D68" s="545"/>
      <c r="E68" s="648"/>
      <c r="F68" s="648"/>
      <c r="G68" s="648"/>
      <c r="H68" s="648"/>
      <c r="I68" s="648"/>
      <c r="J68" s="238">
        <v>0</v>
      </c>
      <c r="K68" s="648"/>
      <c r="L68" s="647">
        <f t="shared" ref="L68:L91" si="4">K68*J68</f>
        <v>0</v>
      </c>
      <c r="M68" s="577">
        <v>21</v>
      </c>
      <c r="N68" s="578">
        <f t="shared" ref="N68:N91" si="5">L68*(1+(M68/100))</f>
        <v>0</v>
      </c>
    </row>
    <row r="69" spans="1:14" ht="30">
      <c r="A69" s="547" t="s">
        <v>2972</v>
      </c>
      <c r="B69" s="548" t="s">
        <v>2944</v>
      </c>
      <c r="C69" s="549"/>
      <c r="D69" s="549"/>
      <c r="E69" s="648">
        <v>1100</v>
      </c>
      <c r="F69" s="648">
        <v>500</v>
      </c>
      <c r="G69" s="648">
        <v>1800</v>
      </c>
      <c r="H69" s="648">
        <v>0</v>
      </c>
      <c r="I69" s="648">
        <v>0</v>
      </c>
      <c r="J69" s="238">
        <v>0</v>
      </c>
      <c r="K69" s="648">
        <v>1</v>
      </c>
      <c r="L69" s="647">
        <f t="shared" si="4"/>
        <v>0</v>
      </c>
      <c r="M69" s="577">
        <v>21</v>
      </c>
      <c r="N69" s="578">
        <f t="shared" si="5"/>
        <v>0</v>
      </c>
    </row>
    <row r="70" spans="1:14" ht="66" customHeight="1">
      <c r="A70" s="547" t="s">
        <v>2971</v>
      </c>
      <c r="B70" s="548" t="s">
        <v>2970</v>
      </c>
      <c r="C70" s="549"/>
      <c r="D70" s="549"/>
      <c r="E70" s="648">
        <v>1000</v>
      </c>
      <c r="F70" s="648">
        <v>700</v>
      </c>
      <c r="G70" s="648">
        <v>750</v>
      </c>
      <c r="H70" s="648"/>
      <c r="I70" s="648"/>
      <c r="J70" s="238">
        <v>0</v>
      </c>
      <c r="K70" s="648">
        <v>1</v>
      </c>
      <c r="L70" s="647">
        <f t="shared" si="4"/>
        <v>0</v>
      </c>
      <c r="M70" s="577">
        <v>21</v>
      </c>
      <c r="N70" s="578">
        <f t="shared" si="5"/>
        <v>0</v>
      </c>
    </row>
    <row r="71" spans="1:14" ht="40.5" customHeight="1">
      <c r="A71" s="547" t="s">
        <v>2969</v>
      </c>
      <c r="B71" s="548" t="s">
        <v>2968</v>
      </c>
      <c r="C71" s="549"/>
      <c r="D71" s="549"/>
      <c r="E71" s="648">
        <v>905</v>
      </c>
      <c r="F71" s="648">
        <v>605</v>
      </c>
      <c r="G71" s="648">
        <v>950</v>
      </c>
      <c r="H71" s="648"/>
      <c r="I71" s="648"/>
      <c r="J71" s="238">
        <v>0</v>
      </c>
      <c r="K71" s="648">
        <v>1</v>
      </c>
      <c r="L71" s="647">
        <f t="shared" si="4"/>
        <v>0</v>
      </c>
      <c r="M71" s="577">
        <v>21</v>
      </c>
      <c r="N71" s="578">
        <f t="shared" si="5"/>
        <v>0</v>
      </c>
    </row>
    <row r="72" spans="1:14">
      <c r="A72" s="543"/>
      <c r="B72" s="544" t="s">
        <v>2873</v>
      </c>
      <c r="C72" s="545"/>
      <c r="D72" s="545"/>
      <c r="E72" s="648"/>
      <c r="F72" s="648"/>
      <c r="G72" s="648"/>
      <c r="H72" s="648"/>
      <c r="I72" s="648"/>
      <c r="J72" s="238">
        <v>0</v>
      </c>
      <c r="K72" s="648"/>
      <c r="L72" s="647">
        <f t="shared" si="4"/>
        <v>0</v>
      </c>
      <c r="M72" s="577">
        <v>21</v>
      </c>
      <c r="N72" s="578">
        <f t="shared" si="5"/>
        <v>0</v>
      </c>
    </row>
    <row r="73" spans="1:14" ht="30">
      <c r="A73" s="547" t="s">
        <v>2967</v>
      </c>
      <c r="B73" s="548" t="s">
        <v>2944</v>
      </c>
      <c r="C73" s="549"/>
      <c r="D73" s="549"/>
      <c r="E73" s="648">
        <v>1300</v>
      </c>
      <c r="F73" s="648">
        <v>500</v>
      </c>
      <c r="G73" s="648">
        <v>1800</v>
      </c>
      <c r="H73" s="648">
        <v>0</v>
      </c>
      <c r="I73" s="648">
        <v>0</v>
      </c>
      <c r="J73" s="238">
        <v>0</v>
      </c>
      <c r="K73" s="648">
        <v>1</v>
      </c>
      <c r="L73" s="647">
        <f t="shared" si="4"/>
        <v>0</v>
      </c>
      <c r="M73" s="577">
        <v>21</v>
      </c>
      <c r="N73" s="578">
        <f t="shared" si="5"/>
        <v>0</v>
      </c>
    </row>
    <row r="74" spans="1:14" ht="75">
      <c r="A74" s="547" t="s">
        <v>2966</v>
      </c>
      <c r="B74" s="548" t="s">
        <v>2957</v>
      </c>
      <c r="C74" s="549"/>
      <c r="D74" s="549"/>
      <c r="E74" s="648">
        <v>695</v>
      </c>
      <c r="F74" s="648">
        <v>810</v>
      </c>
      <c r="G74" s="648">
        <v>2020</v>
      </c>
      <c r="H74" s="648">
        <v>0.28000000000000003</v>
      </c>
      <c r="I74" s="648">
        <v>0</v>
      </c>
      <c r="J74" s="238">
        <v>0</v>
      </c>
      <c r="K74" s="648">
        <v>1</v>
      </c>
      <c r="L74" s="647">
        <f t="shared" si="4"/>
        <v>0</v>
      </c>
      <c r="M74" s="577">
        <v>21</v>
      </c>
      <c r="N74" s="578">
        <f t="shared" si="5"/>
        <v>0</v>
      </c>
    </row>
    <row r="75" spans="1:14">
      <c r="A75" s="543"/>
      <c r="B75" s="544" t="s">
        <v>2872</v>
      </c>
      <c r="C75" s="545"/>
      <c r="D75" s="545"/>
      <c r="E75" s="648"/>
      <c r="F75" s="648"/>
      <c r="G75" s="648"/>
      <c r="H75" s="648"/>
      <c r="I75" s="648"/>
      <c r="J75" s="238">
        <v>0</v>
      </c>
      <c r="K75" s="648"/>
      <c r="L75" s="647">
        <f t="shared" si="4"/>
        <v>0</v>
      </c>
      <c r="M75" s="577">
        <v>21</v>
      </c>
      <c r="N75" s="578">
        <f t="shared" si="5"/>
        <v>0</v>
      </c>
    </row>
    <row r="76" spans="1:14" ht="30">
      <c r="A76" s="547" t="s">
        <v>2965</v>
      </c>
      <c r="B76" s="548" t="s">
        <v>2944</v>
      </c>
      <c r="C76" s="549"/>
      <c r="D76" s="549"/>
      <c r="E76" s="648">
        <v>1400</v>
      </c>
      <c r="F76" s="648">
        <v>500</v>
      </c>
      <c r="G76" s="648">
        <v>1800</v>
      </c>
      <c r="H76" s="648">
        <v>0</v>
      </c>
      <c r="I76" s="648">
        <v>0</v>
      </c>
      <c r="J76" s="238">
        <v>0</v>
      </c>
      <c r="K76" s="648">
        <v>1</v>
      </c>
      <c r="L76" s="647">
        <f t="shared" si="4"/>
        <v>0</v>
      </c>
      <c r="M76" s="577">
        <v>21</v>
      </c>
      <c r="N76" s="578">
        <f t="shared" si="5"/>
        <v>0</v>
      </c>
    </row>
    <row r="77" spans="1:14" ht="30">
      <c r="A77" s="547" t="s">
        <v>2964</v>
      </c>
      <c r="B77" s="548" t="s">
        <v>2944</v>
      </c>
      <c r="C77" s="549"/>
      <c r="D77" s="549"/>
      <c r="E77" s="648">
        <v>1200</v>
      </c>
      <c r="F77" s="648">
        <v>500</v>
      </c>
      <c r="G77" s="648">
        <v>1800</v>
      </c>
      <c r="H77" s="648">
        <v>0</v>
      </c>
      <c r="I77" s="648">
        <v>0</v>
      </c>
      <c r="J77" s="238">
        <v>0</v>
      </c>
      <c r="K77" s="648">
        <v>1</v>
      </c>
      <c r="L77" s="647">
        <f t="shared" si="4"/>
        <v>0</v>
      </c>
      <c r="M77" s="577">
        <v>21</v>
      </c>
      <c r="N77" s="578">
        <f t="shared" si="5"/>
        <v>0</v>
      </c>
    </row>
    <row r="78" spans="1:14" ht="30">
      <c r="A78" s="547" t="s">
        <v>2963</v>
      </c>
      <c r="B78" s="548" t="s">
        <v>2944</v>
      </c>
      <c r="C78" s="549"/>
      <c r="D78" s="549"/>
      <c r="E78" s="648">
        <v>1000</v>
      </c>
      <c r="F78" s="648">
        <v>500</v>
      </c>
      <c r="G78" s="648">
        <v>1800</v>
      </c>
      <c r="H78" s="648">
        <v>0</v>
      </c>
      <c r="I78" s="648">
        <v>0</v>
      </c>
      <c r="J78" s="238">
        <v>0</v>
      </c>
      <c r="K78" s="648">
        <v>4</v>
      </c>
      <c r="L78" s="647">
        <f t="shared" si="4"/>
        <v>0</v>
      </c>
      <c r="M78" s="577">
        <v>21</v>
      </c>
      <c r="N78" s="578">
        <f t="shared" si="5"/>
        <v>0</v>
      </c>
    </row>
    <row r="79" spans="1:14">
      <c r="A79" s="543"/>
      <c r="B79" s="544" t="s">
        <v>2871</v>
      </c>
      <c r="C79" s="545"/>
      <c r="D79" s="545"/>
      <c r="E79" s="648"/>
      <c r="F79" s="648"/>
      <c r="G79" s="648"/>
      <c r="H79" s="648"/>
      <c r="I79" s="648"/>
      <c r="J79" s="238">
        <v>0</v>
      </c>
      <c r="K79" s="648"/>
      <c r="L79" s="647">
        <f t="shared" si="4"/>
        <v>0</v>
      </c>
      <c r="M79" s="577">
        <v>21</v>
      </c>
      <c r="N79" s="578">
        <f t="shared" si="5"/>
        <v>0</v>
      </c>
    </row>
    <row r="80" spans="1:14" ht="30">
      <c r="A80" s="547" t="s">
        <v>2962</v>
      </c>
      <c r="B80" s="548" t="s">
        <v>2961</v>
      </c>
      <c r="C80" s="549"/>
      <c r="D80" s="549"/>
      <c r="E80" s="648">
        <v>808</v>
      </c>
      <c r="F80" s="648">
        <v>685</v>
      </c>
      <c r="G80" s="648">
        <v>720</v>
      </c>
      <c r="H80" s="648">
        <v>0.8</v>
      </c>
      <c r="I80" s="648">
        <v>0</v>
      </c>
      <c r="J80" s="238">
        <v>0</v>
      </c>
      <c r="K80" s="648">
        <v>2</v>
      </c>
      <c r="L80" s="647">
        <f t="shared" si="4"/>
        <v>0</v>
      </c>
      <c r="M80" s="577">
        <v>21</v>
      </c>
      <c r="N80" s="578">
        <f t="shared" si="5"/>
        <v>0</v>
      </c>
    </row>
    <row r="81" spans="1:14">
      <c r="A81" s="547" t="s">
        <v>2960</v>
      </c>
      <c r="B81" s="548" t="s">
        <v>2959</v>
      </c>
      <c r="C81" s="549"/>
      <c r="D81" s="549"/>
      <c r="E81" s="648">
        <v>900</v>
      </c>
      <c r="F81" s="648">
        <v>700</v>
      </c>
      <c r="G81" s="648">
        <v>900</v>
      </c>
      <c r="H81" s="648"/>
      <c r="I81" s="648"/>
      <c r="J81" s="238">
        <v>0</v>
      </c>
      <c r="K81" s="648">
        <v>2</v>
      </c>
      <c r="L81" s="647">
        <f t="shared" si="4"/>
        <v>0</v>
      </c>
      <c r="M81" s="577">
        <v>21</v>
      </c>
      <c r="N81" s="578">
        <f t="shared" si="5"/>
        <v>0</v>
      </c>
    </row>
    <row r="82" spans="1:14" ht="75">
      <c r="A82" s="547" t="s">
        <v>2958</v>
      </c>
      <c r="B82" s="548" t="s">
        <v>2957</v>
      </c>
      <c r="C82" s="549"/>
      <c r="D82" s="549"/>
      <c r="E82" s="648">
        <v>695</v>
      </c>
      <c r="F82" s="648">
        <v>810</v>
      </c>
      <c r="G82" s="648">
        <v>2020</v>
      </c>
      <c r="H82" s="648">
        <v>0.28000000000000003</v>
      </c>
      <c r="I82" s="648">
        <v>0</v>
      </c>
      <c r="J82" s="238">
        <v>0</v>
      </c>
      <c r="K82" s="648">
        <v>1</v>
      </c>
      <c r="L82" s="647">
        <f t="shared" si="4"/>
        <v>0</v>
      </c>
      <c r="M82" s="577">
        <v>21</v>
      </c>
      <c r="N82" s="578">
        <f t="shared" si="5"/>
        <v>0</v>
      </c>
    </row>
    <row r="83" spans="1:14">
      <c r="A83" s="547" t="s">
        <v>2956</v>
      </c>
      <c r="B83" s="548" t="s">
        <v>2955</v>
      </c>
      <c r="C83" s="549"/>
      <c r="D83" s="549"/>
      <c r="E83" s="648">
        <v>1700</v>
      </c>
      <c r="F83" s="648">
        <v>700</v>
      </c>
      <c r="G83" s="648">
        <v>900</v>
      </c>
      <c r="H83" s="648">
        <v>0</v>
      </c>
      <c r="I83" s="648">
        <v>0</v>
      </c>
      <c r="J83" s="238">
        <v>0</v>
      </c>
      <c r="K83" s="648">
        <v>1</v>
      </c>
      <c r="L83" s="647">
        <f t="shared" si="4"/>
        <v>0</v>
      </c>
      <c r="M83" s="577">
        <v>21</v>
      </c>
      <c r="N83" s="578">
        <f t="shared" si="5"/>
        <v>0</v>
      </c>
    </row>
    <row r="84" spans="1:14" ht="30">
      <c r="A84" s="547"/>
      <c r="B84" s="548" t="s">
        <v>2954</v>
      </c>
      <c r="C84" s="550"/>
      <c r="D84" s="648"/>
      <c r="E84" s="648"/>
      <c r="F84" s="648"/>
      <c r="G84" s="648"/>
      <c r="H84" s="648"/>
      <c r="I84" s="648"/>
      <c r="J84" s="239">
        <v>0</v>
      </c>
      <c r="K84" s="648">
        <v>1</v>
      </c>
      <c r="L84" s="647">
        <f t="shared" si="4"/>
        <v>0</v>
      </c>
      <c r="M84" s="577">
        <v>21</v>
      </c>
      <c r="N84" s="578">
        <f t="shared" si="5"/>
        <v>0</v>
      </c>
    </row>
    <row r="85" spans="1:14">
      <c r="A85" s="547" t="s">
        <v>2953</v>
      </c>
      <c r="B85" s="548" t="s">
        <v>2952</v>
      </c>
      <c r="C85" s="549"/>
      <c r="D85" s="549"/>
      <c r="E85" s="648">
        <v>1000</v>
      </c>
      <c r="F85" s="648">
        <v>650</v>
      </c>
      <c r="G85" s="648">
        <v>900</v>
      </c>
      <c r="H85" s="648">
        <v>0.1</v>
      </c>
      <c r="I85" s="648">
        <v>0</v>
      </c>
      <c r="J85" s="238">
        <v>0</v>
      </c>
      <c r="K85" s="648">
        <v>1</v>
      </c>
      <c r="L85" s="647">
        <f t="shared" si="4"/>
        <v>0</v>
      </c>
      <c r="M85" s="577">
        <v>21</v>
      </c>
      <c r="N85" s="578">
        <f t="shared" si="5"/>
        <v>0</v>
      </c>
    </row>
    <row r="86" spans="1:14" ht="75">
      <c r="A86" s="547" t="s">
        <v>2951</v>
      </c>
      <c r="B86" s="551" t="s">
        <v>2950</v>
      </c>
      <c r="C86" s="549"/>
      <c r="D86" s="549"/>
      <c r="E86" s="648">
        <v>650</v>
      </c>
      <c r="F86" s="648">
        <v>590</v>
      </c>
      <c r="G86" s="648">
        <v>1900</v>
      </c>
      <c r="H86" s="648">
        <v>0.28000000000000003</v>
      </c>
      <c r="I86" s="648">
        <v>0</v>
      </c>
      <c r="J86" s="238">
        <v>0</v>
      </c>
      <c r="K86" s="648">
        <v>1</v>
      </c>
      <c r="L86" s="647">
        <f t="shared" si="4"/>
        <v>0</v>
      </c>
      <c r="M86" s="577">
        <v>21</v>
      </c>
      <c r="N86" s="578">
        <f t="shared" si="5"/>
        <v>0</v>
      </c>
    </row>
    <row r="87" spans="1:14">
      <c r="A87" s="547" t="s">
        <v>2949</v>
      </c>
      <c r="B87" s="548" t="s">
        <v>2948</v>
      </c>
      <c r="C87" s="549"/>
      <c r="D87" s="549"/>
      <c r="E87" s="648">
        <v>800</v>
      </c>
      <c r="F87" s="648">
        <v>700</v>
      </c>
      <c r="G87" s="648">
        <v>900</v>
      </c>
      <c r="H87" s="648">
        <v>0</v>
      </c>
      <c r="I87" s="648">
        <v>0</v>
      </c>
      <c r="J87" s="238">
        <v>0</v>
      </c>
      <c r="K87" s="648">
        <v>1</v>
      </c>
      <c r="L87" s="647">
        <f t="shared" si="4"/>
        <v>0</v>
      </c>
      <c r="M87" s="577">
        <v>21</v>
      </c>
      <c r="N87" s="578">
        <f t="shared" si="5"/>
        <v>0</v>
      </c>
    </row>
    <row r="88" spans="1:14">
      <c r="A88" s="547" t="s">
        <v>2947</v>
      </c>
      <c r="B88" s="548" t="s">
        <v>2946</v>
      </c>
      <c r="C88" s="549"/>
      <c r="D88" s="549"/>
      <c r="E88" s="648">
        <v>0</v>
      </c>
      <c r="F88" s="648">
        <v>0</v>
      </c>
      <c r="G88" s="648">
        <v>0</v>
      </c>
      <c r="H88" s="648">
        <v>3</v>
      </c>
      <c r="I88" s="648">
        <v>0</v>
      </c>
      <c r="J88" s="238">
        <v>0</v>
      </c>
      <c r="K88" s="648">
        <v>1</v>
      </c>
      <c r="L88" s="647">
        <f t="shared" si="4"/>
        <v>0</v>
      </c>
      <c r="M88" s="577">
        <v>21</v>
      </c>
      <c r="N88" s="578">
        <f t="shared" si="5"/>
        <v>0</v>
      </c>
    </row>
    <row r="89" spans="1:14" ht="30">
      <c r="A89" s="547" t="s">
        <v>2945</v>
      </c>
      <c r="B89" s="548" t="s">
        <v>2944</v>
      </c>
      <c r="C89" s="549"/>
      <c r="D89" s="549"/>
      <c r="E89" s="648">
        <v>1300</v>
      </c>
      <c r="F89" s="648">
        <v>600</v>
      </c>
      <c r="G89" s="648">
        <v>1500</v>
      </c>
      <c r="H89" s="648">
        <v>0</v>
      </c>
      <c r="I89" s="648">
        <v>0</v>
      </c>
      <c r="J89" s="238">
        <v>0</v>
      </c>
      <c r="K89" s="648">
        <v>1</v>
      </c>
      <c r="L89" s="647">
        <f t="shared" si="4"/>
        <v>0</v>
      </c>
      <c r="M89" s="577">
        <v>21</v>
      </c>
      <c r="N89" s="578">
        <f t="shared" si="5"/>
        <v>0</v>
      </c>
    </row>
    <row r="90" spans="1:14" ht="30">
      <c r="A90" s="547" t="s">
        <v>2943</v>
      </c>
      <c r="B90" s="548" t="s">
        <v>2942</v>
      </c>
      <c r="C90" s="549"/>
      <c r="D90" s="549"/>
      <c r="E90" s="648">
        <v>1960</v>
      </c>
      <c r="F90" s="648">
        <v>700</v>
      </c>
      <c r="G90" s="648">
        <v>900</v>
      </c>
      <c r="H90" s="648"/>
      <c r="I90" s="648"/>
      <c r="J90" s="238">
        <v>0</v>
      </c>
      <c r="K90" s="648">
        <v>1</v>
      </c>
      <c r="L90" s="647">
        <f t="shared" si="4"/>
        <v>0</v>
      </c>
      <c r="M90" s="577">
        <v>21</v>
      </c>
      <c r="N90" s="578">
        <f t="shared" si="5"/>
        <v>0</v>
      </c>
    </row>
    <row r="91" spans="1:14" ht="69.75" customHeight="1" thickBot="1">
      <c r="A91" s="558" t="s">
        <v>2941</v>
      </c>
      <c r="B91" s="591" t="s">
        <v>2940</v>
      </c>
      <c r="C91" s="592"/>
      <c r="D91" s="592"/>
      <c r="E91" s="560">
        <v>260</v>
      </c>
      <c r="F91" s="560">
        <v>287</v>
      </c>
      <c r="G91" s="560">
        <v>137</v>
      </c>
      <c r="H91" s="560">
        <v>0.01</v>
      </c>
      <c r="I91" s="560">
        <v>0</v>
      </c>
      <c r="J91" s="237">
        <v>0</v>
      </c>
      <c r="K91" s="559">
        <v>1</v>
      </c>
      <c r="L91" s="579">
        <f t="shared" si="4"/>
        <v>0</v>
      </c>
      <c r="M91" s="580">
        <v>21</v>
      </c>
      <c r="N91" s="581">
        <f t="shared" si="5"/>
        <v>0</v>
      </c>
    </row>
    <row r="92" spans="1:14" ht="16.5" customHeight="1">
      <c r="A92" s="561"/>
      <c r="B92" s="562" t="s">
        <v>2861</v>
      </c>
      <c r="C92" s="563"/>
      <c r="D92" s="563"/>
      <c r="E92" s="561"/>
      <c r="F92" s="561"/>
      <c r="G92" s="561"/>
      <c r="H92" s="561"/>
      <c r="I92" s="561"/>
      <c r="J92" s="538"/>
      <c r="K92" s="561"/>
      <c r="L92" s="582">
        <f>SUM(L4:L91)</f>
        <v>0</v>
      </c>
      <c r="M92" s="565"/>
      <c r="N92" s="582">
        <f>SUM(N4:N91)</f>
        <v>0</v>
      </c>
    </row>
    <row r="93" spans="1:14" ht="16.5" customHeight="1">
      <c r="A93" s="561"/>
      <c r="B93" s="564"/>
      <c r="C93" s="563"/>
      <c r="D93" s="563"/>
      <c r="E93" s="561"/>
      <c r="F93" s="561"/>
      <c r="G93" s="561"/>
      <c r="H93" s="561"/>
      <c r="I93" s="561"/>
      <c r="J93" s="538"/>
      <c r="K93" s="561"/>
      <c r="L93" s="583"/>
      <c r="M93" s="584"/>
      <c r="N93" s="583"/>
    </row>
    <row r="94" spans="1:14" ht="15.75" thickBot="1">
      <c r="A94" s="561"/>
      <c r="B94" s="565"/>
      <c r="C94" s="561"/>
      <c r="D94" s="561"/>
      <c r="E94" s="561"/>
      <c r="F94" s="561"/>
      <c r="G94" s="561"/>
      <c r="H94" s="561"/>
      <c r="I94" s="561"/>
      <c r="J94" s="538"/>
      <c r="K94" s="561"/>
      <c r="L94" s="565"/>
      <c r="M94" s="565"/>
      <c r="N94" s="565"/>
    </row>
    <row r="95" spans="1:14">
      <c r="A95" s="561"/>
      <c r="B95" s="566" t="s">
        <v>2860</v>
      </c>
      <c r="C95" s="561"/>
      <c r="D95" s="561"/>
      <c r="E95" s="561"/>
      <c r="F95" s="561"/>
      <c r="G95" s="561"/>
      <c r="H95" s="561"/>
      <c r="I95" s="561"/>
      <c r="J95" s="538"/>
      <c r="K95" s="561"/>
      <c r="L95" s="565"/>
      <c r="M95" s="565"/>
      <c r="N95" s="565"/>
    </row>
    <row r="96" spans="1:14" ht="30.75" thickBot="1">
      <c r="A96" s="561"/>
      <c r="B96" s="567" t="s">
        <v>2859</v>
      </c>
      <c r="C96" s="561"/>
      <c r="D96" s="561"/>
      <c r="E96" s="561"/>
      <c r="F96" s="561"/>
      <c r="G96" s="561"/>
      <c r="H96" s="561"/>
      <c r="I96" s="561"/>
      <c r="J96" s="538"/>
      <c r="K96" s="561"/>
      <c r="L96" s="585"/>
      <c r="M96" s="565"/>
      <c r="N96" s="565"/>
    </row>
    <row r="97" spans="1:14">
      <c r="A97" s="561"/>
      <c r="B97" s="565"/>
      <c r="C97" s="561"/>
      <c r="D97" s="561"/>
      <c r="E97" s="561"/>
      <c r="F97" s="561"/>
      <c r="G97" s="561"/>
      <c r="H97" s="561"/>
      <c r="I97" s="561"/>
      <c r="J97" s="538"/>
      <c r="K97" s="561"/>
      <c r="L97" s="565"/>
      <c r="M97" s="565"/>
      <c r="N97" s="565"/>
    </row>
    <row r="98" spans="1:14">
      <c r="A98" s="561"/>
      <c r="B98" s="565"/>
      <c r="C98" s="561"/>
      <c r="D98" s="561"/>
      <c r="E98" s="561"/>
      <c r="F98" s="561"/>
      <c r="G98" s="561"/>
      <c r="H98" s="561"/>
      <c r="I98" s="561"/>
      <c r="J98" s="538"/>
      <c r="K98" s="561"/>
      <c r="L98" s="565"/>
      <c r="M98" s="565"/>
      <c r="N98" s="565"/>
    </row>
    <row r="99" spans="1:14">
      <c r="A99" s="561"/>
      <c r="B99" s="565"/>
      <c r="C99" s="561"/>
      <c r="D99" s="561"/>
      <c r="E99" s="561"/>
      <c r="F99" s="561"/>
      <c r="G99" s="561"/>
      <c r="H99" s="561"/>
      <c r="I99" s="561"/>
      <c r="J99" s="538"/>
      <c r="K99" s="561"/>
      <c r="L99" s="565"/>
      <c r="M99" s="565"/>
      <c r="N99" s="565"/>
    </row>
    <row r="100" spans="1:14">
      <c r="A100" s="561"/>
      <c r="B100" s="565"/>
      <c r="C100" s="561"/>
      <c r="D100" s="561"/>
      <c r="E100" s="561"/>
      <c r="F100" s="561"/>
      <c r="G100" s="561"/>
      <c r="H100" s="561"/>
      <c r="I100" s="561"/>
      <c r="J100" s="538"/>
      <c r="K100" s="561"/>
      <c r="L100" s="565"/>
      <c r="M100" s="565"/>
      <c r="N100" s="565"/>
    </row>
    <row r="101" spans="1:14">
      <c r="A101" s="561"/>
      <c r="B101" s="565"/>
      <c r="C101" s="561"/>
      <c r="D101" s="561"/>
      <c r="E101" s="561"/>
      <c r="F101" s="561"/>
      <c r="G101" s="561"/>
      <c r="H101" s="561"/>
      <c r="I101" s="561"/>
      <c r="J101" s="538"/>
      <c r="K101" s="561"/>
      <c r="L101" s="565"/>
      <c r="M101" s="565"/>
      <c r="N101" s="565"/>
    </row>
    <row r="102" spans="1:14">
      <c r="A102" s="561"/>
      <c r="B102" s="565"/>
      <c r="C102" s="561"/>
      <c r="D102" s="561"/>
      <c r="E102" s="561"/>
      <c r="F102" s="561"/>
      <c r="G102" s="561"/>
      <c r="H102" s="561"/>
      <c r="I102" s="561"/>
      <c r="J102" s="538"/>
      <c r="K102" s="561"/>
      <c r="L102" s="565"/>
      <c r="M102" s="565"/>
      <c r="N102" s="565"/>
    </row>
    <row r="103" spans="1:14">
      <c r="A103" s="561"/>
      <c r="B103" s="565"/>
      <c r="C103" s="561"/>
      <c r="D103" s="561"/>
      <c r="E103" s="561"/>
      <c r="F103" s="561"/>
      <c r="G103" s="561"/>
      <c r="H103" s="561"/>
      <c r="I103" s="561"/>
      <c r="J103" s="538"/>
      <c r="K103" s="561"/>
      <c r="L103" s="565"/>
      <c r="M103" s="565"/>
      <c r="N103" s="565"/>
    </row>
  </sheetData>
  <sheetProtection password="CAB1" sheet="1" objects="1" scenarios="1"/>
  <printOptions horizontalCentered="1"/>
  <pageMargins left="0.51181102362204722" right="0.51181102362204722" top="0.78740157480314965" bottom="0.78740157480314965" header="0.31496062992125984" footer="0.31496062992125984"/>
  <pageSetup paperSize="8" scale="83" fitToHeight="9" orientation="landscape" r:id="rId1"/>
  <headerFooter>
    <oddHeader>&amp;LČeská republika - Úřad vlády ČRGastroprovoz Úřadu vlády ČR v 1.PP Strakovy akademie&amp;CSeznam strojů a zařízení bez pevného spojení se stavbou&amp;R11/2019</oddHeader>
    <oddFooter>&amp;C&amp;P/&amp;N&amp;RD.2.2.1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M97"/>
  <sheetViews>
    <sheetView showGridLines="0" topLeftCell="A75" workbookViewId="0">
      <selection activeCell="I96" sqref="I96"/>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121</v>
      </c>
    </row>
    <row r="3" spans="1:46" s="1" customFormat="1" ht="6.95" customHeight="1">
      <c r="A3" s="61"/>
      <c r="B3" s="263"/>
      <c r="C3" s="264"/>
      <c r="D3" s="264"/>
      <c r="E3" s="264"/>
      <c r="F3" s="264"/>
      <c r="G3" s="264"/>
      <c r="H3" s="264"/>
      <c r="I3" s="264"/>
      <c r="J3" s="264"/>
      <c r="K3" s="264"/>
      <c r="L3" s="20"/>
      <c r="AT3" s="19" t="s">
        <v>77</v>
      </c>
    </row>
    <row r="4" spans="1:46" s="1" customFormat="1" ht="24.95" customHeight="1">
      <c r="A4" s="61"/>
      <c r="B4" s="265"/>
      <c r="C4" s="61"/>
      <c r="D4" s="266" t="s">
        <v>142</v>
      </c>
      <c r="E4" s="61"/>
      <c r="F4" s="61"/>
      <c r="G4" s="61"/>
      <c r="H4" s="61"/>
      <c r="I4" s="61"/>
      <c r="J4" s="61"/>
      <c r="K4" s="61"/>
      <c r="L4" s="20"/>
      <c r="M4" s="63" t="s">
        <v>11</v>
      </c>
      <c r="AT4" s="19" t="s">
        <v>4</v>
      </c>
    </row>
    <row r="5" spans="1:46" s="1" customFormat="1" ht="6.95" customHeight="1">
      <c r="A5" s="61"/>
      <c r="B5" s="265"/>
      <c r="C5" s="61"/>
      <c r="D5" s="61"/>
      <c r="E5" s="61"/>
      <c r="F5" s="61"/>
      <c r="G5" s="61"/>
      <c r="H5" s="61"/>
      <c r="I5" s="61"/>
      <c r="J5" s="61"/>
      <c r="K5" s="61"/>
      <c r="L5" s="20"/>
    </row>
    <row r="6" spans="1:46" s="1" customFormat="1" ht="12" customHeight="1">
      <c r="A6" s="61"/>
      <c r="B6" s="265"/>
      <c r="C6" s="61"/>
      <c r="D6" s="268" t="s">
        <v>15</v>
      </c>
      <c r="E6" s="61"/>
      <c r="F6" s="61"/>
      <c r="G6" s="61"/>
      <c r="H6" s="61"/>
      <c r="I6" s="61"/>
      <c r="J6" s="61"/>
      <c r="K6" s="61"/>
      <c r="L6" s="20"/>
    </row>
    <row r="7" spans="1:46" s="1" customFormat="1" ht="14.45" customHeight="1">
      <c r="A7" s="61"/>
      <c r="B7" s="265"/>
      <c r="C7" s="61"/>
      <c r="D7" s="61"/>
      <c r="E7" s="722" t="str">
        <f>'Rekapitulace stavby'!K6</f>
        <v>Úpravy gastroprovozu Úřadu vlády ČR v 1.pp Strakovy akademie</v>
      </c>
      <c r="F7" s="723"/>
      <c r="G7" s="723"/>
      <c r="H7" s="723"/>
      <c r="I7" s="61"/>
      <c r="J7" s="61"/>
      <c r="K7" s="61"/>
      <c r="L7" s="20"/>
    </row>
    <row r="8" spans="1:46" ht="12.75">
      <c r="A8" s="61"/>
      <c r="B8" s="265"/>
      <c r="C8" s="61"/>
      <c r="D8" s="268" t="s">
        <v>151</v>
      </c>
      <c r="E8" s="61"/>
      <c r="F8" s="61"/>
      <c r="G8" s="61"/>
      <c r="H8" s="61"/>
      <c r="I8" s="61"/>
      <c r="J8" s="61"/>
      <c r="K8" s="61"/>
      <c r="L8" s="20"/>
    </row>
    <row r="9" spans="1:46" s="1" customFormat="1" ht="14.45" customHeight="1">
      <c r="A9" s="61"/>
      <c r="B9" s="265"/>
      <c r="C9" s="61"/>
      <c r="D9" s="61"/>
      <c r="E9" s="722" t="s">
        <v>1759</v>
      </c>
      <c r="F9" s="715"/>
      <c r="G9" s="715"/>
      <c r="H9" s="715"/>
      <c r="I9" s="61"/>
      <c r="J9" s="61"/>
      <c r="K9" s="61"/>
      <c r="L9" s="20"/>
    </row>
    <row r="10" spans="1:46" s="1" customFormat="1" ht="12" customHeight="1">
      <c r="A10" s="61"/>
      <c r="B10" s="265"/>
      <c r="C10" s="61"/>
      <c r="D10" s="268" t="s">
        <v>157</v>
      </c>
      <c r="E10" s="61"/>
      <c r="F10" s="61"/>
      <c r="G10" s="61"/>
      <c r="H10" s="61"/>
      <c r="I10" s="61"/>
      <c r="J10" s="61"/>
      <c r="K10" s="61"/>
      <c r="L10" s="20"/>
    </row>
    <row r="11" spans="1:46" s="2" customFormat="1" ht="14.45" customHeight="1">
      <c r="A11" s="271"/>
      <c r="B11" s="270"/>
      <c r="C11" s="271"/>
      <c r="D11" s="271"/>
      <c r="E11" s="762" t="s">
        <v>1795</v>
      </c>
      <c r="F11" s="721"/>
      <c r="G11" s="721"/>
      <c r="H11" s="721"/>
      <c r="I11" s="271"/>
      <c r="J11" s="271"/>
      <c r="K11" s="271"/>
      <c r="L11" s="64"/>
      <c r="S11" s="23"/>
      <c r="T11" s="23"/>
      <c r="U11" s="23"/>
      <c r="V11" s="23"/>
      <c r="W11" s="23"/>
      <c r="X11" s="23"/>
      <c r="Y11" s="23"/>
      <c r="Z11" s="23"/>
      <c r="AA11" s="23"/>
      <c r="AB11" s="23"/>
      <c r="AC11" s="23"/>
      <c r="AD11" s="23"/>
      <c r="AE11" s="23"/>
    </row>
    <row r="12" spans="1:46" s="2" customFormat="1" ht="12" customHeight="1">
      <c r="A12" s="271"/>
      <c r="B12" s="270"/>
      <c r="C12" s="271"/>
      <c r="D12" s="268" t="s">
        <v>1777</v>
      </c>
      <c r="E12" s="271"/>
      <c r="F12" s="271"/>
      <c r="G12" s="271"/>
      <c r="H12" s="271"/>
      <c r="I12" s="271"/>
      <c r="J12" s="271"/>
      <c r="K12" s="271"/>
      <c r="L12" s="64"/>
      <c r="S12" s="23"/>
      <c r="T12" s="23"/>
      <c r="U12" s="23"/>
      <c r="V12" s="23"/>
      <c r="W12" s="23"/>
      <c r="X12" s="23"/>
      <c r="Y12" s="23"/>
      <c r="Z12" s="23"/>
      <c r="AA12" s="23"/>
      <c r="AB12" s="23"/>
      <c r="AC12" s="23"/>
      <c r="AD12" s="23"/>
      <c r="AE12" s="23"/>
    </row>
    <row r="13" spans="1:46" s="2" customFormat="1" ht="14.45" customHeight="1">
      <c r="A13" s="271"/>
      <c r="B13" s="270"/>
      <c r="C13" s="271"/>
      <c r="D13" s="271"/>
      <c r="E13" s="689" t="s">
        <v>1801</v>
      </c>
      <c r="F13" s="721"/>
      <c r="G13" s="721"/>
      <c r="H13" s="721"/>
      <c r="I13" s="271"/>
      <c r="J13" s="271"/>
      <c r="K13" s="271"/>
      <c r="L13" s="64"/>
      <c r="S13" s="23"/>
      <c r="T13" s="23"/>
      <c r="U13" s="23"/>
      <c r="V13" s="23"/>
      <c r="W13" s="23"/>
      <c r="X13" s="23"/>
      <c r="Y13" s="23"/>
      <c r="Z13" s="23"/>
      <c r="AA13" s="23"/>
      <c r="AB13" s="23"/>
      <c r="AC13" s="23"/>
      <c r="AD13" s="23"/>
      <c r="AE13" s="23"/>
    </row>
    <row r="14" spans="1:46" s="2" customFormat="1">
      <c r="A14" s="271"/>
      <c r="B14" s="270"/>
      <c r="C14" s="271"/>
      <c r="D14" s="271"/>
      <c r="E14" s="271"/>
      <c r="F14" s="271"/>
      <c r="G14" s="271"/>
      <c r="H14" s="271"/>
      <c r="I14" s="271"/>
      <c r="J14" s="271"/>
      <c r="K14" s="271"/>
      <c r="L14" s="64"/>
      <c r="S14" s="23"/>
      <c r="T14" s="23"/>
      <c r="U14" s="23"/>
      <c r="V14" s="23"/>
      <c r="W14" s="23"/>
      <c r="X14" s="23"/>
      <c r="Y14" s="23"/>
      <c r="Z14" s="23"/>
      <c r="AA14" s="23"/>
      <c r="AB14" s="23"/>
      <c r="AC14" s="23"/>
      <c r="AD14" s="23"/>
      <c r="AE14" s="23"/>
    </row>
    <row r="15" spans="1:46" s="2" customFormat="1" ht="12" customHeight="1">
      <c r="A15" s="271"/>
      <c r="B15" s="270"/>
      <c r="C15" s="271"/>
      <c r="D15" s="268" t="s">
        <v>17</v>
      </c>
      <c r="E15" s="271"/>
      <c r="F15" s="273" t="s">
        <v>3</v>
      </c>
      <c r="G15" s="271"/>
      <c r="H15" s="271"/>
      <c r="I15" s="268" t="s">
        <v>18</v>
      </c>
      <c r="J15" s="273" t="s">
        <v>3</v>
      </c>
      <c r="K15" s="271"/>
      <c r="L15" s="64"/>
      <c r="S15" s="23"/>
      <c r="T15" s="23"/>
      <c r="U15" s="23"/>
      <c r="V15" s="23"/>
      <c r="W15" s="23"/>
      <c r="X15" s="23"/>
      <c r="Y15" s="23"/>
      <c r="Z15" s="23"/>
      <c r="AA15" s="23"/>
      <c r="AB15" s="23"/>
      <c r="AC15" s="23"/>
      <c r="AD15" s="23"/>
      <c r="AE15" s="23"/>
    </row>
    <row r="16" spans="1:46" s="2" customFormat="1" ht="12" customHeight="1">
      <c r="A16" s="271"/>
      <c r="B16" s="270"/>
      <c r="C16" s="271"/>
      <c r="D16" s="268" t="s">
        <v>19</v>
      </c>
      <c r="E16" s="271"/>
      <c r="F16" s="273" t="s">
        <v>27</v>
      </c>
      <c r="G16" s="271"/>
      <c r="H16" s="271"/>
      <c r="I16" s="268" t="s">
        <v>21</v>
      </c>
      <c r="J16" s="387">
        <f>'Rekapitulace stavby'!AN8</f>
        <v>44077</v>
      </c>
      <c r="K16" s="271"/>
      <c r="L16" s="64"/>
      <c r="S16" s="23"/>
      <c r="T16" s="23"/>
      <c r="U16" s="23"/>
      <c r="V16" s="23"/>
      <c r="W16" s="23"/>
      <c r="X16" s="23"/>
      <c r="Y16" s="23"/>
      <c r="Z16" s="23"/>
      <c r="AA16" s="23"/>
      <c r="AB16" s="23"/>
      <c r="AC16" s="23"/>
      <c r="AD16" s="23"/>
      <c r="AE16" s="23"/>
    </row>
    <row r="17" spans="1:31" s="2" customFormat="1" ht="10.9" customHeight="1">
      <c r="A17" s="271"/>
      <c r="B17" s="270"/>
      <c r="C17" s="271"/>
      <c r="D17" s="271"/>
      <c r="E17" s="271"/>
      <c r="F17" s="271"/>
      <c r="G17" s="271"/>
      <c r="H17" s="271"/>
      <c r="I17" s="271"/>
      <c r="J17" s="271"/>
      <c r="K17" s="271"/>
      <c r="L17" s="64"/>
      <c r="S17" s="23"/>
      <c r="T17" s="23"/>
      <c r="U17" s="23"/>
      <c r="V17" s="23"/>
      <c r="W17" s="23"/>
      <c r="X17" s="23"/>
      <c r="Y17" s="23"/>
      <c r="Z17" s="23"/>
      <c r="AA17" s="23"/>
      <c r="AB17" s="23"/>
      <c r="AC17" s="23"/>
      <c r="AD17" s="23"/>
      <c r="AE17" s="23"/>
    </row>
    <row r="18" spans="1:31" s="2" customFormat="1" ht="12" customHeight="1">
      <c r="A18" s="271"/>
      <c r="B18" s="270"/>
      <c r="C18" s="271"/>
      <c r="D18" s="268" t="s">
        <v>22</v>
      </c>
      <c r="E18" s="271"/>
      <c r="F18" s="271"/>
      <c r="G18" s="271"/>
      <c r="H18" s="271"/>
      <c r="I18" s="268" t="s">
        <v>23</v>
      </c>
      <c r="J18" s="273" t="s">
        <v>3</v>
      </c>
      <c r="K18" s="271"/>
      <c r="L18" s="64"/>
      <c r="S18" s="23"/>
      <c r="T18" s="23"/>
      <c r="U18" s="23"/>
      <c r="V18" s="23"/>
      <c r="W18" s="23"/>
      <c r="X18" s="23"/>
      <c r="Y18" s="23"/>
      <c r="Z18" s="23"/>
      <c r="AA18" s="23"/>
      <c r="AB18" s="23"/>
      <c r="AC18" s="23"/>
      <c r="AD18" s="23"/>
      <c r="AE18" s="23"/>
    </row>
    <row r="19" spans="1:31" s="2" customFormat="1" ht="18" customHeight="1">
      <c r="A19" s="271"/>
      <c r="B19" s="270"/>
      <c r="C19" s="271"/>
      <c r="D19" s="271"/>
      <c r="E19" s="273" t="s">
        <v>24</v>
      </c>
      <c r="F19" s="271"/>
      <c r="G19" s="271"/>
      <c r="H19" s="271"/>
      <c r="I19" s="268" t="s">
        <v>25</v>
      </c>
      <c r="J19" s="273" t="s">
        <v>3</v>
      </c>
      <c r="K19" s="271"/>
      <c r="L19" s="64"/>
      <c r="S19" s="23"/>
      <c r="T19" s="23"/>
      <c r="U19" s="23"/>
      <c r="V19" s="23"/>
      <c r="W19" s="23"/>
      <c r="X19" s="23"/>
      <c r="Y19" s="23"/>
      <c r="Z19" s="23"/>
      <c r="AA19" s="23"/>
      <c r="AB19" s="23"/>
      <c r="AC19" s="23"/>
      <c r="AD19" s="23"/>
      <c r="AE19" s="23"/>
    </row>
    <row r="20" spans="1:31" s="2" customFormat="1" ht="6.95" customHeight="1">
      <c r="A20" s="271"/>
      <c r="B20" s="270"/>
      <c r="C20" s="271"/>
      <c r="D20" s="271"/>
      <c r="E20" s="271"/>
      <c r="F20" s="271"/>
      <c r="G20" s="271"/>
      <c r="H20" s="271"/>
      <c r="I20" s="271"/>
      <c r="J20" s="271"/>
      <c r="K20" s="271"/>
      <c r="L20" s="64"/>
      <c r="S20" s="23"/>
      <c r="T20" s="23"/>
      <c r="U20" s="23"/>
      <c r="V20" s="23"/>
      <c r="W20" s="23"/>
      <c r="X20" s="23"/>
      <c r="Y20" s="23"/>
      <c r="Z20" s="23"/>
      <c r="AA20" s="23"/>
      <c r="AB20" s="23"/>
      <c r="AC20" s="23"/>
      <c r="AD20" s="23"/>
      <c r="AE20" s="23"/>
    </row>
    <row r="21" spans="1:31" s="2" customFormat="1" ht="12" customHeight="1">
      <c r="A21" s="271"/>
      <c r="B21" s="270"/>
      <c r="C21" s="271"/>
      <c r="D21" s="268" t="s">
        <v>26</v>
      </c>
      <c r="E21" s="271"/>
      <c r="F21" s="271"/>
      <c r="G21" s="271"/>
      <c r="H21" s="271"/>
      <c r="I21" s="268" t="s">
        <v>23</v>
      </c>
      <c r="J21" s="273" t="str">
        <f>'Rekapitulace stavby'!AN13</f>
        <v/>
      </c>
      <c r="K21" s="271"/>
      <c r="L21" s="64"/>
      <c r="S21" s="23"/>
      <c r="T21" s="23"/>
      <c r="U21" s="23"/>
      <c r="V21" s="23"/>
      <c r="W21" s="23"/>
      <c r="X21" s="23"/>
      <c r="Y21" s="23"/>
      <c r="Z21" s="23"/>
      <c r="AA21" s="23"/>
      <c r="AB21" s="23"/>
      <c r="AC21" s="23"/>
      <c r="AD21" s="23"/>
      <c r="AE21" s="23"/>
    </row>
    <row r="22" spans="1:31" s="2" customFormat="1" ht="18" customHeight="1">
      <c r="A22" s="271"/>
      <c r="B22" s="270"/>
      <c r="C22" s="271"/>
      <c r="D22" s="271"/>
      <c r="E22" s="714" t="str">
        <f>'Rekapitulace stavby'!E14</f>
        <v xml:space="preserve"> </v>
      </c>
      <c r="F22" s="714"/>
      <c r="G22" s="714"/>
      <c r="H22" s="714"/>
      <c r="I22" s="268" t="s">
        <v>25</v>
      </c>
      <c r="J22" s="273" t="str">
        <f>'Rekapitulace stavby'!AN14</f>
        <v/>
      </c>
      <c r="K22" s="271"/>
      <c r="L22" s="64"/>
      <c r="S22" s="23"/>
      <c r="T22" s="23"/>
      <c r="U22" s="23"/>
      <c r="V22" s="23"/>
      <c r="W22" s="23"/>
      <c r="X22" s="23"/>
      <c r="Y22" s="23"/>
      <c r="Z22" s="23"/>
      <c r="AA22" s="23"/>
      <c r="AB22" s="23"/>
      <c r="AC22" s="23"/>
      <c r="AD22" s="23"/>
      <c r="AE22" s="23"/>
    </row>
    <row r="23" spans="1:31" s="2" customFormat="1" ht="6.95" customHeight="1">
      <c r="A23" s="271"/>
      <c r="B23" s="270"/>
      <c r="C23" s="271"/>
      <c r="D23" s="271"/>
      <c r="E23" s="271"/>
      <c r="F23" s="271"/>
      <c r="G23" s="271"/>
      <c r="H23" s="271"/>
      <c r="I23" s="271"/>
      <c r="J23" s="271"/>
      <c r="K23" s="271"/>
      <c r="L23" s="64"/>
      <c r="S23" s="23"/>
      <c r="T23" s="23"/>
      <c r="U23" s="23"/>
      <c r="V23" s="23"/>
      <c r="W23" s="23"/>
      <c r="X23" s="23"/>
      <c r="Y23" s="23"/>
      <c r="Z23" s="23"/>
      <c r="AA23" s="23"/>
      <c r="AB23" s="23"/>
      <c r="AC23" s="23"/>
      <c r="AD23" s="23"/>
      <c r="AE23" s="23"/>
    </row>
    <row r="24" spans="1:31" s="2" customFormat="1" ht="12" customHeight="1">
      <c r="A24" s="271"/>
      <c r="B24" s="270"/>
      <c r="C24" s="271"/>
      <c r="D24" s="268" t="s">
        <v>28</v>
      </c>
      <c r="E24" s="271"/>
      <c r="F24" s="271"/>
      <c r="G24" s="271"/>
      <c r="H24" s="271"/>
      <c r="I24" s="268" t="s">
        <v>23</v>
      </c>
      <c r="J24" s="273" t="s">
        <v>3</v>
      </c>
      <c r="K24" s="271"/>
      <c r="L24" s="64"/>
      <c r="S24" s="23"/>
      <c r="T24" s="23"/>
      <c r="U24" s="23"/>
      <c r="V24" s="23"/>
      <c r="W24" s="23"/>
      <c r="X24" s="23"/>
      <c r="Y24" s="23"/>
      <c r="Z24" s="23"/>
      <c r="AA24" s="23"/>
      <c r="AB24" s="23"/>
      <c r="AC24" s="23"/>
      <c r="AD24" s="23"/>
      <c r="AE24" s="23"/>
    </row>
    <row r="25" spans="1:31" s="2" customFormat="1" ht="18" customHeight="1">
      <c r="A25" s="271"/>
      <c r="B25" s="270"/>
      <c r="C25" s="271"/>
      <c r="D25" s="271"/>
      <c r="E25" s="273" t="s">
        <v>29</v>
      </c>
      <c r="F25" s="271"/>
      <c r="G25" s="271"/>
      <c r="H25" s="271"/>
      <c r="I25" s="268" t="s">
        <v>25</v>
      </c>
      <c r="J25" s="273" t="s">
        <v>3</v>
      </c>
      <c r="K25" s="271"/>
      <c r="L25" s="64"/>
      <c r="S25" s="23"/>
      <c r="T25" s="23"/>
      <c r="U25" s="23"/>
      <c r="V25" s="23"/>
      <c r="W25" s="23"/>
      <c r="X25" s="23"/>
      <c r="Y25" s="23"/>
      <c r="Z25" s="23"/>
      <c r="AA25" s="23"/>
      <c r="AB25" s="23"/>
      <c r="AC25" s="23"/>
      <c r="AD25" s="23"/>
      <c r="AE25" s="23"/>
    </row>
    <row r="26" spans="1:31" s="2" customFormat="1" ht="6.95" customHeight="1">
      <c r="A26" s="271"/>
      <c r="B26" s="270"/>
      <c r="C26" s="271"/>
      <c r="D26" s="271"/>
      <c r="E26" s="271"/>
      <c r="F26" s="271"/>
      <c r="G26" s="271"/>
      <c r="H26" s="271"/>
      <c r="I26" s="271"/>
      <c r="J26" s="271"/>
      <c r="K26" s="271"/>
      <c r="L26" s="64"/>
      <c r="S26" s="23"/>
      <c r="T26" s="23"/>
      <c r="U26" s="23"/>
      <c r="V26" s="23"/>
      <c r="W26" s="23"/>
      <c r="X26" s="23"/>
      <c r="Y26" s="23"/>
      <c r="Z26" s="23"/>
      <c r="AA26" s="23"/>
      <c r="AB26" s="23"/>
      <c r="AC26" s="23"/>
      <c r="AD26" s="23"/>
      <c r="AE26" s="23"/>
    </row>
    <row r="27" spans="1:31" s="2" customFormat="1" ht="12" customHeight="1">
      <c r="A27" s="271"/>
      <c r="B27" s="270"/>
      <c r="C27" s="271"/>
      <c r="D27" s="268" t="s">
        <v>31</v>
      </c>
      <c r="E27" s="271"/>
      <c r="F27" s="271"/>
      <c r="G27" s="271"/>
      <c r="H27" s="271"/>
      <c r="I27" s="268" t="s">
        <v>23</v>
      </c>
      <c r="J27" s="273" t="s">
        <v>3</v>
      </c>
      <c r="K27" s="271"/>
      <c r="L27" s="64"/>
      <c r="S27" s="23"/>
      <c r="T27" s="23"/>
      <c r="U27" s="23"/>
      <c r="V27" s="23"/>
      <c r="W27" s="23"/>
      <c r="X27" s="23"/>
      <c r="Y27" s="23"/>
      <c r="Z27" s="23"/>
      <c r="AA27" s="23"/>
      <c r="AB27" s="23"/>
      <c r="AC27" s="23"/>
      <c r="AD27" s="23"/>
      <c r="AE27" s="23"/>
    </row>
    <row r="28" spans="1:31" s="2" customFormat="1" ht="18" customHeight="1">
      <c r="A28" s="271"/>
      <c r="B28" s="270"/>
      <c r="C28" s="271"/>
      <c r="D28" s="271"/>
      <c r="E28" s="273" t="s">
        <v>29</v>
      </c>
      <c r="F28" s="271"/>
      <c r="G28" s="271"/>
      <c r="H28" s="271"/>
      <c r="I28" s="268" t="s">
        <v>25</v>
      </c>
      <c r="J28" s="273" t="s">
        <v>3</v>
      </c>
      <c r="K28" s="271"/>
      <c r="L28" s="64"/>
      <c r="S28" s="23"/>
      <c r="T28" s="23"/>
      <c r="U28" s="23"/>
      <c r="V28" s="23"/>
      <c r="W28" s="23"/>
      <c r="X28" s="23"/>
      <c r="Y28" s="23"/>
      <c r="Z28" s="23"/>
      <c r="AA28" s="23"/>
      <c r="AB28" s="23"/>
      <c r="AC28" s="23"/>
      <c r="AD28" s="23"/>
      <c r="AE28" s="23"/>
    </row>
    <row r="29" spans="1:31" s="2" customFormat="1" ht="6.95" customHeight="1">
      <c r="A29" s="271"/>
      <c r="B29" s="270"/>
      <c r="C29" s="271"/>
      <c r="D29" s="271"/>
      <c r="E29" s="271"/>
      <c r="F29" s="271"/>
      <c r="G29" s="271"/>
      <c r="H29" s="271"/>
      <c r="I29" s="271"/>
      <c r="J29" s="271"/>
      <c r="K29" s="271"/>
      <c r="L29" s="64"/>
      <c r="S29" s="23"/>
      <c r="T29" s="23"/>
      <c r="U29" s="23"/>
      <c r="V29" s="23"/>
      <c r="W29" s="23"/>
      <c r="X29" s="23"/>
      <c r="Y29" s="23"/>
      <c r="Z29" s="23"/>
      <c r="AA29" s="23"/>
      <c r="AB29" s="23"/>
      <c r="AC29" s="23"/>
      <c r="AD29" s="23"/>
      <c r="AE29" s="23"/>
    </row>
    <row r="30" spans="1:31" s="2" customFormat="1" ht="12" customHeight="1">
      <c r="A30" s="271"/>
      <c r="B30" s="270"/>
      <c r="C30" s="271"/>
      <c r="D30" s="268" t="s">
        <v>32</v>
      </c>
      <c r="E30" s="271"/>
      <c r="F30" s="271"/>
      <c r="G30" s="271"/>
      <c r="H30" s="271"/>
      <c r="I30" s="271"/>
      <c r="J30" s="271"/>
      <c r="K30" s="271"/>
      <c r="L30" s="64"/>
      <c r="S30" s="23"/>
      <c r="T30" s="23"/>
      <c r="U30" s="23"/>
      <c r="V30" s="23"/>
      <c r="W30" s="23"/>
      <c r="X30" s="23"/>
      <c r="Y30" s="23"/>
      <c r="Z30" s="23"/>
      <c r="AA30" s="23"/>
      <c r="AB30" s="23"/>
      <c r="AC30" s="23"/>
      <c r="AD30" s="23"/>
      <c r="AE30" s="23"/>
    </row>
    <row r="31" spans="1:31" s="8" customFormat="1" ht="14.45" customHeight="1">
      <c r="A31" s="274"/>
      <c r="B31" s="275"/>
      <c r="C31" s="274"/>
      <c r="D31" s="274"/>
      <c r="E31" s="707" t="s">
        <v>3</v>
      </c>
      <c r="F31" s="707"/>
      <c r="G31" s="707"/>
      <c r="H31" s="707"/>
      <c r="I31" s="274"/>
      <c r="J31" s="274"/>
      <c r="K31" s="274"/>
      <c r="L31" s="66"/>
      <c r="S31" s="65"/>
      <c r="T31" s="65"/>
      <c r="U31" s="65"/>
      <c r="V31" s="65"/>
      <c r="W31" s="65"/>
      <c r="X31" s="65"/>
      <c r="Y31" s="65"/>
      <c r="Z31" s="65"/>
      <c r="AA31" s="65"/>
      <c r="AB31" s="65"/>
      <c r="AC31" s="65"/>
      <c r="AD31" s="65"/>
      <c r="AE31" s="65"/>
    </row>
    <row r="32" spans="1:31" s="2" customFormat="1" ht="6.95" customHeight="1">
      <c r="A32" s="271"/>
      <c r="B32" s="270"/>
      <c r="C32" s="271"/>
      <c r="D32" s="271"/>
      <c r="E32" s="271"/>
      <c r="F32" s="271"/>
      <c r="G32" s="271"/>
      <c r="H32" s="271"/>
      <c r="I32" s="271"/>
      <c r="J32" s="271"/>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25.35" customHeight="1">
      <c r="A34" s="271"/>
      <c r="B34" s="270"/>
      <c r="C34" s="271"/>
      <c r="D34" s="277" t="s">
        <v>34</v>
      </c>
      <c r="E34" s="271"/>
      <c r="F34" s="271"/>
      <c r="G34" s="271"/>
      <c r="H34" s="271"/>
      <c r="I34" s="271"/>
      <c r="J34" s="388">
        <f>ROUND(J93, 2)</f>
        <v>0</v>
      </c>
      <c r="K34" s="271"/>
      <c r="L34" s="64"/>
      <c r="S34" s="23"/>
      <c r="T34" s="23"/>
      <c r="U34" s="23"/>
      <c r="V34" s="23"/>
      <c r="W34" s="23"/>
      <c r="X34" s="23"/>
      <c r="Y34" s="23"/>
      <c r="Z34" s="23"/>
      <c r="AA34" s="23"/>
      <c r="AB34" s="23"/>
      <c r="AC34" s="23"/>
      <c r="AD34" s="23"/>
      <c r="AE34" s="23"/>
    </row>
    <row r="35" spans="1:31" s="2" customFormat="1" ht="6.95" customHeight="1">
      <c r="A35" s="271"/>
      <c r="B35" s="270"/>
      <c r="C35" s="271"/>
      <c r="D35" s="276"/>
      <c r="E35" s="276"/>
      <c r="F35" s="276"/>
      <c r="G35" s="276"/>
      <c r="H35" s="276"/>
      <c r="I35" s="276"/>
      <c r="J35" s="276"/>
      <c r="K35" s="276"/>
      <c r="L35" s="64"/>
      <c r="S35" s="23"/>
      <c r="T35" s="23"/>
      <c r="U35" s="23"/>
      <c r="V35" s="23"/>
      <c r="W35" s="23"/>
      <c r="X35" s="23"/>
      <c r="Y35" s="23"/>
      <c r="Z35" s="23"/>
      <c r="AA35" s="23"/>
      <c r="AB35" s="23"/>
      <c r="AC35" s="23"/>
      <c r="AD35" s="23"/>
      <c r="AE35" s="23"/>
    </row>
    <row r="36" spans="1:31" s="2" customFormat="1" ht="14.45" customHeight="1">
      <c r="A36" s="271"/>
      <c r="B36" s="270"/>
      <c r="C36" s="271"/>
      <c r="D36" s="271"/>
      <c r="E36" s="271"/>
      <c r="F36" s="278" t="s">
        <v>36</v>
      </c>
      <c r="G36" s="271"/>
      <c r="H36" s="271"/>
      <c r="I36" s="278" t="s">
        <v>35</v>
      </c>
      <c r="J36" s="278" t="s">
        <v>37</v>
      </c>
      <c r="K36" s="271"/>
      <c r="L36" s="64"/>
      <c r="S36" s="23"/>
      <c r="T36" s="23"/>
      <c r="U36" s="23"/>
      <c r="V36" s="23"/>
      <c r="W36" s="23"/>
      <c r="X36" s="23"/>
      <c r="Y36" s="23"/>
      <c r="Z36" s="23"/>
      <c r="AA36" s="23"/>
      <c r="AB36" s="23"/>
      <c r="AC36" s="23"/>
      <c r="AD36" s="23"/>
      <c r="AE36" s="23"/>
    </row>
    <row r="37" spans="1:31" s="2" customFormat="1" ht="14.45" customHeight="1">
      <c r="A37" s="271"/>
      <c r="B37" s="270"/>
      <c r="C37" s="271"/>
      <c r="D37" s="279" t="s">
        <v>38</v>
      </c>
      <c r="E37" s="268" t="s">
        <v>39</v>
      </c>
      <c r="F37" s="280">
        <f>ROUND((SUM(BE93:BE96)),  2)</f>
        <v>0</v>
      </c>
      <c r="G37" s="271"/>
      <c r="H37" s="271"/>
      <c r="I37" s="389">
        <v>0.21</v>
      </c>
      <c r="J37" s="280">
        <f>ROUND(((SUM(BE93:BE96))*I37),  2)</f>
        <v>0</v>
      </c>
      <c r="K37" s="271"/>
      <c r="L37" s="64"/>
      <c r="S37" s="23"/>
      <c r="T37" s="23"/>
      <c r="U37" s="23"/>
      <c r="V37" s="23"/>
      <c r="W37" s="23"/>
      <c r="X37" s="23"/>
      <c r="Y37" s="23"/>
      <c r="Z37" s="23"/>
      <c r="AA37" s="23"/>
      <c r="AB37" s="23"/>
      <c r="AC37" s="23"/>
      <c r="AD37" s="23"/>
      <c r="AE37" s="23"/>
    </row>
    <row r="38" spans="1:31" s="2" customFormat="1" ht="14.45" customHeight="1">
      <c r="A38" s="271"/>
      <c r="B38" s="270"/>
      <c r="C38" s="271"/>
      <c r="D38" s="271"/>
      <c r="E38" s="268" t="s">
        <v>40</v>
      </c>
      <c r="F38" s="280">
        <f>ROUND((SUM(BF93:BF96)),  2)</f>
        <v>0</v>
      </c>
      <c r="G38" s="271"/>
      <c r="H38" s="271"/>
      <c r="I38" s="389">
        <v>0.15</v>
      </c>
      <c r="J38" s="280">
        <f>ROUND(((SUM(BF93:BF96))*I38),  2)</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41</v>
      </c>
      <c r="F39" s="280">
        <f>ROUND((SUM(BG93:BG96)),  2)</f>
        <v>0</v>
      </c>
      <c r="G39" s="271"/>
      <c r="H39" s="271"/>
      <c r="I39" s="389">
        <v>0.21</v>
      </c>
      <c r="J39" s="280">
        <f>0</f>
        <v>0</v>
      </c>
      <c r="K39" s="271"/>
      <c r="L39" s="64"/>
      <c r="S39" s="23"/>
      <c r="T39" s="23"/>
      <c r="U39" s="23"/>
      <c r="V39" s="23"/>
      <c r="W39" s="23"/>
      <c r="X39" s="23"/>
      <c r="Y39" s="23"/>
      <c r="Z39" s="23"/>
      <c r="AA39" s="23"/>
      <c r="AB39" s="23"/>
      <c r="AC39" s="23"/>
      <c r="AD39" s="23"/>
      <c r="AE39" s="23"/>
    </row>
    <row r="40" spans="1:31" s="2" customFormat="1" ht="14.45" hidden="1" customHeight="1">
      <c r="A40" s="271"/>
      <c r="B40" s="270"/>
      <c r="C40" s="271"/>
      <c r="D40" s="271"/>
      <c r="E40" s="268" t="s">
        <v>42</v>
      </c>
      <c r="F40" s="280">
        <f>ROUND((SUM(BH93:BH96)),  2)</f>
        <v>0</v>
      </c>
      <c r="G40" s="271"/>
      <c r="H40" s="271"/>
      <c r="I40" s="389">
        <v>0.15</v>
      </c>
      <c r="J40" s="280">
        <f>0</f>
        <v>0</v>
      </c>
      <c r="K40" s="271"/>
      <c r="L40" s="64"/>
      <c r="S40" s="23"/>
      <c r="T40" s="23"/>
      <c r="U40" s="23"/>
      <c r="V40" s="23"/>
      <c r="W40" s="23"/>
      <c r="X40" s="23"/>
      <c r="Y40" s="23"/>
      <c r="Z40" s="23"/>
      <c r="AA40" s="23"/>
      <c r="AB40" s="23"/>
      <c r="AC40" s="23"/>
      <c r="AD40" s="23"/>
      <c r="AE40" s="23"/>
    </row>
    <row r="41" spans="1:31" s="2" customFormat="1" ht="14.45" hidden="1" customHeight="1">
      <c r="A41" s="271"/>
      <c r="B41" s="270"/>
      <c r="C41" s="271"/>
      <c r="D41" s="271"/>
      <c r="E41" s="268" t="s">
        <v>43</v>
      </c>
      <c r="F41" s="280">
        <f>ROUND((SUM(BI93:BI96)),  2)</f>
        <v>0</v>
      </c>
      <c r="G41" s="271"/>
      <c r="H41" s="271"/>
      <c r="I41" s="389">
        <v>0</v>
      </c>
      <c r="J41" s="280">
        <f>0</f>
        <v>0</v>
      </c>
      <c r="K41" s="271"/>
      <c r="L41" s="64"/>
      <c r="S41" s="23"/>
      <c r="T41" s="23"/>
      <c r="U41" s="23"/>
      <c r="V41" s="23"/>
      <c r="W41" s="23"/>
      <c r="X41" s="23"/>
      <c r="Y41" s="23"/>
      <c r="Z41" s="23"/>
      <c r="AA41" s="23"/>
      <c r="AB41" s="23"/>
      <c r="AC41" s="23"/>
      <c r="AD41" s="23"/>
      <c r="AE41" s="23"/>
    </row>
    <row r="42" spans="1:31" s="2" customFormat="1" ht="6.95" customHeight="1">
      <c r="A42" s="271"/>
      <c r="B42" s="270"/>
      <c r="C42" s="271"/>
      <c r="D42" s="271"/>
      <c r="E42" s="271"/>
      <c r="F42" s="271"/>
      <c r="G42" s="271"/>
      <c r="H42" s="271"/>
      <c r="I42" s="271"/>
      <c r="J42" s="271"/>
      <c r="K42" s="271"/>
      <c r="L42" s="64"/>
      <c r="S42" s="23"/>
      <c r="T42" s="23"/>
      <c r="U42" s="23"/>
      <c r="V42" s="23"/>
      <c r="W42" s="23"/>
      <c r="X42" s="23"/>
      <c r="Y42" s="23"/>
      <c r="Z42" s="23"/>
      <c r="AA42" s="23"/>
      <c r="AB42" s="23"/>
      <c r="AC42" s="23"/>
      <c r="AD42" s="23"/>
      <c r="AE42" s="23"/>
    </row>
    <row r="43" spans="1:31" s="2" customFormat="1" ht="25.35" customHeight="1">
      <c r="A43" s="271"/>
      <c r="B43" s="270"/>
      <c r="C43" s="281"/>
      <c r="D43" s="282" t="s">
        <v>44</v>
      </c>
      <c r="E43" s="283"/>
      <c r="F43" s="283"/>
      <c r="G43" s="284" t="s">
        <v>45</v>
      </c>
      <c r="H43" s="285" t="s">
        <v>46</v>
      </c>
      <c r="I43" s="283"/>
      <c r="J43" s="390">
        <f>SUM(J34:J41)</f>
        <v>0</v>
      </c>
      <c r="K43" s="339"/>
      <c r="L43" s="64"/>
      <c r="S43" s="23"/>
      <c r="T43" s="23"/>
      <c r="U43" s="23"/>
      <c r="V43" s="23"/>
      <c r="W43" s="23"/>
      <c r="X43" s="23"/>
      <c r="Y43" s="23"/>
      <c r="Z43" s="23"/>
      <c r="AA43" s="23"/>
      <c r="AB43" s="23"/>
      <c r="AC43" s="23"/>
      <c r="AD43" s="23"/>
      <c r="AE43" s="23"/>
    </row>
    <row r="44" spans="1:31" s="2" customFormat="1" ht="14.45" customHeight="1">
      <c r="A44" s="271"/>
      <c r="B44" s="286"/>
      <c r="C44" s="287"/>
      <c r="D44" s="287"/>
      <c r="E44" s="287"/>
      <c r="F44" s="287"/>
      <c r="G44" s="287"/>
      <c r="H44" s="287"/>
      <c r="I44" s="287"/>
      <c r="J44" s="287"/>
      <c r="K44" s="287"/>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1"/>
      <c r="B48" s="288"/>
      <c r="C48" s="289"/>
      <c r="D48" s="289"/>
      <c r="E48" s="289"/>
      <c r="F48" s="289"/>
      <c r="G48" s="289"/>
      <c r="H48" s="289"/>
      <c r="I48" s="289"/>
      <c r="J48" s="289"/>
      <c r="K48" s="289"/>
      <c r="L48" s="64"/>
      <c r="S48" s="23"/>
      <c r="T48" s="23"/>
      <c r="U48" s="23"/>
      <c r="V48" s="23"/>
      <c r="W48" s="23"/>
      <c r="X48" s="23"/>
      <c r="Y48" s="23"/>
      <c r="Z48" s="23"/>
      <c r="AA48" s="23"/>
      <c r="AB48" s="23"/>
      <c r="AC48" s="23"/>
      <c r="AD48" s="23"/>
      <c r="AE48" s="23"/>
    </row>
    <row r="49" spans="1:31" s="2" customFormat="1" ht="24.95" customHeight="1">
      <c r="A49" s="271"/>
      <c r="B49" s="270"/>
      <c r="C49" s="266" t="s">
        <v>167</v>
      </c>
      <c r="D49" s="271"/>
      <c r="E49" s="271"/>
      <c r="F49" s="271"/>
      <c r="G49" s="271"/>
      <c r="H49" s="271"/>
      <c r="I49" s="271"/>
      <c r="J49" s="271"/>
      <c r="K49" s="271"/>
      <c r="L49" s="64"/>
      <c r="S49" s="23"/>
      <c r="T49" s="23"/>
      <c r="U49" s="23"/>
      <c r="V49" s="23"/>
      <c r="W49" s="23"/>
      <c r="X49" s="23"/>
      <c r="Y49" s="23"/>
      <c r="Z49" s="23"/>
      <c r="AA49" s="23"/>
      <c r="AB49" s="23"/>
      <c r="AC49" s="23"/>
      <c r="AD49" s="23"/>
      <c r="AE49" s="23"/>
    </row>
    <row r="50" spans="1:31" s="2" customFormat="1" ht="6.95" customHeight="1">
      <c r="A50" s="271"/>
      <c r="B50" s="270"/>
      <c r="C50" s="271"/>
      <c r="D50" s="271"/>
      <c r="E50" s="271"/>
      <c r="F50" s="271"/>
      <c r="G50" s="271"/>
      <c r="H50" s="271"/>
      <c r="I50" s="271"/>
      <c r="J50" s="271"/>
      <c r="K50" s="271"/>
      <c r="L50" s="64"/>
      <c r="S50" s="23"/>
      <c r="T50" s="23"/>
      <c r="U50" s="23"/>
      <c r="V50" s="23"/>
      <c r="W50" s="23"/>
      <c r="X50" s="23"/>
      <c r="Y50" s="23"/>
      <c r="Z50" s="23"/>
      <c r="AA50" s="23"/>
      <c r="AB50" s="23"/>
      <c r="AC50" s="23"/>
      <c r="AD50" s="23"/>
      <c r="AE50" s="23"/>
    </row>
    <row r="51" spans="1:31" s="2" customFormat="1" ht="12" customHeight="1">
      <c r="A51" s="271"/>
      <c r="B51" s="270"/>
      <c r="C51" s="268" t="s">
        <v>15</v>
      </c>
      <c r="D51" s="271"/>
      <c r="E51" s="271"/>
      <c r="F51" s="271"/>
      <c r="G51" s="271"/>
      <c r="H51" s="271"/>
      <c r="I51" s="271"/>
      <c r="J51" s="271"/>
      <c r="K51" s="271"/>
      <c r="L51" s="64"/>
      <c r="S51" s="23"/>
      <c r="T51" s="23"/>
      <c r="U51" s="23"/>
      <c r="V51" s="23"/>
      <c r="W51" s="23"/>
      <c r="X51" s="23"/>
      <c r="Y51" s="23"/>
      <c r="Z51" s="23"/>
      <c r="AA51" s="23"/>
      <c r="AB51" s="23"/>
      <c r="AC51" s="23"/>
      <c r="AD51" s="23"/>
      <c r="AE51" s="23"/>
    </row>
    <row r="52" spans="1:31" s="2" customFormat="1" ht="14.45" customHeight="1">
      <c r="A52" s="271"/>
      <c r="B52" s="270"/>
      <c r="C52" s="271"/>
      <c r="D52" s="271"/>
      <c r="E52" s="722" t="str">
        <f>E7</f>
        <v>Úpravy gastroprovozu Úřadu vlády ČR v 1.pp Strakovy akademie</v>
      </c>
      <c r="F52" s="723"/>
      <c r="G52" s="723"/>
      <c r="H52" s="723"/>
      <c r="I52" s="271"/>
      <c r="J52" s="271"/>
      <c r="K52" s="271"/>
      <c r="L52" s="64"/>
      <c r="S52" s="23"/>
      <c r="T52" s="23"/>
      <c r="U52" s="23"/>
      <c r="V52" s="23"/>
      <c r="W52" s="23"/>
      <c r="X52" s="23"/>
      <c r="Y52" s="23"/>
      <c r="Z52" s="23"/>
      <c r="AA52" s="23"/>
      <c r="AB52" s="23"/>
      <c r="AC52" s="23"/>
      <c r="AD52" s="23"/>
      <c r="AE52" s="23"/>
    </row>
    <row r="53" spans="1:31" s="1" customFormat="1" ht="12" customHeight="1">
      <c r="A53" s="61"/>
      <c r="B53" s="265"/>
      <c r="C53" s="268" t="s">
        <v>151</v>
      </c>
      <c r="D53" s="61"/>
      <c r="E53" s="61"/>
      <c r="F53" s="61"/>
      <c r="G53" s="61"/>
      <c r="H53" s="61"/>
      <c r="I53" s="61"/>
      <c r="J53" s="61"/>
      <c r="K53" s="61"/>
      <c r="L53" s="20"/>
    </row>
    <row r="54" spans="1:31" s="1" customFormat="1" ht="14.45" customHeight="1">
      <c r="A54" s="61"/>
      <c r="B54" s="265"/>
      <c r="C54" s="61"/>
      <c r="D54" s="61"/>
      <c r="E54" s="722" t="s">
        <v>1759</v>
      </c>
      <c r="F54" s="715"/>
      <c r="G54" s="715"/>
      <c r="H54" s="715"/>
      <c r="I54" s="61"/>
      <c r="J54" s="61"/>
      <c r="K54" s="61"/>
      <c r="L54" s="20"/>
    </row>
    <row r="55" spans="1:31" s="1" customFormat="1" ht="12" customHeight="1">
      <c r="A55" s="61"/>
      <c r="B55" s="265"/>
      <c r="C55" s="268" t="s">
        <v>157</v>
      </c>
      <c r="D55" s="61"/>
      <c r="E55" s="61"/>
      <c r="F55" s="61"/>
      <c r="G55" s="61"/>
      <c r="H55" s="61"/>
      <c r="I55" s="61"/>
      <c r="J55" s="61"/>
      <c r="K55" s="61"/>
      <c r="L55" s="20"/>
    </row>
    <row r="56" spans="1:31" s="2" customFormat="1" ht="14.45" customHeight="1">
      <c r="A56" s="271"/>
      <c r="B56" s="270"/>
      <c r="C56" s="271"/>
      <c r="D56" s="271"/>
      <c r="E56" s="762" t="s">
        <v>1795</v>
      </c>
      <c r="F56" s="721"/>
      <c r="G56" s="721"/>
      <c r="H56" s="721"/>
      <c r="I56" s="271"/>
      <c r="J56" s="271"/>
      <c r="K56" s="271"/>
      <c r="L56" s="64"/>
      <c r="S56" s="23"/>
      <c r="T56" s="23"/>
      <c r="U56" s="23"/>
      <c r="V56" s="23"/>
      <c r="W56" s="23"/>
      <c r="X56" s="23"/>
      <c r="Y56" s="23"/>
      <c r="Z56" s="23"/>
      <c r="AA56" s="23"/>
      <c r="AB56" s="23"/>
      <c r="AC56" s="23"/>
      <c r="AD56" s="23"/>
      <c r="AE56" s="23"/>
    </row>
    <row r="57" spans="1:31" s="2" customFormat="1" ht="12" customHeight="1">
      <c r="A57" s="271"/>
      <c r="B57" s="270"/>
      <c r="C57" s="268" t="s">
        <v>1777</v>
      </c>
      <c r="D57" s="271"/>
      <c r="E57" s="271"/>
      <c r="F57" s="271"/>
      <c r="G57" s="271"/>
      <c r="H57" s="271"/>
      <c r="I57" s="271"/>
      <c r="J57" s="271"/>
      <c r="K57" s="271"/>
      <c r="L57" s="64"/>
      <c r="S57" s="23"/>
      <c r="T57" s="23"/>
      <c r="U57" s="23"/>
      <c r="V57" s="23"/>
      <c r="W57" s="23"/>
      <c r="X57" s="23"/>
      <c r="Y57" s="23"/>
      <c r="Z57" s="23"/>
      <c r="AA57" s="23"/>
      <c r="AB57" s="23"/>
      <c r="AC57" s="23"/>
      <c r="AD57" s="23"/>
      <c r="AE57" s="23"/>
    </row>
    <row r="58" spans="1:31" s="2" customFormat="1" ht="14.45" customHeight="1">
      <c r="A58" s="271"/>
      <c r="B58" s="270"/>
      <c r="C58" s="271"/>
      <c r="D58" s="271"/>
      <c r="E58" s="689" t="str">
        <f>E13</f>
        <v>D.1.4.06.2 - Soupis prací - Gastro obj. systém</v>
      </c>
      <c r="F58" s="721"/>
      <c r="G58" s="721"/>
      <c r="H58" s="721"/>
      <c r="I58" s="271"/>
      <c r="J58" s="271"/>
      <c r="K58" s="271"/>
      <c r="L58" s="64"/>
      <c r="S58" s="23"/>
      <c r="T58" s="23"/>
      <c r="U58" s="23"/>
      <c r="V58" s="23"/>
      <c r="W58" s="23"/>
      <c r="X58" s="23"/>
      <c r="Y58" s="23"/>
      <c r="Z58" s="23"/>
      <c r="AA58" s="23"/>
      <c r="AB58" s="23"/>
      <c r="AC58" s="23"/>
      <c r="AD58" s="23"/>
      <c r="AE58" s="23"/>
    </row>
    <row r="59" spans="1:31" s="2" customFormat="1" ht="6.95" customHeight="1">
      <c r="A59" s="271"/>
      <c r="B59" s="270"/>
      <c r="C59" s="271"/>
      <c r="D59" s="271"/>
      <c r="E59" s="271"/>
      <c r="F59" s="271"/>
      <c r="G59" s="271"/>
      <c r="H59" s="271"/>
      <c r="I59" s="271"/>
      <c r="J59" s="271"/>
      <c r="K59" s="271"/>
      <c r="L59" s="64"/>
      <c r="S59" s="23"/>
      <c r="T59" s="23"/>
      <c r="U59" s="23"/>
      <c r="V59" s="23"/>
      <c r="W59" s="23"/>
      <c r="X59" s="23"/>
      <c r="Y59" s="23"/>
      <c r="Z59" s="23"/>
      <c r="AA59" s="23"/>
      <c r="AB59" s="23"/>
      <c r="AC59" s="23"/>
      <c r="AD59" s="23"/>
      <c r="AE59" s="23"/>
    </row>
    <row r="60" spans="1:31" s="2" customFormat="1" ht="12" customHeight="1">
      <c r="A60" s="271"/>
      <c r="B60" s="270"/>
      <c r="C60" s="268" t="s">
        <v>19</v>
      </c>
      <c r="D60" s="271"/>
      <c r="E60" s="271"/>
      <c r="F60" s="273" t="str">
        <f>F16</f>
        <v xml:space="preserve"> </v>
      </c>
      <c r="G60" s="271"/>
      <c r="H60" s="271"/>
      <c r="I60" s="268" t="s">
        <v>21</v>
      </c>
      <c r="J60" s="387">
        <f>IF(J16="","",J16)</f>
        <v>44077</v>
      </c>
      <c r="K60" s="271"/>
      <c r="L60" s="64"/>
      <c r="S60" s="23"/>
      <c r="T60" s="23"/>
      <c r="U60" s="23"/>
      <c r="V60" s="23"/>
      <c r="W60" s="23"/>
      <c r="X60" s="23"/>
      <c r="Y60" s="23"/>
      <c r="Z60" s="23"/>
      <c r="AA60" s="23"/>
      <c r="AB60" s="23"/>
      <c r="AC60" s="23"/>
      <c r="AD60" s="23"/>
      <c r="AE60" s="23"/>
    </row>
    <row r="61" spans="1:31" s="2" customFormat="1" ht="6.95" customHeight="1">
      <c r="A61" s="271"/>
      <c r="B61" s="270"/>
      <c r="C61" s="271"/>
      <c r="D61" s="271"/>
      <c r="E61" s="271"/>
      <c r="F61" s="271"/>
      <c r="G61" s="271"/>
      <c r="H61" s="271"/>
      <c r="I61" s="271"/>
      <c r="J61" s="271"/>
      <c r="K61" s="271"/>
      <c r="L61" s="64"/>
      <c r="S61" s="23"/>
      <c r="T61" s="23"/>
      <c r="U61" s="23"/>
      <c r="V61" s="23"/>
      <c r="W61" s="23"/>
      <c r="X61" s="23"/>
      <c r="Y61" s="23"/>
      <c r="Z61" s="23"/>
      <c r="AA61" s="23"/>
      <c r="AB61" s="23"/>
      <c r="AC61" s="23"/>
      <c r="AD61" s="23"/>
      <c r="AE61" s="23"/>
    </row>
    <row r="62" spans="1:31" s="2" customFormat="1" ht="26.45" customHeight="1">
      <c r="A62" s="271"/>
      <c r="B62" s="270"/>
      <c r="C62" s="268" t="s">
        <v>22</v>
      </c>
      <c r="D62" s="271"/>
      <c r="E62" s="271"/>
      <c r="F62" s="273" t="str">
        <f>E19</f>
        <v xml:space="preserve">Úřad vlády České republiky </v>
      </c>
      <c r="G62" s="271"/>
      <c r="H62" s="271"/>
      <c r="I62" s="268" t="s">
        <v>28</v>
      </c>
      <c r="J62" s="391" t="str">
        <f>E25</f>
        <v>Ateliér Simona Group</v>
      </c>
      <c r="K62" s="271"/>
      <c r="L62" s="64"/>
      <c r="S62" s="23"/>
      <c r="T62" s="23"/>
      <c r="U62" s="23"/>
      <c r="V62" s="23"/>
      <c r="W62" s="23"/>
      <c r="X62" s="23"/>
      <c r="Y62" s="23"/>
      <c r="Z62" s="23"/>
      <c r="AA62" s="23"/>
      <c r="AB62" s="23"/>
      <c r="AC62" s="23"/>
      <c r="AD62" s="23"/>
      <c r="AE62" s="23"/>
    </row>
    <row r="63" spans="1:31" s="2" customFormat="1" ht="26.45" customHeight="1">
      <c r="A63" s="271"/>
      <c r="B63" s="270"/>
      <c r="C63" s="268" t="s">
        <v>26</v>
      </c>
      <c r="D63" s="271"/>
      <c r="E63" s="271"/>
      <c r="F63" s="273" t="str">
        <f>IF(E22="","",E22)</f>
        <v xml:space="preserve"> </v>
      </c>
      <c r="G63" s="271"/>
      <c r="H63" s="271"/>
      <c r="I63" s="268" t="s">
        <v>31</v>
      </c>
      <c r="J63" s="391" t="str">
        <f>E28</f>
        <v>Ateliér Simona Group</v>
      </c>
      <c r="K63" s="271"/>
      <c r="L63" s="64"/>
      <c r="S63" s="23"/>
      <c r="T63" s="23"/>
      <c r="U63" s="23"/>
      <c r="V63" s="23"/>
      <c r="W63" s="23"/>
      <c r="X63" s="23"/>
      <c r="Y63" s="23"/>
      <c r="Z63" s="23"/>
      <c r="AA63" s="23"/>
      <c r="AB63" s="23"/>
      <c r="AC63" s="23"/>
      <c r="AD63" s="23"/>
      <c r="AE63" s="23"/>
    </row>
    <row r="64" spans="1:31" s="2" customFormat="1" ht="10.35" customHeight="1">
      <c r="A64" s="271"/>
      <c r="B64" s="270"/>
      <c r="C64" s="271"/>
      <c r="D64" s="271"/>
      <c r="E64" s="271"/>
      <c r="F64" s="271"/>
      <c r="G64" s="271"/>
      <c r="H64" s="271"/>
      <c r="I64" s="271"/>
      <c r="J64" s="271"/>
      <c r="K64" s="271"/>
      <c r="L64" s="64"/>
      <c r="S64" s="23"/>
      <c r="T64" s="23"/>
      <c r="U64" s="23"/>
      <c r="V64" s="23"/>
      <c r="W64" s="23"/>
      <c r="X64" s="23"/>
      <c r="Y64" s="23"/>
      <c r="Z64" s="23"/>
      <c r="AA64" s="23"/>
      <c r="AB64" s="23"/>
      <c r="AC64" s="23"/>
      <c r="AD64" s="23"/>
      <c r="AE64" s="23"/>
    </row>
    <row r="65" spans="1:47" s="2" customFormat="1" ht="29.25" customHeight="1">
      <c r="A65" s="271"/>
      <c r="B65" s="270"/>
      <c r="C65" s="290" t="s">
        <v>168</v>
      </c>
      <c r="D65" s="281"/>
      <c r="E65" s="281"/>
      <c r="F65" s="281"/>
      <c r="G65" s="281"/>
      <c r="H65" s="281"/>
      <c r="I65" s="281"/>
      <c r="J65" s="392" t="s">
        <v>169</v>
      </c>
      <c r="K65" s="281"/>
      <c r="L65" s="64"/>
      <c r="S65" s="23"/>
      <c r="T65" s="23"/>
      <c r="U65" s="23"/>
      <c r="V65" s="23"/>
      <c r="W65" s="23"/>
      <c r="X65" s="23"/>
      <c r="Y65" s="23"/>
      <c r="Z65" s="23"/>
      <c r="AA65" s="23"/>
      <c r="AB65" s="23"/>
      <c r="AC65" s="23"/>
      <c r="AD65" s="23"/>
      <c r="AE65" s="23"/>
    </row>
    <row r="66" spans="1:47" s="2" customFormat="1" ht="10.35" customHeight="1">
      <c r="A66" s="271"/>
      <c r="B66" s="270"/>
      <c r="C66" s="271"/>
      <c r="D66" s="271"/>
      <c r="E66" s="271"/>
      <c r="F66" s="271"/>
      <c r="G66" s="271"/>
      <c r="H66" s="271"/>
      <c r="I66" s="271"/>
      <c r="J66" s="271"/>
      <c r="K66" s="271"/>
      <c r="L66" s="64"/>
      <c r="S66" s="23"/>
      <c r="T66" s="23"/>
      <c r="U66" s="23"/>
      <c r="V66" s="23"/>
      <c r="W66" s="23"/>
      <c r="X66" s="23"/>
      <c r="Y66" s="23"/>
      <c r="Z66" s="23"/>
      <c r="AA66" s="23"/>
      <c r="AB66" s="23"/>
      <c r="AC66" s="23"/>
      <c r="AD66" s="23"/>
      <c r="AE66" s="23"/>
    </row>
    <row r="67" spans="1:47" s="2" customFormat="1" ht="22.9" customHeight="1">
      <c r="A67" s="271"/>
      <c r="B67" s="270"/>
      <c r="C67" s="291" t="s">
        <v>66</v>
      </c>
      <c r="D67" s="271"/>
      <c r="E67" s="271"/>
      <c r="F67" s="271"/>
      <c r="G67" s="271"/>
      <c r="H67" s="271"/>
      <c r="I67" s="271"/>
      <c r="J67" s="388">
        <f>J93</f>
        <v>0</v>
      </c>
      <c r="K67" s="271"/>
      <c r="L67" s="64"/>
      <c r="S67" s="23"/>
      <c r="T67" s="23"/>
      <c r="U67" s="23"/>
      <c r="V67" s="23"/>
      <c r="W67" s="23"/>
      <c r="X67" s="23"/>
      <c r="Y67" s="23"/>
      <c r="Z67" s="23"/>
      <c r="AA67" s="23"/>
      <c r="AB67" s="23"/>
      <c r="AC67" s="23"/>
      <c r="AD67" s="23"/>
      <c r="AE67" s="23"/>
      <c r="AU67" s="19" t="s">
        <v>170</v>
      </c>
    </row>
    <row r="68" spans="1:47" s="9" customFormat="1" ht="24.95" customHeight="1">
      <c r="A68" s="292"/>
      <c r="B68" s="293"/>
      <c r="C68" s="292"/>
      <c r="D68" s="294" t="s">
        <v>181</v>
      </c>
      <c r="E68" s="295"/>
      <c r="F68" s="295"/>
      <c r="G68" s="295"/>
      <c r="H68" s="295"/>
      <c r="I68" s="295"/>
      <c r="J68" s="393">
        <f>J94</f>
        <v>0</v>
      </c>
      <c r="K68" s="292"/>
      <c r="L68" s="67"/>
    </row>
    <row r="69" spans="1:47" s="10" customFormat="1" ht="19.899999999999999" customHeight="1">
      <c r="A69" s="246"/>
      <c r="B69" s="296"/>
      <c r="C69" s="246"/>
      <c r="D69" s="297" t="s">
        <v>196</v>
      </c>
      <c r="E69" s="298"/>
      <c r="F69" s="298"/>
      <c r="G69" s="298"/>
      <c r="H69" s="298"/>
      <c r="I69" s="298"/>
      <c r="J69" s="394">
        <f>J95</f>
        <v>0</v>
      </c>
      <c r="K69" s="246"/>
      <c r="L69" s="68"/>
    </row>
    <row r="70" spans="1:47" s="2" customFormat="1" ht="21.75" customHeight="1">
      <c r="A70" s="271"/>
      <c r="B70" s="270"/>
      <c r="C70" s="271"/>
      <c r="D70" s="271"/>
      <c r="E70" s="271"/>
      <c r="F70" s="271"/>
      <c r="G70" s="271"/>
      <c r="H70" s="271"/>
      <c r="I70" s="271"/>
      <c r="J70" s="271"/>
      <c r="K70" s="271"/>
      <c r="L70" s="64"/>
      <c r="S70" s="23"/>
      <c r="T70" s="23"/>
      <c r="U70" s="23"/>
      <c r="V70" s="23"/>
      <c r="W70" s="23"/>
      <c r="X70" s="23"/>
      <c r="Y70" s="23"/>
      <c r="Z70" s="23"/>
      <c r="AA70" s="23"/>
      <c r="AB70" s="23"/>
      <c r="AC70" s="23"/>
      <c r="AD70" s="23"/>
      <c r="AE70" s="23"/>
    </row>
    <row r="71" spans="1:47" s="2" customFormat="1" ht="6.95" customHeight="1">
      <c r="A71" s="271"/>
      <c r="B71" s="286"/>
      <c r="C71" s="287"/>
      <c r="D71" s="287"/>
      <c r="E71" s="287"/>
      <c r="F71" s="287"/>
      <c r="G71" s="287"/>
      <c r="H71" s="287"/>
      <c r="I71" s="287"/>
      <c r="J71" s="287"/>
      <c r="K71" s="287"/>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1"/>
      <c r="B75" s="288"/>
      <c r="C75" s="289"/>
      <c r="D75" s="289"/>
      <c r="E75" s="289"/>
      <c r="F75" s="289"/>
      <c r="G75" s="289"/>
      <c r="H75" s="289"/>
      <c r="I75" s="289"/>
      <c r="J75" s="289"/>
      <c r="K75" s="289"/>
      <c r="L75" s="64"/>
      <c r="S75" s="23"/>
      <c r="T75" s="23"/>
      <c r="U75" s="23"/>
      <c r="V75" s="23"/>
      <c r="W75" s="23"/>
      <c r="X75" s="23"/>
      <c r="Y75" s="23"/>
      <c r="Z75" s="23"/>
      <c r="AA75" s="23"/>
      <c r="AB75" s="23"/>
      <c r="AC75" s="23"/>
      <c r="AD75" s="23"/>
      <c r="AE75" s="23"/>
    </row>
    <row r="76" spans="1:47" s="2" customFormat="1" ht="24.95" customHeight="1">
      <c r="A76" s="271"/>
      <c r="B76" s="270"/>
      <c r="C76" s="266" t="s">
        <v>201</v>
      </c>
      <c r="D76" s="271"/>
      <c r="E76" s="271"/>
      <c r="F76" s="271"/>
      <c r="G76" s="271"/>
      <c r="H76" s="271"/>
      <c r="I76" s="271"/>
      <c r="J76" s="271"/>
      <c r="K76" s="271"/>
      <c r="L76" s="64"/>
      <c r="S76" s="23"/>
      <c r="T76" s="23"/>
      <c r="U76" s="23"/>
      <c r="V76" s="23"/>
      <c r="W76" s="23"/>
      <c r="X76" s="23"/>
      <c r="Y76" s="23"/>
      <c r="Z76" s="23"/>
      <c r="AA76" s="23"/>
      <c r="AB76" s="23"/>
      <c r="AC76" s="23"/>
      <c r="AD76" s="23"/>
      <c r="AE76" s="23"/>
    </row>
    <row r="77" spans="1:47" s="2" customFormat="1" ht="6.95" customHeight="1">
      <c r="A77" s="271"/>
      <c r="B77" s="270"/>
      <c r="C77" s="271"/>
      <c r="D77" s="271"/>
      <c r="E77" s="271"/>
      <c r="F77" s="271"/>
      <c r="G77" s="271"/>
      <c r="H77" s="271"/>
      <c r="I77" s="271"/>
      <c r="J77" s="271"/>
      <c r="K77" s="271"/>
      <c r="L77" s="64"/>
      <c r="S77" s="23"/>
      <c r="T77" s="23"/>
      <c r="U77" s="23"/>
      <c r="V77" s="23"/>
      <c r="W77" s="23"/>
      <c r="X77" s="23"/>
      <c r="Y77" s="23"/>
      <c r="Z77" s="23"/>
      <c r="AA77" s="23"/>
      <c r="AB77" s="23"/>
      <c r="AC77" s="23"/>
      <c r="AD77" s="23"/>
      <c r="AE77" s="23"/>
    </row>
    <row r="78" spans="1:47" s="2" customFormat="1" ht="12" customHeight="1">
      <c r="A78" s="271"/>
      <c r="B78" s="270"/>
      <c r="C78" s="268" t="s">
        <v>15</v>
      </c>
      <c r="D78" s="271"/>
      <c r="E78" s="271"/>
      <c r="F78" s="271"/>
      <c r="G78" s="271"/>
      <c r="H78" s="271"/>
      <c r="I78" s="271"/>
      <c r="J78" s="271"/>
      <c r="K78" s="271"/>
      <c r="L78" s="64"/>
      <c r="S78" s="23"/>
      <c r="T78" s="23"/>
      <c r="U78" s="23"/>
      <c r="V78" s="23"/>
      <c r="W78" s="23"/>
      <c r="X78" s="23"/>
      <c r="Y78" s="23"/>
      <c r="Z78" s="23"/>
      <c r="AA78" s="23"/>
      <c r="AB78" s="23"/>
      <c r="AC78" s="23"/>
      <c r="AD78" s="23"/>
      <c r="AE78" s="23"/>
    </row>
    <row r="79" spans="1:47" s="2" customFormat="1" ht="14.45" customHeight="1">
      <c r="A79" s="271"/>
      <c r="B79" s="270"/>
      <c r="C79" s="271"/>
      <c r="D79" s="271"/>
      <c r="E79" s="722" t="str">
        <f>E7</f>
        <v>Úpravy gastroprovozu Úřadu vlády ČR v 1.pp Strakovy akademie</v>
      </c>
      <c r="F79" s="723"/>
      <c r="G79" s="723"/>
      <c r="H79" s="723"/>
      <c r="I79" s="271"/>
      <c r="J79" s="271"/>
      <c r="K79" s="271"/>
      <c r="L79" s="64"/>
      <c r="S79" s="23"/>
      <c r="T79" s="23"/>
      <c r="U79" s="23"/>
      <c r="V79" s="23"/>
      <c r="W79" s="23"/>
      <c r="X79" s="23"/>
      <c r="Y79" s="23"/>
      <c r="Z79" s="23"/>
      <c r="AA79" s="23"/>
      <c r="AB79" s="23"/>
      <c r="AC79" s="23"/>
      <c r="AD79" s="23"/>
      <c r="AE79" s="23"/>
    </row>
    <row r="80" spans="1:47" s="1" customFormat="1" ht="12" customHeight="1">
      <c r="A80" s="61"/>
      <c r="B80" s="265"/>
      <c r="C80" s="268" t="s">
        <v>151</v>
      </c>
      <c r="D80" s="61"/>
      <c r="E80" s="61"/>
      <c r="F80" s="61"/>
      <c r="G80" s="61"/>
      <c r="H80" s="61"/>
      <c r="I80" s="61"/>
      <c r="J80" s="61"/>
      <c r="K80" s="61"/>
      <c r="L80" s="20"/>
    </row>
    <row r="81" spans="1:65" s="1" customFormat="1" ht="14.45" customHeight="1">
      <c r="A81" s="61"/>
      <c r="B81" s="265"/>
      <c r="C81" s="61"/>
      <c r="D81" s="61"/>
      <c r="E81" s="722" t="s">
        <v>1759</v>
      </c>
      <c r="F81" s="715"/>
      <c r="G81" s="715"/>
      <c r="H81" s="715"/>
      <c r="I81" s="61"/>
      <c r="J81" s="61"/>
      <c r="K81" s="61"/>
      <c r="L81" s="20"/>
    </row>
    <row r="82" spans="1:65" s="1" customFormat="1" ht="12" customHeight="1">
      <c r="A82" s="61"/>
      <c r="B82" s="265"/>
      <c r="C82" s="268" t="s">
        <v>157</v>
      </c>
      <c r="D82" s="61"/>
      <c r="E82" s="61"/>
      <c r="F82" s="61"/>
      <c r="G82" s="61"/>
      <c r="H82" s="61"/>
      <c r="I82" s="61"/>
      <c r="J82" s="61"/>
      <c r="K82" s="61"/>
      <c r="L82" s="20"/>
    </row>
    <row r="83" spans="1:65" s="2" customFormat="1" ht="14.45" customHeight="1">
      <c r="A83" s="271"/>
      <c r="B83" s="270"/>
      <c r="C83" s="271"/>
      <c r="D83" s="271"/>
      <c r="E83" s="762" t="s">
        <v>1795</v>
      </c>
      <c r="F83" s="721"/>
      <c r="G83" s="721"/>
      <c r="H83" s="721"/>
      <c r="I83" s="271"/>
      <c r="J83" s="271"/>
      <c r="K83" s="271"/>
      <c r="L83" s="64"/>
      <c r="S83" s="23"/>
      <c r="T83" s="23"/>
      <c r="U83" s="23"/>
      <c r="V83" s="23"/>
      <c r="W83" s="23"/>
      <c r="X83" s="23"/>
      <c r="Y83" s="23"/>
      <c r="Z83" s="23"/>
      <c r="AA83" s="23"/>
      <c r="AB83" s="23"/>
      <c r="AC83" s="23"/>
      <c r="AD83" s="23"/>
      <c r="AE83" s="23"/>
    </row>
    <row r="84" spans="1:65" s="2" customFormat="1" ht="12" customHeight="1">
      <c r="A84" s="271"/>
      <c r="B84" s="270"/>
      <c r="C84" s="268" t="s">
        <v>1777</v>
      </c>
      <c r="D84" s="271"/>
      <c r="E84" s="271"/>
      <c r="F84" s="271"/>
      <c r="G84" s="271"/>
      <c r="H84" s="271"/>
      <c r="I84" s="271"/>
      <c r="J84" s="271"/>
      <c r="K84" s="271"/>
      <c r="L84" s="64"/>
      <c r="S84" s="23"/>
      <c r="T84" s="23"/>
      <c r="U84" s="23"/>
      <c r="V84" s="23"/>
      <c r="W84" s="23"/>
      <c r="X84" s="23"/>
      <c r="Y84" s="23"/>
      <c r="Z84" s="23"/>
      <c r="AA84" s="23"/>
      <c r="AB84" s="23"/>
      <c r="AC84" s="23"/>
      <c r="AD84" s="23"/>
      <c r="AE84" s="23"/>
    </row>
    <row r="85" spans="1:65" s="2" customFormat="1" ht="14.45" customHeight="1">
      <c r="A85" s="271"/>
      <c r="B85" s="270"/>
      <c r="C85" s="271"/>
      <c r="D85" s="271"/>
      <c r="E85" s="689" t="str">
        <f>E13</f>
        <v>D.1.4.06.2 - Soupis prací - Gastro obj. systém</v>
      </c>
      <c r="F85" s="721"/>
      <c r="G85" s="721"/>
      <c r="H85" s="721"/>
      <c r="I85" s="271"/>
      <c r="J85" s="271"/>
      <c r="K85" s="271"/>
      <c r="L85" s="64"/>
      <c r="S85" s="23"/>
      <c r="T85" s="23"/>
      <c r="U85" s="23"/>
      <c r="V85" s="23"/>
      <c r="W85" s="23"/>
      <c r="X85" s="23"/>
      <c r="Y85" s="23"/>
      <c r="Z85" s="23"/>
      <c r="AA85" s="23"/>
      <c r="AB85" s="23"/>
      <c r="AC85" s="23"/>
      <c r="AD85" s="23"/>
      <c r="AE85" s="23"/>
    </row>
    <row r="86" spans="1:65" s="2" customFormat="1" ht="6.95" customHeight="1">
      <c r="A86" s="271"/>
      <c r="B86" s="270"/>
      <c r="C86" s="271"/>
      <c r="D86" s="271"/>
      <c r="E86" s="271"/>
      <c r="F86" s="271"/>
      <c r="G86" s="271"/>
      <c r="H86" s="271"/>
      <c r="I86" s="271"/>
      <c r="J86" s="271"/>
      <c r="K86" s="271"/>
      <c r="L86" s="64"/>
      <c r="S86" s="23"/>
      <c r="T86" s="23"/>
      <c r="U86" s="23"/>
      <c r="V86" s="23"/>
      <c r="W86" s="23"/>
      <c r="X86" s="23"/>
      <c r="Y86" s="23"/>
      <c r="Z86" s="23"/>
      <c r="AA86" s="23"/>
      <c r="AB86" s="23"/>
      <c r="AC86" s="23"/>
      <c r="AD86" s="23"/>
      <c r="AE86" s="23"/>
    </row>
    <row r="87" spans="1:65" s="2" customFormat="1" ht="12" customHeight="1">
      <c r="A87" s="271"/>
      <c r="B87" s="270"/>
      <c r="C87" s="268" t="s">
        <v>19</v>
      </c>
      <c r="D87" s="271"/>
      <c r="E87" s="271"/>
      <c r="F87" s="273" t="str">
        <f>F16</f>
        <v xml:space="preserve"> </v>
      </c>
      <c r="G87" s="271"/>
      <c r="H87" s="271"/>
      <c r="I87" s="268" t="s">
        <v>21</v>
      </c>
      <c r="J87" s="387">
        <f>IF(J16="","",J16)</f>
        <v>44077</v>
      </c>
      <c r="K87" s="271"/>
      <c r="L87" s="64"/>
      <c r="S87" s="23"/>
      <c r="T87" s="23"/>
      <c r="U87" s="23"/>
      <c r="V87" s="23"/>
      <c r="W87" s="23"/>
      <c r="X87" s="23"/>
      <c r="Y87" s="23"/>
      <c r="Z87" s="23"/>
      <c r="AA87" s="23"/>
      <c r="AB87" s="23"/>
      <c r="AC87" s="23"/>
      <c r="AD87" s="23"/>
      <c r="AE87" s="23"/>
    </row>
    <row r="88" spans="1:65" s="2" customFormat="1" ht="6.95" customHeight="1">
      <c r="A88" s="271"/>
      <c r="B88" s="270"/>
      <c r="C88" s="271"/>
      <c r="D88" s="271"/>
      <c r="E88" s="271"/>
      <c r="F88" s="271"/>
      <c r="G88" s="271"/>
      <c r="H88" s="271"/>
      <c r="I88" s="271"/>
      <c r="J88" s="271"/>
      <c r="K88" s="271"/>
      <c r="L88" s="64"/>
      <c r="S88" s="23"/>
      <c r="T88" s="23"/>
      <c r="U88" s="23"/>
      <c r="V88" s="23"/>
      <c r="W88" s="23"/>
      <c r="X88" s="23"/>
      <c r="Y88" s="23"/>
      <c r="Z88" s="23"/>
      <c r="AA88" s="23"/>
      <c r="AB88" s="23"/>
      <c r="AC88" s="23"/>
      <c r="AD88" s="23"/>
      <c r="AE88" s="23"/>
    </row>
    <row r="89" spans="1:65" s="2" customFormat="1" ht="26.45" customHeight="1">
      <c r="A89" s="271"/>
      <c r="B89" s="270"/>
      <c r="C89" s="268" t="s">
        <v>22</v>
      </c>
      <c r="D89" s="271"/>
      <c r="E89" s="271"/>
      <c r="F89" s="273" t="str">
        <f>E19</f>
        <v xml:space="preserve">Úřad vlády České republiky </v>
      </c>
      <c r="G89" s="271"/>
      <c r="H89" s="271"/>
      <c r="I89" s="268" t="s">
        <v>28</v>
      </c>
      <c r="J89" s="391" t="str">
        <f>E25</f>
        <v>Ateliér Simona Group</v>
      </c>
      <c r="K89" s="271"/>
      <c r="L89" s="64"/>
      <c r="S89" s="23"/>
      <c r="T89" s="23"/>
      <c r="U89" s="23"/>
      <c r="V89" s="23"/>
      <c r="W89" s="23"/>
      <c r="X89" s="23"/>
      <c r="Y89" s="23"/>
      <c r="Z89" s="23"/>
      <c r="AA89" s="23"/>
      <c r="AB89" s="23"/>
      <c r="AC89" s="23"/>
      <c r="AD89" s="23"/>
      <c r="AE89" s="23"/>
    </row>
    <row r="90" spans="1:65" s="2" customFormat="1" ht="26.45" customHeight="1">
      <c r="A90" s="271"/>
      <c r="B90" s="270"/>
      <c r="C90" s="268" t="s">
        <v>26</v>
      </c>
      <c r="D90" s="271"/>
      <c r="E90" s="271"/>
      <c r="F90" s="273" t="str">
        <f>IF(E22="","",E22)</f>
        <v xml:space="preserve"> </v>
      </c>
      <c r="G90" s="271"/>
      <c r="H90" s="271"/>
      <c r="I90" s="268" t="s">
        <v>31</v>
      </c>
      <c r="J90" s="391" t="str">
        <f>E28</f>
        <v>Ateliér Simona Group</v>
      </c>
      <c r="K90" s="271"/>
      <c r="L90" s="64"/>
      <c r="S90" s="23"/>
      <c r="T90" s="23"/>
      <c r="U90" s="23"/>
      <c r="V90" s="23"/>
      <c r="W90" s="23"/>
      <c r="X90" s="23"/>
      <c r="Y90" s="23"/>
      <c r="Z90" s="23"/>
      <c r="AA90" s="23"/>
      <c r="AB90" s="23"/>
      <c r="AC90" s="23"/>
      <c r="AD90" s="23"/>
      <c r="AE90" s="23"/>
    </row>
    <row r="91" spans="1:65" s="2" customFormat="1" ht="10.35" customHeight="1">
      <c r="A91" s="271"/>
      <c r="B91" s="270"/>
      <c r="C91" s="271"/>
      <c r="D91" s="271"/>
      <c r="E91" s="271"/>
      <c r="F91" s="271"/>
      <c r="G91" s="271"/>
      <c r="H91" s="271"/>
      <c r="I91" s="271"/>
      <c r="J91" s="271"/>
      <c r="K91" s="271"/>
      <c r="L91" s="64"/>
      <c r="S91" s="23"/>
      <c r="T91" s="23"/>
      <c r="U91" s="23"/>
      <c r="V91" s="23"/>
      <c r="W91" s="23"/>
      <c r="X91" s="23"/>
      <c r="Y91" s="23"/>
      <c r="Z91" s="23"/>
      <c r="AA91" s="23"/>
      <c r="AB91" s="23"/>
      <c r="AC91" s="23"/>
      <c r="AD91" s="23"/>
      <c r="AE91" s="23"/>
    </row>
    <row r="92" spans="1:65" s="11" customFormat="1" ht="29.25" customHeight="1">
      <c r="A92" s="299"/>
      <c r="B92" s="300"/>
      <c r="C92" s="301" t="s">
        <v>202</v>
      </c>
      <c r="D92" s="302" t="s">
        <v>53</v>
      </c>
      <c r="E92" s="302" t="s">
        <v>49</v>
      </c>
      <c r="F92" s="302" t="s">
        <v>50</v>
      </c>
      <c r="G92" s="302" t="s">
        <v>203</v>
      </c>
      <c r="H92" s="302" t="s">
        <v>204</v>
      </c>
      <c r="I92" s="302" t="s">
        <v>205</v>
      </c>
      <c r="J92" s="302" t="s">
        <v>169</v>
      </c>
      <c r="K92" s="340" t="s">
        <v>206</v>
      </c>
      <c r="L92" s="70"/>
      <c r="M92" s="34" t="s">
        <v>3</v>
      </c>
      <c r="N92" s="35" t="s">
        <v>38</v>
      </c>
      <c r="O92" s="35" t="s">
        <v>207</v>
      </c>
      <c r="P92" s="35" t="s">
        <v>208</v>
      </c>
      <c r="Q92" s="35" t="s">
        <v>209</v>
      </c>
      <c r="R92" s="35" t="s">
        <v>210</v>
      </c>
      <c r="S92" s="35" t="s">
        <v>211</v>
      </c>
      <c r="T92" s="36" t="s">
        <v>212</v>
      </c>
      <c r="U92" s="69"/>
      <c r="V92" s="69"/>
      <c r="W92" s="69"/>
      <c r="X92" s="69"/>
      <c r="Y92" s="69"/>
      <c r="Z92" s="69"/>
      <c r="AA92" s="69"/>
      <c r="AB92" s="69"/>
      <c r="AC92" s="69"/>
      <c r="AD92" s="69"/>
      <c r="AE92" s="69"/>
    </row>
    <row r="93" spans="1:65" s="2" customFormat="1" ht="22.9" customHeight="1">
      <c r="A93" s="271"/>
      <c r="B93" s="270"/>
      <c r="C93" s="243" t="s">
        <v>213</v>
      </c>
      <c r="D93" s="271"/>
      <c r="E93" s="271"/>
      <c r="F93" s="271"/>
      <c r="G93" s="271"/>
      <c r="H93" s="271"/>
      <c r="I93" s="271"/>
      <c r="J93" s="410">
        <f>BK93</f>
        <v>0</v>
      </c>
      <c r="K93" s="271"/>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170</v>
      </c>
      <c r="BK93" s="73">
        <f>BK94</f>
        <v>0</v>
      </c>
    </row>
    <row r="94" spans="1:65" s="12" customFormat="1" ht="25.9" customHeight="1">
      <c r="A94" s="303"/>
      <c r="B94" s="304"/>
      <c r="C94" s="303"/>
      <c r="D94" s="305" t="s">
        <v>67</v>
      </c>
      <c r="E94" s="306" t="s">
        <v>895</v>
      </c>
      <c r="F94" s="306" t="s">
        <v>896</v>
      </c>
      <c r="G94" s="303"/>
      <c r="H94" s="303"/>
      <c r="I94" s="303"/>
      <c r="J94" s="411">
        <f>BK94</f>
        <v>0</v>
      </c>
      <c r="K94" s="303"/>
      <c r="L94" s="74"/>
      <c r="M94" s="76"/>
      <c r="N94" s="77"/>
      <c r="O94" s="77"/>
      <c r="P94" s="78">
        <f>P95</f>
        <v>0</v>
      </c>
      <c r="Q94" s="77"/>
      <c r="R94" s="78">
        <f>R95</f>
        <v>0</v>
      </c>
      <c r="S94" s="77"/>
      <c r="T94" s="79">
        <f>T95</f>
        <v>0</v>
      </c>
      <c r="AR94" s="75" t="s">
        <v>77</v>
      </c>
      <c r="AT94" s="80" t="s">
        <v>67</v>
      </c>
      <c r="AU94" s="80" t="s">
        <v>68</v>
      </c>
      <c r="AY94" s="75" t="s">
        <v>216</v>
      </c>
      <c r="BK94" s="81">
        <f>BK95</f>
        <v>0</v>
      </c>
    </row>
    <row r="95" spans="1:65" s="12" customFormat="1" ht="22.9" customHeight="1">
      <c r="A95" s="303"/>
      <c r="B95" s="304"/>
      <c r="C95" s="303"/>
      <c r="D95" s="305" t="s">
        <v>67</v>
      </c>
      <c r="E95" s="307" t="s">
        <v>1655</v>
      </c>
      <c r="F95" s="307" t="s">
        <v>1656</v>
      </c>
      <c r="G95" s="303"/>
      <c r="H95" s="303"/>
      <c r="I95" s="303"/>
      <c r="J95" s="412">
        <f>BK95</f>
        <v>0</v>
      </c>
      <c r="K95" s="303"/>
      <c r="L95" s="74"/>
      <c r="M95" s="76"/>
      <c r="N95" s="77"/>
      <c r="O95" s="77"/>
      <c r="P95" s="78">
        <f>P96</f>
        <v>0</v>
      </c>
      <c r="Q95" s="77"/>
      <c r="R95" s="78">
        <f>R96</f>
        <v>0</v>
      </c>
      <c r="S95" s="77"/>
      <c r="T95" s="79">
        <f>T96</f>
        <v>0</v>
      </c>
      <c r="AR95" s="75" t="s">
        <v>77</v>
      </c>
      <c r="AT95" s="80" t="s">
        <v>67</v>
      </c>
      <c r="AU95" s="80" t="s">
        <v>75</v>
      </c>
      <c r="AY95" s="75" t="s">
        <v>216</v>
      </c>
      <c r="BK95" s="81">
        <f>BK96</f>
        <v>0</v>
      </c>
    </row>
    <row r="96" spans="1:65" s="2" customFormat="1" ht="14.45" customHeight="1">
      <c r="A96" s="271"/>
      <c r="B96" s="270"/>
      <c r="C96" s="308" t="s">
        <v>75</v>
      </c>
      <c r="D96" s="308" t="s">
        <v>218</v>
      </c>
      <c r="E96" s="309" t="s">
        <v>1799</v>
      </c>
      <c r="F96" s="310" t="s">
        <v>3097</v>
      </c>
      <c r="G96" s="311" t="s">
        <v>1766</v>
      </c>
      <c r="H96" s="312">
        <v>1</v>
      </c>
      <c r="I96" s="413">
        <f>'G-OS'!L25</f>
        <v>0</v>
      </c>
      <c r="J96" s="413">
        <f>ROUND(I96*H96,2)</f>
        <v>0</v>
      </c>
      <c r="K96" s="310"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305</v>
      </c>
      <c r="AT96" s="87" t="s">
        <v>218</v>
      </c>
      <c r="AU96" s="87" t="s">
        <v>77</v>
      </c>
      <c r="AY96" s="19" t="s">
        <v>216</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305</v>
      </c>
      <c r="BM96" s="87" t="s">
        <v>1802</v>
      </c>
    </row>
    <row r="97" spans="1:31" s="2" customFormat="1" ht="6.95" customHeight="1">
      <c r="A97" s="271"/>
      <c r="B97" s="286"/>
      <c r="C97" s="287"/>
      <c r="D97" s="287"/>
      <c r="E97" s="287"/>
      <c r="F97" s="287"/>
      <c r="G97" s="287"/>
      <c r="H97" s="287"/>
      <c r="I97" s="287"/>
      <c r="J97" s="287"/>
      <c r="K97" s="287"/>
      <c r="L97" s="24"/>
      <c r="M97" s="23"/>
      <c r="O97" s="23"/>
      <c r="P97" s="23"/>
      <c r="Q97" s="23"/>
      <c r="R97" s="23"/>
      <c r="S97" s="23"/>
      <c r="T97" s="23"/>
      <c r="U97" s="23"/>
      <c r="V97" s="23"/>
      <c r="W97" s="23"/>
      <c r="X97" s="23"/>
      <c r="Y97" s="23"/>
      <c r="Z97" s="23"/>
      <c r="AA97" s="23"/>
      <c r="AB97" s="23"/>
      <c r="AC97" s="23"/>
      <c r="AD97" s="23"/>
      <c r="AE97" s="23"/>
    </row>
  </sheetData>
  <sheetProtection password="CAB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35"/>
  <sheetViews>
    <sheetView view="pageBreakPreview" zoomScaleSheetLayoutView="100" workbookViewId="0">
      <selection activeCell="B22" sqref="B22"/>
    </sheetView>
  </sheetViews>
  <sheetFormatPr defaultRowHeight="15"/>
  <cols>
    <col min="1" max="1" width="9.33203125" style="234"/>
    <col min="2" max="2" width="127.83203125" style="233" customWidth="1"/>
    <col min="3" max="3" width="22.1640625" style="234" customWidth="1"/>
    <col min="4" max="4" width="20" style="234" bestFit="1" customWidth="1"/>
    <col min="5" max="5" width="7" style="234" bestFit="1" customWidth="1"/>
    <col min="6" max="6" width="9.6640625" style="234" bestFit="1" customWidth="1"/>
    <col min="7" max="7" width="8.5" style="234" customWidth="1"/>
    <col min="8" max="8" width="13.33203125" style="234" customWidth="1"/>
    <col min="9" max="9" width="14.1640625" style="234" customWidth="1"/>
    <col min="10" max="10" width="17.5" style="233" bestFit="1" customWidth="1"/>
    <col min="11" max="11" width="6.5" style="234" bestFit="1" customWidth="1"/>
    <col min="12" max="12" width="19.5" style="233" bestFit="1" customWidth="1"/>
    <col min="13" max="13" width="6" style="233" bestFit="1" customWidth="1"/>
    <col min="14" max="14" width="20.83203125" style="233" bestFit="1" customWidth="1"/>
    <col min="15" max="16384" width="9.33203125" style="233"/>
  </cols>
  <sheetData>
    <row r="1" spans="1:14" ht="30">
      <c r="A1" s="539" t="s">
        <v>2939</v>
      </c>
      <c r="B1" s="540" t="s">
        <v>2938</v>
      </c>
      <c r="C1" s="541" t="s">
        <v>2937</v>
      </c>
      <c r="D1" s="541" t="s">
        <v>2936</v>
      </c>
      <c r="E1" s="542" t="s">
        <v>2935</v>
      </c>
      <c r="F1" s="542" t="s">
        <v>2934</v>
      </c>
      <c r="G1" s="542" t="s">
        <v>2933</v>
      </c>
      <c r="H1" s="542" t="s">
        <v>2932</v>
      </c>
      <c r="I1" s="542" t="s">
        <v>2931</v>
      </c>
      <c r="J1" s="593" t="s">
        <v>2930</v>
      </c>
      <c r="K1" s="570" t="s">
        <v>2929</v>
      </c>
      <c r="L1" s="571" t="s">
        <v>2928</v>
      </c>
      <c r="M1" s="571" t="s">
        <v>38</v>
      </c>
      <c r="N1" s="572" t="s">
        <v>2927</v>
      </c>
    </row>
    <row r="2" spans="1:14" ht="16.5" customHeight="1">
      <c r="A2" s="547"/>
      <c r="B2" s="596" t="s">
        <v>3096</v>
      </c>
      <c r="C2" s="597"/>
      <c r="D2" s="597"/>
      <c r="E2" s="546"/>
      <c r="F2" s="546"/>
      <c r="G2" s="546"/>
      <c r="H2" s="546"/>
      <c r="I2" s="546"/>
      <c r="J2" s="594"/>
      <c r="K2" s="546"/>
      <c r="L2" s="576">
        <f t="shared" ref="L2:L24" si="0">K2*J2</f>
        <v>0</v>
      </c>
      <c r="M2" s="577">
        <v>21</v>
      </c>
      <c r="N2" s="578">
        <f t="shared" ref="N2:N24" si="1">L2*(1+(M2/100))</f>
        <v>0</v>
      </c>
    </row>
    <row r="3" spans="1:14" ht="30">
      <c r="A3" s="547" t="s">
        <v>3095</v>
      </c>
      <c r="B3" s="598" t="s">
        <v>3094</v>
      </c>
      <c r="C3" s="597"/>
      <c r="D3" s="597"/>
      <c r="E3" s="546"/>
      <c r="F3" s="546"/>
      <c r="G3" s="546"/>
      <c r="H3" s="546"/>
      <c r="I3" s="546"/>
      <c r="J3" s="594">
        <v>0</v>
      </c>
      <c r="K3" s="546">
        <v>1</v>
      </c>
      <c r="L3" s="576">
        <f t="shared" si="0"/>
        <v>0</v>
      </c>
      <c r="M3" s="577">
        <v>21</v>
      </c>
      <c r="N3" s="578">
        <f t="shared" si="1"/>
        <v>0</v>
      </c>
    </row>
    <row r="4" spans="1:14">
      <c r="A4" s="547" t="s">
        <v>3093</v>
      </c>
      <c r="B4" s="598" t="s">
        <v>3092</v>
      </c>
      <c r="C4" s="597"/>
      <c r="D4" s="597"/>
      <c r="E4" s="546"/>
      <c r="F4" s="546"/>
      <c r="G4" s="546"/>
      <c r="H4" s="546"/>
      <c r="I4" s="546"/>
      <c r="J4" s="594">
        <v>0</v>
      </c>
      <c r="K4" s="546">
        <v>1</v>
      </c>
      <c r="L4" s="576">
        <f t="shared" si="0"/>
        <v>0</v>
      </c>
      <c r="M4" s="577">
        <v>21</v>
      </c>
      <c r="N4" s="578">
        <f t="shared" si="1"/>
        <v>0</v>
      </c>
    </row>
    <row r="5" spans="1:14" ht="16.5" customHeight="1">
      <c r="A5" s="547" t="s">
        <v>3091</v>
      </c>
      <c r="B5" s="598" t="s">
        <v>3090</v>
      </c>
      <c r="C5" s="597"/>
      <c r="D5" s="597"/>
      <c r="E5" s="546"/>
      <c r="F5" s="546"/>
      <c r="G5" s="546"/>
      <c r="H5" s="546"/>
      <c r="I5" s="546"/>
      <c r="J5" s="594">
        <v>0</v>
      </c>
      <c r="K5" s="546">
        <v>1</v>
      </c>
      <c r="L5" s="576">
        <f t="shared" si="0"/>
        <v>0</v>
      </c>
      <c r="M5" s="577">
        <v>21</v>
      </c>
      <c r="N5" s="578">
        <f t="shared" si="1"/>
        <v>0</v>
      </c>
    </row>
    <row r="6" spans="1:14" ht="16.5" customHeight="1">
      <c r="A6" s="547" t="s">
        <v>3089</v>
      </c>
      <c r="B6" s="598" t="s">
        <v>3088</v>
      </c>
      <c r="C6" s="597"/>
      <c r="D6" s="597"/>
      <c r="E6" s="546"/>
      <c r="F6" s="546"/>
      <c r="G6" s="546"/>
      <c r="H6" s="546"/>
      <c r="I6" s="546"/>
      <c r="J6" s="594">
        <v>0</v>
      </c>
      <c r="K6" s="546">
        <v>1</v>
      </c>
      <c r="L6" s="576">
        <f t="shared" si="0"/>
        <v>0</v>
      </c>
      <c r="M6" s="577">
        <v>21</v>
      </c>
      <c r="N6" s="578">
        <f t="shared" si="1"/>
        <v>0</v>
      </c>
    </row>
    <row r="7" spans="1:14" ht="16.5" customHeight="1">
      <c r="A7" s="547" t="s">
        <v>3087</v>
      </c>
      <c r="B7" s="598" t="s">
        <v>3086</v>
      </c>
      <c r="C7" s="597"/>
      <c r="D7" s="597"/>
      <c r="E7" s="546"/>
      <c r="F7" s="546"/>
      <c r="G7" s="546"/>
      <c r="H7" s="546"/>
      <c r="I7" s="546"/>
      <c r="J7" s="594">
        <v>0</v>
      </c>
      <c r="K7" s="546">
        <v>0</v>
      </c>
      <c r="L7" s="576">
        <f t="shared" si="0"/>
        <v>0</v>
      </c>
      <c r="M7" s="577">
        <v>21</v>
      </c>
      <c r="N7" s="578">
        <f t="shared" si="1"/>
        <v>0</v>
      </c>
    </row>
    <row r="8" spans="1:14" ht="16.5" customHeight="1">
      <c r="A8" s="547" t="s">
        <v>3085</v>
      </c>
      <c r="B8" s="598" t="s">
        <v>3084</v>
      </c>
      <c r="C8" s="597"/>
      <c r="D8" s="597"/>
      <c r="E8" s="546"/>
      <c r="F8" s="546"/>
      <c r="G8" s="546"/>
      <c r="H8" s="546"/>
      <c r="I8" s="546"/>
      <c r="J8" s="594">
        <v>0</v>
      </c>
      <c r="K8" s="546">
        <v>1</v>
      </c>
      <c r="L8" s="576">
        <f t="shared" si="0"/>
        <v>0</v>
      </c>
      <c r="M8" s="577">
        <v>21</v>
      </c>
      <c r="N8" s="578">
        <f t="shared" si="1"/>
        <v>0</v>
      </c>
    </row>
    <row r="9" spans="1:14" ht="16.5" customHeight="1">
      <c r="A9" s="547" t="s">
        <v>3083</v>
      </c>
      <c r="B9" s="598" t="s">
        <v>3082</v>
      </c>
      <c r="C9" s="597"/>
      <c r="D9" s="597"/>
      <c r="E9" s="546"/>
      <c r="F9" s="546"/>
      <c r="G9" s="546"/>
      <c r="H9" s="546"/>
      <c r="I9" s="546"/>
      <c r="J9" s="594">
        <v>0</v>
      </c>
      <c r="K9" s="546">
        <v>1</v>
      </c>
      <c r="L9" s="576">
        <f t="shared" si="0"/>
        <v>0</v>
      </c>
      <c r="M9" s="577">
        <v>21</v>
      </c>
      <c r="N9" s="578">
        <f t="shared" si="1"/>
        <v>0</v>
      </c>
    </row>
    <row r="10" spans="1:14" ht="16.5" customHeight="1">
      <c r="A10" s="547" t="s">
        <v>3081</v>
      </c>
      <c r="B10" s="598" t="s">
        <v>3080</v>
      </c>
      <c r="C10" s="597"/>
      <c r="D10" s="597"/>
      <c r="E10" s="546"/>
      <c r="F10" s="546"/>
      <c r="G10" s="546"/>
      <c r="H10" s="546"/>
      <c r="I10" s="546"/>
      <c r="J10" s="594">
        <v>0</v>
      </c>
      <c r="K10" s="546">
        <v>1</v>
      </c>
      <c r="L10" s="576">
        <f t="shared" si="0"/>
        <v>0</v>
      </c>
      <c r="M10" s="577">
        <v>21</v>
      </c>
      <c r="N10" s="578">
        <f t="shared" si="1"/>
        <v>0</v>
      </c>
    </row>
    <row r="11" spans="1:14" ht="16.5" customHeight="1">
      <c r="A11" s="547" t="s">
        <v>3079</v>
      </c>
      <c r="B11" s="598" t="s">
        <v>3078</v>
      </c>
      <c r="C11" s="597"/>
      <c r="D11" s="597"/>
      <c r="E11" s="546"/>
      <c r="F11" s="546"/>
      <c r="G11" s="546"/>
      <c r="H11" s="546"/>
      <c r="I11" s="546"/>
      <c r="J11" s="594">
        <v>0</v>
      </c>
      <c r="K11" s="546">
        <v>1</v>
      </c>
      <c r="L11" s="576">
        <f t="shared" si="0"/>
        <v>0</v>
      </c>
      <c r="M11" s="577">
        <v>21</v>
      </c>
      <c r="N11" s="578">
        <f t="shared" si="1"/>
        <v>0</v>
      </c>
    </row>
    <row r="12" spans="1:14" ht="16.5" customHeight="1">
      <c r="A12" s="547" t="s">
        <v>3077</v>
      </c>
      <c r="B12" s="598" t="s">
        <v>3076</v>
      </c>
      <c r="C12" s="597"/>
      <c r="D12" s="597"/>
      <c r="E12" s="546"/>
      <c r="F12" s="546"/>
      <c r="G12" s="546"/>
      <c r="H12" s="546"/>
      <c r="I12" s="546"/>
      <c r="J12" s="594">
        <v>0</v>
      </c>
      <c r="K12" s="546">
        <v>1</v>
      </c>
      <c r="L12" s="576">
        <f t="shared" si="0"/>
        <v>0</v>
      </c>
      <c r="M12" s="577">
        <v>21</v>
      </c>
      <c r="N12" s="578">
        <f t="shared" si="1"/>
        <v>0</v>
      </c>
    </row>
    <row r="13" spans="1:14">
      <c r="A13" s="547" t="s">
        <v>3075</v>
      </c>
      <c r="B13" s="598" t="s">
        <v>3074</v>
      </c>
      <c r="C13" s="597"/>
      <c r="D13" s="597"/>
      <c r="E13" s="546"/>
      <c r="F13" s="546"/>
      <c r="G13" s="546"/>
      <c r="H13" s="546"/>
      <c r="I13" s="546"/>
      <c r="J13" s="594">
        <v>0</v>
      </c>
      <c r="K13" s="546">
        <v>1</v>
      </c>
      <c r="L13" s="576">
        <f t="shared" si="0"/>
        <v>0</v>
      </c>
      <c r="M13" s="577">
        <v>21</v>
      </c>
      <c r="N13" s="578">
        <f t="shared" si="1"/>
        <v>0</v>
      </c>
    </row>
    <row r="14" spans="1:14" ht="16.5" customHeight="1">
      <c r="A14" s="547" t="s">
        <v>3073</v>
      </c>
      <c r="B14" s="598" t="s">
        <v>3072</v>
      </c>
      <c r="C14" s="597"/>
      <c r="D14" s="597"/>
      <c r="E14" s="546"/>
      <c r="F14" s="546"/>
      <c r="G14" s="546"/>
      <c r="H14" s="546"/>
      <c r="I14" s="546"/>
      <c r="J14" s="594">
        <v>0</v>
      </c>
      <c r="K14" s="546">
        <v>1</v>
      </c>
      <c r="L14" s="576">
        <f t="shared" si="0"/>
        <v>0</v>
      </c>
      <c r="M14" s="577">
        <v>21</v>
      </c>
      <c r="N14" s="578">
        <f t="shared" si="1"/>
        <v>0</v>
      </c>
    </row>
    <row r="15" spans="1:14" ht="16.5" customHeight="1">
      <c r="A15" s="547" t="s">
        <v>3071</v>
      </c>
      <c r="B15" s="598" t="s">
        <v>3070</v>
      </c>
      <c r="C15" s="597"/>
      <c r="D15" s="597"/>
      <c r="E15" s="546"/>
      <c r="F15" s="546"/>
      <c r="G15" s="546"/>
      <c r="H15" s="546"/>
      <c r="I15" s="546"/>
      <c r="J15" s="594">
        <v>0</v>
      </c>
      <c r="K15" s="546">
        <v>1</v>
      </c>
      <c r="L15" s="576">
        <f t="shared" si="0"/>
        <v>0</v>
      </c>
      <c r="M15" s="577">
        <v>21</v>
      </c>
      <c r="N15" s="578">
        <f t="shared" si="1"/>
        <v>0</v>
      </c>
    </row>
    <row r="16" spans="1:14" ht="16.5" customHeight="1">
      <c r="A16" s="547" t="s">
        <v>3069</v>
      </c>
      <c r="B16" s="598" t="s">
        <v>3068</v>
      </c>
      <c r="C16" s="597"/>
      <c r="D16" s="597"/>
      <c r="E16" s="546"/>
      <c r="F16" s="546"/>
      <c r="G16" s="546"/>
      <c r="H16" s="546"/>
      <c r="I16" s="546"/>
      <c r="J16" s="594">
        <v>0</v>
      </c>
      <c r="K16" s="546">
        <v>1</v>
      </c>
      <c r="L16" s="576">
        <f t="shared" si="0"/>
        <v>0</v>
      </c>
      <c r="M16" s="577">
        <v>21</v>
      </c>
      <c r="N16" s="578">
        <f t="shared" si="1"/>
        <v>0</v>
      </c>
    </row>
    <row r="17" spans="1:14" ht="16.5" customHeight="1">
      <c r="A17" s="547" t="s">
        <v>3067</v>
      </c>
      <c r="B17" s="598" t="s">
        <v>3066</v>
      </c>
      <c r="C17" s="597"/>
      <c r="D17" s="597"/>
      <c r="E17" s="546"/>
      <c r="F17" s="546"/>
      <c r="G17" s="546"/>
      <c r="H17" s="546"/>
      <c r="I17" s="546"/>
      <c r="J17" s="594">
        <v>0</v>
      </c>
      <c r="K17" s="546">
        <v>1</v>
      </c>
      <c r="L17" s="576">
        <f t="shared" si="0"/>
        <v>0</v>
      </c>
      <c r="M17" s="577">
        <v>21</v>
      </c>
      <c r="N17" s="578">
        <f t="shared" si="1"/>
        <v>0</v>
      </c>
    </row>
    <row r="18" spans="1:14" ht="16.5" customHeight="1">
      <c r="A18" s="547" t="s">
        <v>3065</v>
      </c>
      <c r="B18" s="598" t="s">
        <v>3064</v>
      </c>
      <c r="C18" s="597"/>
      <c r="D18" s="597"/>
      <c r="E18" s="546"/>
      <c r="F18" s="546"/>
      <c r="G18" s="546"/>
      <c r="H18" s="546"/>
      <c r="I18" s="546"/>
      <c r="J18" s="594">
        <v>0</v>
      </c>
      <c r="K18" s="546">
        <v>2</v>
      </c>
      <c r="L18" s="576">
        <f t="shared" si="0"/>
        <v>0</v>
      </c>
      <c r="M18" s="577">
        <v>21</v>
      </c>
      <c r="N18" s="578">
        <f t="shared" si="1"/>
        <v>0</v>
      </c>
    </row>
    <row r="19" spans="1:14" ht="16.5" customHeight="1">
      <c r="A19" s="547" t="s">
        <v>3063</v>
      </c>
      <c r="B19" s="598" t="s">
        <v>3062</v>
      </c>
      <c r="C19" s="597"/>
      <c r="D19" s="597"/>
      <c r="E19" s="546"/>
      <c r="F19" s="546"/>
      <c r="G19" s="546"/>
      <c r="H19" s="546"/>
      <c r="I19" s="546"/>
      <c r="J19" s="594">
        <v>0</v>
      </c>
      <c r="K19" s="546">
        <v>2</v>
      </c>
      <c r="L19" s="576">
        <f t="shared" si="0"/>
        <v>0</v>
      </c>
      <c r="M19" s="577">
        <v>21</v>
      </c>
      <c r="N19" s="578">
        <f t="shared" si="1"/>
        <v>0</v>
      </c>
    </row>
    <row r="20" spans="1:14" ht="16.5" customHeight="1">
      <c r="A20" s="547" t="s">
        <v>3061</v>
      </c>
      <c r="B20" s="598" t="s">
        <v>3060</v>
      </c>
      <c r="C20" s="597"/>
      <c r="D20" s="597"/>
      <c r="E20" s="546"/>
      <c r="F20" s="546"/>
      <c r="G20" s="546"/>
      <c r="H20" s="546"/>
      <c r="I20" s="546"/>
      <c r="J20" s="594">
        <v>0</v>
      </c>
      <c r="K20" s="546">
        <v>2</v>
      </c>
      <c r="L20" s="576">
        <f t="shared" si="0"/>
        <v>0</v>
      </c>
      <c r="M20" s="577">
        <v>21</v>
      </c>
      <c r="N20" s="578">
        <f t="shared" si="1"/>
        <v>0</v>
      </c>
    </row>
    <row r="21" spans="1:14" ht="16.5" customHeight="1">
      <c r="A21" s="547" t="s">
        <v>3059</v>
      </c>
      <c r="B21" s="598" t="s">
        <v>3058</v>
      </c>
      <c r="C21" s="597"/>
      <c r="D21" s="597"/>
      <c r="E21" s="546"/>
      <c r="F21" s="546"/>
      <c r="G21" s="546"/>
      <c r="H21" s="546"/>
      <c r="I21" s="546"/>
      <c r="J21" s="594">
        <v>0</v>
      </c>
      <c r="K21" s="546">
        <v>2</v>
      </c>
      <c r="L21" s="576">
        <f t="shared" si="0"/>
        <v>0</v>
      </c>
      <c r="M21" s="577">
        <v>21</v>
      </c>
      <c r="N21" s="578">
        <f t="shared" si="1"/>
        <v>0</v>
      </c>
    </row>
    <row r="22" spans="1:14" ht="16.5" customHeight="1">
      <c r="A22" s="547" t="s">
        <v>3057</v>
      </c>
      <c r="B22" s="598" t="s">
        <v>3056</v>
      </c>
      <c r="C22" s="597"/>
      <c r="D22" s="597"/>
      <c r="E22" s="546"/>
      <c r="F22" s="546"/>
      <c r="G22" s="546"/>
      <c r="H22" s="546"/>
      <c r="I22" s="546"/>
      <c r="J22" s="594">
        <v>0</v>
      </c>
      <c r="K22" s="546">
        <v>2</v>
      </c>
      <c r="L22" s="576">
        <f t="shared" si="0"/>
        <v>0</v>
      </c>
      <c r="M22" s="577">
        <v>21</v>
      </c>
      <c r="N22" s="578">
        <f t="shared" si="1"/>
        <v>0</v>
      </c>
    </row>
    <row r="23" spans="1:14" ht="16.5" customHeight="1">
      <c r="A23" s="547" t="s">
        <v>3055</v>
      </c>
      <c r="B23" s="598" t="s">
        <v>3054</v>
      </c>
      <c r="C23" s="597"/>
      <c r="D23" s="597"/>
      <c r="E23" s="546"/>
      <c r="F23" s="546"/>
      <c r="G23" s="546"/>
      <c r="H23" s="546"/>
      <c r="I23" s="546"/>
      <c r="J23" s="594">
        <v>0</v>
      </c>
      <c r="K23" s="546">
        <v>2</v>
      </c>
      <c r="L23" s="576">
        <f t="shared" si="0"/>
        <v>0</v>
      </c>
      <c r="M23" s="577">
        <v>21</v>
      </c>
      <c r="N23" s="578">
        <f t="shared" si="1"/>
        <v>0</v>
      </c>
    </row>
    <row r="24" spans="1:14" ht="16.5" customHeight="1" thickBot="1">
      <c r="A24" s="558" t="s">
        <v>3053</v>
      </c>
      <c r="B24" s="599" t="s">
        <v>3052</v>
      </c>
      <c r="C24" s="600"/>
      <c r="D24" s="600"/>
      <c r="E24" s="560"/>
      <c r="F24" s="560"/>
      <c r="G24" s="560"/>
      <c r="H24" s="560"/>
      <c r="I24" s="560"/>
      <c r="J24" s="595">
        <v>0</v>
      </c>
      <c r="K24" s="560">
        <v>2</v>
      </c>
      <c r="L24" s="579">
        <f t="shared" si="0"/>
        <v>0</v>
      </c>
      <c r="M24" s="580">
        <v>21</v>
      </c>
      <c r="N24" s="581">
        <f t="shared" si="1"/>
        <v>0</v>
      </c>
    </row>
    <row r="25" spans="1:14" ht="16.5" customHeight="1">
      <c r="A25" s="561"/>
      <c r="B25" s="562" t="s">
        <v>3051</v>
      </c>
      <c r="C25" s="563"/>
      <c r="D25" s="563"/>
      <c r="E25" s="561"/>
      <c r="F25" s="561"/>
      <c r="G25" s="561"/>
      <c r="H25" s="561"/>
      <c r="I25" s="561"/>
      <c r="J25" s="538"/>
      <c r="K25" s="561"/>
      <c r="L25" s="582">
        <f>SUM(L2:L24)</f>
        <v>0</v>
      </c>
      <c r="M25" s="565"/>
      <c r="N25" s="582">
        <f>SUM(N2:N24)</f>
        <v>0</v>
      </c>
    </row>
    <row r="26" spans="1:14">
      <c r="A26" s="561"/>
      <c r="B26" s="565"/>
      <c r="C26" s="561"/>
      <c r="D26" s="561"/>
      <c r="E26" s="561"/>
      <c r="F26" s="561"/>
      <c r="G26" s="561"/>
      <c r="H26" s="561"/>
      <c r="I26" s="561"/>
      <c r="J26" s="538"/>
      <c r="K26" s="561"/>
      <c r="L26" s="565"/>
      <c r="M26" s="565"/>
      <c r="N26" s="565"/>
    </row>
    <row r="27" spans="1:14">
      <c r="A27" s="561"/>
      <c r="B27" s="565"/>
      <c r="C27" s="561"/>
      <c r="D27" s="561"/>
      <c r="E27" s="561"/>
      <c r="F27" s="561"/>
      <c r="G27" s="561"/>
      <c r="H27" s="561"/>
      <c r="I27" s="561"/>
      <c r="J27" s="538"/>
      <c r="K27" s="561"/>
      <c r="L27" s="565"/>
      <c r="M27" s="565"/>
      <c r="N27" s="565"/>
    </row>
    <row r="28" spans="1:14">
      <c r="A28" s="561"/>
      <c r="B28" s="565"/>
      <c r="C28" s="561"/>
      <c r="D28" s="561"/>
      <c r="E28" s="561"/>
      <c r="F28" s="561"/>
      <c r="G28" s="561"/>
      <c r="H28" s="561"/>
      <c r="I28" s="561"/>
      <c r="J28" s="538"/>
      <c r="K28" s="561"/>
      <c r="L28" s="565"/>
      <c r="M28" s="565"/>
      <c r="N28" s="565"/>
    </row>
    <row r="29" spans="1:14">
      <c r="A29" s="561"/>
      <c r="B29" s="565"/>
      <c r="C29" s="561"/>
      <c r="D29" s="561"/>
      <c r="E29" s="561"/>
      <c r="F29" s="561"/>
      <c r="G29" s="561"/>
      <c r="H29" s="561"/>
      <c r="I29" s="561"/>
      <c r="J29" s="538"/>
      <c r="K29" s="561"/>
      <c r="L29" s="565"/>
      <c r="M29" s="565"/>
      <c r="N29" s="565"/>
    </row>
    <row r="30" spans="1:14">
      <c r="A30" s="561"/>
      <c r="B30" s="565"/>
      <c r="C30" s="561"/>
      <c r="D30" s="561"/>
      <c r="E30" s="561"/>
      <c r="F30" s="561"/>
      <c r="G30" s="561"/>
      <c r="H30" s="561"/>
      <c r="I30" s="561"/>
      <c r="J30" s="538"/>
      <c r="K30" s="561"/>
      <c r="L30" s="565"/>
      <c r="M30" s="565"/>
      <c r="N30" s="565"/>
    </row>
    <row r="31" spans="1:14">
      <c r="A31" s="561"/>
      <c r="B31" s="565"/>
      <c r="C31" s="561"/>
      <c r="D31" s="561"/>
      <c r="E31" s="561"/>
      <c r="F31" s="561"/>
      <c r="G31" s="561"/>
      <c r="H31" s="561"/>
      <c r="I31" s="561"/>
      <c r="J31" s="538"/>
      <c r="K31" s="561"/>
      <c r="L31" s="565"/>
      <c r="M31" s="565"/>
      <c r="N31" s="565"/>
    </row>
    <row r="32" spans="1:14">
      <c r="A32" s="561"/>
      <c r="B32" s="565"/>
      <c r="C32" s="561"/>
      <c r="D32" s="561"/>
      <c r="E32" s="561"/>
      <c r="F32" s="561"/>
      <c r="G32" s="561"/>
      <c r="H32" s="561"/>
      <c r="I32" s="561"/>
      <c r="J32" s="538"/>
      <c r="K32" s="561"/>
      <c r="L32" s="565"/>
      <c r="M32" s="565"/>
      <c r="N32" s="565"/>
    </row>
    <row r="33" spans="1:14">
      <c r="A33" s="561"/>
      <c r="B33" s="565"/>
      <c r="C33" s="561"/>
      <c r="D33" s="561"/>
      <c r="E33" s="561"/>
      <c r="F33" s="561"/>
      <c r="G33" s="561"/>
      <c r="H33" s="561"/>
      <c r="I33" s="561"/>
      <c r="J33" s="538"/>
      <c r="K33" s="561"/>
      <c r="L33" s="565"/>
      <c r="M33" s="565"/>
      <c r="N33" s="565"/>
    </row>
    <row r="34" spans="1:14">
      <c r="A34" s="561"/>
      <c r="B34" s="565"/>
      <c r="C34" s="561"/>
      <c r="D34" s="561"/>
      <c r="E34" s="561"/>
      <c r="F34" s="561"/>
      <c r="G34" s="561"/>
      <c r="H34" s="561"/>
      <c r="I34" s="561"/>
      <c r="J34" s="538"/>
      <c r="K34" s="561"/>
      <c r="L34" s="565"/>
      <c r="M34" s="565"/>
      <c r="N34" s="565"/>
    </row>
    <row r="35" spans="1:14">
      <c r="A35" s="561"/>
      <c r="B35" s="565"/>
      <c r="C35" s="561"/>
      <c r="D35" s="561"/>
      <c r="E35" s="561"/>
      <c r="F35" s="561"/>
      <c r="G35" s="561"/>
      <c r="H35" s="561"/>
      <c r="I35" s="561"/>
      <c r="J35" s="538"/>
      <c r="K35" s="561"/>
      <c r="L35" s="565"/>
      <c r="M35" s="565"/>
      <c r="N35" s="565"/>
    </row>
  </sheetData>
  <sheetProtection password="CAB1" sheet="1" objects="1" scenarios="1"/>
  <printOptions horizontalCentered="1"/>
  <pageMargins left="0.51181102362204722" right="0.51181102362204722" top="0.78740157480314965" bottom="0.78740157480314965" header="0.31496062992125984" footer="0.31496062992125984"/>
  <pageSetup paperSize="9" scale="57" fitToHeight="9" orientation="landscape" r:id="rId1"/>
  <headerFooter>
    <oddHeader>&amp;LČeská republika - Úřad vlády ČRGastroprovoz Úřadu vlády ČR v 1.PP Strakovy akademie&amp;CPoložkový rozpočet objednávkový systém&amp;R11/2019</oddHeader>
    <oddFooter>&amp;C&amp;P/&amp;N&amp;RD.2.2.3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BM97"/>
  <sheetViews>
    <sheetView showGridLines="0" workbookViewId="0">
      <selection activeCell="J89" sqref="J8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124</v>
      </c>
    </row>
    <row r="3" spans="1:46" s="1" customFormat="1" ht="6.95" customHeight="1">
      <c r="A3" s="61"/>
      <c r="B3" s="263"/>
      <c r="C3" s="264"/>
      <c r="D3" s="264"/>
      <c r="E3" s="264"/>
      <c r="F3" s="264"/>
      <c r="G3" s="264"/>
      <c r="H3" s="264"/>
      <c r="I3" s="264"/>
      <c r="J3" s="264"/>
      <c r="K3" s="264"/>
      <c r="L3" s="20"/>
      <c r="AT3" s="19" t="s">
        <v>77</v>
      </c>
    </row>
    <row r="4" spans="1:46" s="1" customFormat="1" ht="24.95" customHeight="1">
      <c r="A4" s="61"/>
      <c r="B4" s="265"/>
      <c r="C4" s="61"/>
      <c r="D4" s="266" t="s">
        <v>142</v>
      </c>
      <c r="E4" s="61"/>
      <c r="F4" s="61"/>
      <c r="G4" s="61"/>
      <c r="H4" s="61"/>
      <c r="I4" s="61"/>
      <c r="J4" s="61"/>
      <c r="K4" s="61"/>
      <c r="L4" s="20"/>
      <c r="M4" s="63" t="s">
        <v>11</v>
      </c>
      <c r="AT4" s="19" t="s">
        <v>4</v>
      </c>
    </row>
    <row r="5" spans="1:46" s="1" customFormat="1" ht="6.95" customHeight="1">
      <c r="A5" s="61"/>
      <c r="B5" s="265"/>
      <c r="C5" s="61"/>
      <c r="D5" s="61"/>
      <c r="E5" s="61"/>
      <c r="F5" s="61"/>
      <c r="G5" s="61"/>
      <c r="H5" s="61"/>
      <c r="I5" s="61"/>
      <c r="J5" s="61"/>
      <c r="K5" s="61"/>
      <c r="L5" s="20"/>
    </row>
    <row r="6" spans="1:46" s="1" customFormat="1" ht="12" customHeight="1">
      <c r="A6" s="61"/>
      <c r="B6" s="265"/>
      <c r="C6" s="61"/>
      <c r="D6" s="268" t="s">
        <v>15</v>
      </c>
      <c r="E6" s="61"/>
      <c r="F6" s="61"/>
      <c r="G6" s="61"/>
      <c r="H6" s="61"/>
      <c r="I6" s="61"/>
      <c r="J6" s="61"/>
      <c r="K6" s="61"/>
      <c r="L6" s="20"/>
    </row>
    <row r="7" spans="1:46" s="1" customFormat="1" ht="14.45" customHeight="1">
      <c r="A7" s="61"/>
      <c r="B7" s="265"/>
      <c r="C7" s="61"/>
      <c r="D7" s="61"/>
      <c r="E7" s="722" t="str">
        <f>'Rekapitulace stavby'!K6</f>
        <v>Úpravy gastroprovozu Úřadu vlády ČR v 1.pp Strakovy akademie</v>
      </c>
      <c r="F7" s="723"/>
      <c r="G7" s="723"/>
      <c r="H7" s="723"/>
      <c r="I7" s="61"/>
      <c r="J7" s="61"/>
      <c r="K7" s="61"/>
      <c r="L7" s="20"/>
    </row>
    <row r="8" spans="1:46" ht="12.75">
      <c r="A8" s="61"/>
      <c r="B8" s="265"/>
      <c r="C8" s="61"/>
      <c r="D8" s="268" t="s">
        <v>151</v>
      </c>
      <c r="E8" s="61"/>
      <c r="F8" s="61"/>
      <c r="G8" s="61"/>
      <c r="H8" s="61"/>
      <c r="I8" s="61"/>
      <c r="J8" s="61"/>
      <c r="K8" s="61"/>
      <c r="L8" s="20"/>
    </row>
    <row r="9" spans="1:46" s="1" customFormat="1" ht="14.45" customHeight="1">
      <c r="A9" s="61"/>
      <c r="B9" s="265"/>
      <c r="C9" s="61"/>
      <c r="D9" s="61"/>
      <c r="E9" s="722" t="s">
        <v>1759</v>
      </c>
      <c r="F9" s="715"/>
      <c r="G9" s="715"/>
      <c r="H9" s="715"/>
      <c r="I9" s="61"/>
      <c r="J9" s="61"/>
      <c r="K9" s="61"/>
      <c r="L9" s="20"/>
    </row>
    <row r="10" spans="1:46" s="1" customFormat="1" ht="12" customHeight="1">
      <c r="A10" s="61"/>
      <c r="B10" s="265"/>
      <c r="C10" s="61"/>
      <c r="D10" s="268" t="s">
        <v>157</v>
      </c>
      <c r="E10" s="61"/>
      <c r="F10" s="61"/>
      <c r="G10" s="61"/>
      <c r="H10" s="61"/>
      <c r="I10" s="61"/>
      <c r="J10" s="61"/>
      <c r="K10" s="61"/>
      <c r="L10" s="20"/>
    </row>
    <row r="11" spans="1:46" s="2" customFormat="1" ht="14.45" customHeight="1">
      <c r="A11" s="271"/>
      <c r="B11" s="270"/>
      <c r="C11" s="271"/>
      <c r="D11" s="271"/>
      <c r="E11" s="762" t="s">
        <v>1795</v>
      </c>
      <c r="F11" s="721"/>
      <c r="G11" s="721"/>
      <c r="H11" s="721"/>
      <c r="I11" s="271"/>
      <c r="J11" s="271"/>
      <c r="K11" s="271"/>
      <c r="L11" s="64"/>
      <c r="S11" s="23"/>
      <c r="T11" s="23"/>
      <c r="U11" s="23"/>
      <c r="V11" s="23"/>
      <c r="W11" s="23"/>
      <c r="X11" s="23"/>
      <c r="Y11" s="23"/>
      <c r="Z11" s="23"/>
      <c r="AA11" s="23"/>
      <c r="AB11" s="23"/>
      <c r="AC11" s="23"/>
      <c r="AD11" s="23"/>
      <c r="AE11" s="23"/>
    </row>
    <row r="12" spans="1:46" s="2" customFormat="1" ht="12" customHeight="1">
      <c r="A12" s="271"/>
      <c r="B12" s="270"/>
      <c r="C12" s="271"/>
      <c r="D12" s="268" t="s">
        <v>1777</v>
      </c>
      <c r="E12" s="271"/>
      <c r="F12" s="271"/>
      <c r="G12" s="271"/>
      <c r="H12" s="271"/>
      <c r="I12" s="271"/>
      <c r="J12" s="271"/>
      <c r="K12" s="271"/>
      <c r="L12" s="64"/>
      <c r="S12" s="23"/>
      <c r="T12" s="23"/>
      <c r="U12" s="23"/>
      <c r="V12" s="23"/>
      <c r="W12" s="23"/>
      <c r="X12" s="23"/>
      <c r="Y12" s="23"/>
      <c r="Z12" s="23"/>
      <c r="AA12" s="23"/>
      <c r="AB12" s="23"/>
      <c r="AC12" s="23"/>
      <c r="AD12" s="23"/>
      <c r="AE12" s="23"/>
    </row>
    <row r="13" spans="1:46" s="2" customFormat="1" ht="14.45" customHeight="1">
      <c r="A13" s="271"/>
      <c r="B13" s="270"/>
      <c r="C13" s="271"/>
      <c r="D13" s="271"/>
      <c r="E13" s="689" t="s">
        <v>1803</v>
      </c>
      <c r="F13" s="721"/>
      <c r="G13" s="721"/>
      <c r="H13" s="721"/>
      <c r="I13" s="271"/>
      <c r="J13" s="271"/>
      <c r="K13" s="271"/>
      <c r="L13" s="64"/>
      <c r="S13" s="23"/>
      <c r="T13" s="23"/>
      <c r="U13" s="23"/>
      <c r="V13" s="23"/>
      <c r="W13" s="23"/>
      <c r="X13" s="23"/>
      <c r="Y13" s="23"/>
      <c r="Z13" s="23"/>
      <c r="AA13" s="23"/>
      <c r="AB13" s="23"/>
      <c r="AC13" s="23"/>
      <c r="AD13" s="23"/>
      <c r="AE13" s="23"/>
    </row>
    <row r="14" spans="1:46" s="2" customFormat="1">
      <c r="A14" s="271"/>
      <c r="B14" s="270"/>
      <c r="C14" s="271"/>
      <c r="D14" s="271"/>
      <c r="E14" s="271"/>
      <c r="F14" s="271"/>
      <c r="G14" s="271"/>
      <c r="H14" s="271"/>
      <c r="I14" s="271"/>
      <c r="J14" s="271"/>
      <c r="K14" s="271"/>
      <c r="L14" s="64"/>
      <c r="S14" s="23"/>
      <c r="T14" s="23"/>
      <c r="U14" s="23"/>
      <c r="V14" s="23"/>
      <c r="W14" s="23"/>
      <c r="X14" s="23"/>
      <c r="Y14" s="23"/>
      <c r="Z14" s="23"/>
      <c r="AA14" s="23"/>
      <c r="AB14" s="23"/>
      <c r="AC14" s="23"/>
      <c r="AD14" s="23"/>
      <c r="AE14" s="23"/>
    </row>
    <row r="15" spans="1:46" s="2" customFormat="1" ht="12" customHeight="1">
      <c r="A15" s="271"/>
      <c r="B15" s="270"/>
      <c r="C15" s="271"/>
      <c r="D15" s="268" t="s">
        <v>17</v>
      </c>
      <c r="E15" s="271"/>
      <c r="F15" s="273" t="s">
        <v>3</v>
      </c>
      <c r="G15" s="271"/>
      <c r="H15" s="271"/>
      <c r="I15" s="268" t="s">
        <v>18</v>
      </c>
      <c r="J15" s="273" t="s">
        <v>3</v>
      </c>
      <c r="K15" s="271"/>
      <c r="L15" s="64"/>
      <c r="S15" s="23"/>
      <c r="T15" s="23"/>
      <c r="U15" s="23"/>
      <c r="V15" s="23"/>
      <c r="W15" s="23"/>
      <c r="X15" s="23"/>
      <c r="Y15" s="23"/>
      <c r="Z15" s="23"/>
      <c r="AA15" s="23"/>
      <c r="AB15" s="23"/>
      <c r="AC15" s="23"/>
      <c r="AD15" s="23"/>
      <c r="AE15" s="23"/>
    </row>
    <row r="16" spans="1:46" s="2" customFormat="1" ht="12" customHeight="1">
      <c r="A16" s="271"/>
      <c r="B16" s="270"/>
      <c r="C16" s="271"/>
      <c r="D16" s="268" t="s">
        <v>19</v>
      </c>
      <c r="E16" s="271"/>
      <c r="F16" s="273" t="s">
        <v>27</v>
      </c>
      <c r="G16" s="271"/>
      <c r="H16" s="271"/>
      <c r="I16" s="268" t="s">
        <v>21</v>
      </c>
      <c r="J16" s="387">
        <f>'Rekapitulace stavby'!AN8</f>
        <v>44077</v>
      </c>
      <c r="K16" s="271"/>
      <c r="L16" s="64"/>
      <c r="S16" s="23"/>
      <c r="T16" s="23"/>
      <c r="U16" s="23"/>
      <c r="V16" s="23"/>
      <c r="W16" s="23"/>
      <c r="X16" s="23"/>
      <c r="Y16" s="23"/>
      <c r="Z16" s="23"/>
      <c r="AA16" s="23"/>
      <c r="AB16" s="23"/>
      <c r="AC16" s="23"/>
      <c r="AD16" s="23"/>
      <c r="AE16" s="23"/>
    </row>
    <row r="17" spans="1:31" s="2" customFormat="1" ht="10.9" customHeight="1">
      <c r="A17" s="271"/>
      <c r="B17" s="270"/>
      <c r="C17" s="271"/>
      <c r="D17" s="271"/>
      <c r="E17" s="271"/>
      <c r="F17" s="271"/>
      <c r="G17" s="271"/>
      <c r="H17" s="271"/>
      <c r="I17" s="271"/>
      <c r="J17" s="271"/>
      <c r="K17" s="271"/>
      <c r="L17" s="64"/>
      <c r="S17" s="23"/>
      <c r="T17" s="23"/>
      <c r="U17" s="23"/>
      <c r="V17" s="23"/>
      <c r="W17" s="23"/>
      <c r="X17" s="23"/>
      <c r="Y17" s="23"/>
      <c r="Z17" s="23"/>
      <c r="AA17" s="23"/>
      <c r="AB17" s="23"/>
      <c r="AC17" s="23"/>
      <c r="AD17" s="23"/>
      <c r="AE17" s="23"/>
    </row>
    <row r="18" spans="1:31" s="2" customFormat="1" ht="12" customHeight="1">
      <c r="A18" s="271"/>
      <c r="B18" s="270"/>
      <c r="C18" s="271"/>
      <c r="D18" s="268" t="s">
        <v>22</v>
      </c>
      <c r="E18" s="271"/>
      <c r="F18" s="271"/>
      <c r="G18" s="271"/>
      <c r="H18" s="271"/>
      <c r="I18" s="268" t="s">
        <v>23</v>
      </c>
      <c r="J18" s="273" t="s">
        <v>3</v>
      </c>
      <c r="K18" s="271"/>
      <c r="L18" s="64"/>
      <c r="S18" s="23"/>
      <c r="T18" s="23"/>
      <c r="U18" s="23"/>
      <c r="V18" s="23"/>
      <c r="W18" s="23"/>
      <c r="X18" s="23"/>
      <c r="Y18" s="23"/>
      <c r="Z18" s="23"/>
      <c r="AA18" s="23"/>
      <c r="AB18" s="23"/>
      <c r="AC18" s="23"/>
      <c r="AD18" s="23"/>
      <c r="AE18" s="23"/>
    </row>
    <row r="19" spans="1:31" s="2" customFormat="1" ht="18" customHeight="1">
      <c r="A19" s="271"/>
      <c r="B19" s="270"/>
      <c r="C19" s="271"/>
      <c r="D19" s="271"/>
      <c r="E19" s="273" t="s">
        <v>24</v>
      </c>
      <c r="F19" s="271"/>
      <c r="G19" s="271"/>
      <c r="H19" s="271"/>
      <c r="I19" s="268" t="s">
        <v>25</v>
      </c>
      <c r="J19" s="273" t="s">
        <v>3</v>
      </c>
      <c r="K19" s="271"/>
      <c r="L19" s="64"/>
      <c r="S19" s="23"/>
      <c r="T19" s="23"/>
      <c r="U19" s="23"/>
      <c r="V19" s="23"/>
      <c r="W19" s="23"/>
      <c r="X19" s="23"/>
      <c r="Y19" s="23"/>
      <c r="Z19" s="23"/>
      <c r="AA19" s="23"/>
      <c r="AB19" s="23"/>
      <c r="AC19" s="23"/>
      <c r="AD19" s="23"/>
      <c r="AE19" s="23"/>
    </row>
    <row r="20" spans="1:31" s="2" customFormat="1" ht="6.95" customHeight="1">
      <c r="A20" s="271"/>
      <c r="B20" s="270"/>
      <c r="C20" s="271"/>
      <c r="D20" s="271"/>
      <c r="E20" s="271"/>
      <c r="F20" s="271"/>
      <c r="G20" s="271"/>
      <c r="H20" s="271"/>
      <c r="I20" s="271"/>
      <c r="J20" s="271"/>
      <c r="K20" s="271"/>
      <c r="L20" s="64"/>
      <c r="S20" s="23"/>
      <c r="T20" s="23"/>
      <c r="U20" s="23"/>
      <c r="V20" s="23"/>
      <c r="W20" s="23"/>
      <c r="X20" s="23"/>
      <c r="Y20" s="23"/>
      <c r="Z20" s="23"/>
      <c r="AA20" s="23"/>
      <c r="AB20" s="23"/>
      <c r="AC20" s="23"/>
      <c r="AD20" s="23"/>
      <c r="AE20" s="23"/>
    </row>
    <row r="21" spans="1:31" s="2" customFormat="1" ht="12" customHeight="1">
      <c r="A21" s="271"/>
      <c r="B21" s="270"/>
      <c r="C21" s="271"/>
      <c r="D21" s="268" t="s">
        <v>26</v>
      </c>
      <c r="E21" s="271"/>
      <c r="F21" s="271"/>
      <c r="G21" s="271"/>
      <c r="H21" s="271"/>
      <c r="I21" s="268" t="s">
        <v>23</v>
      </c>
      <c r="J21" s="273" t="str">
        <f>'Rekapitulace stavby'!AN13</f>
        <v/>
      </c>
      <c r="K21" s="271"/>
      <c r="L21" s="64"/>
      <c r="S21" s="23"/>
      <c r="T21" s="23"/>
      <c r="U21" s="23"/>
      <c r="V21" s="23"/>
      <c r="W21" s="23"/>
      <c r="X21" s="23"/>
      <c r="Y21" s="23"/>
      <c r="Z21" s="23"/>
      <c r="AA21" s="23"/>
      <c r="AB21" s="23"/>
      <c r="AC21" s="23"/>
      <c r="AD21" s="23"/>
      <c r="AE21" s="23"/>
    </row>
    <row r="22" spans="1:31" s="2" customFormat="1" ht="18" customHeight="1">
      <c r="A22" s="271"/>
      <c r="B22" s="270"/>
      <c r="C22" s="271"/>
      <c r="D22" s="271"/>
      <c r="E22" s="714" t="str">
        <f>'Rekapitulace stavby'!E14</f>
        <v xml:space="preserve"> </v>
      </c>
      <c r="F22" s="714"/>
      <c r="G22" s="714"/>
      <c r="H22" s="714"/>
      <c r="I22" s="268" t="s">
        <v>25</v>
      </c>
      <c r="J22" s="273" t="str">
        <f>'Rekapitulace stavby'!AN14</f>
        <v/>
      </c>
      <c r="K22" s="271"/>
      <c r="L22" s="64"/>
      <c r="S22" s="23"/>
      <c r="T22" s="23"/>
      <c r="U22" s="23"/>
      <c r="V22" s="23"/>
      <c r="W22" s="23"/>
      <c r="X22" s="23"/>
      <c r="Y22" s="23"/>
      <c r="Z22" s="23"/>
      <c r="AA22" s="23"/>
      <c r="AB22" s="23"/>
      <c r="AC22" s="23"/>
      <c r="AD22" s="23"/>
      <c r="AE22" s="23"/>
    </row>
    <row r="23" spans="1:31" s="2" customFormat="1" ht="6.95" customHeight="1">
      <c r="A23" s="271"/>
      <c r="B23" s="270"/>
      <c r="C23" s="271"/>
      <c r="D23" s="271"/>
      <c r="E23" s="271"/>
      <c r="F23" s="271"/>
      <c r="G23" s="271"/>
      <c r="H23" s="271"/>
      <c r="I23" s="271"/>
      <c r="J23" s="271"/>
      <c r="K23" s="271"/>
      <c r="L23" s="64"/>
      <c r="S23" s="23"/>
      <c r="T23" s="23"/>
      <c r="U23" s="23"/>
      <c r="V23" s="23"/>
      <c r="W23" s="23"/>
      <c r="X23" s="23"/>
      <c r="Y23" s="23"/>
      <c r="Z23" s="23"/>
      <c r="AA23" s="23"/>
      <c r="AB23" s="23"/>
      <c r="AC23" s="23"/>
      <c r="AD23" s="23"/>
      <c r="AE23" s="23"/>
    </row>
    <row r="24" spans="1:31" s="2" customFormat="1" ht="12" customHeight="1">
      <c r="A24" s="271"/>
      <c r="B24" s="270"/>
      <c r="C24" s="271"/>
      <c r="D24" s="268" t="s">
        <v>28</v>
      </c>
      <c r="E24" s="271"/>
      <c r="F24" s="271"/>
      <c r="G24" s="271"/>
      <c r="H24" s="271"/>
      <c r="I24" s="268" t="s">
        <v>23</v>
      </c>
      <c r="J24" s="273" t="s">
        <v>3</v>
      </c>
      <c r="K24" s="271"/>
      <c r="L24" s="64"/>
      <c r="S24" s="23"/>
      <c r="T24" s="23"/>
      <c r="U24" s="23"/>
      <c r="V24" s="23"/>
      <c r="W24" s="23"/>
      <c r="X24" s="23"/>
      <c r="Y24" s="23"/>
      <c r="Z24" s="23"/>
      <c r="AA24" s="23"/>
      <c r="AB24" s="23"/>
      <c r="AC24" s="23"/>
      <c r="AD24" s="23"/>
      <c r="AE24" s="23"/>
    </row>
    <row r="25" spans="1:31" s="2" customFormat="1" ht="18" customHeight="1">
      <c r="A25" s="271"/>
      <c r="B25" s="270"/>
      <c r="C25" s="271"/>
      <c r="D25" s="271"/>
      <c r="E25" s="273" t="s">
        <v>29</v>
      </c>
      <c r="F25" s="271"/>
      <c r="G25" s="271"/>
      <c r="H25" s="271"/>
      <c r="I25" s="268" t="s">
        <v>25</v>
      </c>
      <c r="J25" s="273" t="s">
        <v>3</v>
      </c>
      <c r="K25" s="271"/>
      <c r="L25" s="64"/>
      <c r="S25" s="23"/>
      <c r="T25" s="23"/>
      <c r="U25" s="23"/>
      <c r="V25" s="23"/>
      <c r="W25" s="23"/>
      <c r="X25" s="23"/>
      <c r="Y25" s="23"/>
      <c r="Z25" s="23"/>
      <c r="AA25" s="23"/>
      <c r="AB25" s="23"/>
      <c r="AC25" s="23"/>
      <c r="AD25" s="23"/>
      <c r="AE25" s="23"/>
    </row>
    <row r="26" spans="1:31" s="2" customFormat="1" ht="6.95" customHeight="1">
      <c r="A26" s="271"/>
      <c r="B26" s="270"/>
      <c r="C26" s="271"/>
      <c r="D26" s="271"/>
      <c r="E26" s="271"/>
      <c r="F26" s="271"/>
      <c r="G26" s="271"/>
      <c r="H26" s="271"/>
      <c r="I26" s="271"/>
      <c r="J26" s="271"/>
      <c r="K26" s="271"/>
      <c r="L26" s="64"/>
      <c r="S26" s="23"/>
      <c r="T26" s="23"/>
      <c r="U26" s="23"/>
      <c r="V26" s="23"/>
      <c r="W26" s="23"/>
      <c r="X26" s="23"/>
      <c r="Y26" s="23"/>
      <c r="Z26" s="23"/>
      <c r="AA26" s="23"/>
      <c r="AB26" s="23"/>
      <c r="AC26" s="23"/>
      <c r="AD26" s="23"/>
      <c r="AE26" s="23"/>
    </row>
    <row r="27" spans="1:31" s="2" customFormat="1" ht="12" customHeight="1">
      <c r="A27" s="271"/>
      <c r="B27" s="270"/>
      <c r="C27" s="271"/>
      <c r="D27" s="268" t="s">
        <v>31</v>
      </c>
      <c r="E27" s="271"/>
      <c r="F27" s="271"/>
      <c r="G27" s="271"/>
      <c r="H27" s="271"/>
      <c r="I27" s="268" t="s">
        <v>23</v>
      </c>
      <c r="J27" s="273" t="s">
        <v>3</v>
      </c>
      <c r="K27" s="271"/>
      <c r="L27" s="64"/>
      <c r="S27" s="23"/>
      <c r="T27" s="23"/>
      <c r="U27" s="23"/>
      <c r="V27" s="23"/>
      <c r="W27" s="23"/>
      <c r="X27" s="23"/>
      <c r="Y27" s="23"/>
      <c r="Z27" s="23"/>
      <c r="AA27" s="23"/>
      <c r="AB27" s="23"/>
      <c r="AC27" s="23"/>
      <c r="AD27" s="23"/>
      <c r="AE27" s="23"/>
    </row>
    <row r="28" spans="1:31" s="2" customFormat="1" ht="18" customHeight="1">
      <c r="A28" s="271"/>
      <c r="B28" s="270"/>
      <c r="C28" s="271"/>
      <c r="D28" s="271"/>
      <c r="E28" s="273" t="s">
        <v>29</v>
      </c>
      <c r="F28" s="271"/>
      <c r="G28" s="271"/>
      <c r="H28" s="271"/>
      <c r="I28" s="268" t="s">
        <v>25</v>
      </c>
      <c r="J28" s="273" t="s">
        <v>3</v>
      </c>
      <c r="K28" s="271"/>
      <c r="L28" s="64"/>
      <c r="S28" s="23"/>
      <c r="T28" s="23"/>
      <c r="U28" s="23"/>
      <c r="V28" s="23"/>
      <c r="W28" s="23"/>
      <c r="X28" s="23"/>
      <c r="Y28" s="23"/>
      <c r="Z28" s="23"/>
      <c r="AA28" s="23"/>
      <c r="AB28" s="23"/>
      <c r="AC28" s="23"/>
      <c r="AD28" s="23"/>
      <c r="AE28" s="23"/>
    </row>
    <row r="29" spans="1:31" s="2" customFormat="1" ht="6.95" customHeight="1">
      <c r="A29" s="271"/>
      <c r="B29" s="270"/>
      <c r="C29" s="271"/>
      <c r="D29" s="271"/>
      <c r="E29" s="271"/>
      <c r="F29" s="271"/>
      <c r="G29" s="271"/>
      <c r="H29" s="271"/>
      <c r="I29" s="271"/>
      <c r="J29" s="271"/>
      <c r="K29" s="271"/>
      <c r="L29" s="64"/>
      <c r="S29" s="23"/>
      <c r="T29" s="23"/>
      <c r="U29" s="23"/>
      <c r="V29" s="23"/>
      <c r="W29" s="23"/>
      <c r="X29" s="23"/>
      <c r="Y29" s="23"/>
      <c r="Z29" s="23"/>
      <c r="AA29" s="23"/>
      <c r="AB29" s="23"/>
      <c r="AC29" s="23"/>
      <c r="AD29" s="23"/>
      <c r="AE29" s="23"/>
    </row>
    <row r="30" spans="1:31" s="2" customFormat="1" ht="12" customHeight="1">
      <c r="A30" s="271"/>
      <c r="B30" s="270"/>
      <c r="C30" s="271"/>
      <c r="D30" s="268" t="s">
        <v>32</v>
      </c>
      <c r="E30" s="271"/>
      <c r="F30" s="271"/>
      <c r="G30" s="271"/>
      <c r="H30" s="271"/>
      <c r="I30" s="271"/>
      <c r="J30" s="271"/>
      <c r="K30" s="271"/>
      <c r="L30" s="64"/>
      <c r="S30" s="23"/>
      <c r="T30" s="23"/>
      <c r="U30" s="23"/>
      <c r="V30" s="23"/>
      <c r="W30" s="23"/>
      <c r="X30" s="23"/>
      <c r="Y30" s="23"/>
      <c r="Z30" s="23"/>
      <c r="AA30" s="23"/>
      <c r="AB30" s="23"/>
      <c r="AC30" s="23"/>
      <c r="AD30" s="23"/>
      <c r="AE30" s="23"/>
    </row>
    <row r="31" spans="1:31" s="8" customFormat="1" ht="14.45" customHeight="1">
      <c r="A31" s="274"/>
      <c r="B31" s="275"/>
      <c r="C31" s="274"/>
      <c r="D31" s="274"/>
      <c r="E31" s="707" t="s">
        <v>3</v>
      </c>
      <c r="F31" s="707"/>
      <c r="G31" s="707"/>
      <c r="H31" s="707"/>
      <c r="I31" s="274"/>
      <c r="J31" s="274"/>
      <c r="K31" s="274"/>
      <c r="L31" s="66"/>
      <c r="S31" s="65"/>
      <c r="T31" s="65"/>
      <c r="U31" s="65"/>
      <c r="V31" s="65"/>
      <c r="W31" s="65"/>
      <c r="X31" s="65"/>
      <c r="Y31" s="65"/>
      <c r="Z31" s="65"/>
      <c r="AA31" s="65"/>
      <c r="AB31" s="65"/>
      <c r="AC31" s="65"/>
      <c r="AD31" s="65"/>
      <c r="AE31" s="65"/>
    </row>
    <row r="32" spans="1:31" s="2" customFormat="1" ht="6.95" customHeight="1">
      <c r="A32" s="271"/>
      <c r="B32" s="270"/>
      <c r="C32" s="271"/>
      <c r="D32" s="271"/>
      <c r="E32" s="271"/>
      <c r="F32" s="271"/>
      <c r="G32" s="271"/>
      <c r="H32" s="271"/>
      <c r="I32" s="271"/>
      <c r="J32" s="271"/>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25.35" customHeight="1">
      <c r="A34" s="271"/>
      <c r="B34" s="270"/>
      <c r="C34" s="271"/>
      <c r="D34" s="277" t="s">
        <v>34</v>
      </c>
      <c r="E34" s="271"/>
      <c r="F34" s="271"/>
      <c r="G34" s="271"/>
      <c r="H34" s="271"/>
      <c r="I34" s="271"/>
      <c r="J34" s="388">
        <f>ROUND(J93, 2)</f>
        <v>0</v>
      </c>
      <c r="K34" s="271"/>
      <c r="L34" s="64"/>
      <c r="S34" s="23"/>
      <c r="T34" s="23"/>
      <c r="U34" s="23"/>
      <c r="V34" s="23"/>
      <c r="W34" s="23"/>
      <c r="X34" s="23"/>
      <c r="Y34" s="23"/>
      <c r="Z34" s="23"/>
      <c r="AA34" s="23"/>
      <c r="AB34" s="23"/>
      <c r="AC34" s="23"/>
      <c r="AD34" s="23"/>
      <c r="AE34" s="23"/>
    </row>
    <row r="35" spans="1:31" s="2" customFormat="1" ht="6.95" customHeight="1">
      <c r="A35" s="271"/>
      <c r="B35" s="270"/>
      <c r="C35" s="271"/>
      <c r="D35" s="276"/>
      <c r="E35" s="276"/>
      <c r="F35" s="276"/>
      <c r="G35" s="276"/>
      <c r="H35" s="276"/>
      <c r="I35" s="276"/>
      <c r="J35" s="276"/>
      <c r="K35" s="276"/>
      <c r="L35" s="64"/>
      <c r="S35" s="23"/>
      <c r="T35" s="23"/>
      <c r="U35" s="23"/>
      <c r="V35" s="23"/>
      <c r="W35" s="23"/>
      <c r="X35" s="23"/>
      <c r="Y35" s="23"/>
      <c r="Z35" s="23"/>
      <c r="AA35" s="23"/>
      <c r="AB35" s="23"/>
      <c r="AC35" s="23"/>
      <c r="AD35" s="23"/>
      <c r="AE35" s="23"/>
    </row>
    <row r="36" spans="1:31" s="2" customFormat="1" ht="14.45" customHeight="1">
      <c r="A36" s="271"/>
      <c r="B36" s="270"/>
      <c r="C36" s="271"/>
      <c r="D36" s="271"/>
      <c r="E36" s="271"/>
      <c r="F36" s="278" t="s">
        <v>36</v>
      </c>
      <c r="G36" s="271"/>
      <c r="H36" s="271"/>
      <c r="I36" s="278" t="s">
        <v>35</v>
      </c>
      <c r="J36" s="278" t="s">
        <v>37</v>
      </c>
      <c r="K36" s="271"/>
      <c r="L36" s="64"/>
      <c r="S36" s="23"/>
      <c r="T36" s="23"/>
      <c r="U36" s="23"/>
      <c r="V36" s="23"/>
      <c r="W36" s="23"/>
      <c r="X36" s="23"/>
      <c r="Y36" s="23"/>
      <c r="Z36" s="23"/>
      <c r="AA36" s="23"/>
      <c r="AB36" s="23"/>
      <c r="AC36" s="23"/>
      <c r="AD36" s="23"/>
      <c r="AE36" s="23"/>
    </row>
    <row r="37" spans="1:31" s="2" customFormat="1" ht="14.45" customHeight="1">
      <c r="A37" s="271"/>
      <c r="B37" s="270"/>
      <c r="C37" s="271"/>
      <c r="D37" s="279" t="s">
        <v>38</v>
      </c>
      <c r="E37" s="268" t="s">
        <v>39</v>
      </c>
      <c r="F37" s="280">
        <f>ROUND((SUM(BE93:BE96)),  2)</f>
        <v>0</v>
      </c>
      <c r="G37" s="271"/>
      <c r="H37" s="271"/>
      <c r="I37" s="389">
        <v>0.21</v>
      </c>
      <c r="J37" s="280">
        <f>ROUND(((SUM(BE93:BE96))*I37),  2)</f>
        <v>0</v>
      </c>
      <c r="K37" s="271"/>
      <c r="L37" s="64"/>
      <c r="S37" s="23"/>
      <c r="T37" s="23"/>
      <c r="U37" s="23"/>
      <c r="V37" s="23"/>
      <c r="W37" s="23"/>
      <c r="X37" s="23"/>
      <c r="Y37" s="23"/>
      <c r="Z37" s="23"/>
      <c r="AA37" s="23"/>
      <c r="AB37" s="23"/>
      <c r="AC37" s="23"/>
      <c r="AD37" s="23"/>
      <c r="AE37" s="23"/>
    </row>
    <row r="38" spans="1:31" s="2" customFormat="1" ht="14.45" customHeight="1">
      <c r="A38" s="271"/>
      <c r="B38" s="270"/>
      <c r="C38" s="271"/>
      <c r="D38" s="271"/>
      <c r="E38" s="268" t="s">
        <v>40</v>
      </c>
      <c r="F38" s="280">
        <f>ROUND((SUM(BF93:BF96)),  2)</f>
        <v>0</v>
      </c>
      <c r="G38" s="271"/>
      <c r="H38" s="271"/>
      <c r="I38" s="389">
        <v>0.15</v>
      </c>
      <c r="J38" s="280">
        <f>ROUND(((SUM(BF93:BF96))*I38),  2)</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41</v>
      </c>
      <c r="F39" s="280">
        <f>ROUND((SUM(BG93:BG96)),  2)</f>
        <v>0</v>
      </c>
      <c r="G39" s="271"/>
      <c r="H39" s="271"/>
      <c r="I39" s="389">
        <v>0.21</v>
      </c>
      <c r="J39" s="280">
        <f>0</f>
        <v>0</v>
      </c>
      <c r="K39" s="271"/>
      <c r="L39" s="64"/>
      <c r="S39" s="23"/>
      <c r="T39" s="23"/>
      <c r="U39" s="23"/>
      <c r="V39" s="23"/>
      <c r="W39" s="23"/>
      <c r="X39" s="23"/>
      <c r="Y39" s="23"/>
      <c r="Z39" s="23"/>
      <c r="AA39" s="23"/>
      <c r="AB39" s="23"/>
      <c r="AC39" s="23"/>
      <c r="AD39" s="23"/>
      <c r="AE39" s="23"/>
    </row>
    <row r="40" spans="1:31" s="2" customFormat="1" ht="14.45" hidden="1" customHeight="1">
      <c r="A40" s="271"/>
      <c r="B40" s="270"/>
      <c r="C40" s="271"/>
      <c r="D40" s="271"/>
      <c r="E40" s="268" t="s">
        <v>42</v>
      </c>
      <c r="F40" s="280">
        <f>ROUND((SUM(BH93:BH96)),  2)</f>
        <v>0</v>
      </c>
      <c r="G40" s="271"/>
      <c r="H40" s="271"/>
      <c r="I40" s="389">
        <v>0.15</v>
      </c>
      <c r="J40" s="280">
        <f>0</f>
        <v>0</v>
      </c>
      <c r="K40" s="271"/>
      <c r="L40" s="64"/>
      <c r="S40" s="23"/>
      <c r="T40" s="23"/>
      <c r="U40" s="23"/>
      <c r="V40" s="23"/>
      <c r="W40" s="23"/>
      <c r="X40" s="23"/>
      <c r="Y40" s="23"/>
      <c r="Z40" s="23"/>
      <c r="AA40" s="23"/>
      <c r="AB40" s="23"/>
      <c r="AC40" s="23"/>
      <c r="AD40" s="23"/>
      <c r="AE40" s="23"/>
    </row>
    <row r="41" spans="1:31" s="2" customFormat="1" ht="14.45" hidden="1" customHeight="1">
      <c r="A41" s="271"/>
      <c r="B41" s="270"/>
      <c r="C41" s="271"/>
      <c r="D41" s="271"/>
      <c r="E41" s="268" t="s">
        <v>43</v>
      </c>
      <c r="F41" s="280">
        <f>ROUND((SUM(BI93:BI96)),  2)</f>
        <v>0</v>
      </c>
      <c r="G41" s="271"/>
      <c r="H41" s="271"/>
      <c r="I41" s="389">
        <v>0</v>
      </c>
      <c r="J41" s="280">
        <f>0</f>
        <v>0</v>
      </c>
      <c r="K41" s="271"/>
      <c r="L41" s="64"/>
      <c r="S41" s="23"/>
      <c r="T41" s="23"/>
      <c r="U41" s="23"/>
      <c r="V41" s="23"/>
      <c r="W41" s="23"/>
      <c r="X41" s="23"/>
      <c r="Y41" s="23"/>
      <c r="Z41" s="23"/>
      <c r="AA41" s="23"/>
      <c r="AB41" s="23"/>
      <c r="AC41" s="23"/>
      <c r="AD41" s="23"/>
      <c r="AE41" s="23"/>
    </row>
    <row r="42" spans="1:31" s="2" customFormat="1" ht="6.95" customHeight="1">
      <c r="A42" s="271"/>
      <c r="B42" s="270"/>
      <c r="C42" s="271"/>
      <c r="D42" s="271"/>
      <c r="E42" s="271"/>
      <c r="F42" s="271"/>
      <c r="G42" s="271"/>
      <c r="H42" s="271"/>
      <c r="I42" s="271"/>
      <c r="J42" s="271"/>
      <c r="K42" s="271"/>
      <c r="L42" s="64"/>
      <c r="S42" s="23"/>
      <c r="T42" s="23"/>
      <c r="U42" s="23"/>
      <c r="V42" s="23"/>
      <c r="W42" s="23"/>
      <c r="X42" s="23"/>
      <c r="Y42" s="23"/>
      <c r="Z42" s="23"/>
      <c r="AA42" s="23"/>
      <c r="AB42" s="23"/>
      <c r="AC42" s="23"/>
      <c r="AD42" s="23"/>
      <c r="AE42" s="23"/>
    </row>
    <row r="43" spans="1:31" s="2" customFormat="1" ht="25.35" customHeight="1">
      <c r="A43" s="271"/>
      <c r="B43" s="270"/>
      <c r="C43" s="281"/>
      <c r="D43" s="282" t="s">
        <v>44</v>
      </c>
      <c r="E43" s="283"/>
      <c r="F43" s="283"/>
      <c r="G43" s="284" t="s">
        <v>45</v>
      </c>
      <c r="H43" s="285" t="s">
        <v>46</v>
      </c>
      <c r="I43" s="283"/>
      <c r="J43" s="390">
        <f>SUM(J34:J41)</f>
        <v>0</v>
      </c>
      <c r="K43" s="339"/>
      <c r="L43" s="64"/>
      <c r="S43" s="23"/>
      <c r="T43" s="23"/>
      <c r="U43" s="23"/>
      <c r="V43" s="23"/>
      <c r="W43" s="23"/>
      <c r="X43" s="23"/>
      <c r="Y43" s="23"/>
      <c r="Z43" s="23"/>
      <c r="AA43" s="23"/>
      <c r="AB43" s="23"/>
      <c r="AC43" s="23"/>
      <c r="AD43" s="23"/>
      <c r="AE43" s="23"/>
    </row>
    <row r="44" spans="1:31" s="2" customFormat="1" ht="14.45" customHeight="1">
      <c r="A44" s="271"/>
      <c r="B44" s="286"/>
      <c r="C44" s="287"/>
      <c r="D44" s="287"/>
      <c r="E44" s="287"/>
      <c r="F44" s="287"/>
      <c r="G44" s="287"/>
      <c r="H44" s="287"/>
      <c r="I44" s="287"/>
      <c r="J44" s="287"/>
      <c r="K44" s="287"/>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1"/>
      <c r="B48" s="288"/>
      <c r="C48" s="289"/>
      <c r="D48" s="289"/>
      <c r="E48" s="289"/>
      <c r="F48" s="289"/>
      <c r="G48" s="289"/>
      <c r="H48" s="289"/>
      <c r="I48" s="289"/>
      <c r="J48" s="289"/>
      <c r="K48" s="289"/>
      <c r="L48" s="64"/>
      <c r="S48" s="23"/>
      <c r="T48" s="23"/>
      <c r="U48" s="23"/>
      <c r="V48" s="23"/>
      <c r="W48" s="23"/>
      <c r="X48" s="23"/>
      <c r="Y48" s="23"/>
      <c r="Z48" s="23"/>
      <c r="AA48" s="23"/>
      <c r="AB48" s="23"/>
      <c r="AC48" s="23"/>
      <c r="AD48" s="23"/>
      <c r="AE48" s="23"/>
    </row>
    <row r="49" spans="1:31" s="2" customFormat="1" ht="24.95" customHeight="1">
      <c r="A49" s="271"/>
      <c r="B49" s="270"/>
      <c r="C49" s="266" t="s">
        <v>167</v>
      </c>
      <c r="D49" s="271"/>
      <c r="E49" s="271"/>
      <c r="F49" s="271"/>
      <c r="G49" s="271"/>
      <c r="H49" s="271"/>
      <c r="I49" s="271"/>
      <c r="J49" s="271"/>
      <c r="K49" s="271"/>
      <c r="L49" s="64"/>
      <c r="S49" s="23"/>
      <c r="T49" s="23"/>
      <c r="U49" s="23"/>
      <c r="V49" s="23"/>
      <c r="W49" s="23"/>
      <c r="X49" s="23"/>
      <c r="Y49" s="23"/>
      <c r="Z49" s="23"/>
      <c r="AA49" s="23"/>
      <c r="AB49" s="23"/>
      <c r="AC49" s="23"/>
      <c r="AD49" s="23"/>
      <c r="AE49" s="23"/>
    </row>
    <row r="50" spans="1:31" s="2" customFormat="1" ht="6.95" customHeight="1">
      <c r="A50" s="271"/>
      <c r="B50" s="270"/>
      <c r="C50" s="271"/>
      <c r="D50" s="271"/>
      <c r="E50" s="271"/>
      <c r="F50" s="271"/>
      <c r="G50" s="271"/>
      <c r="H50" s="271"/>
      <c r="I50" s="271"/>
      <c r="J50" s="271"/>
      <c r="K50" s="271"/>
      <c r="L50" s="64"/>
      <c r="S50" s="23"/>
      <c r="T50" s="23"/>
      <c r="U50" s="23"/>
      <c r="V50" s="23"/>
      <c r="W50" s="23"/>
      <c r="X50" s="23"/>
      <c r="Y50" s="23"/>
      <c r="Z50" s="23"/>
      <c r="AA50" s="23"/>
      <c r="AB50" s="23"/>
      <c r="AC50" s="23"/>
      <c r="AD50" s="23"/>
      <c r="AE50" s="23"/>
    </row>
    <row r="51" spans="1:31" s="2" customFormat="1" ht="12" customHeight="1">
      <c r="A51" s="271"/>
      <c r="B51" s="270"/>
      <c r="C51" s="268" t="s">
        <v>15</v>
      </c>
      <c r="D51" s="271"/>
      <c r="E51" s="271"/>
      <c r="F51" s="271"/>
      <c r="G51" s="271"/>
      <c r="H51" s="271"/>
      <c r="I51" s="271"/>
      <c r="J51" s="271"/>
      <c r="K51" s="271"/>
      <c r="L51" s="64"/>
      <c r="S51" s="23"/>
      <c r="T51" s="23"/>
      <c r="U51" s="23"/>
      <c r="V51" s="23"/>
      <c r="W51" s="23"/>
      <c r="X51" s="23"/>
      <c r="Y51" s="23"/>
      <c r="Z51" s="23"/>
      <c r="AA51" s="23"/>
      <c r="AB51" s="23"/>
      <c r="AC51" s="23"/>
      <c r="AD51" s="23"/>
      <c r="AE51" s="23"/>
    </row>
    <row r="52" spans="1:31" s="2" customFormat="1" ht="14.45" customHeight="1">
      <c r="A52" s="271"/>
      <c r="B52" s="270"/>
      <c r="C52" s="271"/>
      <c r="D52" s="271"/>
      <c r="E52" s="722" t="str">
        <f>E7</f>
        <v>Úpravy gastroprovozu Úřadu vlády ČR v 1.pp Strakovy akademie</v>
      </c>
      <c r="F52" s="723"/>
      <c r="G52" s="723"/>
      <c r="H52" s="723"/>
      <c r="I52" s="271"/>
      <c r="J52" s="271"/>
      <c r="K52" s="271"/>
      <c r="L52" s="64"/>
      <c r="S52" s="23"/>
      <c r="T52" s="23"/>
      <c r="U52" s="23"/>
      <c r="V52" s="23"/>
      <c r="W52" s="23"/>
      <c r="X52" s="23"/>
      <c r="Y52" s="23"/>
      <c r="Z52" s="23"/>
      <c r="AA52" s="23"/>
      <c r="AB52" s="23"/>
      <c r="AC52" s="23"/>
      <c r="AD52" s="23"/>
      <c r="AE52" s="23"/>
    </row>
    <row r="53" spans="1:31" s="1" customFormat="1" ht="12" customHeight="1">
      <c r="A53" s="61"/>
      <c r="B53" s="265"/>
      <c r="C53" s="268" t="s">
        <v>151</v>
      </c>
      <c r="D53" s="61"/>
      <c r="E53" s="61"/>
      <c r="F53" s="61"/>
      <c r="G53" s="61"/>
      <c r="H53" s="61"/>
      <c r="I53" s="61"/>
      <c r="J53" s="61"/>
      <c r="K53" s="61"/>
      <c r="L53" s="20"/>
    </row>
    <row r="54" spans="1:31" s="1" customFormat="1" ht="14.45" customHeight="1">
      <c r="A54" s="61"/>
      <c r="B54" s="265"/>
      <c r="C54" s="61"/>
      <c r="D54" s="61"/>
      <c r="E54" s="722" t="s">
        <v>1759</v>
      </c>
      <c r="F54" s="715"/>
      <c r="G54" s="715"/>
      <c r="H54" s="715"/>
      <c r="I54" s="61"/>
      <c r="J54" s="61"/>
      <c r="K54" s="61"/>
      <c r="L54" s="20"/>
    </row>
    <row r="55" spans="1:31" s="1" customFormat="1" ht="12" customHeight="1">
      <c r="A55" s="61"/>
      <c r="B55" s="265"/>
      <c r="C55" s="268" t="s">
        <v>157</v>
      </c>
      <c r="D55" s="61"/>
      <c r="E55" s="61"/>
      <c r="F55" s="61"/>
      <c r="G55" s="61"/>
      <c r="H55" s="61"/>
      <c r="I55" s="61"/>
      <c r="J55" s="61"/>
      <c r="K55" s="61"/>
      <c r="L55" s="20"/>
    </row>
    <row r="56" spans="1:31" s="2" customFormat="1" ht="14.45" customHeight="1">
      <c r="A56" s="271"/>
      <c r="B56" s="270"/>
      <c r="C56" s="271"/>
      <c r="D56" s="271"/>
      <c r="E56" s="762" t="s">
        <v>1795</v>
      </c>
      <c r="F56" s="721"/>
      <c r="G56" s="721"/>
      <c r="H56" s="721"/>
      <c r="I56" s="271"/>
      <c r="J56" s="271"/>
      <c r="K56" s="271"/>
      <c r="L56" s="64"/>
      <c r="S56" s="23"/>
      <c r="T56" s="23"/>
      <c r="U56" s="23"/>
      <c r="V56" s="23"/>
      <c r="W56" s="23"/>
      <c r="X56" s="23"/>
      <c r="Y56" s="23"/>
      <c r="Z56" s="23"/>
      <c r="AA56" s="23"/>
      <c r="AB56" s="23"/>
      <c r="AC56" s="23"/>
      <c r="AD56" s="23"/>
      <c r="AE56" s="23"/>
    </row>
    <row r="57" spans="1:31" s="2" customFormat="1" ht="12" customHeight="1">
      <c r="A57" s="271"/>
      <c r="B57" s="270"/>
      <c r="C57" s="268" t="s">
        <v>1777</v>
      </c>
      <c r="D57" s="271"/>
      <c r="E57" s="271"/>
      <c r="F57" s="271"/>
      <c r="G57" s="271"/>
      <c r="H57" s="271"/>
      <c r="I57" s="271"/>
      <c r="J57" s="271"/>
      <c r="K57" s="271"/>
      <c r="L57" s="64"/>
      <c r="S57" s="23"/>
      <c r="T57" s="23"/>
      <c r="U57" s="23"/>
      <c r="V57" s="23"/>
      <c r="W57" s="23"/>
      <c r="X57" s="23"/>
      <c r="Y57" s="23"/>
      <c r="Z57" s="23"/>
      <c r="AA57" s="23"/>
      <c r="AB57" s="23"/>
      <c r="AC57" s="23"/>
      <c r="AD57" s="23"/>
      <c r="AE57" s="23"/>
    </row>
    <row r="58" spans="1:31" s="2" customFormat="1" ht="14.45" customHeight="1">
      <c r="A58" s="271"/>
      <c r="B58" s="270"/>
      <c r="C58" s="271"/>
      <c r="D58" s="271"/>
      <c r="E58" s="689" t="str">
        <f>E13</f>
        <v>D.1.4.06.3 - Soupis prací - Gastro HACCP</v>
      </c>
      <c r="F58" s="721"/>
      <c r="G58" s="721"/>
      <c r="H58" s="721"/>
      <c r="I58" s="271"/>
      <c r="J58" s="271"/>
      <c r="K58" s="271"/>
      <c r="L58" s="64"/>
      <c r="S58" s="23"/>
      <c r="T58" s="23"/>
      <c r="U58" s="23"/>
      <c r="V58" s="23"/>
      <c r="W58" s="23"/>
      <c r="X58" s="23"/>
      <c r="Y58" s="23"/>
      <c r="Z58" s="23"/>
      <c r="AA58" s="23"/>
      <c r="AB58" s="23"/>
      <c r="AC58" s="23"/>
      <c r="AD58" s="23"/>
      <c r="AE58" s="23"/>
    </row>
    <row r="59" spans="1:31" s="2" customFormat="1" ht="6.95" customHeight="1">
      <c r="A59" s="271"/>
      <c r="B59" s="270"/>
      <c r="C59" s="271"/>
      <c r="D59" s="271"/>
      <c r="E59" s="271"/>
      <c r="F59" s="271"/>
      <c r="G59" s="271"/>
      <c r="H59" s="271"/>
      <c r="I59" s="271"/>
      <c r="J59" s="271"/>
      <c r="K59" s="271"/>
      <c r="L59" s="64"/>
      <c r="S59" s="23"/>
      <c r="T59" s="23"/>
      <c r="U59" s="23"/>
      <c r="V59" s="23"/>
      <c r="W59" s="23"/>
      <c r="X59" s="23"/>
      <c r="Y59" s="23"/>
      <c r="Z59" s="23"/>
      <c r="AA59" s="23"/>
      <c r="AB59" s="23"/>
      <c r="AC59" s="23"/>
      <c r="AD59" s="23"/>
      <c r="AE59" s="23"/>
    </row>
    <row r="60" spans="1:31" s="2" customFormat="1" ht="12" customHeight="1">
      <c r="A60" s="271"/>
      <c r="B60" s="270"/>
      <c r="C60" s="268" t="s">
        <v>19</v>
      </c>
      <c r="D60" s="271"/>
      <c r="E60" s="271"/>
      <c r="F60" s="273" t="str">
        <f>F16</f>
        <v xml:space="preserve"> </v>
      </c>
      <c r="G60" s="271"/>
      <c r="H60" s="271"/>
      <c r="I60" s="268" t="s">
        <v>21</v>
      </c>
      <c r="J60" s="387">
        <f>IF(J16="","",J16)</f>
        <v>44077</v>
      </c>
      <c r="K60" s="271"/>
      <c r="L60" s="64"/>
      <c r="S60" s="23"/>
      <c r="T60" s="23"/>
      <c r="U60" s="23"/>
      <c r="V60" s="23"/>
      <c r="W60" s="23"/>
      <c r="X60" s="23"/>
      <c r="Y60" s="23"/>
      <c r="Z60" s="23"/>
      <c r="AA60" s="23"/>
      <c r="AB60" s="23"/>
      <c r="AC60" s="23"/>
      <c r="AD60" s="23"/>
      <c r="AE60" s="23"/>
    </row>
    <row r="61" spans="1:31" s="2" customFormat="1" ht="6.95" customHeight="1">
      <c r="A61" s="271"/>
      <c r="B61" s="270"/>
      <c r="C61" s="271"/>
      <c r="D61" s="271"/>
      <c r="E61" s="271"/>
      <c r="F61" s="271"/>
      <c r="G61" s="271"/>
      <c r="H61" s="271"/>
      <c r="I61" s="271"/>
      <c r="J61" s="271"/>
      <c r="K61" s="271"/>
      <c r="L61" s="64"/>
      <c r="S61" s="23"/>
      <c r="T61" s="23"/>
      <c r="U61" s="23"/>
      <c r="V61" s="23"/>
      <c r="W61" s="23"/>
      <c r="X61" s="23"/>
      <c r="Y61" s="23"/>
      <c r="Z61" s="23"/>
      <c r="AA61" s="23"/>
      <c r="AB61" s="23"/>
      <c r="AC61" s="23"/>
      <c r="AD61" s="23"/>
      <c r="AE61" s="23"/>
    </row>
    <row r="62" spans="1:31" s="2" customFormat="1" ht="26.45" customHeight="1">
      <c r="A62" s="271"/>
      <c r="B62" s="270"/>
      <c r="C62" s="268" t="s">
        <v>22</v>
      </c>
      <c r="D62" s="271"/>
      <c r="E62" s="271"/>
      <c r="F62" s="273" t="str">
        <f>E19</f>
        <v xml:space="preserve">Úřad vlády České republiky </v>
      </c>
      <c r="G62" s="271"/>
      <c r="H62" s="271"/>
      <c r="I62" s="268" t="s">
        <v>28</v>
      </c>
      <c r="J62" s="391" t="str">
        <f>E25</f>
        <v>Ateliér Simona Group</v>
      </c>
      <c r="K62" s="271"/>
      <c r="L62" s="64"/>
      <c r="S62" s="23"/>
      <c r="T62" s="23"/>
      <c r="U62" s="23"/>
      <c r="V62" s="23"/>
      <c r="W62" s="23"/>
      <c r="X62" s="23"/>
      <c r="Y62" s="23"/>
      <c r="Z62" s="23"/>
      <c r="AA62" s="23"/>
      <c r="AB62" s="23"/>
      <c r="AC62" s="23"/>
      <c r="AD62" s="23"/>
      <c r="AE62" s="23"/>
    </row>
    <row r="63" spans="1:31" s="2" customFormat="1" ht="26.45" customHeight="1">
      <c r="A63" s="271"/>
      <c r="B63" s="270"/>
      <c r="C63" s="268" t="s">
        <v>26</v>
      </c>
      <c r="D63" s="271"/>
      <c r="E63" s="271"/>
      <c r="F63" s="273" t="str">
        <f>IF(E22="","",E22)</f>
        <v xml:space="preserve"> </v>
      </c>
      <c r="G63" s="271"/>
      <c r="H63" s="271"/>
      <c r="I63" s="268" t="s">
        <v>31</v>
      </c>
      <c r="J63" s="391" t="str">
        <f>E28</f>
        <v>Ateliér Simona Group</v>
      </c>
      <c r="K63" s="271"/>
      <c r="L63" s="64"/>
      <c r="S63" s="23"/>
      <c r="T63" s="23"/>
      <c r="U63" s="23"/>
      <c r="V63" s="23"/>
      <c r="W63" s="23"/>
      <c r="X63" s="23"/>
      <c r="Y63" s="23"/>
      <c r="Z63" s="23"/>
      <c r="AA63" s="23"/>
      <c r="AB63" s="23"/>
      <c r="AC63" s="23"/>
      <c r="AD63" s="23"/>
      <c r="AE63" s="23"/>
    </row>
    <row r="64" spans="1:31" s="2" customFormat="1" ht="10.35" customHeight="1">
      <c r="A64" s="271"/>
      <c r="B64" s="270"/>
      <c r="C64" s="271"/>
      <c r="D64" s="271"/>
      <c r="E64" s="271"/>
      <c r="F64" s="271"/>
      <c r="G64" s="271"/>
      <c r="H64" s="271"/>
      <c r="I64" s="271"/>
      <c r="J64" s="271"/>
      <c r="K64" s="271"/>
      <c r="L64" s="64"/>
      <c r="S64" s="23"/>
      <c r="T64" s="23"/>
      <c r="U64" s="23"/>
      <c r="V64" s="23"/>
      <c r="W64" s="23"/>
      <c r="X64" s="23"/>
      <c r="Y64" s="23"/>
      <c r="Z64" s="23"/>
      <c r="AA64" s="23"/>
      <c r="AB64" s="23"/>
      <c r="AC64" s="23"/>
      <c r="AD64" s="23"/>
      <c r="AE64" s="23"/>
    </row>
    <row r="65" spans="1:47" s="2" customFormat="1" ht="29.25" customHeight="1">
      <c r="A65" s="271"/>
      <c r="B65" s="270"/>
      <c r="C65" s="290" t="s">
        <v>168</v>
      </c>
      <c r="D65" s="281"/>
      <c r="E65" s="281"/>
      <c r="F65" s="281"/>
      <c r="G65" s="281"/>
      <c r="H65" s="281"/>
      <c r="I65" s="281"/>
      <c r="J65" s="392" t="s">
        <v>169</v>
      </c>
      <c r="K65" s="281"/>
      <c r="L65" s="64"/>
      <c r="S65" s="23"/>
      <c r="T65" s="23"/>
      <c r="U65" s="23"/>
      <c r="V65" s="23"/>
      <c r="W65" s="23"/>
      <c r="X65" s="23"/>
      <c r="Y65" s="23"/>
      <c r="Z65" s="23"/>
      <c r="AA65" s="23"/>
      <c r="AB65" s="23"/>
      <c r="AC65" s="23"/>
      <c r="AD65" s="23"/>
      <c r="AE65" s="23"/>
    </row>
    <row r="66" spans="1:47" s="2" customFormat="1" ht="10.35" customHeight="1">
      <c r="A66" s="271"/>
      <c r="B66" s="270"/>
      <c r="C66" s="271"/>
      <c r="D66" s="271"/>
      <c r="E66" s="271"/>
      <c r="F66" s="271"/>
      <c r="G66" s="271"/>
      <c r="H66" s="271"/>
      <c r="I66" s="271"/>
      <c r="J66" s="271"/>
      <c r="K66" s="271"/>
      <c r="L66" s="64"/>
      <c r="S66" s="23"/>
      <c r="T66" s="23"/>
      <c r="U66" s="23"/>
      <c r="V66" s="23"/>
      <c r="W66" s="23"/>
      <c r="X66" s="23"/>
      <c r="Y66" s="23"/>
      <c r="Z66" s="23"/>
      <c r="AA66" s="23"/>
      <c r="AB66" s="23"/>
      <c r="AC66" s="23"/>
      <c r="AD66" s="23"/>
      <c r="AE66" s="23"/>
    </row>
    <row r="67" spans="1:47" s="2" customFormat="1" ht="22.9" customHeight="1">
      <c r="A67" s="271"/>
      <c r="B67" s="270"/>
      <c r="C67" s="291" t="s">
        <v>66</v>
      </c>
      <c r="D67" s="271"/>
      <c r="E67" s="271"/>
      <c r="F67" s="271"/>
      <c r="G67" s="271"/>
      <c r="H67" s="271"/>
      <c r="I67" s="271"/>
      <c r="J67" s="388">
        <f>J93</f>
        <v>0</v>
      </c>
      <c r="K67" s="271"/>
      <c r="L67" s="64"/>
      <c r="S67" s="23"/>
      <c r="T67" s="23"/>
      <c r="U67" s="23"/>
      <c r="V67" s="23"/>
      <c r="W67" s="23"/>
      <c r="X67" s="23"/>
      <c r="Y67" s="23"/>
      <c r="Z67" s="23"/>
      <c r="AA67" s="23"/>
      <c r="AB67" s="23"/>
      <c r="AC67" s="23"/>
      <c r="AD67" s="23"/>
      <c r="AE67" s="23"/>
      <c r="AU67" s="19" t="s">
        <v>170</v>
      </c>
    </row>
    <row r="68" spans="1:47" s="9" customFormat="1" ht="24.95" customHeight="1">
      <c r="A68" s="292"/>
      <c r="B68" s="293"/>
      <c r="C68" s="292"/>
      <c r="D68" s="294" t="s">
        <v>181</v>
      </c>
      <c r="E68" s="295"/>
      <c r="F68" s="295"/>
      <c r="G68" s="295"/>
      <c r="H68" s="295"/>
      <c r="I68" s="295"/>
      <c r="J68" s="393">
        <f>J94</f>
        <v>0</v>
      </c>
      <c r="K68" s="292"/>
      <c r="L68" s="67"/>
    </row>
    <row r="69" spans="1:47" s="10" customFormat="1" ht="19.899999999999999" customHeight="1">
      <c r="A69" s="246"/>
      <c r="B69" s="296"/>
      <c r="C69" s="246"/>
      <c r="D69" s="297" t="s">
        <v>196</v>
      </c>
      <c r="E69" s="298"/>
      <c r="F69" s="298"/>
      <c r="G69" s="298"/>
      <c r="H69" s="298"/>
      <c r="I69" s="298"/>
      <c r="J69" s="394">
        <f>J95</f>
        <v>0</v>
      </c>
      <c r="K69" s="246"/>
      <c r="L69" s="68"/>
    </row>
    <row r="70" spans="1:47" s="2" customFormat="1" ht="21.75" customHeight="1">
      <c r="A70" s="271"/>
      <c r="B70" s="270"/>
      <c r="C70" s="271"/>
      <c r="D70" s="271"/>
      <c r="E70" s="271"/>
      <c r="F70" s="271"/>
      <c r="G70" s="271"/>
      <c r="H70" s="271"/>
      <c r="I70" s="271"/>
      <c r="J70" s="271"/>
      <c r="K70" s="271"/>
      <c r="L70" s="64"/>
      <c r="S70" s="23"/>
      <c r="T70" s="23"/>
      <c r="U70" s="23"/>
      <c r="V70" s="23"/>
      <c r="W70" s="23"/>
      <c r="X70" s="23"/>
      <c r="Y70" s="23"/>
      <c r="Z70" s="23"/>
      <c r="AA70" s="23"/>
      <c r="AB70" s="23"/>
      <c r="AC70" s="23"/>
      <c r="AD70" s="23"/>
      <c r="AE70" s="23"/>
    </row>
    <row r="71" spans="1:47" s="2" customFormat="1" ht="6.95" customHeight="1">
      <c r="A71" s="271"/>
      <c r="B71" s="286"/>
      <c r="C71" s="287"/>
      <c r="D71" s="287"/>
      <c r="E71" s="287"/>
      <c r="F71" s="287"/>
      <c r="G71" s="287"/>
      <c r="H71" s="287"/>
      <c r="I71" s="287"/>
      <c r="J71" s="287"/>
      <c r="K71" s="287"/>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1"/>
      <c r="B75" s="288"/>
      <c r="C75" s="289"/>
      <c r="D75" s="289"/>
      <c r="E75" s="289"/>
      <c r="F75" s="289"/>
      <c r="G75" s="289"/>
      <c r="H75" s="289"/>
      <c r="I75" s="289"/>
      <c r="J75" s="289"/>
      <c r="K75" s="289"/>
      <c r="L75" s="64"/>
      <c r="S75" s="23"/>
      <c r="T75" s="23"/>
      <c r="U75" s="23"/>
      <c r="V75" s="23"/>
      <c r="W75" s="23"/>
      <c r="X75" s="23"/>
      <c r="Y75" s="23"/>
      <c r="Z75" s="23"/>
      <c r="AA75" s="23"/>
      <c r="AB75" s="23"/>
      <c r="AC75" s="23"/>
      <c r="AD75" s="23"/>
      <c r="AE75" s="23"/>
    </row>
    <row r="76" spans="1:47" s="2" customFormat="1" ht="24.95" customHeight="1">
      <c r="A76" s="271"/>
      <c r="B76" s="270"/>
      <c r="C76" s="266" t="s">
        <v>201</v>
      </c>
      <c r="D76" s="271"/>
      <c r="E76" s="271"/>
      <c r="F76" s="271"/>
      <c r="G76" s="271"/>
      <c r="H76" s="271"/>
      <c r="I76" s="271"/>
      <c r="J76" s="271"/>
      <c r="K76" s="271"/>
      <c r="L76" s="64"/>
      <c r="S76" s="23"/>
      <c r="T76" s="23"/>
      <c r="U76" s="23"/>
      <c r="V76" s="23"/>
      <c r="W76" s="23"/>
      <c r="X76" s="23"/>
      <c r="Y76" s="23"/>
      <c r="Z76" s="23"/>
      <c r="AA76" s="23"/>
      <c r="AB76" s="23"/>
      <c r="AC76" s="23"/>
      <c r="AD76" s="23"/>
      <c r="AE76" s="23"/>
    </row>
    <row r="77" spans="1:47" s="2" customFormat="1" ht="6.95" customHeight="1">
      <c r="A77" s="271"/>
      <c r="B77" s="270"/>
      <c r="C77" s="271"/>
      <c r="D77" s="271"/>
      <c r="E77" s="271"/>
      <c r="F77" s="271"/>
      <c r="G77" s="271"/>
      <c r="H77" s="271"/>
      <c r="I77" s="271"/>
      <c r="J77" s="271"/>
      <c r="K77" s="271"/>
      <c r="L77" s="64"/>
      <c r="S77" s="23"/>
      <c r="T77" s="23"/>
      <c r="U77" s="23"/>
      <c r="V77" s="23"/>
      <c r="W77" s="23"/>
      <c r="X77" s="23"/>
      <c r="Y77" s="23"/>
      <c r="Z77" s="23"/>
      <c r="AA77" s="23"/>
      <c r="AB77" s="23"/>
      <c r="AC77" s="23"/>
      <c r="AD77" s="23"/>
      <c r="AE77" s="23"/>
    </row>
    <row r="78" spans="1:47" s="2" customFormat="1" ht="12" customHeight="1">
      <c r="A78" s="271"/>
      <c r="B78" s="270"/>
      <c r="C78" s="268" t="s">
        <v>15</v>
      </c>
      <c r="D78" s="271"/>
      <c r="E78" s="271"/>
      <c r="F78" s="271"/>
      <c r="G78" s="271"/>
      <c r="H78" s="271"/>
      <c r="I78" s="271"/>
      <c r="J78" s="271"/>
      <c r="K78" s="271"/>
      <c r="L78" s="64"/>
      <c r="S78" s="23"/>
      <c r="T78" s="23"/>
      <c r="U78" s="23"/>
      <c r="V78" s="23"/>
      <c r="W78" s="23"/>
      <c r="X78" s="23"/>
      <c r="Y78" s="23"/>
      <c r="Z78" s="23"/>
      <c r="AA78" s="23"/>
      <c r="AB78" s="23"/>
      <c r="AC78" s="23"/>
      <c r="AD78" s="23"/>
      <c r="AE78" s="23"/>
    </row>
    <row r="79" spans="1:47" s="2" customFormat="1" ht="14.45" customHeight="1">
      <c r="A79" s="271"/>
      <c r="B79" s="270"/>
      <c r="C79" s="271"/>
      <c r="D79" s="271"/>
      <c r="E79" s="722" t="str">
        <f>E7</f>
        <v>Úpravy gastroprovozu Úřadu vlády ČR v 1.pp Strakovy akademie</v>
      </c>
      <c r="F79" s="723"/>
      <c r="G79" s="723"/>
      <c r="H79" s="723"/>
      <c r="I79" s="271"/>
      <c r="J79" s="271"/>
      <c r="K79" s="271"/>
      <c r="L79" s="64"/>
      <c r="S79" s="23"/>
      <c r="T79" s="23"/>
      <c r="U79" s="23"/>
      <c r="V79" s="23"/>
      <c r="W79" s="23"/>
      <c r="X79" s="23"/>
      <c r="Y79" s="23"/>
      <c r="Z79" s="23"/>
      <c r="AA79" s="23"/>
      <c r="AB79" s="23"/>
      <c r="AC79" s="23"/>
      <c r="AD79" s="23"/>
      <c r="AE79" s="23"/>
    </row>
    <row r="80" spans="1:47" s="1" customFormat="1" ht="12" customHeight="1">
      <c r="A80" s="61"/>
      <c r="B80" s="265"/>
      <c r="C80" s="268" t="s">
        <v>151</v>
      </c>
      <c r="D80" s="61"/>
      <c r="E80" s="61"/>
      <c r="F80" s="61"/>
      <c r="G80" s="61"/>
      <c r="H80" s="61"/>
      <c r="I80" s="61"/>
      <c r="J80" s="61"/>
      <c r="K80" s="61"/>
      <c r="L80" s="20"/>
    </row>
    <row r="81" spans="1:65" s="1" customFormat="1" ht="14.45" customHeight="1">
      <c r="A81" s="61"/>
      <c r="B81" s="265"/>
      <c r="C81" s="61"/>
      <c r="D81" s="61"/>
      <c r="E81" s="722" t="s">
        <v>1759</v>
      </c>
      <c r="F81" s="715"/>
      <c r="G81" s="715"/>
      <c r="H81" s="715"/>
      <c r="I81" s="61"/>
      <c r="J81" s="61"/>
      <c r="K81" s="61"/>
      <c r="L81" s="20"/>
    </row>
    <row r="82" spans="1:65" s="1" customFormat="1" ht="12" customHeight="1">
      <c r="A82" s="61"/>
      <c r="B82" s="265"/>
      <c r="C82" s="268" t="s">
        <v>157</v>
      </c>
      <c r="D82" s="61"/>
      <c r="E82" s="61"/>
      <c r="F82" s="61"/>
      <c r="G82" s="61"/>
      <c r="H82" s="61"/>
      <c r="I82" s="61"/>
      <c r="J82" s="61"/>
      <c r="K82" s="61"/>
      <c r="L82" s="20"/>
    </row>
    <row r="83" spans="1:65" s="2" customFormat="1" ht="14.45" customHeight="1">
      <c r="A83" s="271"/>
      <c r="B83" s="270"/>
      <c r="C83" s="271"/>
      <c r="D83" s="271"/>
      <c r="E83" s="762" t="s">
        <v>1795</v>
      </c>
      <c r="F83" s="721"/>
      <c r="G83" s="721"/>
      <c r="H83" s="721"/>
      <c r="I83" s="271"/>
      <c r="J83" s="271"/>
      <c r="K83" s="271"/>
      <c r="L83" s="64"/>
      <c r="S83" s="23"/>
      <c r="T83" s="23"/>
      <c r="U83" s="23"/>
      <c r="V83" s="23"/>
      <c r="W83" s="23"/>
      <c r="X83" s="23"/>
      <c r="Y83" s="23"/>
      <c r="Z83" s="23"/>
      <c r="AA83" s="23"/>
      <c r="AB83" s="23"/>
      <c r="AC83" s="23"/>
      <c r="AD83" s="23"/>
      <c r="AE83" s="23"/>
    </row>
    <row r="84" spans="1:65" s="2" customFormat="1" ht="12" customHeight="1">
      <c r="A84" s="271"/>
      <c r="B84" s="270"/>
      <c r="C84" s="268" t="s">
        <v>1777</v>
      </c>
      <c r="D84" s="271"/>
      <c r="E84" s="271"/>
      <c r="F84" s="271"/>
      <c r="G84" s="271"/>
      <c r="H84" s="271"/>
      <c r="I84" s="271"/>
      <c r="J84" s="271"/>
      <c r="K84" s="271"/>
      <c r="L84" s="64"/>
      <c r="S84" s="23"/>
      <c r="T84" s="23"/>
      <c r="U84" s="23"/>
      <c r="V84" s="23"/>
      <c r="W84" s="23"/>
      <c r="X84" s="23"/>
      <c r="Y84" s="23"/>
      <c r="Z84" s="23"/>
      <c r="AA84" s="23"/>
      <c r="AB84" s="23"/>
      <c r="AC84" s="23"/>
      <c r="AD84" s="23"/>
      <c r="AE84" s="23"/>
    </row>
    <row r="85" spans="1:65" s="2" customFormat="1" ht="14.45" customHeight="1">
      <c r="A85" s="271"/>
      <c r="B85" s="270"/>
      <c r="C85" s="271"/>
      <c r="D85" s="271"/>
      <c r="E85" s="689" t="str">
        <f>E13</f>
        <v>D.1.4.06.3 - Soupis prací - Gastro HACCP</v>
      </c>
      <c r="F85" s="721"/>
      <c r="G85" s="721"/>
      <c r="H85" s="721"/>
      <c r="I85" s="271"/>
      <c r="J85" s="271"/>
      <c r="K85" s="271"/>
      <c r="L85" s="64"/>
      <c r="S85" s="23"/>
      <c r="T85" s="23"/>
      <c r="U85" s="23"/>
      <c r="V85" s="23"/>
      <c r="W85" s="23"/>
      <c r="X85" s="23"/>
      <c r="Y85" s="23"/>
      <c r="Z85" s="23"/>
      <c r="AA85" s="23"/>
      <c r="AB85" s="23"/>
      <c r="AC85" s="23"/>
      <c r="AD85" s="23"/>
      <c r="AE85" s="23"/>
    </row>
    <row r="86" spans="1:65" s="2" customFormat="1" ht="6.95" customHeight="1">
      <c r="A86" s="271"/>
      <c r="B86" s="270"/>
      <c r="C86" s="271"/>
      <c r="D86" s="271"/>
      <c r="E86" s="271"/>
      <c r="F86" s="271"/>
      <c r="G86" s="271"/>
      <c r="H86" s="271"/>
      <c r="I86" s="271"/>
      <c r="J86" s="271"/>
      <c r="K86" s="271"/>
      <c r="L86" s="64"/>
      <c r="S86" s="23"/>
      <c r="T86" s="23"/>
      <c r="U86" s="23"/>
      <c r="V86" s="23"/>
      <c r="W86" s="23"/>
      <c r="X86" s="23"/>
      <c r="Y86" s="23"/>
      <c r="Z86" s="23"/>
      <c r="AA86" s="23"/>
      <c r="AB86" s="23"/>
      <c r="AC86" s="23"/>
      <c r="AD86" s="23"/>
      <c r="AE86" s="23"/>
    </row>
    <row r="87" spans="1:65" s="2" customFormat="1" ht="12" customHeight="1">
      <c r="A87" s="271"/>
      <c r="B87" s="270"/>
      <c r="C87" s="268" t="s">
        <v>19</v>
      </c>
      <c r="D87" s="271"/>
      <c r="E87" s="271"/>
      <c r="F87" s="273" t="str">
        <f>F16</f>
        <v xml:space="preserve"> </v>
      </c>
      <c r="G87" s="271"/>
      <c r="H87" s="271"/>
      <c r="I87" s="268" t="s">
        <v>21</v>
      </c>
      <c r="J87" s="387">
        <f>IF(J16="","",J16)</f>
        <v>44077</v>
      </c>
      <c r="K87" s="271"/>
      <c r="L87" s="64"/>
      <c r="S87" s="23"/>
      <c r="T87" s="23"/>
      <c r="U87" s="23"/>
      <c r="V87" s="23"/>
      <c r="W87" s="23"/>
      <c r="X87" s="23"/>
      <c r="Y87" s="23"/>
      <c r="Z87" s="23"/>
      <c r="AA87" s="23"/>
      <c r="AB87" s="23"/>
      <c r="AC87" s="23"/>
      <c r="AD87" s="23"/>
      <c r="AE87" s="23"/>
    </row>
    <row r="88" spans="1:65" s="2" customFormat="1" ht="6.95" customHeight="1">
      <c r="A88" s="271"/>
      <c r="B88" s="270"/>
      <c r="C88" s="271"/>
      <c r="D88" s="271"/>
      <c r="E88" s="271"/>
      <c r="F88" s="271"/>
      <c r="G88" s="271"/>
      <c r="H88" s="271"/>
      <c r="I88" s="271"/>
      <c r="J88" s="271"/>
      <c r="K88" s="271"/>
      <c r="L88" s="64"/>
      <c r="S88" s="23"/>
      <c r="T88" s="23"/>
      <c r="U88" s="23"/>
      <c r="V88" s="23"/>
      <c r="W88" s="23"/>
      <c r="X88" s="23"/>
      <c r="Y88" s="23"/>
      <c r="Z88" s="23"/>
      <c r="AA88" s="23"/>
      <c r="AB88" s="23"/>
      <c r="AC88" s="23"/>
      <c r="AD88" s="23"/>
      <c r="AE88" s="23"/>
    </row>
    <row r="89" spans="1:65" s="2" customFormat="1" ht="26.45" customHeight="1">
      <c r="A89" s="271"/>
      <c r="B89" s="270"/>
      <c r="C89" s="268" t="s">
        <v>22</v>
      </c>
      <c r="D89" s="271"/>
      <c r="E89" s="271"/>
      <c r="F89" s="273" t="str">
        <f>E19</f>
        <v xml:space="preserve">Úřad vlády České republiky </v>
      </c>
      <c r="G89" s="271"/>
      <c r="H89" s="271"/>
      <c r="I89" s="268" t="s">
        <v>28</v>
      </c>
      <c r="J89" s="391" t="str">
        <f>E25</f>
        <v>Ateliér Simona Group</v>
      </c>
      <c r="K89" s="271"/>
      <c r="L89" s="64"/>
      <c r="S89" s="23"/>
      <c r="T89" s="23"/>
      <c r="U89" s="23"/>
      <c r="V89" s="23"/>
      <c r="W89" s="23"/>
      <c r="X89" s="23"/>
      <c r="Y89" s="23"/>
      <c r="Z89" s="23"/>
      <c r="AA89" s="23"/>
      <c r="AB89" s="23"/>
      <c r="AC89" s="23"/>
      <c r="AD89" s="23"/>
      <c r="AE89" s="23"/>
    </row>
    <row r="90" spans="1:65" s="2" customFormat="1" ht="26.45" customHeight="1">
      <c r="A90" s="271"/>
      <c r="B90" s="270"/>
      <c r="C90" s="268" t="s">
        <v>26</v>
      </c>
      <c r="D90" s="271"/>
      <c r="E90" s="271"/>
      <c r="F90" s="273" t="str">
        <f>IF(E22="","",E22)</f>
        <v xml:space="preserve"> </v>
      </c>
      <c r="G90" s="271"/>
      <c r="H90" s="271"/>
      <c r="I90" s="268" t="s">
        <v>31</v>
      </c>
      <c r="J90" s="391" t="str">
        <f>E28</f>
        <v>Ateliér Simona Group</v>
      </c>
      <c r="K90" s="271"/>
      <c r="L90" s="64"/>
      <c r="S90" s="23"/>
      <c r="T90" s="23"/>
      <c r="U90" s="23"/>
      <c r="V90" s="23"/>
      <c r="W90" s="23"/>
      <c r="X90" s="23"/>
      <c r="Y90" s="23"/>
      <c r="Z90" s="23"/>
      <c r="AA90" s="23"/>
      <c r="AB90" s="23"/>
      <c r="AC90" s="23"/>
      <c r="AD90" s="23"/>
      <c r="AE90" s="23"/>
    </row>
    <row r="91" spans="1:65" s="2" customFormat="1" ht="10.35" customHeight="1">
      <c r="A91" s="271"/>
      <c r="B91" s="270"/>
      <c r="C91" s="271"/>
      <c r="D91" s="271"/>
      <c r="E91" s="271"/>
      <c r="F91" s="271"/>
      <c r="G91" s="271"/>
      <c r="H91" s="271"/>
      <c r="I91" s="271"/>
      <c r="J91" s="271"/>
      <c r="K91" s="271"/>
      <c r="L91" s="64"/>
      <c r="S91" s="23"/>
      <c r="T91" s="23"/>
      <c r="U91" s="23"/>
      <c r="V91" s="23"/>
      <c r="W91" s="23"/>
      <c r="X91" s="23"/>
      <c r="Y91" s="23"/>
      <c r="Z91" s="23"/>
      <c r="AA91" s="23"/>
      <c r="AB91" s="23"/>
      <c r="AC91" s="23"/>
      <c r="AD91" s="23"/>
      <c r="AE91" s="23"/>
    </row>
    <row r="92" spans="1:65" s="11" customFormat="1" ht="29.25" customHeight="1">
      <c r="A92" s="299"/>
      <c r="B92" s="300"/>
      <c r="C92" s="301" t="s">
        <v>202</v>
      </c>
      <c r="D92" s="302" t="s">
        <v>53</v>
      </c>
      <c r="E92" s="302" t="s">
        <v>49</v>
      </c>
      <c r="F92" s="302" t="s">
        <v>50</v>
      </c>
      <c r="G92" s="302" t="s">
        <v>203</v>
      </c>
      <c r="H92" s="302" t="s">
        <v>204</v>
      </c>
      <c r="I92" s="302" t="s">
        <v>205</v>
      </c>
      <c r="J92" s="302" t="s">
        <v>169</v>
      </c>
      <c r="K92" s="340" t="s">
        <v>206</v>
      </c>
      <c r="L92" s="70"/>
      <c r="M92" s="34" t="s">
        <v>3</v>
      </c>
      <c r="N92" s="35" t="s">
        <v>38</v>
      </c>
      <c r="O92" s="35" t="s">
        <v>207</v>
      </c>
      <c r="P92" s="35" t="s">
        <v>208</v>
      </c>
      <c r="Q92" s="35" t="s">
        <v>209</v>
      </c>
      <c r="R92" s="35" t="s">
        <v>210</v>
      </c>
      <c r="S92" s="35" t="s">
        <v>211</v>
      </c>
      <c r="T92" s="36" t="s">
        <v>212</v>
      </c>
      <c r="U92" s="69"/>
      <c r="V92" s="69"/>
      <c r="W92" s="69"/>
      <c r="X92" s="69"/>
      <c r="Y92" s="69"/>
      <c r="Z92" s="69"/>
      <c r="AA92" s="69"/>
      <c r="AB92" s="69"/>
      <c r="AC92" s="69"/>
      <c r="AD92" s="69"/>
      <c r="AE92" s="69"/>
    </row>
    <row r="93" spans="1:65" s="2" customFormat="1" ht="22.9" customHeight="1">
      <c r="A93" s="271"/>
      <c r="B93" s="270"/>
      <c r="C93" s="243" t="s">
        <v>213</v>
      </c>
      <c r="D93" s="271"/>
      <c r="E93" s="271"/>
      <c r="F93" s="271"/>
      <c r="G93" s="271"/>
      <c r="H93" s="271"/>
      <c r="I93" s="271"/>
      <c r="J93" s="410">
        <f>BK93</f>
        <v>0</v>
      </c>
      <c r="K93" s="271"/>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170</v>
      </c>
      <c r="BK93" s="73">
        <f>BK94</f>
        <v>0</v>
      </c>
    </row>
    <row r="94" spans="1:65" s="12" customFormat="1" ht="25.9" customHeight="1">
      <c r="A94" s="303"/>
      <c r="B94" s="304"/>
      <c r="C94" s="303"/>
      <c r="D94" s="305" t="s">
        <v>67</v>
      </c>
      <c r="E94" s="306" t="s">
        <v>895</v>
      </c>
      <c r="F94" s="306" t="s">
        <v>896</v>
      </c>
      <c r="G94" s="303"/>
      <c r="H94" s="303"/>
      <c r="I94" s="303"/>
      <c r="J94" s="411">
        <f>BK94</f>
        <v>0</v>
      </c>
      <c r="K94" s="303"/>
      <c r="L94" s="74"/>
      <c r="M94" s="76"/>
      <c r="N94" s="77"/>
      <c r="O94" s="77"/>
      <c r="P94" s="78">
        <f>P95</f>
        <v>0</v>
      </c>
      <c r="Q94" s="77"/>
      <c r="R94" s="78">
        <f>R95</f>
        <v>0</v>
      </c>
      <c r="S94" s="77"/>
      <c r="T94" s="79">
        <f>T95</f>
        <v>0</v>
      </c>
      <c r="AR94" s="75" t="s">
        <v>77</v>
      </c>
      <c r="AT94" s="80" t="s">
        <v>67</v>
      </c>
      <c r="AU94" s="80" t="s">
        <v>68</v>
      </c>
      <c r="AY94" s="75" t="s">
        <v>216</v>
      </c>
      <c r="BK94" s="81">
        <f>BK95</f>
        <v>0</v>
      </c>
    </row>
    <row r="95" spans="1:65" s="12" customFormat="1" ht="22.9" customHeight="1">
      <c r="A95" s="303"/>
      <c r="B95" s="304"/>
      <c r="C95" s="303"/>
      <c r="D95" s="305" t="s">
        <v>67</v>
      </c>
      <c r="E95" s="307" t="s">
        <v>1655</v>
      </c>
      <c r="F95" s="307" t="s">
        <v>1656</v>
      </c>
      <c r="G95" s="303"/>
      <c r="H95" s="303"/>
      <c r="I95" s="303"/>
      <c r="J95" s="412">
        <f>BK95</f>
        <v>0</v>
      </c>
      <c r="K95" s="303"/>
      <c r="L95" s="74"/>
      <c r="M95" s="76"/>
      <c r="N95" s="77"/>
      <c r="O95" s="77"/>
      <c r="P95" s="78">
        <f>P96</f>
        <v>0</v>
      </c>
      <c r="Q95" s="77"/>
      <c r="R95" s="78">
        <f>R96</f>
        <v>0</v>
      </c>
      <c r="S95" s="77"/>
      <c r="T95" s="79">
        <f>T96</f>
        <v>0</v>
      </c>
      <c r="AR95" s="75" t="s">
        <v>77</v>
      </c>
      <c r="AT95" s="80" t="s">
        <v>67</v>
      </c>
      <c r="AU95" s="80" t="s">
        <v>75</v>
      </c>
      <c r="AY95" s="75" t="s">
        <v>216</v>
      </c>
      <c r="BK95" s="81">
        <f>BK96</f>
        <v>0</v>
      </c>
    </row>
    <row r="96" spans="1:65" s="2" customFormat="1" ht="14.45" customHeight="1">
      <c r="A96" s="271"/>
      <c r="B96" s="270"/>
      <c r="C96" s="308" t="s">
        <v>75</v>
      </c>
      <c r="D96" s="308" t="s">
        <v>218</v>
      </c>
      <c r="E96" s="309" t="s">
        <v>1804</v>
      </c>
      <c r="F96" s="310" t="s">
        <v>3115</v>
      </c>
      <c r="G96" s="311" t="s">
        <v>1766</v>
      </c>
      <c r="H96" s="312">
        <v>1</v>
      </c>
      <c r="I96" s="413">
        <f>HACCP!L11</f>
        <v>0</v>
      </c>
      <c r="J96" s="413">
        <f>ROUND(I96*H96,2)</f>
        <v>0</v>
      </c>
      <c r="K96" s="310"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305</v>
      </c>
      <c r="AT96" s="87" t="s">
        <v>218</v>
      </c>
      <c r="AU96" s="87" t="s">
        <v>77</v>
      </c>
      <c r="AY96" s="19" t="s">
        <v>216</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305</v>
      </c>
      <c r="BM96" s="87" t="s">
        <v>1805</v>
      </c>
    </row>
    <row r="97" spans="1:31" s="2" customFormat="1" ht="6.95" customHeight="1">
      <c r="A97" s="271"/>
      <c r="B97" s="286"/>
      <c r="C97" s="287"/>
      <c r="D97" s="287"/>
      <c r="E97" s="287"/>
      <c r="F97" s="287"/>
      <c r="G97" s="287"/>
      <c r="H97" s="287"/>
      <c r="I97" s="287"/>
      <c r="J97" s="287"/>
      <c r="K97" s="287"/>
      <c r="L97" s="24"/>
      <c r="M97" s="23"/>
      <c r="O97" s="23"/>
      <c r="P97" s="23"/>
      <c r="Q97" s="23"/>
      <c r="R97" s="23"/>
      <c r="S97" s="23"/>
      <c r="T97" s="23"/>
      <c r="U97" s="23"/>
      <c r="V97" s="23"/>
      <c r="W97" s="23"/>
      <c r="X97" s="23"/>
      <c r="Y97" s="23"/>
      <c r="Z97" s="23"/>
      <c r="AA97" s="23"/>
      <c r="AB97" s="23"/>
      <c r="AC97" s="23"/>
      <c r="AD97" s="23"/>
      <c r="AE97" s="23"/>
    </row>
  </sheetData>
  <sheetProtection password="CAB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N19"/>
  <sheetViews>
    <sheetView view="pageBreakPreview" zoomScaleSheetLayoutView="100" workbookViewId="0">
      <selection activeCell="J3" sqref="J3"/>
    </sheetView>
  </sheetViews>
  <sheetFormatPr defaultColWidth="10.6640625" defaultRowHeight="15"/>
  <cols>
    <col min="1" max="1" width="10.6640625" style="234"/>
    <col min="2" max="2" width="127.83203125" style="233" customWidth="1"/>
    <col min="3" max="3" width="22.1640625" style="234" customWidth="1"/>
    <col min="4" max="4" width="20" style="234" bestFit="1" customWidth="1"/>
    <col min="5" max="5" width="7" style="234" bestFit="1" customWidth="1"/>
    <col min="6" max="6" width="9.6640625" style="234" bestFit="1" customWidth="1"/>
    <col min="7" max="7" width="8.6640625" style="234" customWidth="1"/>
    <col min="8" max="8" width="13.6640625" style="234" customWidth="1"/>
    <col min="9" max="9" width="14.1640625" style="234" customWidth="1"/>
    <col min="10" max="10" width="17.5" style="233" bestFit="1" customWidth="1"/>
    <col min="11" max="11" width="6.5" style="234" bestFit="1" customWidth="1"/>
    <col min="12" max="12" width="19.5" style="233" bestFit="1" customWidth="1"/>
    <col min="13" max="13" width="6" style="233" bestFit="1" customWidth="1"/>
    <col min="14" max="14" width="20.83203125" style="233" bestFit="1" customWidth="1"/>
    <col min="15" max="16384" width="10.6640625" style="233"/>
  </cols>
  <sheetData>
    <row r="1" spans="1:14" ht="30">
      <c r="A1" s="539" t="s">
        <v>2939</v>
      </c>
      <c r="B1" s="540" t="s">
        <v>2938</v>
      </c>
      <c r="C1" s="541" t="s">
        <v>2937</v>
      </c>
      <c r="D1" s="541" t="s">
        <v>2936</v>
      </c>
      <c r="E1" s="542" t="s">
        <v>2935</v>
      </c>
      <c r="F1" s="542" t="s">
        <v>2934</v>
      </c>
      <c r="G1" s="542" t="s">
        <v>2933</v>
      </c>
      <c r="H1" s="542" t="s">
        <v>2932</v>
      </c>
      <c r="I1" s="542" t="s">
        <v>2931</v>
      </c>
      <c r="J1" s="593" t="s">
        <v>2930</v>
      </c>
      <c r="K1" s="570" t="s">
        <v>2929</v>
      </c>
      <c r="L1" s="571" t="s">
        <v>2928</v>
      </c>
      <c r="M1" s="571" t="s">
        <v>38</v>
      </c>
      <c r="N1" s="572" t="s">
        <v>2927</v>
      </c>
    </row>
    <row r="2" spans="1:14" ht="16.5" customHeight="1">
      <c r="A2" s="543"/>
      <c r="B2" s="601" t="s">
        <v>3114</v>
      </c>
      <c r="C2" s="597"/>
      <c r="D2" s="597"/>
      <c r="E2" s="546"/>
      <c r="F2" s="546"/>
      <c r="G2" s="546"/>
      <c r="H2" s="546"/>
      <c r="I2" s="546"/>
      <c r="J2" s="238">
        <v>0</v>
      </c>
      <c r="K2" s="546"/>
      <c r="L2" s="576">
        <f t="shared" ref="L2:L10" si="0">K2*J2</f>
        <v>0</v>
      </c>
      <c r="M2" s="577">
        <v>21</v>
      </c>
      <c r="N2" s="578">
        <f t="shared" ref="N2:N10" si="1">L2*(1+(M2/100))</f>
        <v>0</v>
      </c>
    </row>
    <row r="3" spans="1:14" ht="69.75" customHeight="1">
      <c r="A3" s="547" t="s">
        <v>3113</v>
      </c>
      <c r="B3" s="598" t="s">
        <v>3112</v>
      </c>
      <c r="C3" s="597"/>
      <c r="D3" s="597"/>
      <c r="E3" s="546"/>
      <c r="F3" s="546"/>
      <c r="G3" s="546"/>
      <c r="H3" s="546"/>
      <c r="I3" s="546"/>
      <c r="J3" s="594">
        <v>0</v>
      </c>
      <c r="K3" s="546">
        <v>1</v>
      </c>
      <c r="L3" s="576">
        <f t="shared" si="0"/>
        <v>0</v>
      </c>
      <c r="M3" s="577">
        <v>21</v>
      </c>
      <c r="N3" s="578">
        <f t="shared" si="1"/>
        <v>0</v>
      </c>
    </row>
    <row r="4" spans="1:14" ht="16.5" customHeight="1">
      <c r="A4" s="547" t="s">
        <v>3111</v>
      </c>
      <c r="B4" s="598" t="s">
        <v>3110</v>
      </c>
      <c r="C4" s="597"/>
      <c r="D4" s="597"/>
      <c r="E4" s="546"/>
      <c r="F4" s="546"/>
      <c r="G4" s="546"/>
      <c r="H4" s="546"/>
      <c r="I4" s="546"/>
      <c r="J4" s="594">
        <v>0</v>
      </c>
      <c r="K4" s="546">
        <v>1</v>
      </c>
      <c r="L4" s="576">
        <f t="shared" si="0"/>
        <v>0</v>
      </c>
      <c r="M4" s="577">
        <v>21</v>
      </c>
      <c r="N4" s="578">
        <f t="shared" si="1"/>
        <v>0</v>
      </c>
    </row>
    <row r="5" spans="1:14" ht="16.5" customHeight="1">
      <c r="A5" s="547" t="s">
        <v>3109</v>
      </c>
      <c r="B5" s="598" t="s">
        <v>3108</v>
      </c>
      <c r="C5" s="597"/>
      <c r="D5" s="597"/>
      <c r="E5" s="546"/>
      <c r="F5" s="546"/>
      <c r="G5" s="546"/>
      <c r="H5" s="546"/>
      <c r="I5" s="546"/>
      <c r="J5" s="594">
        <v>0</v>
      </c>
      <c r="K5" s="546">
        <v>15</v>
      </c>
      <c r="L5" s="576">
        <f t="shared" si="0"/>
        <v>0</v>
      </c>
      <c r="M5" s="577">
        <v>21</v>
      </c>
      <c r="N5" s="578">
        <f t="shared" si="1"/>
        <v>0</v>
      </c>
    </row>
    <row r="6" spans="1:14" ht="16.5" customHeight="1">
      <c r="A6" s="547" t="s">
        <v>3107</v>
      </c>
      <c r="B6" s="598" t="s">
        <v>3106</v>
      </c>
      <c r="C6" s="597"/>
      <c r="D6" s="597"/>
      <c r="E6" s="546"/>
      <c r="F6" s="546"/>
      <c r="G6" s="546"/>
      <c r="H6" s="546"/>
      <c r="I6" s="546"/>
      <c r="J6" s="594">
        <v>0</v>
      </c>
      <c r="K6" s="546">
        <v>5</v>
      </c>
      <c r="L6" s="576">
        <f t="shared" si="0"/>
        <v>0</v>
      </c>
      <c r="M6" s="577">
        <v>21</v>
      </c>
      <c r="N6" s="578">
        <f t="shared" si="1"/>
        <v>0</v>
      </c>
    </row>
    <row r="7" spans="1:14" ht="16.5" customHeight="1">
      <c r="A7" s="547" t="s">
        <v>3105</v>
      </c>
      <c r="B7" s="598" t="s">
        <v>3104</v>
      </c>
      <c r="C7" s="597"/>
      <c r="D7" s="597"/>
      <c r="E7" s="546"/>
      <c r="F7" s="546"/>
      <c r="G7" s="546"/>
      <c r="H7" s="546"/>
      <c r="I7" s="546"/>
      <c r="J7" s="594">
        <v>0</v>
      </c>
      <c r="K7" s="546">
        <v>1</v>
      </c>
      <c r="L7" s="576">
        <f t="shared" si="0"/>
        <v>0</v>
      </c>
      <c r="M7" s="577">
        <v>21</v>
      </c>
      <c r="N7" s="578">
        <f t="shared" si="1"/>
        <v>0</v>
      </c>
    </row>
    <row r="8" spans="1:14" ht="16.5" customHeight="1">
      <c r="A8" s="547" t="s">
        <v>3103</v>
      </c>
      <c r="B8" s="598" t="s">
        <v>3102</v>
      </c>
      <c r="C8" s="597"/>
      <c r="D8" s="597"/>
      <c r="E8" s="546"/>
      <c r="F8" s="546"/>
      <c r="G8" s="546"/>
      <c r="H8" s="546"/>
      <c r="I8" s="546"/>
      <c r="J8" s="594">
        <v>0</v>
      </c>
      <c r="K8" s="546">
        <v>1</v>
      </c>
      <c r="L8" s="576">
        <f t="shared" si="0"/>
        <v>0</v>
      </c>
      <c r="M8" s="577">
        <v>21</v>
      </c>
      <c r="N8" s="578">
        <f t="shared" si="1"/>
        <v>0</v>
      </c>
    </row>
    <row r="9" spans="1:14" ht="332.25" customHeight="1">
      <c r="A9" s="547"/>
      <c r="B9" s="602" t="s">
        <v>3101</v>
      </c>
      <c r="C9" s="597"/>
      <c r="D9" s="597"/>
      <c r="E9" s="546"/>
      <c r="F9" s="546"/>
      <c r="G9" s="546"/>
      <c r="H9" s="546"/>
      <c r="I9" s="546"/>
      <c r="J9" s="594">
        <v>0</v>
      </c>
      <c r="K9" s="546"/>
      <c r="L9" s="576">
        <f t="shared" si="0"/>
        <v>0</v>
      </c>
      <c r="M9" s="577">
        <v>21</v>
      </c>
      <c r="N9" s="578">
        <f t="shared" si="1"/>
        <v>0</v>
      </c>
    </row>
    <row r="10" spans="1:14" ht="16.5" customHeight="1" thickBot="1">
      <c r="A10" s="558" t="s">
        <v>3100</v>
      </c>
      <c r="B10" s="599" t="s">
        <v>3099</v>
      </c>
      <c r="C10" s="600"/>
      <c r="D10" s="600"/>
      <c r="E10" s="560"/>
      <c r="F10" s="560"/>
      <c r="G10" s="560"/>
      <c r="H10" s="560"/>
      <c r="I10" s="560"/>
      <c r="J10" s="595">
        <v>0</v>
      </c>
      <c r="K10" s="560">
        <v>15</v>
      </c>
      <c r="L10" s="579">
        <f t="shared" si="0"/>
        <v>0</v>
      </c>
      <c r="M10" s="580">
        <v>21</v>
      </c>
      <c r="N10" s="581">
        <f t="shared" si="1"/>
        <v>0</v>
      </c>
    </row>
    <row r="11" spans="1:14" ht="30">
      <c r="A11" s="561"/>
      <c r="B11" s="562" t="s">
        <v>3098</v>
      </c>
      <c r="C11" s="563"/>
      <c r="D11" s="563"/>
      <c r="E11" s="561"/>
      <c r="F11" s="561"/>
      <c r="G11" s="561"/>
      <c r="H11" s="561"/>
      <c r="I11" s="561"/>
      <c r="J11" s="538"/>
      <c r="K11" s="561"/>
      <c r="L11" s="582">
        <f>SUM(L2:L10)</f>
        <v>0</v>
      </c>
      <c r="M11" s="565"/>
      <c r="N11" s="582">
        <f>SUM(N2:N10)</f>
        <v>0</v>
      </c>
    </row>
    <row r="12" spans="1:14">
      <c r="A12" s="561"/>
      <c r="B12" s="565"/>
      <c r="C12" s="561"/>
      <c r="D12" s="561"/>
      <c r="E12" s="561"/>
      <c r="F12" s="561"/>
      <c r="G12" s="561"/>
      <c r="H12" s="561"/>
      <c r="I12" s="561"/>
      <c r="J12" s="538"/>
      <c r="K12" s="561"/>
      <c r="L12" s="565"/>
      <c r="M12" s="565"/>
      <c r="N12" s="565"/>
    </row>
    <row r="13" spans="1:14">
      <c r="A13" s="561"/>
      <c r="B13" s="565"/>
      <c r="C13" s="561"/>
      <c r="D13" s="561"/>
      <c r="E13" s="561"/>
      <c r="F13" s="561"/>
      <c r="G13" s="561"/>
      <c r="H13" s="561"/>
      <c r="I13" s="561"/>
      <c r="J13" s="538"/>
      <c r="K13" s="561"/>
      <c r="L13" s="565"/>
      <c r="M13" s="565"/>
      <c r="N13" s="565"/>
    </row>
    <row r="14" spans="1:14">
      <c r="A14" s="561"/>
      <c r="B14" s="565"/>
      <c r="C14" s="561"/>
      <c r="D14" s="561"/>
      <c r="E14" s="561"/>
      <c r="F14" s="561"/>
      <c r="G14" s="561"/>
      <c r="H14" s="561"/>
      <c r="I14" s="561"/>
      <c r="J14" s="538"/>
      <c r="K14" s="561"/>
      <c r="L14" s="565"/>
      <c r="M14" s="565"/>
      <c r="N14" s="565"/>
    </row>
    <row r="15" spans="1:14">
      <c r="A15" s="561"/>
      <c r="B15" s="565"/>
      <c r="C15" s="561"/>
      <c r="D15" s="561"/>
      <c r="E15" s="561"/>
      <c r="F15" s="561"/>
      <c r="G15" s="561"/>
      <c r="H15" s="561"/>
      <c r="I15" s="561"/>
      <c r="J15" s="538"/>
      <c r="K15" s="561"/>
      <c r="L15" s="565"/>
      <c r="M15" s="565"/>
      <c r="N15" s="565"/>
    </row>
    <row r="16" spans="1:14">
      <c r="A16" s="561"/>
      <c r="B16" s="565"/>
      <c r="C16" s="561"/>
      <c r="D16" s="561"/>
      <c r="E16" s="561"/>
      <c r="F16" s="561"/>
      <c r="G16" s="561"/>
      <c r="H16" s="561"/>
      <c r="I16" s="561"/>
      <c r="J16" s="538"/>
      <c r="K16" s="561"/>
      <c r="L16" s="565"/>
      <c r="M16" s="565"/>
      <c r="N16" s="565"/>
    </row>
    <row r="17" spans="1:14">
      <c r="A17" s="561"/>
      <c r="B17" s="565"/>
      <c r="C17" s="561"/>
      <c r="D17" s="561"/>
      <c r="E17" s="561"/>
      <c r="F17" s="561"/>
      <c r="G17" s="561"/>
      <c r="H17" s="561"/>
      <c r="I17" s="561"/>
      <c r="J17" s="538"/>
      <c r="K17" s="561"/>
      <c r="L17" s="565"/>
      <c r="M17" s="565"/>
      <c r="N17" s="565"/>
    </row>
    <row r="18" spans="1:14">
      <c r="A18" s="561"/>
      <c r="B18" s="565"/>
      <c r="C18" s="561"/>
      <c r="D18" s="561"/>
      <c r="E18" s="561"/>
      <c r="F18" s="561"/>
      <c r="G18" s="561"/>
      <c r="H18" s="561"/>
      <c r="I18" s="561"/>
      <c r="J18" s="538"/>
      <c r="K18" s="561"/>
      <c r="L18" s="565"/>
      <c r="M18" s="565"/>
      <c r="N18" s="565"/>
    </row>
    <row r="19" spans="1:14">
      <c r="A19" s="561"/>
      <c r="B19" s="565"/>
      <c r="C19" s="561"/>
      <c r="D19" s="561"/>
      <c r="E19" s="561"/>
      <c r="F19" s="561"/>
      <c r="G19" s="561"/>
      <c r="H19" s="561"/>
      <c r="I19" s="561"/>
      <c r="J19" s="538"/>
      <c r="K19" s="561"/>
      <c r="L19" s="565"/>
      <c r="M19" s="565"/>
      <c r="N19" s="565"/>
    </row>
  </sheetData>
  <sheetProtection password="CAB1" sheet="1" objects="1" scenarios="1"/>
  <printOptions horizontalCentered="1"/>
  <pageMargins left="0.51181102362204722" right="0.51181102362204722" top="0.78740157480314965" bottom="0.78740157480314965" header="0.31496062992125984" footer="0.31496062992125984"/>
  <pageSetup paperSize="9" scale="56" fitToHeight="9" orientation="landscape" r:id="rId1"/>
  <headerFooter>
    <oddHeader>&amp;LČeská republika - Úřad vlády ČRGastroprovoz Úřadu vlády ČR v 1.PP Strakovy akademie&amp;CPoložkový rozpočet HACCP&amp;R11/2019</oddHeader>
    <oddFooter>&amp;C&amp;P/&amp;N&amp;RD.2.2.2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BM97"/>
  <sheetViews>
    <sheetView showGridLines="0" topLeftCell="A75" workbookViewId="0">
      <selection activeCell="I96" sqref="I96"/>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127</v>
      </c>
    </row>
    <row r="3" spans="1:46" s="1" customFormat="1" ht="6.95" customHeight="1">
      <c r="A3" s="61"/>
      <c r="B3" s="263"/>
      <c r="C3" s="264"/>
      <c r="D3" s="264"/>
      <c r="E3" s="264"/>
      <c r="F3" s="264"/>
      <c r="G3" s="264"/>
      <c r="H3" s="264"/>
      <c r="I3" s="264"/>
      <c r="J3" s="264"/>
      <c r="K3" s="264"/>
      <c r="L3" s="20"/>
      <c r="AT3" s="19" t="s">
        <v>77</v>
      </c>
    </row>
    <row r="4" spans="1:46" s="1" customFormat="1" ht="24.95" customHeight="1">
      <c r="A4" s="61"/>
      <c r="B4" s="265"/>
      <c r="C4" s="61"/>
      <c r="D4" s="266" t="s">
        <v>142</v>
      </c>
      <c r="E4" s="61"/>
      <c r="F4" s="61"/>
      <c r="G4" s="61"/>
      <c r="H4" s="61"/>
      <c r="I4" s="61"/>
      <c r="J4" s="61"/>
      <c r="K4" s="61"/>
      <c r="L4" s="20"/>
      <c r="M4" s="63" t="s">
        <v>11</v>
      </c>
      <c r="AT4" s="19" t="s">
        <v>4</v>
      </c>
    </row>
    <row r="5" spans="1:46" s="1" customFormat="1" ht="6.95" customHeight="1">
      <c r="A5" s="61"/>
      <c r="B5" s="265"/>
      <c r="C5" s="61"/>
      <c r="D5" s="61"/>
      <c r="E5" s="61"/>
      <c r="F5" s="61"/>
      <c r="G5" s="61"/>
      <c r="H5" s="61"/>
      <c r="I5" s="61"/>
      <c r="J5" s="61"/>
      <c r="K5" s="61"/>
      <c r="L5" s="20"/>
    </row>
    <row r="6" spans="1:46" s="1" customFormat="1" ht="12" customHeight="1">
      <c r="A6" s="61"/>
      <c r="B6" s="265"/>
      <c r="C6" s="61"/>
      <c r="D6" s="268" t="s">
        <v>15</v>
      </c>
      <c r="E6" s="61"/>
      <c r="F6" s="61"/>
      <c r="G6" s="61"/>
      <c r="H6" s="61"/>
      <c r="I6" s="61"/>
      <c r="J6" s="61"/>
      <c r="K6" s="61"/>
      <c r="L6" s="20"/>
    </row>
    <row r="7" spans="1:46" s="1" customFormat="1" ht="14.45" customHeight="1">
      <c r="A7" s="61"/>
      <c r="B7" s="265"/>
      <c r="C7" s="61"/>
      <c r="D7" s="61"/>
      <c r="E7" s="722" t="str">
        <f>'Rekapitulace stavby'!K6</f>
        <v>Úpravy gastroprovozu Úřadu vlády ČR v 1.pp Strakovy akademie</v>
      </c>
      <c r="F7" s="723"/>
      <c r="G7" s="723"/>
      <c r="H7" s="723"/>
      <c r="I7" s="61"/>
      <c r="J7" s="61"/>
      <c r="K7" s="61"/>
      <c r="L7" s="20"/>
    </row>
    <row r="8" spans="1:46" ht="12.75">
      <c r="A8" s="61"/>
      <c r="B8" s="265"/>
      <c r="C8" s="61"/>
      <c r="D8" s="268" t="s">
        <v>151</v>
      </c>
      <c r="E8" s="61"/>
      <c r="F8" s="61"/>
      <c r="G8" s="61"/>
      <c r="H8" s="61"/>
      <c r="I8" s="61"/>
      <c r="J8" s="61"/>
      <c r="K8" s="61"/>
      <c r="L8" s="20"/>
    </row>
    <row r="9" spans="1:46" s="1" customFormat="1" ht="14.45" customHeight="1">
      <c r="A9" s="61"/>
      <c r="B9" s="265"/>
      <c r="C9" s="61"/>
      <c r="D9" s="61"/>
      <c r="E9" s="722" t="s">
        <v>1759</v>
      </c>
      <c r="F9" s="715"/>
      <c r="G9" s="715"/>
      <c r="H9" s="715"/>
      <c r="I9" s="61"/>
      <c r="J9" s="61"/>
      <c r="K9" s="61"/>
      <c r="L9" s="20"/>
    </row>
    <row r="10" spans="1:46" s="1" customFormat="1" ht="12" customHeight="1">
      <c r="A10" s="61"/>
      <c r="B10" s="265"/>
      <c r="C10" s="61"/>
      <c r="D10" s="268" t="s">
        <v>157</v>
      </c>
      <c r="E10" s="61"/>
      <c r="F10" s="61"/>
      <c r="G10" s="61"/>
      <c r="H10" s="61"/>
      <c r="I10" s="61"/>
      <c r="J10" s="61"/>
      <c r="K10" s="61"/>
      <c r="L10" s="20"/>
    </row>
    <row r="11" spans="1:46" s="2" customFormat="1" ht="14.45" customHeight="1">
      <c r="A11" s="271"/>
      <c r="B11" s="270"/>
      <c r="C11" s="271"/>
      <c r="D11" s="271"/>
      <c r="E11" s="762" t="s">
        <v>1795</v>
      </c>
      <c r="F11" s="721"/>
      <c r="G11" s="721"/>
      <c r="H11" s="721"/>
      <c r="I11" s="271"/>
      <c r="J11" s="271"/>
      <c r="K11" s="271"/>
      <c r="L11" s="64"/>
      <c r="S11" s="23"/>
      <c r="T11" s="23"/>
      <c r="U11" s="23"/>
      <c r="V11" s="23"/>
      <c r="W11" s="23"/>
      <c r="X11" s="23"/>
      <c r="Y11" s="23"/>
      <c r="Z11" s="23"/>
      <c r="AA11" s="23"/>
      <c r="AB11" s="23"/>
      <c r="AC11" s="23"/>
      <c r="AD11" s="23"/>
      <c r="AE11" s="23"/>
    </row>
    <row r="12" spans="1:46" s="2" customFormat="1" ht="12" customHeight="1">
      <c r="A12" s="271"/>
      <c r="B12" s="270"/>
      <c r="C12" s="271"/>
      <c r="D12" s="268" t="s">
        <v>1777</v>
      </c>
      <c r="E12" s="271"/>
      <c r="F12" s="271"/>
      <c r="G12" s="271"/>
      <c r="H12" s="271"/>
      <c r="I12" s="271"/>
      <c r="J12" s="271"/>
      <c r="K12" s="271"/>
      <c r="L12" s="64"/>
      <c r="S12" s="23"/>
      <c r="T12" s="23"/>
      <c r="U12" s="23"/>
      <c r="V12" s="23"/>
      <c r="W12" s="23"/>
      <c r="X12" s="23"/>
      <c r="Y12" s="23"/>
      <c r="Z12" s="23"/>
      <c r="AA12" s="23"/>
      <c r="AB12" s="23"/>
      <c r="AC12" s="23"/>
      <c r="AD12" s="23"/>
      <c r="AE12" s="23"/>
    </row>
    <row r="13" spans="1:46" s="2" customFormat="1" ht="14.45" customHeight="1">
      <c r="A13" s="271"/>
      <c r="B13" s="270"/>
      <c r="C13" s="271"/>
      <c r="D13" s="271"/>
      <c r="E13" s="689" t="s">
        <v>1806</v>
      </c>
      <c r="F13" s="721"/>
      <c r="G13" s="721"/>
      <c r="H13" s="721"/>
      <c r="I13" s="271"/>
      <c r="J13" s="271"/>
      <c r="K13" s="271"/>
      <c r="L13" s="64"/>
      <c r="S13" s="23"/>
      <c r="T13" s="23"/>
      <c r="U13" s="23"/>
      <c r="V13" s="23"/>
      <c r="W13" s="23"/>
      <c r="X13" s="23"/>
      <c r="Y13" s="23"/>
      <c r="Z13" s="23"/>
      <c r="AA13" s="23"/>
      <c r="AB13" s="23"/>
      <c r="AC13" s="23"/>
      <c r="AD13" s="23"/>
      <c r="AE13" s="23"/>
    </row>
    <row r="14" spans="1:46" s="2" customFormat="1">
      <c r="A14" s="271"/>
      <c r="B14" s="270"/>
      <c r="C14" s="271"/>
      <c r="D14" s="271"/>
      <c r="E14" s="271"/>
      <c r="F14" s="271"/>
      <c r="G14" s="271"/>
      <c r="H14" s="271"/>
      <c r="I14" s="271"/>
      <c r="J14" s="271"/>
      <c r="K14" s="271"/>
      <c r="L14" s="64"/>
      <c r="S14" s="23"/>
      <c r="T14" s="23"/>
      <c r="U14" s="23"/>
      <c r="V14" s="23"/>
      <c r="W14" s="23"/>
      <c r="X14" s="23"/>
      <c r="Y14" s="23"/>
      <c r="Z14" s="23"/>
      <c r="AA14" s="23"/>
      <c r="AB14" s="23"/>
      <c r="AC14" s="23"/>
      <c r="AD14" s="23"/>
      <c r="AE14" s="23"/>
    </row>
    <row r="15" spans="1:46" s="2" customFormat="1" ht="12" customHeight="1">
      <c r="A15" s="271"/>
      <c r="B15" s="270"/>
      <c r="C15" s="271"/>
      <c r="D15" s="268" t="s">
        <v>17</v>
      </c>
      <c r="E15" s="271"/>
      <c r="F15" s="273" t="s">
        <v>3</v>
      </c>
      <c r="G15" s="271"/>
      <c r="H15" s="271"/>
      <c r="I15" s="268" t="s">
        <v>18</v>
      </c>
      <c r="J15" s="273" t="s">
        <v>3</v>
      </c>
      <c r="K15" s="271"/>
      <c r="L15" s="64"/>
      <c r="S15" s="23"/>
      <c r="T15" s="23"/>
      <c r="U15" s="23"/>
      <c r="V15" s="23"/>
      <c r="W15" s="23"/>
      <c r="X15" s="23"/>
      <c r="Y15" s="23"/>
      <c r="Z15" s="23"/>
      <c r="AA15" s="23"/>
      <c r="AB15" s="23"/>
      <c r="AC15" s="23"/>
      <c r="AD15" s="23"/>
      <c r="AE15" s="23"/>
    </row>
    <row r="16" spans="1:46" s="2" customFormat="1" ht="12" customHeight="1">
      <c r="A16" s="271"/>
      <c r="B16" s="270"/>
      <c r="C16" s="271"/>
      <c r="D16" s="268" t="s">
        <v>19</v>
      </c>
      <c r="E16" s="271"/>
      <c r="F16" s="273" t="s">
        <v>27</v>
      </c>
      <c r="G16" s="271"/>
      <c r="H16" s="271"/>
      <c r="I16" s="268" t="s">
        <v>21</v>
      </c>
      <c r="J16" s="387">
        <f>'Rekapitulace stavby'!AN8</f>
        <v>44077</v>
      </c>
      <c r="K16" s="271"/>
      <c r="L16" s="64"/>
      <c r="S16" s="23"/>
      <c r="T16" s="23"/>
      <c r="U16" s="23"/>
      <c r="V16" s="23"/>
      <c r="W16" s="23"/>
      <c r="X16" s="23"/>
      <c r="Y16" s="23"/>
      <c r="Z16" s="23"/>
      <c r="AA16" s="23"/>
      <c r="AB16" s="23"/>
      <c r="AC16" s="23"/>
      <c r="AD16" s="23"/>
      <c r="AE16" s="23"/>
    </row>
    <row r="17" spans="1:31" s="2" customFormat="1" ht="10.9" customHeight="1">
      <c r="A17" s="271"/>
      <c r="B17" s="270"/>
      <c r="C17" s="271"/>
      <c r="D17" s="271"/>
      <c r="E17" s="271"/>
      <c r="F17" s="271"/>
      <c r="G17" s="271"/>
      <c r="H17" s="271"/>
      <c r="I17" s="271"/>
      <c r="J17" s="271"/>
      <c r="K17" s="271"/>
      <c r="L17" s="64"/>
      <c r="S17" s="23"/>
      <c r="T17" s="23"/>
      <c r="U17" s="23"/>
      <c r="V17" s="23"/>
      <c r="W17" s="23"/>
      <c r="X17" s="23"/>
      <c r="Y17" s="23"/>
      <c r="Z17" s="23"/>
      <c r="AA17" s="23"/>
      <c r="AB17" s="23"/>
      <c r="AC17" s="23"/>
      <c r="AD17" s="23"/>
      <c r="AE17" s="23"/>
    </row>
    <row r="18" spans="1:31" s="2" customFormat="1" ht="12" customHeight="1">
      <c r="A18" s="271"/>
      <c r="B18" s="270"/>
      <c r="C18" s="271"/>
      <c r="D18" s="268" t="s">
        <v>22</v>
      </c>
      <c r="E18" s="271"/>
      <c r="F18" s="271"/>
      <c r="G18" s="271"/>
      <c r="H18" s="271"/>
      <c r="I18" s="268" t="s">
        <v>23</v>
      </c>
      <c r="J18" s="273" t="s">
        <v>3</v>
      </c>
      <c r="K18" s="271"/>
      <c r="L18" s="64"/>
      <c r="S18" s="23"/>
      <c r="T18" s="23"/>
      <c r="U18" s="23"/>
      <c r="V18" s="23"/>
      <c r="W18" s="23"/>
      <c r="X18" s="23"/>
      <c r="Y18" s="23"/>
      <c r="Z18" s="23"/>
      <c r="AA18" s="23"/>
      <c r="AB18" s="23"/>
      <c r="AC18" s="23"/>
      <c r="AD18" s="23"/>
      <c r="AE18" s="23"/>
    </row>
    <row r="19" spans="1:31" s="2" customFormat="1" ht="18" customHeight="1">
      <c r="A19" s="271"/>
      <c r="B19" s="270"/>
      <c r="C19" s="271"/>
      <c r="D19" s="271"/>
      <c r="E19" s="273" t="s">
        <v>24</v>
      </c>
      <c r="F19" s="271"/>
      <c r="G19" s="271"/>
      <c r="H19" s="271"/>
      <c r="I19" s="268" t="s">
        <v>25</v>
      </c>
      <c r="J19" s="273" t="s">
        <v>3</v>
      </c>
      <c r="K19" s="271"/>
      <c r="L19" s="64"/>
      <c r="S19" s="23"/>
      <c r="T19" s="23"/>
      <c r="U19" s="23"/>
      <c r="V19" s="23"/>
      <c r="W19" s="23"/>
      <c r="X19" s="23"/>
      <c r="Y19" s="23"/>
      <c r="Z19" s="23"/>
      <c r="AA19" s="23"/>
      <c r="AB19" s="23"/>
      <c r="AC19" s="23"/>
      <c r="AD19" s="23"/>
      <c r="AE19" s="23"/>
    </row>
    <row r="20" spans="1:31" s="2" customFormat="1" ht="6.95" customHeight="1">
      <c r="A20" s="271"/>
      <c r="B20" s="270"/>
      <c r="C20" s="271"/>
      <c r="D20" s="271"/>
      <c r="E20" s="271"/>
      <c r="F20" s="271"/>
      <c r="G20" s="271"/>
      <c r="H20" s="271"/>
      <c r="I20" s="271"/>
      <c r="J20" s="271"/>
      <c r="K20" s="271"/>
      <c r="L20" s="64"/>
      <c r="S20" s="23"/>
      <c r="T20" s="23"/>
      <c r="U20" s="23"/>
      <c r="V20" s="23"/>
      <c r="W20" s="23"/>
      <c r="X20" s="23"/>
      <c r="Y20" s="23"/>
      <c r="Z20" s="23"/>
      <c r="AA20" s="23"/>
      <c r="AB20" s="23"/>
      <c r="AC20" s="23"/>
      <c r="AD20" s="23"/>
      <c r="AE20" s="23"/>
    </row>
    <row r="21" spans="1:31" s="2" customFormat="1" ht="12" customHeight="1">
      <c r="A21" s="271"/>
      <c r="B21" s="270"/>
      <c r="C21" s="271"/>
      <c r="D21" s="268" t="s">
        <v>26</v>
      </c>
      <c r="E21" s="271"/>
      <c r="F21" s="271"/>
      <c r="G21" s="271"/>
      <c r="H21" s="271"/>
      <c r="I21" s="268" t="s">
        <v>23</v>
      </c>
      <c r="J21" s="273" t="str">
        <f>'Rekapitulace stavby'!AN13</f>
        <v/>
      </c>
      <c r="K21" s="271"/>
      <c r="L21" s="64"/>
      <c r="S21" s="23"/>
      <c r="T21" s="23"/>
      <c r="U21" s="23"/>
      <c r="V21" s="23"/>
      <c r="W21" s="23"/>
      <c r="X21" s="23"/>
      <c r="Y21" s="23"/>
      <c r="Z21" s="23"/>
      <c r="AA21" s="23"/>
      <c r="AB21" s="23"/>
      <c r="AC21" s="23"/>
      <c r="AD21" s="23"/>
      <c r="AE21" s="23"/>
    </row>
    <row r="22" spans="1:31" s="2" customFormat="1" ht="18" customHeight="1">
      <c r="A22" s="271"/>
      <c r="B22" s="270"/>
      <c r="C22" s="271"/>
      <c r="D22" s="271"/>
      <c r="E22" s="714" t="str">
        <f>'Rekapitulace stavby'!E14</f>
        <v xml:space="preserve"> </v>
      </c>
      <c r="F22" s="714"/>
      <c r="G22" s="714"/>
      <c r="H22" s="714"/>
      <c r="I22" s="268" t="s">
        <v>25</v>
      </c>
      <c r="J22" s="273" t="str">
        <f>'Rekapitulace stavby'!AN14</f>
        <v/>
      </c>
      <c r="K22" s="271"/>
      <c r="L22" s="64"/>
      <c r="S22" s="23"/>
      <c r="T22" s="23"/>
      <c r="U22" s="23"/>
      <c r="V22" s="23"/>
      <c r="W22" s="23"/>
      <c r="X22" s="23"/>
      <c r="Y22" s="23"/>
      <c r="Z22" s="23"/>
      <c r="AA22" s="23"/>
      <c r="AB22" s="23"/>
      <c r="AC22" s="23"/>
      <c r="AD22" s="23"/>
      <c r="AE22" s="23"/>
    </row>
    <row r="23" spans="1:31" s="2" customFormat="1" ht="6.95" customHeight="1">
      <c r="A23" s="271"/>
      <c r="B23" s="270"/>
      <c r="C23" s="271"/>
      <c r="D23" s="271"/>
      <c r="E23" s="271"/>
      <c r="F23" s="271"/>
      <c r="G23" s="271"/>
      <c r="H23" s="271"/>
      <c r="I23" s="271"/>
      <c r="J23" s="271"/>
      <c r="K23" s="271"/>
      <c r="L23" s="64"/>
      <c r="S23" s="23"/>
      <c r="T23" s="23"/>
      <c r="U23" s="23"/>
      <c r="V23" s="23"/>
      <c r="W23" s="23"/>
      <c r="X23" s="23"/>
      <c r="Y23" s="23"/>
      <c r="Z23" s="23"/>
      <c r="AA23" s="23"/>
      <c r="AB23" s="23"/>
      <c r="AC23" s="23"/>
      <c r="AD23" s="23"/>
      <c r="AE23" s="23"/>
    </row>
    <row r="24" spans="1:31" s="2" customFormat="1" ht="12" customHeight="1">
      <c r="A24" s="271"/>
      <c r="B24" s="270"/>
      <c r="C24" s="271"/>
      <c r="D24" s="268" t="s">
        <v>28</v>
      </c>
      <c r="E24" s="271"/>
      <c r="F24" s="271"/>
      <c r="G24" s="271"/>
      <c r="H24" s="271"/>
      <c r="I24" s="268" t="s">
        <v>23</v>
      </c>
      <c r="J24" s="273" t="s">
        <v>3</v>
      </c>
      <c r="K24" s="271"/>
      <c r="L24" s="64"/>
      <c r="S24" s="23"/>
      <c r="T24" s="23"/>
      <c r="U24" s="23"/>
      <c r="V24" s="23"/>
      <c r="W24" s="23"/>
      <c r="X24" s="23"/>
      <c r="Y24" s="23"/>
      <c r="Z24" s="23"/>
      <c r="AA24" s="23"/>
      <c r="AB24" s="23"/>
      <c r="AC24" s="23"/>
      <c r="AD24" s="23"/>
      <c r="AE24" s="23"/>
    </row>
    <row r="25" spans="1:31" s="2" customFormat="1" ht="18" customHeight="1">
      <c r="A25" s="271"/>
      <c r="B25" s="270"/>
      <c r="C25" s="271"/>
      <c r="D25" s="271"/>
      <c r="E25" s="273" t="s">
        <v>29</v>
      </c>
      <c r="F25" s="271"/>
      <c r="G25" s="271"/>
      <c r="H25" s="271"/>
      <c r="I25" s="268" t="s">
        <v>25</v>
      </c>
      <c r="J25" s="273" t="s">
        <v>3</v>
      </c>
      <c r="K25" s="271"/>
      <c r="L25" s="64"/>
      <c r="S25" s="23"/>
      <c r="T25" s="23"/>
      <c r="U25" s="23"/>
      <c r="V25" s="23"/>
      <c r="W25" s="23"/>
      <c r="X25" s="23"/>
      <c r="Y25" s="23"/>
      <c r="Z25" s="23"/>
      <c r="AA25" s="23"/>
      <c r="AB25" s="23"/>
      <c r="AC25" s="23"/>
      <c r="AD25" s="23"/>
      <c r="AE25" s="23"/>
    </row>
    <row r="26" spans="1:31" s="2" customFormat="1" ht="6.95" customHeight="1">
      <c r="A26" s="271"/>
      <c r="B26" s="270"/>
      <c r="C26" s="271"/>
      <c r="D26" s="271"/>
      <c r="E26" s="271"/>
      <c r="F26" s="271"/>
      <c r="G26" s="271"/>
      <c r="H26" s="271"/>
      <c r="I26" s="271"/>
      <c r="J26" s="271"/>
      <c r="K26" s="271"/>
      <c r="L26" s="64"/>
      <c r="S26" s="23"/>
      <c r="T26" s="23"/>
      <c r="U26" s="23"/>
      <c r="V26" s="23"/>
      <c r="W26" s="23"/>
      <c r="X26" s="23"/>
      <c r="Y26" s="23"/>
      <c r="Z26" s="23"/>
      <c r="AA26" s="23"/>
      <c r="AB26" s="23"/>
      <c r="AC26" s="23"/>
      <c r="AD26" s="23"/>
      <c r="AE26" s="23"/>
    </row>
    <row r="27" spans="1:31" s="2" customFormat="1" ht="12" customHeight="1">
      <c r="A27" s="271"/>
      <c r="B27" s="270"/>
      <c r="C27" s="271"/>
      <c r="D27" s="268" t="s">
        <v>31</v>
      </c>
      <c r="E27" s="271"/>
      <c r="F27" s="271"/>
      <c r="G27" s="271"/>
      <c r="H27" s="271"/>
      <c r="I27" s="268" t="s">
        <v>23</v>
      </c>
      <c r="J27" s="273" t="s">
        <v>3</v>
      </c>
      <c r="K27" s="271"/>
      <c r="L27" s="64"/>
      <c r="S27" s="23"/>
      <c r="T27" s="23"/>
      <c r="U27" s="23"/>
      <c r="V27" s="23"/>
      <c r="W27" s="23"/>
      <c r="X27" s="23"/>
      <c r="Y27" s="23"/>
      <c r="Z27" s="23"/>
      <c r="AA27" s="23"/>
      <c r="AB27" s="23"/>
      <c r="AC27" s="23"/>
      <c r="AD27" s="23"/>
      <c r="AE27" s="23"/>
    </row>
    <row r="28" spans="1:31" s="2" customFormat="1" ht="18" customHeight="1">
      <c r="A28" s="271"/>
      <c r="B28" s="270"/>
      <c r="C28" s="271"/>
      <c r="D28" s="271"/>
      <c r="E28" s="273" t="s">
        <v>29</v>
      </c>
      <c r="F28" s="271"/>
      <c r="G28" s="271"/>
      <c r="H28" s="271"/>
      <c r="I28" s="268" t="s">
        <v>25</v>
      </c>
      <c r="J28" s="273" t="s">
        <v>3</v>
      </c>
      <c r="K28" s="271"/>
      <c r="L28" s="64"/>
      <c r="S28" s="23"/>
      <c r="T28" s="23"/>
      <c r="U28" s="23"/>
      <c r="V28" s="23"/>
      <c r="W28" s="23"/>
      <c r="X28" s="23"/>
      <c r="Y28" s="23"/>
      <c r="Z28" s="23"/>
      <c r="AA28" s="23"/>
      <c r="AB28" s="23"/>
      <c r="AC28" s="23"/>
      <c r="AD28" s="23"/>
      <c r="AE28" s="23"/>
    </row>
    <row r="29" spans="1:31" s="2" customFormat="1" ht="6.95" customHeight="1">
      <c r="A29" s="271"/>
      <c r="B29" s="270"/>
      <c r="C29" s="271"/>
      <c r="D29" s="271"/>
      <c r="E29" s="271"/>
      <c r="F29" s="271"/>
      <c r="G29" s="271"/>
      <c r="H29" s="271"/>
      <c r="I29" s="271"/>
      <c r="J29" s="271"/>
      <c r="K29" s="271"/>
      <c r="L29" s="64"/>
      <c r="S29" s="23"/>
      <c r="T29" s="23"/>
      <c r="U29" s="23"/>
      <c r="V29" s="23"/>
      <c r="W29" s="23"/>
      <c r="X29" s="23"/>
      <c r="Y29" s="23"/>
      <c r="Z29" s="23"/>
      <c r="AA29" s="23"/>
      <c r="AB29" s="23"/>
      <c r="AC29" s="23"/>
      <c r="AD29" s="23"/>
      <c r="AE29" s="23"/>
    </row>
    <row r="30" spans="1:31" s="2" customFormat="1" ht="12" customHeight="1">
      <c r="A30" s="271"/>
      <c r="B30" s="270"/>
      <c r="C30" s="271"/>
      <c r="D30" s="268" t="s">
        <v>32</v>
      </c>
      <c r="E30" s="271"/>
      <c r="F30" s="271"/>
      <c r="G30" s="271"/>
      <c r="H30" s="271"/>
      <c r="I30" s="271"/>
      <c r="J30" s="271"/>
      <c r="K30" s="271"/>
      <c r="L30" s="64"/>
      <c r="S30" s="23"/>
      <c r="T30" s="23"/>
      <c r="U30" s="23"/>
      <c r="V30" s="23"/>
      <c r="W30" s="23"/>
      <c r="X30" s="23"/>
      <c r="Y30" s="23"/>
      <c r="Z30" s="23"/>
      <c r="AA30" s="23"/>
      <c r="AB30" s="23"/>
      <c r="AC30" s="23"/>
      <c r="AD30" s="23"/>
      <c r="AE30" s="23"/>
    </row>
    <row r="31" spans="1:31" s="8" customFormat="1" ht="14.45" customHeight="1">
      <c r="A31" s="274"/>
      <c r="B31" s="275"/>
      <c r="C31" s="274"/>
      <c r="D31" s="274"/>
      <c r="E31" s="707" t="s">
        <v>3</v>
      </c>
      <c r="F31" s="707"/>
      <c r="G31" s="707"/>
      <c r="H31" s="707"/>
      <c r="I31" s="274"/>
      <c r="J31" s="274"/>
      <c r="K31" s="274"/>
      <c r="L31" s="66"/>
      <c r="S31" s="65"/>
      <c r="T31" s="65"/>
      <c r="U31" s="65"/>
      <c r="V31" s="65"/>
      <c r="W31" s="65"/>
      <c r="X31" s="65"/>
      <c r="Y31" s="65"/>
      <c r="Z31" s="65"/>
      <c r="AA31" s="65"/>
      <c r="AB31" s="65"/>
      <c r="AC31" s="65"/>
      <c r="AD31" s="65"/>
      <c r="AE31" s="65"/>
    </row>
    <row r="32" spans="1:31" s="2" customFormat="1" ht="6.95" customHeight="1">
      <c r="A32" s="271"/>
      <c r="B32" s="270"/>
      <c r="C32" s="271"/>
      <c r="D32" s="271"/>
      <c r="E32" s="271"/>
      <c r="F32" s="271"/>
      <c r="G32" s="271"/>
      <c r="H32" s="271"/>
      <c r="I32" s="271"/>
      <c r="J32" s="271"/>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25.35" customHeight="1">
      <c r="A34" s="271"/>
      <c r="B34" s="270"/>
      <c r="C34" s="271"/>
      <c r="D34" s="277" t="s">
        <v>34</v>
      </c>
      <c r="E34" s="271"/>
      <c r="F34" s="271"/>
      <c r="G34" s="271"/>
      <c r="H34" s="271"/>
      <c r="I34" s="271"/>
      <c r="J34" s="388">
        <f>ROUND(J93, 2)</f>
        <v>0</v>
      </c>
      <c r="K34" s="271"/>
      <c r="L34" s="64"/>
      <c r="S34" s="23"/>
      <c r="T34" s="23"/>
      <c r="U34" s="23"/>
      <c r="V34" s="23"/>
      <c r="W34" s="23"/>
      <c r="X34" s="23"/>
      <c r="Y34" s="23"/>
      <c r="Z34" s="23"/>
      <c r="AA34" s="23"/>
      <c r="AB34" s="23"/>
      <c r="AC34" s="23"/>
      <c r="AD34" s="23"/>
      <c r="AE34" s="23"/>
    </row>
    <row r="35" spans="1:31" s="2" customFormat="1" ht="6.95" customHeight="1">
      <c r="A35" s="271"/>
      <c r="B35" s="270"/>
      <c r="C35" s="271"/>
      <c r="D35" s="276"/>
      <c r="E35" s="276"/>
      <c r="F35" s="276"/>
      <c r="G35" s="276"/>
      <c r="H35" s="276"/>
      <c r="I35" s="276"/>
      <c r="J35" s="276"/>
      <c r="K35" s="276"/>
      <c r="L35" s="64"/>
      <c r="S35" s="23"/>
      <c r="T35" s="23"/>
      <c r="U35" s="23"/>
      <c r="V35" s="23"/>
      <c r="W35" s="23"/>
      <c r="X35" s="23"/>
      <c r="Y35" s="23"/>
      <c r="Z35" s="23"/>
      <c r="AA35" s="23"/>
      <c r="AB35" s="23"/>
      <c r="AC35" s="23"/>
      <c r="AD35" s="23"/>
      <c r="AE35" s="23"/>
    </row>
    <row r="36" spans="1:31" s="2" customFormat="1" ht="14.45" customHeight="1">
      <c r="A36" s="271"/>
      <c r="B36" s="270"/>
      <c r="C36" s="271"/>
      <c r="D36" s="271"/>
      <c r="E36" s="271"/>
      <c r="F36" s="278" t="s">
        <v>36</v>
      </c>
      <c r="G36" s="271"/>
      <c r="H36" s="271"/>
      <c r="I36" s="278" t="s">
        <v>35</v>
      </c>
      <c r="J36" s="278" t="s">
        <v>37</v>
      </c>
      <c r="K36" s="271"/>
      <c r="L36" s="64"/>
      <c r="S36" s="23"/>
      <c r="T36" s="23"/>
      <c r="U36" s="23"/>
      <c r="V36" s="23"/>
      <c r="W36" s="23"/>
      <c r="X36" s="23"/>
      <c r="Y36" s="23"/>
      <c r="Z36" s="23"/>
      <c r="AA36" s="23"/>
      <c r="AB36" s="23"/>
      <c r="AC36" s="23"/>
      <c r="AD36" s="23"/>
      <c r="AE36" s="23"/>
    </row>
    <row r="37" spans="1:31" s="2" customFormat="1" ht="14.45" customHeight="1">
      <c r="A37" s="271"/>
      <c r="B37" s="270"/>
      <c r="C37" s="271"/>
      <c r="D37" s="279" t="s">
        <v>38</v>
      </c>
      <c r="E37" s="268" t="s">
        <v>39</v>
      </c>
      <c r="F37" s="280">
        <f>ROUND((SUM(BE93:BE96)),  2)</f>
        <v>0</v>
      </c>
      <c r="G37" s="271"/>
      <c r="H37" s="271"/>
      <c r="I37" s="389">
        <v>0.21</v>
      </c>
      <c r="J37" s="280">
        <f>ROUND(((SUM(BE93:BE96))*I37),  2)</f>
        <v>0</v>
      </c>
      <c r="K37" s="271"/>
      <c r="L37" s="64"/>
      <c r="S37" s="23"/>
      <c r="T37" s="23"/>
      <c r="U37" s="23"/>
      <c r="V37" s="23"/>
      <c r="W37" s="23"/>
      <c r="X37" s="23"/>
      <c r="Y37" s="23"/>
      <c r="Z37" s="23"/>
      <c r="AA37" s="23"/>
      <c r="AB37" s="23"/>
      <c r="AC37" s="23"/>
      <c r="AD37" s="23"/>
      <c r="AE37" s="23"/>
    </row>
    <row r="38" spans="1:31" s="2" customFormat="1" ht="14.45" customHeight="1">
      <c r="A38" s="271"/>
      <c r="B38" s="270"/>
      <c r="C38" s="271"/>
      <c r="D38" s="271"/>
      <c r="E38" s="268" t="s">
        <v>40</v>
      </c>
      <c r="F38" s="280">
        <f>ROUND((SUM(BF93:BF96)),  2)</f>
        <v>0</v>
      </c>
      <c r="G38" s="271"/>
      <c r="H38" s="271"/>
      <c r="I38" s="389">
        <v>0.15</v>
      </c>
      <c r="J38" s="280">
        <f>ROUND(((SUM(BF93:BF96))*I38),  2)</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41</v>
      </c>
      <c r="F39" s="280">
        <f>ROUND((SUM(BG93:BG96)),  2)</f>
        <v>0</v>
      </c>
      <c r="G39" s="271"/>
      <c r="H39" s="271"/>
      <c r="I39" s="389">
        <v>0.21</v>
      </c>
      <c r="J39" s="280">
        <f>0</f>
        <v>0</v>
      </c>
      <c r="K39" s="271"/>
      <c r="L39" s="64"/>
      <c r="S39" s="23"/>
      <c r="T39" s="23"/>
      <c r="U39" s="23"/>
      <c r="V39" s="23"/>
      <c r="W39" s="23"/>
      <c r="X39" s="23"/>
      <c r="Y39" s="23"/>
      <c r="Z39" s="23"/>
      <c r="AA39" s="23"/>
      <c r="AB39" s="23"/>
      <c r="AC39" s="23"/>
      <c r="AD39" s="23"/>
      <c r="AE39" s="23"/>
    </row>
    <row r="40" spans="1:31" s="2" customFormat="1" ht="14.45" hidden="1" customHeight="1">
      <c r="A40" s="271"/>
      <c r="B40" s="270"/>
      <c r="C40" s="271"/>
      <c r="D40" s="271"/>
      <c r="E40" s="268" t="s">
        <v>42</v>
      </c>
      <c r="F40" s="280">
        <f>ROUND((SUM(BH93:BH96)),  2)</f>
        <v>0</v>
      </c>
      <c r="G40" s="271"/>
      <c r="H40" s="271"/>
      <c r="I40" s="389">
        <v>0.15</v>
      </c>
      <c r="J40" s="280">
        <f>0</f>
        <v>0</v>
      </c>
      <c r="K40" s="271"/>
      <c r="L40" s="64"/>
      <c r="S40" s="23"/>
      <c r="T40" s="23"/>
      <c r="U40" s="23"/>
      <c r="V40" s="23"/>
      <c r="W40" s="23"/>
      <c r="X40" s="23"/>
      <c r="Y40" s="23"/>
      <c r="Z40" s="23"/>
      <c r="AA40" s="23"/>
      <c r="AB40" s="23"/>
      <c r="AC40" s="23"/>
      <c r="AD40" s="23"/>
      <c r="AE40" s="23"/>
    </row>
    <row r="41" spans="1:31" s="2" customFormat="1" ht="14.45" hidden="1" customHeight="1">
      <c r="A41" s="271"/>
      <c r="B41" s="270"/>
      <c r="C41" s="271"/>
      <c r="D41" s="271"/>
      <c r="E41" s="268" t="s">
        <v>43</v>
      </c>
      <c r="F41" s="280">
        <f>ROUND((SUM(BI93:BI96)),  2)</f>
        <v>0</v>
      </c>
      <c r="G41" s="271"/>
      <c r="H41" s="271"/>
      <c r="I41" s="389">
        <v>0</v>
      </c>
      <c r="J41" s="280">
        <f>0</f>
        <v>0</v>
      </c>
      <c r="K41" s="271"/>
      <c r="L41" s="64"/>
      <c r="S41" s="23"/>
      <c r="T41" s="23"/>
      <c r="U41" s="23"/>
      <c r="V41" s="23"/>
      <c r="W41" s="23"/>
      <c r="X41" s="23"/>
      <c r="Y41" s="23"/>
      <c r="Z41" s="23"/>
      <c r="AA41" s="23"/>
      <c r="AB41" s="23"/>
      <c r="AC41" s="23"/>
      <c r="AD41" s="23"/>
      <c r="AE41" s="23"/>
    </row>
    <row r="42" spans="1:31" s="2" customFormat="1" ht="6.95" customHeight="1">
      <c r="A42" s="271"/>
      <c r="B42" s="270"/>
      <c r="C42" s="271"/>
      <c r="D42" s="271"/>
      <c r="E42" s="271"/>
      <c r="F42" s="271"/>
      <c r="G42" s="271"/>
      <c r="H42" s="271"/>
      <c r="I42" s="271"/>
      <c r="J42" s="271"/>
      <c r="K42" s="271"/>
      <c r="L42" s="64"/>
      <c r="S42" s="23"/>
      <c r="T42" s="23"/>
      <c r="U42" s="23"/>
      <c r="V42" s="23"/>
      <c r="W42" s="23"/>
      <c r="X42" s="23"/>
      <c r="Y42" s="23"/>
      <c r="Z42" s="23"/>
      <c r="AA42" s="23"/>
      <c r="AB42" s="23"/>
      <c r="AC42" s="23"/>
      <c r="AD42" s="23"/>
      <c r="AE42" s="23"/>
    </row>
    <row r="43" spans="1:31" s="2" customFormat="1" ht="25.35" customHeight="1">
      <c r="A43" s="271"/>
      <c r="B43" s="270"/>
      <c r="C43" s="281"/>
      <c r="D43" s="282" t="s">
        <v>44</v>
      </c>
      <c r="E43" s="283"/>
      <c r="F43" s="283"/>
      <c r="G43" s="284" t="s">
        <v>45</v>
      </c>
      <c r="H43" s="285" t="s">
        <v>46</v>
      </c>
      <c r="I43" s="283"/>
      <c r="J43" s="390">
        <f>SUM(J34:J41)</f>
        <v>0</v>
      </c>
      <c r="K43" s="339"/>
      <c r="L43" s="64"/>
      <c r="S43" s="23"/>
      <c r="T43" s="23"/>
      <c r="U43" s="23"/>
      <c r="V43" s="23"/>
      <c r="W43" s="23"/>
      <c r="X43" s="23"/>
      <c r="Y43" s="23"/>
      <c r="Z43" s="23"/>
      <c r="AA43" s="23"/>
      <c r="AB43" s="23"/>
      <c r="AC43" s="23"/>
      <c r="AD43" s="23"/>
      <c r="AE43" s="23"/>
    </row>
    <row r="44" spans="1:31" s="2" customFormat="1" ht="14.45" customHeight="1">
      <c r="A44" s="271"/>
      <c r="B44" s="286"/>
      <c r="C44" s="287"/>
      <c r="D44" s="287"/>
      <c r="E44" s="287"/>
      <c r="F44" s="287"/>
      <c r="G44" s="287"/>
      <c r="H44" s="287"/>
      <c r="I44" s="287"/>
      <c r="J44" s="287"/>
      <c r="K44" s="287"/>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1"/>
      <c r="B48" s="288"/>
      <c r="C48" s="289"/>
      <c r="D48" s="289"/>
      <c r="E48" s="289"/>
      <c r="F48" s="289"/>
      <c r="G48" s="289"/>
      <c r="H48" s="289"/>
      <c r="I48" s="289"/>
      <c r="J48" s="289"/>
      <c r="K48" s="289"/>
      <c r="L48" s="64"/>
      <c r="S48" s="23"/>
      <c r="T48" s="23"/>
      <c r="U48" s="23"/>
      <c r="V48" s="23"/>
      <c r="W48" s="23"/>
      <c r="X48" s="23"/>
      <c r="Y48" s="23"/>
      <c r="Z48" s="23"/>
      <c r="AA48" s="23"/>
      <c r="AB48" s="23"/>
      <c r="AC48" s="23"/>
      <c r="AD48" s="23"/>
      <c r="AE48" s="23"/>
    </row>
    <row r="49" spans="1:31" s="2" customFormat="1" ht="24.95" customHeight="1">
      <c r="A49" s="271"/>
      <c r="B49" s="270"/>
      <c r="C49" s="266" t="s">
        <v>167</v>
      </c>
      <c r="D49" s="271"/>
      <c r="E49" s="271"/>
      <c r="F49" s="271"/>
      <c r="G49" s="271"/>
      <c r="H49" s="271"/>
      <c r="I49" s="271"/>
      <c r="J49" s="271"/>
      <c r="K49" s="271"/>
      <c r="L49" s="64"/>
      <c r="S49" s="23"/>
      <c r="T49" s="23"/>
      <c r="U49" s="23"/>
      <c r="V49" s="23"/>
      <c r="W49" s="23"/>
      <c r="X49" s="23"/>
      <c r="Y49" s="23"/>
      <c r="Z49" s="23"/>
      <c r="AA49" s="23"/>
      <c r="AB49" s="23"/>
      <c r="AC49" s="23"/>
      <c r="AD49" s="23"/>
      <c r="AE49" s="23"/>
    </row>
    <row r="50" spans="1:31" s="2" customFormat="1" ht="6.95" customHeight="1">
      <c r="A50" s="271"/>
      <c r="B50" s="270"/>
      <c r="C50" s="271"/>
      <c r="D50" s="271"/>
      <c r="E50" s="271"/>
      <c r="F50" s="271"/>
      <c r="G50" s="271"/>
      <c r="H50" s="271"/>
      <c r="I50" s="271"/>
      <c r="J50" s="271"/>
      <c r="K50" s="271"/>
      <c r="L50" s="64"/>
      <c r="S50" s="23"/>
      <c r="T50" s="23"/>
      <c r="U50" s="23"/>
      <c r="V50" s="23"/>
      <c r="W50" s="23"/>
      <c r="X50" s="23"/>
      <c r="Y50" s="23"/>
      <c r="Z50" s="23"/>
      <c r="AA50" s="23"/>
      <c r="AB50" s="23"/>
      <c r="AC50" s="23"/>
      <c r="AD50" s="23"/>
      <c r="AE50" s="23"/>
    </row>
    <row r="51" spans="1:31" s="2" customFormat="1" ht="12" customHeight="1">
      <c r="A51" s="271"/>
      <c r="B51" s="270"/>
      <c r="C51" s="268" t="s">
        <v>15</v>
      </c>
      <c r="D51" s="271"/>
      <c r="E51" s="271"/>
      <c r="F51" s="271"/>
      <c r="G51" s="271"/>
      <c r="H51" s="271"/>
      <c r="I51" s="271"/>
      <c r="J51" s="271"/>
      <c r="K51" s="271"/>
      <c r="L51" s="64"/>
      <c r="S51" s="23"/>
      <c r="T51" s="23"/>
      <c r="U51" s="23"/>
      <c r="V51" s="23"/>
      <c r="W51" s="23"/>
      <c r="X51" s="23"/>
      <c r="Y51" s="23"/>
      <c r="Z51" s="23"/>
      <c r="AA51" s="23"/>
      <c r="AB51" s="23"/>
      <c r="AC51" s="23"/>
      <c r="AD51" s="23"/>
      <c r="AE51" s="23"/>
    </row>
    <row r="52" spans="1:31" s="2" customFormat="1" ht="14.45" customHeight="1">
      <c r="A52" s="271"/>
      <c r="B52" s="270"/>
      <c r="C52" s="271"/>
      <c r="D52" s="271"/>
      <c r="E52" s="722" t="str">
        <f>E7</f>
        <v>Úpravy gastroprovozu Úřadu vlády ČR v 1.pp Strakovy akademie</v>
      </c>
      <c r="F52" s="723"/>
      <c r="G52" s="723"/>
      <c r="H52" s="723"/>
      <c r="I52" s="271"/>
      <c r="J52" s="271"/>
      <c r="K52" s="271"/>
      <c r="L52" s="64"/>
      <c r="S52" s="23"/>
      <c r="T52" s="23"/>
      <c r="U52" s="23"/>
      <c r="V52" s="23"/>
      <c r="W52" s="23"/>
      <c r="X52" s="23"/>
      <c r="Y52" s="23"/>
      <c r="Z52" s="23"/>
      <c r="AA52" s="23"/>
      <c r="AB52" s="23"/>
      <c r="AC52" s="23"/>
      <c r="AD52" s="23"/>
      <c r="AE52" s="23"/>
    </row>
    <row r="53" spans="1:31" s="1" customFormat="1" ht="12" customHeight="1">
      <c r="A53" s="61"/>
      <c r="B53" s="265"/>
      <c r="C53" s="268" t="s">
        <v>151</v>
      </c>
      <c r="D53" s="61"/>
      <c r="E53" s="61"/>
      <c r="F53" s="61"/>
      <c r="G53" s="61"/>
      <c r="H53" s="61"/>
      <c r="I53" s="61"/>
      <c r="J53" s="61"/>
      <c r="K53" s="61"/>
      <c r="L53" s="20"/>
    </row>
    <row r="54" spans="1:31" s="1" customFormat="1" ht="14.45" customHeight="1">
      <c r="A54" s="61"/>
      <c r="B54" s="265"/>
      <c r="C54" s="61"/>
      <c r="D54" s="61"/>
      <c r="E54" s="722" t="s">
        <v>1759</v>
      </c>
      <c r="F54" s="715"/>
      <c r="G54" s="715"/>
      <c r="H54" s="715"/>
      <c r="I54" s="61"/>
      <c r="J54" s="61"/>
      <c r="K54" s="61"/>
      <c r="L54" s="20"/>
    </row>
    <row r="55" spans="1:31" s="1" customFormat="1" ht="12" customHeight="1">
      <c r="A55" s="61"/>
      <c r="B55" s="265"/>
      <c r="C55" s="268" t="s">
        <v>157</v>
      </c>
      <c r="D55" s="61"/>
      <c r="E55" s="61"/>
      <c r="F55" s="61"/>
      <c r="G55" s="61"/>
      <c r="H55" s="61"/>
      <c r="I55" s="61"/>
      <c r="J55" s="61"/>
      <c r="K55" s="61"/>
      <c r="L55" s="20"/>
    </row>
    <row r="56" spans="1:31" s="2" customFormat="1" ht="14.45" customHeight="1">
      <c r="A56" s="271"/>
      <c r="B56" s="270"/>
      <c r="C56" s="271"/>
      <c r="D56" s="271"/>
      <c r="E56" s="762" t="s">
        <v>1795</v>
      </c>
      <c r="F56" s="721"/>
      <c r="G56" s="721"/>
      <c r="H56" s="721"/>
      <c r="I56" s="271"/>
      <c r="J56" s="271"/>
      <c r="K56" s="271"/>
      <c r="L56" s="64"/>
      <c r="S56" s="23"/>
      <c r="T56" s="23"/>
      <c r="U56" s="23"/>
      <c r="V56" s="23"/>
      <c r="W56" s="23"/>
      <c r="X56" s="23"/>
      <c r="Y56" s="23"/>
      <c r="Z56" s="23"/>
      <c r="AA56" s="23"/>
      <c r="AB56" s="23"/>
      <c r="AC56" s="23"/>
      <c r="AD56" s="23"/>
      <c r="AE56" s="23"/>
    </row>
    <row r="57" spans="1:31" s="2" customFormat="1" ht="12" customHeight="1">
      <c r="A57" s="271"/>
      <c r="B57" s="270"/>
      <c r="C57" s="268" t="s">
        <v>1777</v>
      </c>
      <c r="D57" s="271"/>
      <c r="E57" s="271"/>
      <c r="F57" s="271"/>
      <c r="G57" s="271"/>
      <c r="H57" s="271"/>
      <c r="I57" s="271"/>
      <c r="J57" s="271"/>
      <c r="K57" s="271"/>
      <c r="L57" s="64"/>
      <c r="S57" s="23"/>
      <c r="T57" s="23"/>
      <c r="U57" s="23"/>
      <c r="V57" s="23"/>
      <c r="W57" s="23"/>
      <c r="X57" s="23"/>
      <c r="Y57" s="23"/>
      <c r="Z57" s="23"/>
      <c r="AA57" s="23"/>
      <c r="AB57" s="23"/>
      <c r="AC57" s="23"/>
      <c r="AD57" s="23"/>
      <c r="AE57" s="23"/>
    </row>
    <row r="58" spans="1:31" s="2" customFormat="1" ht="14.45" customHeight="1">
      <c r="A58" s="271"/>
      <c r="B58" s="270"/>
      <c r="C58" s="271"/>
      <c r="D58" s="271"/>
      <c r="E58" s="689" t="str">
        <f>E13</f>
        <v>D.1.4.06.4 - Soupis prací - Gastro demontáž</v>
      </c>
      <c r="F58" s="721"/>
      <c r="G58" s="721"/>
      <c r="H58" s="721"/>
      <c r="I58" s="271"/>
      <c r="J58" s="271"/>
      <c r="K58" s="271"/>
      <c r="L58" s="64"/>
      <c r="S58" s="23"/>
      <c r="T58" s="23"/>
      <c r="U58" s="23"/>
      <c r="V58" s="23"/>
      <c r="W58" s="23"/>
      <c r="X58" s="23"/>
      <c r="Y58" s="23"/>
      <c r="Z58" s="23"/>
      <c r="AA58" s="23"/>
      <c r="AB58" s="23"/>
      <c r="AC58" s="23"/>
      <c r="AD58" s="23"/>
      <c r="AE58" s="23"/>
    </row>
    <row r="59" spans="1:31" s="2" customFormat="1" ht="6.95" customHeight="1">
      <c r="A59" s="271"/>
      <c r="B59" s="270"/>
      <c r="C59" s="271"/>
      <c r="D59" s="271"/>
      <c r="E59" s="271"/>
      <c r="F59" s="271"/>
      <c r="G59" s="271"/>
      <c r="H59" s="271"/>
      <c r="I59" s="271"/>
      <c r="J59" s="271"/>
      <c r="K59" s="271"/>
      <c r="L59" s="64"/>
      <c r="S59" s="23"/>
      <c r="T59" s="23"/>
      <c r="U59" s="23"/>
      <c r="V59" s="23"/>
      <c r="W59" s="23"/>
      <c r="X59" s="23"/>
      <c r="Y59" s="23"/>
      <c r="Z59" s="23"/>
      <c r="AA59" s="23"/>
      <c r="AB59" s="23"/>
      <c r="AC59" s="23"/>
      <c r="AD59" s="23"/>
      <c r="AE59" s="23"/>
    </row>
    <row r="60" spans="1:31" s="2" customFormat="1" ht="12" customHeight="1">
      <c r="A60" s="271"/>
      <c r="B60" s="270"/>
      <c r="C60" s="268" t="s">
        <v>19</v>
      </c>
      <c r="D60" s="271"/>
      <c r="E60" s="271"/>
      <c r="F60" s="273" t="str">
        <f>F16</f>
        <v xml:space="preserve"> </v>
      </c>
      <c r="G60" s="271"/>
      <c r="H60" s="271"/>
      <c r="I60" s="268" t="s">
        <v>21</v>
      </c>
      <c r="J60" s="387">
        <f>IF(J16="","",J16)</f>
        <v>44077</v>
      </c>
      <c r="K60" s="271"/>
      <c r="L60" s="64"/>
      <c r="S60" s="23"/>
      <c r="T60" s="23"/>
      <c r="U60" s="23"/>
      <c r="V60" s="23"/>
      <c r="W60" s="23"/>
      <c r="X60" s="23"/>
      <c r="Y60" s="23"/>
      <c r="Z60" s="23"/>
      <c r="AA60" s="23"/>
      <c r="AB60" s="23"/>
      <c r="AC60" s="23"/>
      <c r="AD60" s="23"/>
      <c r="AE60" s="23"/>
    </row>
    <row r="61" spans="1:31" s="2" customFormat="1" ht="6.95" customHeight="1">
      <c r="A61" s="271"/>
      <c r="B61" s="270"/>
      <c r="C61" s="271"/>
      <c r="D61" s="271"/>
      <c r="E61" s="271"/>
      <c r="F61" s="271"/>
      <c r="G61" s="271"/>
      <c r="H61" s="271"/>
      <c r="I61" s="271"/>
      <c r="J61" s="271"/>
      <c r="K61" s="271"/>
      <c r="L61" s="64"/>
      <c r="S61" s="23"/>
      <c r="T61" s="23"/>
      <c r="U61" s="23"/>
      <c r="V61" s="23"/>
      <c r="W61" s="23"/>
      <c r="X61" s="23"/>
      <c r="Y61" s="23"/>
      <c r="Z61" s="23"/>
      <c r="AA61" s="23"/>
      <c r="AB61" s="23"/>
      <c r="AC61" s="23"/>
      <c r="AD61" s="23"/>
      <c r="AE61" s="23"/>
    </row>
    <row r="62" spans="1:31" s="2" customFormat="1" ht="26.45" customHeight="1">
      <c r="A62" s="271"/>
      <c r="B62" s="270"/>
      <c r="C62" s="268" t="s">
        <v>22</v>
      </c>
      <c r="D62" s="271"/>
      <c r="E62" s="271"/>
      <c r="F62" s="273" t="str">
        <f>E19</f>
        <v xml:space="preserve">Úřad vlády České republiky </v>
      </c>
      <c r="G62" s="271"/>
      <c r="H62" s="271"/>
      <c r="I62" s="268" t="s">
        <v>28</v>
      </c>
      <c r="J62" s="391" t="str">
        <f>E25</f>
        <v>Ateliér Simona Group</v>
      </c>
      <c r="K62" s="271"/>
      <c r="L62" s="64"/>
      <c r="S62" s="23"/>
      <c r="T62" s="23"/>
      <c r="U62" s="23"/>
      <c r="V62" s="23"/>
      <c r="W62" s="23"/>
      <c r="X62" s="23"/>
      <c r="Y62" s="23"/>
      <c r="Z62" s="23"/>
      <c r="AA62" s="23"/>
      <c r="AB62" s="23"/>
      <c r="AC62" s="23"/>
      <c r="AD62" s="23"/>
      <c r="AE62" s="23"/>
    </row>
    <row r="63" spans="1:31" s="2" customFormat="1" ht="26.45" customHeight="1">
      <c r="A63" s="271"/>
      <c r="B63" s="270"/>
      <c r="C63" s="268" t="s">
        <v>26</v>
      </c>
      <c r="D63" s="271"/>
      <c r="E63" s="271"/>
      <c r="F63" s="273" t="str">
        <f>IF(E22="","",E22)</f>
        <v xml:space="preserve"> </v>
      </c>
      <c r="G63" s="271"/>
      <c r="H63" s="271"/>
      <c r="I63" s="268" t="s">
        <v>31</v>
      </c>
      <c r="J63" s="391" t="str">
        <f>E28</f>
        <v>Ateliér Simona Group</v>
      </c>
      <c r="K63" s="271"/>
      <c r="L63" s="64"/>
      <c r="S63" s="23"/>
      <c r="T63" s="23"/>
      <c r="U63" s="23"/>
      <c r="V63" s="23"/>
      <c r="W63" s="23"/>
      <c r="X63" s="23"/>
      <c r="Y63" s="23"/>
      <c r="Z63" s="23"/>
      <c r="AA63" s="23"/>
      <c r="AB63" s="23"/>
      <c r="AC63" s="23"/>
      <c r="AD63" s="23"/>
      <c r="AE63" s="23"/>
    </row>
    <row r="64" spans="1:31" s="2" customFormat="1" ht="10.35" customHeight="1">
      <c r="A64" s="271"/>
      <c r="B64" s="270"/>
      <c r="C64" s="271"/>
      <c r="D64" s="271"/>
      <c r="E64" s="271"/>
      <c r="F64" s="271"/>
      <c r="G64" s="271"/>
      <c r="H64" s="271"/>
      <c r="I64" s="271"/>
      <c r="J64" s="271"/>
      <c r="K64" s="271"/>
      <c r="L64" s="64"/>
      <c r="S64" s="23"/>
      <c r="T64" s="23"/>
      <c r="U64" s="23"/>
      <c r="V64" s="23"/>
      <c r="W64" s="23"/>
      <c r="X64" s="23"/>
      <c r="Y64" s="23"/>
      <c r="Z64" s="23"/>
      <c r="AA64" s="23"/>
      <c r="AB64" s="23"/>
      <c r="AC64" s="23"/>
      <c r="AD64" s="23"/>
      <c r="AE64" s="23"/>
    </row>
    <row r="65" spans="1:47" s="2" customFormat="1" ht="29.25" customHeight="1">
      <c r="A65" s="271"/>
      <c r="B65" s="270"/>
      <c r="C65" s="290" t="s">
        <v>168</v>
      </c>
      <c r="D65" s="281"/>
      <c r="E65" s="281"/>
      <c r="F65" s="281"/>
      <c r="G65" s="281"/>
      <c r="H65" s="281"/>
      <c r="I65" s="281"/>
      <c r="J65" s="392" t="s">
        <v>169</v>
      </c>
      <c r="K65" s="281"/>
      <c r="L65" s="64"/>
      <c r="S65" s="23"/>
      <c r="T65" s="23"/>
      <c r="U65" s="23"/>
      <c r="V65" s="23"/>
      <c r="W65" s="23"/>
      <c r="X65" s="23"/>
      <c r="Y65" s="23"/>
      <c r="Z65" s="23"/>
      <c r="AA65" s="23"/>
      <c r="AB65" s="23"/>
      <c r="AC65" s="23"/>
      <c r="AD65" s="23"/>
      <c r="AE65" s="23"/>
    </row>
    <row r="66" spans="1:47" s="2" customFormat="1" ht="10.35" customHeight="1">
      <c r="A66" s="271"/>
      <c r="B66" s="270"/>
      <c r="C66" s="271"/>
      <c r="D66" s="271"/>
      <c r="E66" s="271"/>
      <c r="F66" s="271"/>
      <c r="G66" s="271"/>
      <c r="H66" s="271"/>
      <c r="I66" s="271"/>
      <c r="J66" s="271"/>
      <c r="K66" s="271"/>
      <c r="L66" s="64"/>
      <c r="S66" s="23"/>
      <c r="T66" s="23"/>
      <c r="U66" s="23"/>
      <c r="V66" s="23"/>
      <c r="W66" s="23"/>
      <c r="X66" s="23"/>
      <c r="Y66" s="23"/>
      <c r="Z66" s="23"/>
      <c r="AA66" s="23"/>
      <c r="AB66" s="23"/>
      <c r="AC66" s="23"/>
      <c r="AD66" s="23"/>
      <c r="AE66" s="23"/>
    </row>
    <row r="67" spans="1:47" s="2" customFormat="1" ht="22.9" customHeight="1">
      <c r="A67" s="271"/>
      <c r="B67" s="270"/>
      <c r="C67" s="291" t="s">
        <v>66</v>
      </c>
      <c r="D67" s="271"/>
      <c r="E67" s="271"/>
      <c r="F67" s="271"/>
      <c r="G67" s="271"/>
      <c r="H67" s="271"/>
      <c r="I67" s="271"/>
      <c r="J67" s="388">
        <f>J93</f>
        <v>0</v>
      </c>
      <c r="K67" s="271"/>
      <c r="L67" s="64"/>
      <c r="S67" s="23"/>
      <c r="T67" s="23"/>
      <c r="U67" s="23"/>
      <c r="V67" s="23"/>
      <c r="W67" s="23"/>
      <c r="X67" s="23"/>
      <c r="Y67" s="23"/>
      <c r="Z67" s="23"/>
      <c r="AA67" s="23"/>
      <c r="AB67" s="23"/>
      <c r="AC67" s="23"/>
      <c r="AD67" s="23"/>
      <c r="AE67" s="23"/>
      <c r="AU67" s="19" t="s">
        <v>170</v>
      </c>
    </row>
    <row r="68" spans="1:47" s="9" customFormat="1" ht="24.95" customHeight="1">
      <c r="A68" s="292"/>
      <c r="B68" s="293"/>
      <c r="C68" s="292"/>
      <c r="D68" s="294" t="s">
        <v>181</v>
      </c>
      <c r="E68" s="295"/>
      <c r="F68" s="295"/>
      <c r="G68" s="295"/>
      <c r="H68" s="295"/>
      <c r="I68" s="295"/>
      <c r="J68" s="393">
        <f>J94</f>
        <v>0</v>
      </c>
      <c r="K68" s="292"/>
      <c r="L68" s="67"/>
    </row>
    <row r="69" spans="1:47" s="10" customFormat="1" ht="19.899999999999999" customHeight="1">
      <c r="A69" s="246"/>
      <c r="B69" s="296"/>
      <c r="C69" s="246"/>
      <c r="D69" s="297" t="s">
        <v>196</v>
      </c>
      <c r="E69" s="298"/>
      <c r="F69" s="298"/>
      <c r="G69" s="298"/>
      <c r="H69" s="298"/>
      <c r="I69" s="298"/>
      <c r="J69" s="394">
        <f>J95</f>
        <v>0</v>
      </c>
      <c r="K69" s="246"/>
      <c r="L69" s="68"/>
    </row>
    <row r="70" spans="1:47" s="2" customFormat="1" ht="21.75" customHeight="1">
      <c r="A70" s="271"/>
      <c r="B70" s="270"/>
      <c r="C70" s="271"/>
      <c r="D70" s="271"/>
      <c r="E70" s="271"/>
      <c r="F70" s="271"/>
      <c r="G70" s="271"/>
      <c r="H70" s="271"/>
      <c r="I70" s="271"/>
      <c r="J70" s="271"/>
      <c r="K70" s="271"/>
      <c r="L70" s="64"/>
      <c r="S70" s="23"/>
      <c r="T70" s="23"/>
      <c r="U70" s="23"/>
      <c r="V70" s="23"/>
      <c r="W70" s="23"/>
      <c r="X70" s="23"/>
      <c r="Y70" s="23"/>
      <c r="Z70" s="23"/>
      <c r="AA70" s="23"/>
      <c r="AB70" s="23"/>
      <c r="AC70" s="23"/>
      <c r="AD70" s="23"/>
      <c r="AE70" s="23"/>
    </row>
    <row r="71" spans="1:47" s="2" customFormat="1" ht="6.95" customHeight="1">
      <c r="A71" s="271"/>
      <c r="B71" s="286"/>
      <c r="C71" s="287"/>
      <c r="D71" s="287"/>
      <c r="E71" s="287"/>
      <c r="F71" s="287"/>
      <c r="G71" s="287"/>
      <c r="H71" s="287"/>
      <c r="I71" s="287"/>
      <c r="J71" s="287"/>
      <c r="K71" s="287"/>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1"/>
      <c r="B75" s="288"/>
      <c r="C75" s="289"/>
      <c r="D75" s="289"/>
      <c r="E75" s="289"/>
      <c r="F75" s="289"/>
      <c r="G75" s="289"/>
      <c r="H75" s="289"/>
      <c r="I75" s="289"/>
      <c r="J75" s="289"/>
      <c r="K75" s="289"/>
      <c r="L75" s="64"/>
      <c r="S75" s="23"/>
      <c r="T75" s="23"/>
      <c r="U75" s="23"/>
      <c r="V75" s="23"/>
      <c r="W75" s="23"/>
      <c r="X75" s="23"/>
      <c r="Y75" s="23"/>
      <c r="Z75" s="23"/>
      <c r="AA75" s="23"/>
      <c r="AB75" s="23"/>
      <c r="AC75" s="23"/>
      <c r="AD75" s="23"/>
      <c r="AE75" s="23"/>
    </row>
    <row r="76" spans="1:47" s="2" customFormat="1" ht="24.95" customHeight="1">
      <c r="A76" s="271"/>
      <c r="B76" s="270"/>
      <c r="C76" s="266" t="s">
        <v>201</v>
      </c>
      <c r="D76" s="271"/>
      <c r="E76" s="271"/>
      <c r="F76" s="271"/>
      <c r="G76" s="271"/>
      <c r="H76" s="271"/>
      <c r="I76" s="271"/>
      <c r="J76" s="271"/>
      <c r="K76" s="271"/>
      <c r="L76" s="64"/>
      <c r="S76" s="23"/>
      <c r="T76" s="23"/>
      <c r="U76" s="23"/>
      <c r="V76" s="23"/>
      <c r="W76" s="23"/>
      <c r="X76" s="23"/>
      <c r="Y76" s="23"/>
      <c r="Z76" s="23"/>
      <c r="AA76" s="23"/>
      <c r="AB76" s="23"/>
      <c r="AC76" s="23"/>
      <c r="AD76" s="23"/>
      <c r="AE76" s="23"/>
    </row>
    <row r="77" spans="1:47" s="2" customFormat="1" ht="6.95" customHeight="1">
      <c r="A77" s="271"/>
      <c r="B77" s="270"/>
      <c r="C77" s="271"/>
      <c r="D77" s="271"/>
      <c r="E77" s="271"/>
      <c r="F77" s="271"/>
      <c r="G77" s="271"/>
      <c r="H77" s="271"/>
      <c r="I77" s="271"/>
      <c r="J77" s="271"/>
      <c r="K77" s="271"/>
      <c r="L77" s="64"/>
      <c r="S77" s="23"/>
      <c r="T77" s="23"/>
      <c r="U77" s="23"/>
      <c r="V77" s="23"/>
      <c r="W77" s="23"/>
      <c r="X77" s="23"/>
      <c r="Y77" s="23"/>
      <c r="Z77" s="23"/>
      <c r="AA77" s="23"/>
      <c r="AB77" s="23"/>
      <c r="AC77" s="23"/>
      <c r="AD77" s="23"/>
      <c r="AE77" s="23"/>
    </row>
    <row r="78" spans="1:47" s="2" customFormat="1" ht="12" customHeight="1">
      <c r="A78" s="271"/>
      <c r="B78" s="270"/>
      <c r="C78" s="268" t="s">
        <v>15</v>
      </c>
      <c r="D78" s="271"/>
      <c r="E78" s="271"/>
      <c r="F78" s="271"/>
      <c r="G78" s="271"/>
      <c r="H78" s="271"/>
      <c r="I78" s="271"/>
      <c r="J78" s="271"/>
      <c r="K78" s="271"/>
      <c r="L78" s="64"/>
      <c r="S78" s="23"/>
      <c r="T78" s="23"/>
      <c r="U78" s="23"/>
      <c r="V78" s="23"/>
      <c r="W78" s="23"/>
      <c r="X78" s="23"/>
      <c r="Y78" s="23"/>
      <c r="Z78" s="23"/>
      <c r="AA78" s="23"/>
      <c r="AB78" s="23"/>
      <c r="AC78" s="23"/>
      <c r="AD78" s="23"/>
      <c r="AE78" s="23"/>
    </row>
    <row r="79" spans="1:47" s="2" customFormat="1" ht="14.45" customHeight="1">
      <c r="A79" s="271"/>
      <c r="B79" s="270"/>
      <c r="C79" s="271"/>
      <c r="D79" s="271"/>
      <c r="E79" s="722" t="str">
        <f>E7</f>
        <v>Úpravy gastroprovozu Úřadu vlády ČR v 1.pp Strakovy akademie</v>
      </c>
      <c r="F79" s="723"/>
      <c r="G79" s="723"/>
      <c r="H79" s="723"/>
      <c r="I79" s="271"/>
      <c r="J79" s="271"/>
      <c r="K79" s="271"/>
      <c r="L79" s="64"/>
      <c r="S79" s="23"/>
      <c r="T79" s="23"/>
      <c r="U79" s="23"/>
      <c r="V79" s="23"/>
      <c r="W79" s="23"/>
      <c r="X79" s="23"/>
      <c r="Y79" s="23"/>
      <c r="Z79" s="23"/>
      <c r="AA79" s="23"/>
      <c r="AB79" s="23"/>
      <c r="AC79" s="23"/>
      <c r="AD79" s="23"/>
      <c r="AE79" s="23"/>
    </row>
    <row r="80" spans="1:47" s="1" customFormat="1" ht="12" customHeight="1">
      <c r="A80" s="61"/>
      <c r="B80" s="265"/>
      <c r="C80" s="268" t="s">
        <v>151</v>
      </c>
      <c r="D80" s="61"/>
      <c r="E80" s="61"/>
      <c r="F80" s="61"/>
      <c r="G80" s="61"/>
      <c r="H80" s="61"/>
      <c r="I80" s="61"/>
      <c r="J80" s="61"/>
      <c r="K80" s="61"/>
      <c r="L80" s="20"/>
    </row>
    <row r="81" spans="1:65" s="1" customFormat="1" ht="14.45" customHeight="1">
      <c r="A81" s="61"/>
      <c r="B81" s="265"/>
      <c r="C81" s="61"/>
      <c r="D81" s="61"/>
      <c r="E81" s="722" t="s">
        <v>1759</v>
      </c>
      <c r="F81" s="715"/>
      <c r="G81" s="715"/>
      <c r="H81" s="715"/>
      <c r="I81" s="61"/>
      <c r="J81" s="61"/>
      <c r="K81" s="61"/>
      <c r="L81" s="20"/>
    </row>
    <row r="82" spans="1:65" s="1" customFormat="1" ht="12" customHeight="1">
      <c r="A82" s="61"/>
      <c r="B82" s="265"/>
      <c r="C82" s="268" t="s">
        <v>157</v>
      </c>
      <c r="D82" s="61"/>
      <c r="E82" s="61"/>
      <c r="F82" s="61"/>
      <c r="G82" s="61"/>
      <c r="H82" s="61"/>
      <c r="I82" s="61"/>
      <c r="J82" s="61"/>
      <c r="K82" s="61"/>
      <c r="L82" s="20"/>
    </row>
    <row r="83" spans="1:65" s="2" customFormat="1" ht="14.45" customHeight="1">
      <c r="A83" s="271"/>
      <c r="B83" s="270"/>
      <c r="C83" s="271"/>
      <c r="D83" s="271"/>
      <c r="E83" s="762" t="s">
        <v>1795</v>
      </c>
      <c r="F83" s="721"/>
      <c r="G83" s="721"/>
      <c r="H83" s="721"/>
      <c r="I83" s="271"/>
      <c r="J83" s="271"/>
      <c r="K83" s="271"/>
      <c r="L83" s="64"/>
      <c r="S83" s="23"/>
      <c r="T83" s="23"/>
      <c r="U83" s="23"/>
      <c r="V83" s="23"/>
      <c r="W83" s="23"/>
      <c r="X83" s="23"/>
      <c r="Y83" s="23"/>
      <c r="Z83" s="23"/>
      <c r="AA83" s="23"/>
      <c r="AB83" s="23"/>
      <c r="AC83" s="23"/>
      <c r="AD83" s="23"/>
      <c r="AE83" s="23"/>
    </row>
    <row r="84" spans="1:65" s="2" customFormat="1" ht="12" customHeight="1">
      <c r="A84" s="271"/>
      <c r="B84" s="270"/>
      <c r="C84" s="268" t="s">
        <v>1777</v>
      </c>
      <c r="D84" s="271"/>
      <c r="E84" s="271"/>
      <c r="F84" s="271"/>
      <c r="G84" s="271"/>
      <c r="H84" s="271"/>
      <c r="I84" s="271"/>
      <c r="J84" s="271"/>
      <c r="K84" s="271"/>
      <c r="L84" s="64"/>
      <c r="S84" s="23"/>
      <c r="T84" s="23"/>
      <c r="U84" s="23"/>
      <c r="V84" s="23"/>
      <c r="W84" s="23"/>
      <c r="X84" s="23"/>
      <c r="Y84" s="23"/>
      <c r="Z84" s="23"/>
      <c r="AA84" s="23"/>
      <c r="AB84" s="23"/>
      <c r="AC84" s="23"/>
      <c r="AD84" s="23"/>
      <c r="AE84" s="23"/>
    </row>
    <row r="85" spans="1:65" s="2" customFormat="1" ht="14.45" customHeight="1">
      <c r="A85" s="271"/>
      <c r="B85" s="270"/>
      <c r="C85" s="271"/>
      <c r="D85" s="271"/>
      <c r="E85" s="689" t="str">
        <f>E13</f>
        <v>D.1.4.06.4 - Soupis prací - Gastro demontáž</v>
      </c>
      <c r="F85" s="721"/>
      <c r="G85" s="721"/>
      <c r="H85" s="721"/>
      <c r="I85" s="271"/>
      <c r="J85" s="271"/>
      <c r="K85" s="271"/>
      <c r="L85" s="64"/>
      <c r="S85" s="23"/>
      <c r="T85" s="23"/>
      <c r="U85" s="23"/>
      <c r="V85" s="23"/>
      <c r="W85" s="23"/>
      <c r="X85" s="23"/>
      <c r="Y85" s="23"/>
      <c r="Z85" s="23"/>
      <c r="AA85" s="23"/>
      <c r="AB85" s="23"/>
      <c r="AC85" s="23"/>
      <c r="AD85" s="23"/>
      <c r="AE85" s="23"/>
    </row>
    <row r="86" spans="1:65" s="2" customFormat="1" ht="6.95" customHeight="1">
      <c r="A86" s="271"/>
      <c r="B86" s="270"/>
      <c r="C86" s="271"/>
      <c r="D86" s="271"/>
      <c r="E86" s="271"/>
      <c r="F86" s="271"/>
      <c r="G86" s="271"/>
      <c r="H86" s="271"/>
      <c r="I86" s="271"/>
      <c r="J86" s="271"/>
      <c r="K86" s="271"/>
      <c r="L86" s="64"/>
      <c r="S86" s="23"/>
      <c r="T86" s="23"/>
      <c r="U86" s="23"/>
      <c r="V86" s="23"/>
      <c r="W86" s="23"/>
      <c r="X86" s="23"/>
      <c r="Y86" s="23"/>
      <c r="Z86" s="23"/>
      <c r="AA86" s="23"/>
      <c r="AB86" s="23"/>
      <c r="AC86" s="23"/>
      <c r="AD86" s="23"/>
      <c r="AE86" s="23"/>
    </row>
    <row r="87" spans="1:65" s="2" customFormat="1" ht="12" customHeight="1">
      <c r="A87" s="271"/>
      <c r="B87" s="270"/>
      <c r="C87" s="268" t="s">
        <v>19</v>
      </c>
      <c r="D87" s="271"/>
      <c r="E87" s="271"/>
      <c r="F87" s="273" t="str">
        <f>F16</f>
        <v xml:space="preserve"> </v>
      </c>
      <c r="G87" s="271"/>
      <c r="H87" s="271"/>
      <c r="I87" s="268" t="s">
        <v>21</v>
      </c>
      <c r="J87" s="387">
        <f>IF(J16="","",J16)</f>
        <v>44077</v>
      </c>
      <c r="K87" s="271"/>
      <c r="L87" s="64"/>
      <c r="S87" s="23"/>
      <c r="T87" s="23"/>
      <c r="U87" s="23"/>
      <c r="V87" s="23"/>
      <c r="W87" s="23"/>
      <c r="X87" s="23"/>
      <c r="Y87" s="23"/>
      <c r="Z87" s="23"/>
      <c r="AA87" s="23"/>
      <c r="AB87" s="23"/>
      <c r="AC87" s="23"/>
      <c r="AD87" s="23"/>
      <c r="AE87" s="23"/>
    </row>
    <row r="88" spans="1:65" s="2" customFormat="1" ht="6.95" customHeight="1">
      <c r="A88" s="271"/>
      <c r="B88" s="270"/>
      <c r="C88" s="271"/>
      <c r="D88" s="271"/>
      <c r="E88" s="271"/>
      <c r="F88" s="271"/>
      <c r="G88" s="271"/>
      <c r="H88" s="271"/>
      <c r="I88" s="271"/>
      <c r="J88" s="271"/>
      <c r="K88" s="271"/>
      <c r="L88" s="64"/>
      <c r="S88" s="23"/>
      <c r="T88" s="23"/>
      <c r="U88" s="23"/>
      <c r="V88" s="23"/>
      <c r="W88" s="23"/>
      <c r="X88" s="23"/>
      <c r="Y88" s="23"/>
      <c r="Z88" s="23"/>
      <c r="AA88" s="23"/>
      <c r="AB88" s="23"/>
      <c r="AC88" s="23"/>
      <c r="AD88" s="23"/>
      <c r="AE88" s="23"/>
    </row>
    <row r="89" spans="1:65" s="2" customFormat="1" ht="26.45" customHeight="1">
      <c r="A89" s="271"/>
      <c r="B89" s="270"/>
      <c r="C89" s="268" t="s">
        <v>22</v>
      </c>
      <c r="D89" s="271"/>
      <c r="E89" s="271"/>
      <c r="F89" s="273" t="str">
        <f>E19</f>
        <v xml:space="preserve">Úřad vlády České republiky </v>
      </c>
      <c r="G89" s="271"/>
      <c r="H89" s="271"/>
      <c r="I89" s="268" t="s">
        <v>28</v>
      </c>
      <c r="J89" s="391" t="str">
        <f>E25</f>
        <v>Ateliér Simona Group</v>
      </c>
      <c r="K89" s="271"/>
      <c r="L89" s="64"/>
      <c r="S89" s="23"/>
      <c r="T89" s="23"/>
      <c r="U89" s="23"/>
      <c r="V89" s="23"/>
      <c r="W89" s="23"/>
      <c r="X89" s="23"/>
      <c r="Y89" s="23"/>
      <c r="Z89" s="23"/>
      <c r="AA89" s="23"/>
      <c r="AB89" s="23"/>
      <c r="AC89" s="23"/>
      <c r="AD89" s="23"/>
      <c r="AE89" s="23"/>
    </row>
    <row r="90" spans="1:65" s="2" customFormat="1" ht="26.45" customHeight="1">
      <c r="A90" s="271"/>
      <c r="B90" s="270"/>
      <c r="C90" s="268" t="s">
        <v>26</v>
      </c>
      <c r="D90" s="271"/>
      <c r="E90" s="271"/>
      <c r="F90" s="273" t="str">
        <f>IF(E22="","",E22)</f>
        <v xml:space="preserve"> </v>
      </c>
      <c r="G90" s="271"/>
      <c r="H90" s="271"/>
      <c r="I90" s="268" t="s">
        <v>31</v>
      </c>
      <c r="J90" s="391" t="str">
        <f>E28</f>
        <v>Ateliér Simona Group</v>
      </c>
      <c r="K90" s="271"/>
      <c r="L90" s="64"/>
      <c r="S90" s="23"/>
      <c r="T90" s="23"/>
      <c r="U90" s="23"/>
      <c r="V90" s="23"/>
      <c r="W90" s="23"/>
      <c r="X90" s="23"/>
      <c r="Y90" s="23"/>
      <c r="Z90" s="23"/>
      <c r="AA90" s="23"/>
      <c r="AB90" s="23"/>
      <c r="AC90" s="23"/>
      <c r="AD90" s="23"/>
      <c r="AE90" s="23"/>
    </row>
    <row r="91" spans="1:65" s="2" customFormat="1" ht="10.35" customHeight="1">
      <c r="A91" s="271"/>
      <c r="B91" s="270"/>
      <c r="C91" s="271"/>
      <c r="D91" s="271"/>
      <c r="E91" s="271"/>
      <c r="F91" s="271"/>
      <c r="G91" s="271"/>
      <c r="H91" s="271"/>
      <c r="I91" s="271"/>
      <c r="J91" s="271"/>
      <c r="K91" s="271"/>
      <c r="L91" s="64"/>
      <c r="S91" s="23"/>
      <c r="T91" s="23"/>
      <c r="U91" s="23"/>
      <c r="V91" s="23"/>
      <c r="W91" s="23"/>
      <c r="X91" s="23"/>
      <c r="Y91" s="23"/>
      <c r="Z91" s="23"/>
      <c r="AA91" s="23"/>
      <c r="AB91" s="23"/>
      <c r="AC91" s="23"/>
      <c r="AD91" s="23"/>
      <c r="AE91" s="23"/>
    </row>
    <row r="92" spans="1:65" s="11" customFormat="1" ht="29.25" customHeight="1">
      <c r="A92" s="299"/>
      <c r="B92" s="300"/>
      <c r="C92" s="301" t="s">
        <v>202</v>
      </c>
      <c r="D92" s="302" t="s">
        <v>53</v>
      </c>
      <c r="E92" s="302" t="s">
        <v>49</v>
      </c>
      <c r="F92" s="302" t="s">
        <v>50</v>
      </c>
      <c r="G92" s="302" t="s">
        <v>203</v>
      </c>
      <c r="H92" s="302" t="s">
        <v>204</v>
      </c>
      <c r="I92" s="302" t="s">
        <v>205</v>
      </c>
      <c r="J92" s="302" t="s">
        <v>169</v>
      </c>
      <c r="K92" s="340" t="s">
        <v>206</v>
      </c>
      <c r="L92" s="70"/>
      <c r="M92" s="34" t="s">
        <v>3</v>
      </c>
      <c r="N92" s="35" t="s">
        <v>38</v>
      </c>
      <c r="O92" s="35" t="s">
        <v>207</v>
      </c>
      <c r="P92" s="35" t="s">
        <v>208</v>
      </c>
      <c r="Q92" s="35" t="s">
        <v>209</v>
      </c>
      <c r="R92" s="35" t="s">
        <v>210</v>
      </c>
      <c r="S92" s="35" t="s">
        <v>211</v>
      </c>
      <c r="T92" s="36" t="s">
        <v>212</v>
      </c>
      <c r="U92" s="69"/>
      <c r="V92" s="69"/>
      <c r="W92" s="69"/>
      <c r="X92" s="69"/>
      <c r="Y92" s="69"/>
      <c r="Z92" s="69"/>
      <c r="AA92" s="69"/>
      <c r="AB92" s="69"/>
      <c r="AC92" s="69"/>
      <c r="AD92" s="69"/>
      <c r="AE92" s="69"/>
    </row>
    <row r="93" spans="1:65" s="2" customFormat="1" ht="22.9" customHeight="1">
      <c r="A93" s="271"/>
      <c r="B93" s="270"/>
      <c r="C93" s="243" t="s">
        <v>213</v>
      </c>
      <c r="D93" s="271"/>
      <c r="E93" s="271"/>
      <c r="F93" s="271"/>
      <c r="G93" s="271"/>
      <c r="H93" s="271"/>
      <c r="I93" s="271"/>
      <c r="J93" s="410">
        <f>BK93</f>
        <v>0</v>
      </c>
      <c r="K93" s="271"/>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170</v>
      </c>
      <c r="BK93" s="73">
        <f>BK94</f>
        <v>0</v>
      </c>
    </row>
    <row r="94" spans="1:65" s="12" customFormat="1" ht="25.9" customHeight="1">
      <c r="A94" s="303"/>
      <c r="B94" s="304"/>
      <c r="C94" s="303"/>
      <c r="D94" s="305" t="s">
        <v>67</v>
      </c>
      <c r="E94" s="306" t="s">
        <v>895</v>
      </c>
      <c r="F94" s="306" t="s">
        <v>896</v>
      </c>
      <c r="G94" s="303"/>
      <c r="H94" s="303"/>
      <c r="I94" s="303"/>
      <c r="J94" s="411">
        <f>BK94</f>
        <v>0</v>
      </c>
      <c r="K94" s="303"/>
      <c r="L94" s="74"/>
      <c r="M94" s="76"/>
      <c r="N94" s="77"/>
      <c r="O94" s="77"/>
      <c r="P94" s="78">
        <f>P95</f>
        <v>0</v>
      </c>
      <c r="Q94" s="77"/>
      <c r="R94" s="78">
        <f>R95</f>
        <v>0</v>
      </c>
      <c r="S94" s="77"/>
      <c r="T94" s="79">
        <f>T95</f>
        <v>0</v>
      </c>
      <c r="AR94" s="75" t="s">
        <v>77</v>
      </c>
      <c r="AT94" s="80" t="s">
        <v>67</v>
      </c>
      <c r="AU94" s="80" t="s">
        <v>68</v>
      </c>
      <c r="AY94" s="75" t="s">
        <v>216</v>
      </c>
      <c r="BK94" s="81">
        <f>BK95</f>
        <v>0</v>
      </c>
    </row>
    <row r="95" spans="1:65" s="12" customFormat="1" ht="22.9" customHeight="1">
      <c r="A95" s="303"/>
      <c r="B95" s="304"/>
      <c r="C95" s="303"/>
      <c r="D95" s="305" t="s">
        <v>67</v>
      </c>
      <c r="E95" s="307" t="s">
        <v>1655</v>
      </c>
      <c r="F95" s="307" t="s">
        <v>1656</v>
      </c>
      <c r="G95" s="303"/>
      <c r="H95" s="303"/>
      <c r="I95" s="303"/>
      <c r="J95" s="412">
        <f>BK95</f>
        <v>0</v>
      </c>
      <c r="K95" s="303"/>
      <c r="L95" s="74"/>
      <c r="M95" s="76"/>
      <c r="N95" s="77"/>
      <c r="O95" s="77"/>
      <c r="P95" s="78">
        <f>P96</f>
        <v>0</v>
      </c>
      <c r="Q95" s="77"/>
      <c r="R95" s="78">
        <f>R96</f>
        <v>0</v>
      </c>
      <c r="S95" s="77"/>
      <c r="T95" s="79">
        <f>T96</f>
        <v>0</v>
      </c>
      <c r="AR95" s="75" t="s">
        <v>77</v>
      </c>
      <c r="AT95" s="80" t="s">
        <v>67</v>
      </c>
      <c r="AU95" s="80" t="s">
        <v>75</v>
      </c>
      <c r="AY95" s="75" t="s">
        <v>216</v>
      </c>
      <c r="BK95" s="81">
        <f>BK96</f>
        <v>0</v>
      </c>
    </row>
    <row r="96" spans="1:65" s="2" customFormat="1" ht="14.45" customHeight="1">
      <c r="A96" s="271"/>
      <c r="B96" s="270"/>
      <c r="C96" s="308" t="s">
        <v>75</v>
      </c>
      <c r="D96" s="308" t="s">
        <v>218</v>
      </c>
      <c r="E96" s="309" t="s">
        <v>1807</v>
      </c>
      <c r="F96" s="310" t="s">
        <v>3116</v>
      </c>
      <c r="G96" s="311" t="s">
        <v>1766</v>
      </c>
      <c r="H96" s="312">
        <v>1</v>
      </c>
      <c r="I96" s="413">
        <f>'G-DEM'!G185</f>
        <v>0</v>
      </c>
      <c r="J96" s="413">
        <f>ROUND(I96*H96,2)</f>
        <v>0</v>
      </c>
      <c r="K96" s="310"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305</v>
      </c>
      <c r="AT96" s="87" t="s">
        <v>218</v>
      </c>
      <c r="AU96" s="87" t="s">
        <v>77</v>
      </c>
      <c r="AY96" s="19" t="s">
        <v>216</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305</v>
      </c>
      <c r="BM96" s="87" t="s">
        <v>1808</v>
      </c>
    </row>
    <row r="97" spans="1:31" s="2" customFormat="1" ht="6.95" customHeight="1">
      <c r="A97" s="271"/>
      <c r="B97" s="286"/>
      <c r="C97" s="287"/>
      <c r="D97" s="287"/>
      <c r="E97" s="287"/>
      <c r="F97" s="287"/>
      <c r="G97" s="287"/>
      <c r="H97" s="287"/>
      <c r="I97" s="287"/>
      <c r="J97" s="287"/>
      <c r="K97" s="287"/>
      <c r="L97" s="24"/>
      <c r="M97" s="23"/>
      <c r="O97" s="23"/>
      <c r="P97" s="23"/>
      <c r="Q97" s="23"/>
      <c r="R97" s="23"/>
      <c r="S97" s="23"/>
      <c r="T97" s="23"/>
      <c r="U97" s="23"/>
      <c r="V97" s="23"/>
      <c r="W97" s="23"/>
      <c r="X97" s="23"/>
      <c r="Y97" s="23"/>
      <c r="Z97" s="23"/>
      <c r="AA97" s="23"/>
      <c r="AB97" s="23"/>
      <c r="AC97" s="23"/>
      <c r="AD97" s="23"/>
      <c r="AE97" s="23"/>
    </row>
  </sheetData>
  <sheetProtection password="CAB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I185"/>
  <sheetViews>
    <sheetView view="pageBreakPreview" zoomScaleSheetLayoutView="100" workbookViewId="0">
      <selection activeCell="K164" sqref="K164:K165"/>
    </sheetView>
  </sheetViews>
  <sheetFormatPr defaultColWidth="13.33203125" defaultRowHeight="15"/>
  <cols>
    <col min="1" max="1" width="5.83203125" style="234" customWidth="1"/>
    <col min="2" max="2" width="15.83203125" style="233" customWidth="1"/>
    <col min="3" max="3" width="59.1640625" style="233" customWidth="1"/>
    <col min="4" max="4" width="18.6640625" style="233" customWidth="1"/>
    <col min="5" max="5" width="13.83203125" style="241" bestFit="1" customWidth="1"/>
    <col min="6" max="6" width="13.33203125" style="234"/>
    <col min="7" max="7" width="16.6640625" style="234" bestFit="1" customWidth="1"/>
    <col min="8" max="8" width="13.33203125" style="234"/>
    <col min="9" max="9" width="16.6640625" style="234" bestFit="1" customWidth="1"/>
    <col min="10" max="256" width="13.33203125" style="233"/>
    <col min="257" max="257" width="5.83203125" style="233" customWidth="1"/>
    <col min="258" max="258" width="15.83203125" style="233" customWidth="1"/>
    <col min="259" max="259" width="59.1640625" style="233" customWidth="1"/>
    <col min="260" max="260" width="18.6640625" style="233" customWidth="1"/>
    <col min="261" max="512" width="13.33203125" style="233"/>
    <col min="513" max="513" width="5.83203125" style="233" customWidth="1"/>
    <col min="514" max="514" width="15.83203125" style="233" customWidth="1"/>
    <col min="515" max="515" width="59.1640625" style="233" customWidth="1"/>
    <col min="516" max="516" width="18.6640625" style="233" customWidth="1"/>
    <col min="517" max="768" width="13.33203125" style="233"/>
    <col min="769" max="769" width="5.83203125" style="233" customWidth="1"/>
    <col min="770" max="770" width="15.83203125" style="233" customWidth="1"/>
    <col min="771" max="771" width="59.1640625" style="233" customWidth="1"/>
    <col min="772" max="772" width="18.6640625" style="233" customWidth="1"/>
    <col min="773" max="1024" width="13.33203125" style="233"/>
    <col min="1025" max="1025" width="5.83203125" style="233" customWidth="1"/>
    <col min="1026" max="1026" width="15.83203125" style="233" customWidth="1"/>
    <col min="1027" max="1027" width="59.1640625" style="233" customWidth="1"/>
    <col min="1028" max="1028" width="18.6640625" style="233" customWidth="1"/>
    <col min="1029" max="1280" width="13.33203125" style="233"/>
    <col min="1281" max="1281" width="5.83203125" style="233" customWidth="1"/>
    <col min="1282" max="1282" width="15.83203125" style="233" customWidth="1"/>
    <col min="1283" max="1283" width="59.1640625" style="233" customWidth="1"/>
    <col min="1284" max="1284" width="18.6640625" style="233" customWidth="1"/>
    <col min="1285" max="1536" width="13.33203125" style="233"/>
    <col min="1537" max="1537" width="5.83203125" style="233" customWidth="1"/>
    <col min="1538" max="1538" width="15.83203125" style="233" customWidth="1"/>
    <col min="1539" max="1539" width="59.1640625" style="233" customWidth="1"/>
    <col min="1540" max="1540" width="18.6640625" style="233" customWidth="1"/>
    <col min="1541" max="1792" width="13.33203125" style="233"/>
    <col min="1793" max="1793" width="5.83203125" style="233" customWidth="1"/>
    <col min="1794" max="1794" width="15.83203125" style="233" customWidth="1"/>
    <col min="1795" max="1795" width="59.1640625" style="233" customWidth="1"/>
    <col min="1796" max="1796" width="18.6640625" style="233" customWidth="1"/>
    <col min="1797" max="2048" width="13.33203125" style="233"/>
    <col min="2049" max="2049" width="5.83203125" style="233" customWidth="1"/>
    <col min="2050" max="2050" width="15.83203125" style="233" customWidth="1"/>
    <col min="2051" max="2051" width="59.1640625" style="233" customWidth="1"/>
    <col min="2052" max="2052" width="18.6640625" style="233" customWidth="1"/>
    <col min="2053" max="2304" width="13.33203125" style="233"/>
    <col min="2305" max="2305" width="5.83203125" style="233" customWidth="1"/>
    <col min="2306" max="2306" width="15.83203125" style="233" customWidth="1"/>
    <col min="2307" max="2307" width="59.1640625" style="233" customWidth="1"/>
    <col min="2308" max="2308" width="18.6640625" style="233" customWidth="1"/>
    <col min="2309" max="2560" width="13.33203125" style="233"/>
    <col min="2561" max="2561" width="5.83203125" style="233" customWidth="1"/>
    <col min="2562" max="2562" width="15.83203125" style="233" customWidth="1"/>
    <col min="2563" max="2563" width="59.1640625" style="233" customWidth="1"/>
    <col min="2564" max="2564" width="18.6640625" style="233" customWidth="1"/>
    <col min="2565" max="2816" width="13.33203125" style="233"/>
    <col min="2817" max="2817" width="5.83203125" style="233" customWidth="1"/>
    <col min="2818" max="2818" width="15.83203125" style="233" customWidth="1"/>
    <col min="2819" max="2819" width="59.1640625" style="233" customWidth="1"/>
    <col min="2820" max="2820" width="18.6640625" style="233" customWidth="1"/>
    <col min="2821" max="3072" width="13.33203125" style="233"/>
    <col min="3073" max="3073" width="5.83203125" style="233" customWidth="1"/>
    <col min="3074" max="3074" width="15.83203125" style="233" customWidth="1"/>
    <col min="3075" max="3075" width="59.1640625" style="233" customWidth="1"/>
    <col min="3076" max="3076" width="18.6640625" style="233" customWidth="1"/>
    <col min="3077" max="3328" width="13.33203125" style="233"/>
    <col min="3329" max="3329" width="5.83203125" style="233" customWidth="1"/>
    <col min="3330" max="3330" width="15.83203125" style="233" customWidth="1"/>
    <col min="3331" max="3331" width="59.1640625" style="233" customWidth="1"/>
    <col min="3332" max="3332" width="18.6640625" style="233" customWidth="1"/>
    <col min="3333" max="3584" width="13.33203125" style="233"/>
    <col min="3585" max="3585" width="5.83203125" style="233" customWidth="1"/>
    <col min="3586" max="3586" width="15.83203125" style="233" customWidth="1"/>
    <col min="3587" max="3587" width="59.1640625" style="233" customWidth="1"/>
    <col min="3588" max="3588" width="18.6640625" style="233" customWidth="1"/>
    <col min="3589" max="3840" width="13.33203125" style="233"/>
    <col min="3841" max="3841" width="5.83203125" style="233" customWidth="1"/>
    <col min="3842" max="3842" width="15.83203125" style="233" customWidth="1"/>
    <col min="3843" max="3843" width="59.1640625" style="233" customWidth="1"/>
    <col min="3844" max="3844" width="18.6640625" style="233" customWidth="1"/>
    <col min="3845" max="4096" width="13.33203125" style="233"/>
    <col min="4097" max="4097" width="5.83203125" style="233" customWidth="1"/>
    <col min="4098" max="4098" width="15.83203125" style="233" customWidth="1"/>
    <col min="4099" max="4099" width="59.1640625" style="233" customWidth="1"/>
    <col min="4100" max="4100" width="18.6640625" style="233" customWidth="1"/>
    <col min="4101" max="4352" width="13.33203125" style="233"/>
    <col min="4353" max="4353" width="5.83203125" style="233" customWidth="1"/>
    <col min="4354" max="4354" width="15.83203125" style="233" customWidth="1"/>
    <col min="4355" max="4355" width="59.1640625" style="233" customWidth="1"/>
    <col min="4356" max="4356" width="18.6640625" style="233" customWidth="1"/>
    <col min="4357" max="4608" width="13.33203125" style="233"/>
    <col min="4609" max="4609" width="5.83203125" style="233" customWidth="1"/>
    <col min="4610" max="4610" width="15.83203125" style="233" customWidth="1"/>
    <col min="4611" max="4611" width="59.1640625" style="233" customWidth="1"/>
    <col min="4612" max="4612" width="18.6640625" style="233" customWidth="1"/>
    <col min="4613" max="4864" width="13.33203125" style="233"/>
    <col min="4865" max="4865" width="5.83203125" style="233" customWidth="1"/>
    <col min="4866" max="4866" width="15.83203125" style="233" customWidth="1"/>
    <col min="4867" max="4867" width="59.1640625" style="233" customWidth="1"/>
    <col min="4868" max="4868" width="18.6640625" style="233" customWidth="1"/>
    <col min="4869" max="5120" width="13.33203125" style="233"/>
    <col min="5121" max="5121" width="5.83203125" style="233" customWidth="1"/>
    <col min="5122" max="5122" width="15.83203125" style="233" customWidth="1"/>
    <col min="5123" max="5123" width="59.1640625" style="233" customWidth="1"/>
    <col min="5124" max="5124" width="18.6640625" style="233" customWidth="1"/>
    <col min="5125" max="5376" width="13.33203125" style="233"/>
    <col min="5377" max="5377" width="5.83203125" style="233" customWidth="1"/>
    <col min="5378" max="5378" width="15.83203125" style="233" customWidth="1"/>
    <col min="5379" max="5379" width="59.1640625" style="233" customWidth="1"/>
    <col min="5380" max="5380" width="18.6640625" style="233" customWidth="1"/>
    <col min="5381" max="5632" width="13.33203125" style="233"/>
    <col min="5633" max="5633" width="5.83203125" style="233" customWidth="1"/>
    <col min="5634" max="5634" width="15.83203125" style="233" customWidth="1"/>
    <col min="5635" max="5635" width="59.1640625" style="233" customWidth="1"/>
    <col min="5636" max="5636" width="18.6640625" style="233" customWidth="1"/>
    <col min="5637" max="5888" width="13.33203125" style="233"/>
    <col min="5889" max="5889" width="5.83203125" style="233" customWidth="1"/>
    <col min="5890" max="5890" width="15.83203125" style="233" customWidth="1"/>
    <col min="5891" max="5891" width="59.1640625" style="233" customWidth="1"/>
    <col min="5892" max="5892" width="18.6640625" style="233" customWidth="1"/>
    <col min="5893" max="6144" width="13.33203125" style="233"/>
    <col min="6145" max="6145" width="5.83203125" style="233" customWidth="1"/>
    <col min="6146" max="6146" width="15.83203125" style="233" customWidth="1"/>
    <col min="6147" max="6147" width="59.1640625" style="233" customWidth="1"/>
    <col min="6148" max="6148" width="18.6640625" style="233" customWidth="1"/>
    <col min="6149" max="6400" width="13.33203125" style="233"/>
    <col min="6401" max="6401" width="5.83203125" style="233" customWidth="1"/>
    <col min="6402" max="6402" width="15.83203125" style="233" customWidth="1"/>
    <col min="6403" max="6403" width="59.1640625" style="233" customWidth="1"/>
    <col min="6404" max="6404" width="18.6640625" style="233" customWidth="1"/>
    <col min="6405" max="6656" width="13.33203125" style="233"/>
    <col min="6657" max="6657" width="5.83203125" style="233" customWidth="1"/>
    <col min="6658" max="6658" width="15.83203125" style="233" customWidth="1"/>
    <col min="6659" max="6659" width="59.1640625" style="233" customWidth="1"/>
    <col min="6660" max="6660" width="18.6640625" style="233" customWidth="1"/>
    <col min="6661" max="6912" width="13.33203125" style="233"/>
    <col min="6913" max="6913" width="5.83203125" style="233" customWidth="1"/>
    <col min="6914" max="6914" width="15.83203125" style="233" customWidth="1"/>
    <col min="6915" max="6915" width="59.1640625" style="233" customWidth="1"/>
    <col min="6916" max="6916" width="18.6640625" style="233" customWidth="1"/>
    <col min="6917" max="7168" width="13.33203125" style="233"/>
    <col min="7169" max="7169" width="5.83203125" style="233" customWidth="1"/>
    <col min="7170" max="7170" width="15.83203125" style="233" customWidth="1"/>
    <col min="7171" max="7171" width="59.1640625" style="233" customWidth="1"/>
    <col min="7172" max="7172" width="18.6640625" style="233" customWidth="1"/>
    <col min="7173" max="7424" width="13.33203125" style="233"/>
    <col min="7425" max="7425" width="5.83203125" style="233" customWidth="1"/>
    <col min="7426" max="7426" width="15.83203125" style="233" customWidth="1"/>
    <col min="7427" max="7427" width="59.1640625" style="233" customWidth="1"/>
    <col min="7428" max="7428" width="18.6640625" style="233" customWidth="1"/>
    <col min="7429" max="7680" width="13.33203125" style="233"/>
    <col min="7681" max="7681" width="5.83203125" style="233" customWidth="1"/>
    <col min="7682" max="7682" width="15.83203125" style="233" customWidth="1"/>
    <col min="7683" max="7683" width="59.1640625" style="233" customWidth="1"/>
    <col min="7684" max="7684" width="18.6640625" style="233" customWidth="1"/>
    <col min="7685" max="7936" width="13.33203125" style="233"/>
    <col min="7937" max="7937" width="5.83203125" style="233" customWidth="1"/>
    <col min="7938" max="7938" width="15.83203125" style="233" customWidth="1"/>
    <col min="7939" max="7939" width="59.1640625" style="233" customWidth="1"/>
    <col min="7940" max="7940" width="18.6640625" style="233" customWidth="1"/>
    <col min="7941" max="8192" width="13.33203125" style="233"/>
    <col min="8193" max="8193" width="5.83203125" style="233" customWidth="1"/>
    <col min="8194" max="8194" width="15.83203125" style="233" customWidth="1"/>
    <col min="8195" max="8195" width="59.1640625" style="233" customWidth="1"/>
    <col min="8196" max="8196" width="18.6640625" style="233" customWidth="1"/>
    <col min="8197" max="8448" width="13.33203125" style="233"/>
    <col min="8449" max="8449" width="5.83203125" style="233" customWidth="1"/>
    <col min="8450" max="8450" width="15.83203125" style="233" customWidth="1"/>
    <col min="8451" max="8451" width="59.1640625" style="233" customWidth="1"/>
    <col min="8452" max="8452" width="18.6640625" style="233" customWidth="1"/>
    <col min="8453" max="8704" width="13.33203125" style="233"/>
    <col min="8705" max="8705" width="5.83203125" style="233" customWidth="1"/>
    <col min="8706" max="8706" width="15.83203125" style="233" customWidth="1"/>
    <col min="8707" max="8707" width="59.1640625" style="233" customWidth="1"/>
    <col min="8708" max="8708" width="18.6640625" style="233" customWidth="1"/>
    <col min="8709" max="8960" width="13.33203125" style="233"/>
    <col min="8961" max="8961" width="5.83203125" style="233" customWidth="1"/>
    <col min="8962" max="8962" width="15.83203125" style="233" customWidth="1"/>
    <col min="8963" max="8963" width="59.1640625" style="233" customWidth="1"/>
    <col min="8964" max="8964" width="18.6640625" style="233" customWidth="1"/>
    <col min="8965" max="9216" width="13.33203125" style="233"/>
    <col min="9217" max="9217" width="5.83203125" style="233" customWidth="1"/>
    <col min="9218" max="9218" width="15.83203125" style="233" customWidth="1"/>
    <col min="9219" max="9219" width="59.1640625" style="233" customWidth="1"/>
    <col min="9220" max="9220" width="18.6640625" style="233" customWidth="1"/>
    <col min="9221" max="9472" width="13.33203125" style="233"/>
    <col min="9473" max="9473" width="5.83203125" style="233" customWidth="1"/>
    <col min="9474" max="9474" width="15.83203125" style="233" customWidth="1"/>
    <col min="9475" max="9475" width="59.1640625" style="233" customWidth="1"/>
    <col min="9476" max="9476" width="18.6640625" style="233" customWidth="1"/>
    <col min="9477" max="9728" width="13.33203125" style="233"/>
    <col min="9729" max="9729" width="5.83203125" style="233" customWidth="1"/>
    <col min="9730" max="9730" width="15.83203125" style="233" customWidth="1"/>
    <col min="9731" max="9731" width="59.1640625" style="233" customWidth="1"/>
    <col min="9732" max="9732" width="18.6640625" style="233" customWidth="1"/>
    <col min="9733" max="9984" width="13.33203125" style="233"/>
    <col min="9985" max="9985" width="5.83203125" style="233" customWidth="1"/>
    <col min="9986" max="9986" width="15.83203125" style="233" customWidth="1"/>
    <col min="9987" max="9987" width="59.1640625" style="233" customWidth="1"/>
    <col min="9988" max="9988" width="18.6640625" style="233" customWidth="1"/>
    <col min="9989" max="10240" width="13.33203125" style="233"/>
    <col min="10241" max="10241" width="5.83203125" style="233" customWidth="1"/>
    <col min="10242" max="10242" width="15.83203125" style="233" customWidth="1"/>
    <col min="10243" max="10243" width="59.1640625" style="233" customWidth="1"/>
    <col min="10244" max="10244" width="18.6640625" style="233" customWidth="1"/>
    <col min="10245" max="10496" width="13.33203125" style="233"/>
    <col min="10497" max="10497" width="5.83203125" style="233" customWidth="1"/>
    <col min="10498" max="10498" width="15.83203125" style="233" customWidth="1"/>
    <col min="10499" max="10499" width="59.1640625" style="233" customWidth="1"/>
    <col min="10500" max="10500" width="18.6640625" style="233" customWidth="1"/>
    <col min="10501" max="10752" width="13.33203125" style="233"/>
    <col min="10753" max="10753" width="5.83203125" style="233" customWidth="1"/>
    <col min="10754" max="10754" width="15.83203125" style="233" customWidth="1"/>
    <col min="10755" max="10755" width="59.1640625" style="233" customWidth="1"/>
    <col min="10756" max="10756" width="18.6640625" style="233" customWidth="1"/>
    <col min="10757" max="11008" width="13.33203125" style="233"/>
    <col min="11009" max="11009" width="5.83203125" style="233" customWidth="1"/>
    <col min="11010" max="11010" width="15.83203125" style="233" customWidth="1"/>
    <col min="11011" max="11011" width="59.1640625" style="233" customWidth="1"/>
    <col min="11012" max="11012" width="18.6640625" style="233" customWidth="1"/>
    <col min="11013" max="11264" width="13.33203125" style="233"/>
    <col min="11265" max="11265" width="5.83203125" style="233" customWidth="1"/>
    <col min="11266" max="11266" width="15.83203125" style="233" customWidth="1"/>
    <col min="11267" max="11267" width="59.1640625" style="233" customWidth="1"/>
    <col min="11268" max="11268" width="18.6640625" style="233" customWidth="1"/>
    <col min="11269" max="11520" width="13.33203125" style="233"/>
    <col min="11521" max="11521" width="5.83203125" style="233" customWidth="1"/>
    <col min="11522" max="11522" width="15.83203125" style="233" customWidth="1"/>
    <col min="11523" max="11523" width="59.1640625" style="233" customWidth="1"/>
    <col min="11524" max="11524" width="18.6640625" style="233" customWidth="1"/>
    <col min="11525" max="11776" width="13.33203125" style="233"/>
    <col min="11777" max="11777" width="5.83203125" style="233" customWidth="1"/>
    <col min="11778" max="11778" width="15.83203125" style="233" customWidth="1"/>
    <col min="11779" max="11779" width="59.1640625" style="233" customWidth="1"/>
    <col min="11780" max="11780" width="18.6640625" style="233" customWidth="1"/>
    <col min="11781" max="12032" width="13.33203125" style="233"/>
    <col min="12033" max="12033" width="5.83203125" style="233" customWidth="1"/>
    <col min="12034" max="12034" width="15.83203125" style="233" customWidth="1"/>
    <col min="12035" max="12035" width="59.1640625" style="233" customWidth="1"/>
    <col min="12036" max="12036" width="18.6640625" style="233" customWidth="1"/>
    <col min="12037" max="12288" width="13.33203125" style="233"/>
    <col min="12289" max="12289" width="5.83203125" style="233" customWidth="1"/>
    <col min="12290" max="12290" width="15.83203125" style="233" customWidth="1"/>
    <col min="12291" max="12291" width="59.1640625" style="233" customWidth="1"/>
    <col min="12292" max="12292" width="18.6640625" style="233" customWidth="1"/>
    <col min="12293" max="12544" width="13.33203125" style="233"/>
    <col min="12545" max="12545" width="5.83203125" style="233" customWidth="1"/>
    <col min="12546" max="12546" width="15.83203125" style="233" customWidth="1"/>
    <col min="12547" max="12547" width="59.1640625" style="233" customWidth="1"/>
    <col min="12548" max="12548" width="18.6640625" style="233" customWidth="1"/>
    <col min="12549" max="12800" width="13.33203125" style="233"/>
    <col min="12801" max="12801" width="5.83203125" style="233" customWidth="1"/>
    <col min="12802" max="12802" width="15.83203125" style="233" customWidth="1"/>
    <col min="12803" max="12803" width="59.1640625" style="233" customWidth="1"/>
    <col min="12804" max="12804" width="18.6640625" style="233" customWidth="1"/>
    <col min="12805" max="13056" width="13.33203125" style="233"/>
    <col min="13057" max="13057" width="5.83203125" style="233" customWidth="1"/>
    <col min="13058" max="13058" width="15.83203125" style="233" customWidth="1"/>
    <col min="13059" max="13059" width="59.1640625" style="233" customWidth="1"/>
    <col min="13060" max="13060" width="18.6640625" style="233" customWidth="1"/>
    <col min="13061" max="13312" width="13.33203125" style="233"/>
    <col min="13313" max="13313" width="5.83203125" style="233" customWidth="1"/>
    <col min="13314" max="13314" width="15.83203125" style="233" customWidth="1"/>
    <col min="13315" max="13315" width="59.1640625" style="233" customWidth="1"/>
    <col min="13316" max="13316" width="18.6640625" style="233" customWidth="1"/>
    <col min="13317" max="13568" width="13.33203125" style="233"/>
    <col min="13569" max="13569" width="5.83203125" style="233" customWidth="1"/>
    <col min="13570" max="13570" width="15.83203125" style="233" customWidth="1"/>
    <col min="13571" max="13571" width="59.1640625" style="233" customWidth="1"/>
    <col min="13572" max="13572" width="18.6640625" style="233" customWidth="1"/>
    <col min="13573" max="13824" width="13.33203125" style="233"/>
    <col min="13825" max="13825" width="5.83203125" style="233" customWidth="1"/>
    <col min="13826" max="13826" width="15.83203125" style="233" customWidth="1"/>
    <col min="13827" max="13827" width="59.1640625" style="233" customWidth="1"/>
    <col min="13828" max="13828" width="18.6640625" style="233" customWidth="1"/>
    <col min="13829" max="14080" width="13.33203125" style="233"/>
    <col min="14081" max="14081" width="5.83203125" style="233" customWidth="1"/>
    <col min="14082" max="14082" width="15.83203125" style="233" customWidth="1"/>
    <col min="14083" max="14083" width="59.1640625" style="233" customWidth="1"/>
    <col min="14084" max="14084" width="18.6640625" style="233" customWidth="1"/>
    <col min="14085" max="14336" width="13.33203125" style="233"/>
    <col min="14337" max="14337" width="5.83203125" style="233" customWidth="1"/>
    <col min="14338" max="14338" width="15.83203125" style="233" customWidth="1"/>
    <col min="14339" max="14339" width="59.1640625" style="233" customWidth="1"/>
    <col min="14340" max="14340" width="18.6640625" style="233" customWidth="1"/>
    <col min="14341" max="14592" width="13.33203125" style="233"/>
    <col min="14593" max="14593" width="5.83203125" style="233" customWidth="1"/>
    <col min="14594" max="14594" width="15.83203125" style="233" customWidth="1"/>
    <col min="14595" max="14595" width="59.1640625" style="233" customWidth="1"/>
    <col min="14596" max="14596" width="18.6640625" style="233" customWidth="1"/>
    <col min="14597" max="14848" width="13.33203125" style="233"/>
    <col min="14849" max="14849" width="5.83203125" style="233" customWidth="1"/>
    <col min="14850" max="14850" width="15.83203125" style="233" customWidth="1"/>
    <col min="14851" max="14851" width="59.1640625" style="233" customWidth="1"/>
    <col min="14852" max="14852" width="18.6640625" style="233" customWidth="1"/>
    <col min="14853" max="15104" width="13.33203125" style="233"/>
    <col min="15105" max="15105" width="5.83203125" style="233" customWidth="1"/>
    <col min="15106" max="15106" width="15.83203125" style="233" customWidth="1"/>
    <col min="15107" max="15107" width="59.1640625" style="233" customWidth="1"/>
    <col min="15108" max="15108" width="18.6640625" style="233" customWidth="1"/>
    <col min="15109" max="15360" width="13.33203125" style="233"/>
    <col min="15361" max="15361" width="5.83203125" style="233" customWidth="1"/>
    <col min="15362" max="15362" width="15.83203125" style="233" customWidth="1"/>
    <col min="15363" max="15363" width="59.1640625" style="233" customWidth="1"/>
    <col min="15364" max="15364" width="18.6640625" style="233" customWidth="1"/>
    <col min="15365" max="15616" width="13.33203125" style="233"/>
    <col min="15617" max="15617" width="5.83203125" style="233" customWidth="1"/>
    <col min="15618" max="15618" width="15.83203125" style="233" customWidth="1"/>
    <col min="15619" max="15619" width="59.1640625" style="233" customWidth="1"/>
    <col min="15620" max="15620" width="18.6640625" style="233" customWidth="1"/>
    <col min="15621" max="15872" width="13.33203125" style="233"/>
    <col min="15873" max="15873" width="5.83203125" style="233" customWidth="1"/>
    <col min="15874" max="15874" width="15.83203125" style="233" customWidth="1"/>
    <col min="15875" max="15875" width="59.1640625" style="233" customWidth="1"/>
    <col min="15876" max="15876" width="18.6640625" style="233" customWidth="1"/>
    <col min="15877" max="16128" width="13.33203125" style="233"/>
    <col min="16129" max="16129" width="5.83203125" style="233" customWidth="1"/>
    <col min="16130" max="16130" width="15.83203125" style="233" customWidth="1"/>
    <col min="16131" max="16131" width="59.1640625" style="233" customWidth="1"/>
    <col min="16132" max="16132" width="18.6640625" style="233" customWidth="1"/>
    <col min="16133" max="16384" width="13.33203125" style="233"/>
  </cols>
  <sheetData>
    <row r="1" spans="1:9" ht="15.75" customHeight="1">
      <c r="A1" s="561"/>
      <c r="B1" s="574"/>
      <c r="C1" s="605" t="s">
        <v>3377</v>
      </c>
      <c r="D1" s="574"/>
      <c r="E1" s="603"/>
      <c r="F1" s="546"/>
      <c r="G1" s="546"/>
      <c r="H1" s="546"/>
      <c r="I1" s="546"/>
    </row>
    <row r="2" spans="1:9" ht="51.75" customHeight="1">
      <c r="A2" s="561"/>
      <c r="B2" s="606" t="s">
        <v>3376</v>
      </c>
      <c r="C2" s="606" t="s">
        <v>3375</v>
      </c>
      <c r="D2" s="606" t="s">
        <v>3374</v>
      </c>
      <c r="E2" s="613" t="s">
        <v>2930</v>
      </c>
      <c r="F2" s="612" t="s">
        <v>2929</v>
      </c>
      <c r="G2" s="613" t="s">
        <v>2928</v>
      </c>
      <c r="H2" s="613" t="s">
        <v>38</v>
      </c>
      <c r="I2" s="613" t="s">
        <v>2927</v>
      </c>
    </row>
    <row r="3" spans="1:9" ht="15.75" customHeight="1">
      <c r="A3" s="561"/>
      <c r="B3" s="607" t="s">
        <v>3373</v>
      </c>
      <c r="C3" s="608" t="s">
        <v>3372</v>
      </c>
      <c r="D3" s="609">
        <v>33970</v>
      </c>
      <c r="E3" s="603">
        <v>0</v>
      </c>
      <c r="F3" s="546">
        <v>1</v>
      </c>
      <c r="G3" s="614">
        <f>F3*E3</f>
        <v>0</v>
      </c>
      <c r="H3" s="546">
        <v>21</v>
      </c>
      <c r="I3" s="614">
        <f t="shared" ref="I3:I34" si="0">G3*1.21</f>
        <v>0</v>
      </c>
    </row>
    <row r="4" spans="1:9" ht="15.75" customHeight="1">
      <c r="A4" s="561"/>
      <c r="B4" s="607" t="s">
        <v>3371</v>
      </c>
      <c r="C4" s="608" t="s">
        <v>3370</v>
      </c>
      <c r="D4" s="609">
        <v>37235</v>
      </c>
      <c r="E4" s="603">
        <v>0</v>
      </c>
      <c r="F4" s="546">
        <v>1</v>
      </c>
      <c r="G4" s="614">
        <f t="shared" ref="G4:G25" si="1">F4*E4</f>
        <v>0</v>
      </c>
      <c r="H4" s="546">
        <v>21</v>
      </c>
      <c r="I4" s="614">
        <f t="shared" si="0"/>
        <v>0</v>
      </c>
    </row>
    <row r="5" spans="1:9" ht="15.75" customHeight="1">
      <c r="A5" s="561"/>
      <c r="B5" s="607" t="s">
        <v>3369</v>
      </c>
      <c r="C5" s="608" t="s">
        <v>3368</v>
      </c>
      <c r="D5" s="609">
        <v>34768</v>
      </c>
      <c r="E5" s="603">
        <v>0</v>
      </c>
      <c r="F5" s="546">
        <v>1</v>
      </c>
      <c r="G5" s="614">
        <f t="shared" si="1"/>
        <v>0</v>
      </c>
      <c r="H5" s="546">
        <v>21</v>
      </c>
      <c r="I5" s="614">
        <f t="shared" si="0"/>
        <v>0</v>
      </c>
    </row>
    <row r="6" spans="1:9" ht="15.75" customHeight="1">
      <c r="A6" s="561"/>
      <c r="B6" s="607" t="s">
        <v>3367</v>
      </c>
      <c r="C6" s="608" t="s">
        <v>3366</v>
      </c>
      <c r="D6" s="609">
        <v>35185</v>
      </c>
      <c r="E6" s="603">
        <v>0</v>
      </c>
      <c r="F6" s="546">
        <v>1</v>
      </c>
      <c r="G6" s="614">
        <f t="shared" si="1"/>
        <v>0</v>
      </c>
      <c r="H6" s="546">
        <v>21</v>
      </c>
      <c r="I6" s="614">
        <f t="shared" si="0"/>
        <v>0</v>
      </c>
    </row>
    <row r="7" spans="1:9" ht="15.75" customHeight="1">
      <c r="A7" s="561"/>
      <c r="B7" s="607" t="s">
        <v>3365</v>
      </c>
      <c r="C7" s="608" t="s">
        <v>3363</v>
      </c>
      <c r="D7" s="609">
        <v>36543</v>
      </c>
      <c r="E7" s="603">
        <v>0</v>
      </c>
      <c r="F7" s="546">
        <v>1</v>
      </c>
      <c r="G7" s="614">
        <f t="shared" si="1"/>
        <v>0</v>
      </c>
      <c r="H7" s="546">
        <v>21</v>
      </c>
      <c r="I7" s="614">
        <f t="shared" si="0"/>
        <v>0</v>
      </c>
    </row>
    <row r="8" spans="1:9" ht="15.75" customHeight="1">
      <c r="A8" s="561"/>
      <c r="B8" s="607" t="s">
        <v>3364</v>
      </c>
      <c r="C8" s="608" t="s">
        <v>3363</v>
      </c>
      <c r="D8" s="609">
        <v>36543</v>
      </c>
      <c r="E8" s="603">
        <v>0</v>
      </c>
      <c r="F8" s="546">
        <v>1</v>
      </c>
      <c r="G8" s="614">
        <f t="shared" si="1"/>
        <v>0</v>
      </c>
      <c r="H8" s="546">
        <v>21</v>
      </c>
      <c r="I8" s="614">
        <f t="shared" si="0"/>
        <v>0</v>
      </c>
    </row>
    <row r="9" spans="1:9" ht="15.75" customHeight="1">
      <c r="A9" s="561"/>
      <c r="B9" s="607" t="s">
        <v>3362</v>
      </c>
      <c r="C9" s="608" t="s">
        <v>3361</v>
      </c>
      <c r="D9" s="609">
        <v>36543</v>
      </c>
      <c r="E9" s="603">
        <v>0</v>
      </c>
      <c r="F9" s="546">
        <v>1</v>
      </c>
      <c r="G9" s="614">
        <f t="shared" si="1"/>
        <v>0</v>
      </c>
      <c r="H9" s="546">
        <v>21</v>
      </c>
      <c r="I9" s="614">
        <f t="shared" si="0"/>
        <v>0</v>
      </c>
    </row>
    <row r="10" spans="1:9" ht="15.75" customHeight="1">
      <c r="A10" s="561"/>
      <c r="B10" s="607" t="s">
        <v>3360</v>
      </c>
      <c r="C10" s="608" t="s">
        <v>3359</v>
      </c>
      <c r="D10" s="609">
        <v>35166</v>
      </c>
      <c r="E10" s="603">
        <v>0</v>
      </c>
      <c r="F10" s="546">
        <v>1</v>
      </c>
      <c r="G10" s="614">
        <f t="shared" si="1"/>
        <v>0</v>
      </c>
      <c r="H10" s="546">
        <v>21</v>
      </c>
      <c r="I10" s="614">
        <f t="shared" si="0"/>
        <v>0</v>
      </c>
    </row>
    <row r="11" spans="1:9" ht="15.75" customHeight="1">
      <c r="A11" s="561"/>
      <c r="B11" s="607" t="s">
        <v>3358</v>
      </c>
      <c r="C11" s="608" t="s">
        <v>3357</v>
      </c>
      <c r="D11" s="609">
        <v>36543</v>
      </c>
      <c r="E11" s="603">
        <v>0</v>
      </c>
      <c r="F11" s="546">
        <v>1</v>
      </c>
      <c r="G11" s="614">
        <f t="shared" si="1"/>
        <v>0</v>
      </c>
      <c r="H11" s="546">
        <v>21</v>
      </c>
      <c r="I11" s="614">
        <f t="shared" si="0"/>
        <v>0</v>
      </c>
    </row>
    <row r="12" spans="1:9" ht="15.75" customHeight="1">
      <c r="A12" s="561"/>
      <c r="B12" s="607" t="s">
        <v>3356</v>
      </c>
      <c r="C12" s="608" t="s">
        <v>3355</v>
      </c>
      <c r="D12" s="609">
        <v>37235</v>
      </c>
      <c r="E12" s="603">
        <v>0</v>
      </c>
      <c r="F12" s="546">
        <v>1</v>
      </c>
      <c r="G12" s="614">
        <f t="shared" si="1"/>
        <v>0</v>
      </c>
      <c r="H12" s="546">
        <v>21</v>
      </c>
      <c r="I12" s="614">
        <f t="shared" si="0"/>
        <v>0</v>
      </c>
    </row>
    <row r="13" spans="1:9" ht="15.75" customHeight="1">
      <c r="A13" s="561"/>
      <c r="B13" s="607" t="s">
        <v>3354</v>
      </c>
      <c r="C13" s="608" t="s">
        <v>3353</v>
      </c>
      <c r="D13" s="609">
        <v>36543</v>
      </c>
      <c r="E13" s="603">
        <v>0</v>
      </c>
      <c r="F13" s="546">
        <v>1</v>
      </c>
      <c r="G13" s="614">
        <f t="shared" si="1"/>
        <v>0</v>
      </c>
      <c r="H13" s="546">
        <v>21</v>
      </c>
      <c r="I13" s="614">
        <f t="shared" si="0"/>
        <v>0</v>
      </c>
    </row>
    <row r="14" spans="1:9" ht="15.75" customHeight="1">
      <c r="A14" s="561"/>
      <c r="B14" s="607" t="s">
        <v>3352</v>
      </c>
      <c r="C14" s="608" t="s">
        <v>3348</v>
      </c>
      <c r="D14" s="609">
        <v>41841</v>
      </c>
      <c r="E14" s="603">
        <v>0</v>
      </c>
      <c r="F14" s="546">
        <v>1</v>
      </c>
      <c r="G14" s="614">
        <f t="shared" si="1"/>
        <v>0</v>
      </c>
      <c r="H14" s="546">
        <v>21</v>
      </c>
      <c r="I14" s="614">
        <f t="shared" si="0"/>
        <v>0</v>
      </c>
    </row>
    <row r="15" spans="1:9" ht="15.75" customHeight="1">
      <c r="A15" s="561"/>
      <c r="B15" s="607" t="s">
        <v>3351</v>
      </c>
      <c r="C15" s="608" t="s">
        <v>3348</v>
      </c>
      <c r="D15" s="609">
        <v>41841</v>
      </c>
      <c r="E15" s="603">
        <v>0</v>
      </c>
      <c r="F15" s="546">
        <v>1</v>
      </c>
      <c r="G15" s="614">
        <f t="shared" si="1"/>
        <v>0</v>
      </c>
      <c r="H15" s="546">
        <v>21</v>
      </c>
      <c r="I15" s="614">
        <f t="shared" si="0"/>
        <v>0</v>
      </c>
    </row>
    <row r="16" spans="1:9" ht="15.75" customHeight="1">
      <c r="A16" s="561"/>
      <c r="B16" s="607" t="s">
        <v>3350</v>
      </c>
      <c r="C16" s="608" t="s">
        <v>3348</v>
      </c>
      <c r="D16" s="609">
        <v>41841</v>
      </c>
      <c r="E16" s="603">
        <v>0</v>
      </c>
      <c r="F16" s="546">
        <v>1</v>
      </c>
      <c r="G16" s="614">
        <f t="shared" si="1"/>
        <v>0</v>
      </c>
      <c r="H16" s="546">
        <v>21</v>
      </c>
      <c r="I16" s="614">
        <f t="shared" si="0"/>
        <v>0</v>
      </c>
    </row>
    <row r="17" spans="1:9" ht="15.75" customHeight="1">
      <c r="A17" s="561"/>
      <c r="B17" s="607" t="s">
        <v>3349</v>
      </c>
      <c r="C17" s="608" t="s">
        <v>3348</v>
      </c>
      <c r="D17" s="609">
        <v>41841</v>
      </c>
      <c r="E17" s="603">
        <v>0</v>
      </c>
      <c r="F17" s="546">
        <v>1</v>
      </c>
      <c r="G17" s="614">
        <f t="shared" si="1"/>
        <v>0</v>
      </c>
      <c r="H17" s="546">
        <v>21</v>
      </c>
      <c r="I17" s="614">
        <f t="shared" si="0"/>
        <v>0</v>
      </c>
    </row>
    <row r="18" spans="1:9" ht="15.75" customHeight="1">
      <c r="A18" s="561"/>
      <c r="B18" s="607" t="s">
        <v>3347</v>
      </c>
      <c r="C18" s="608" t="s">
        <v>3346</v>
      </c>
      <c r="D18" s="609">
        <v>41680</v>
      </c>
      <c r="E18" s="603">
        <v>0</v>
      </c>
      <c r="F18" s="546">
        <v>1</v>
      </c>
      <c r="G18" s="614">
        <f t="shared" si="1"/>
        <v>0</v>
      </c>
      <c r="H18" s="546">
        <v>21</v>
      </c>
      <c r="I18" s="614">
        <f t="shared" si="0"/>
        <v>0</v>
      </c>
    </row>
    <row r="19" spans="1:9" ht="15.75" customHeight="1">
      <c r="A19" s="561"/>
      <c r="B19" s="607" t="s">
        <v>3345</v>
      </c>
      <c r="C19" s="608" t="s">
        <v>3344</v>
      </c>
      <c r="D19" s="609">
        <v>38282</v>
      </c>
      <c r="E19" s="603">
        <v>0</v>
      </c>
      <c r="F19" s="546">
        <v>1</v>
      </c>
      <c r="G19" s="614">
        <f t="shared" si="1"/>
        <v>0</v>
      </c>
      <c r="H19" s="546">
        <v>21</v>
      </c>
      <c r="I19" s="614">
        <f t="shared" si="0"/>
        <v>0</v>
      </c>
    </row>
    <row r="20" spans="1:9" ht="15.75" customHeight="1">
      <c r="A20" s="561"/>
      <c r="B20" s="607" t="s">
        <v>3343</v>
      </c>
      <c r="C20" s="608" t="s">
        <v>3342</v>
      </c>
      <c r="D20" s="609">
        <v>37812</v>
      </c>
      <c r="E20" s="603">
        <v>0</v>
      </c>
      <c r="F20" s="546">
        <v>1</v>
      </c>
      <c r="G20" s="614">
        <f t="shared" si="1"/>
        <v>0</v>
      </c>
      <c r="H20" s="546">
        <v>21</v>
      </c>
      <c r="I20" s="614">
        <f t="shared" si="0"/>
        <v>0</v>
      </c>
    </row>
    <row r="21" spans="1:9" ht="15.75" customHeight="1">
      <c r="A21" s="561"/>
      <c r="B21" s="607" t="s">
        <v>3341</v>
      </c>
      <c r="C21" s="608" t="s">
        <v>3340</v>
      </c>
      <c r="D21" s="609">
        <v>37812</v>
      </c>
      <c r="E21" s="603">
        <v>0</v>
      </c>
      <c r="F21" s="546">
        <v>1</v>
      </c>
      <c r="G21" s="614">
        <f t="shared" si="1"/>
        <v>0</v>
      </c>
      <c r="H21" s="546">
        <v>21</v>
      </c>
      <c r="I21" s="614">
        <f t="shared" si="0"/>
        <v>0</v>
      </c>
    </row>
    <row r="22" spans="1:9" ht="15.75" customHeight="1">
      <c r="A22" s="561"/>
      <c r="B22" s="607" t="s">
        <v>3339</v>
      </c>
      <c r="C22" s="608" t="s">
        <v>3338</v>
      </c>
      <c r="D22" s="609">
        <v>37812</v>
      </c>
      <c r="E22" s="603">
        <v>0</v>
      </c>
      <c r="F22" s="546">
        <v>1</v>
      </c>
      <c r="G22" s="614">
        <f t="shared" si="1"/>
        <v>0</v>
      </c>
      <c r="H22" s="546">
        <v>21</v>
      </c>
      <c r="I22" s="614">
        <f t="shared" si="0"/>
        <v>0</v>
      </c>
    </row>
    <row r="23" spans="1:9" ht="15.75" customHeight="1">
      <c r="A23" s="561"/>
      <c r="B23" s="607" t="s">
        <v>3337</v>
      </c>
      <c r="C23" s="608" t="s">
        <v>3336</v>
      </c>
      <c r="D23" s="609">
        <v>39388</v>
      </c>
      <c r="E23" s="603">
        <v>0</v>
      </c>
      <c r="F23" s="546">
        <v>1</v>
      </c>
      <c r="G23" s="614">
        <f t="shared" si="1"/>
        <v>0</v>
      </c>
      <c r="H23" s="546">
        <v>21</v>
      </c>
      <c r="I23" s="614">
        <f t="shared" si="0"/>
        <v>0</v>
      </c>
    </row>
    <row r="24" spans="1:9" ht="15.75" customHeight="1">
      <c r="A24" s="561"/>
      <c r="B24" s="607" t="s">
        <v>3335</v>
      </c>
      <c r="C24" s="608" t="s">
        <v>3334</v>
      </c>
      <c r="D24" s="609">
        <v>33970</v>
      </c>
      <c r="E24" s="603">
        <v>0</v>
      </c>
      <c r="F24" s="546">
        <v>1</v>
      </c>
      <c r="G24" s="614">
        <f t="shared" si="1"/>
        <v>0</v>
      </c>
      <c r="H24" s="546">
        <v>21</v>
      </c>
      <c r="I24" s="614">
        <f t="shared" si="0"/>
        <v>0</v>
      </c>
    </row>
    <row r="25" spans="1:9" ht="15.75" customHeight="1">
      <c r="A25" s="561"/>
      <c r="B25" s="607" t="s">
        <v>3333</v>
      </c>
      <c r="C25" s="608" t="s">
        <v>3332</v>
      </c>
      <c r="D25" s="609">
        <v>39583</v>
      </c>
      <c r="E25" s="603">
        <v>0</v>
      </c>
      <c r="F25" s="546">
        <v>1</v>
      </c>
      <c r="G25" s="614">
        <f t="shared" si="1"/>
        <v>0</v>
      </c>
      <c r="H25" s="546">
        <v>21</v>
      </c>
      <c r="I25" s="614">
        <f t="shared" si="0"/>
        <v>0</v>
      </c>
    </row>
    <row r="26" spans="1:9" ht="15.75" customHeight="1">
      <c r="A26" s="561"/>
      <c r="B26" s="607" t="s">
        <v>3331</v>
      </c>
      <c r="C26" s="608" t="s">
        <v>3330</v>
      </c>
      <c r="D26" s="609">
        <v>33970</v>
      </c>
      <c r="E26" s="603">
        <v>0</v>
      </c>
      <c r="F26" s="546">
        <v>1</v>
      </c>
      <c r="G26" s="614">
        <f>F26*E26</f>
        <v>0</v>
      </c>
      <c r="H26" s="546">
        <v>21</v>
      </c>
      <c r="I26" s="614">
        <f t="shared" si="0"/>
        <v>0</v>
      </c>
    </row>
    <row r="27" spans="1:9" ht="26.25">
      <c r="A27" s="561"/>
      <c r="B27" s="607" t="s">
        <v>3329</v>
      </c>
      <c r="C27" s="610" t="s">
        <v>3328</v>
      </c>
      <c r="D27" s="609">
        <v>39430</v>
      </c>
      <c r="E27" s="603">
        <v>0</v>
      </c>
      <c r="F27" s="546">
        <v>1</v>
      </c>
      <c r="G27" s="614">
        <f t="shared" ref="G27:G90" si="2">F27*E27</f>
        <v>0</v>
      </c>
      <c r="H27" s="546">
        <v>21</v>
      </c>
      <c r="I27" s="614">
        <f t="shared" si="0"/>
        <v>0</v>
      </c>
    </row>
    <row r="28" spans="1:9" ht="15.75" customHeight="1">
      <c r="A28" s="561"/>
      <c r="B28" s="607" t="s">
        <v>3327</v>
      </c>
      <c r="C28" s="608" t="s">
        <v>3326</v>
      </c>
      <c r="D28" s="609">
        <v>39338</v>
      </c>
      <c r="E28" s="603">
        <v>0</v>
      </c>
      <c r="F28" s="546">
        <v>1</v>
      </c>
      <c r="G28" s="614">
        <f t="shared" si="2"/>
        <v>0</v>
      </c>
      <c r="H28" s="546">
        <v>21</v>
      </c>
      <c r="I28" s="614">
        <f t="shared" si="0"/>
        <v>0</v>
      </c>
    </row>
    <row r="29" spans="1:9" ht="15.75" customHeight="1">
      <c r="A29" s="561"/>
      <c r="B29" s="607" t="s">
        <v>3325</v>
      </c>
      <c r="C29" s="608" t="s">
        <v>3323</v>
      </c>
      <c r="D29" s="609">
        <v>35185</v>
      </c>
      <c r="E29" s="603">
        <v>0</v>
      </c>
      <c r="F29" s="546">
        <v>1</v>
      </c>
      <c r="G29" s="614">
        <f t="shared" si="2"/>
        <v>0</v>
      </c>
      <c r="H29" s="546">
        <v>21</v>
      </c>
      <c r="I29" s="614">
        <f t="shared" si="0"/>
        <v>0</v>
      </c>
    </row>
    <row r="30" spans="1:9" ht="15.75" customHeight="1">
      <c r="A30" s="561"/>
      <c r="B30" s="607" t="s">
        <v>3324</v>
      </c>
      <c r="C30" s="608" t="s">
        <v>3323</v>
      </c>
      <c r="D30" s="609">
        <v>35185</v>
      </c>
      <c r="E30" s="603">
        <v>0</v>
      </c>
      <c r="F30" s="546">
        <v>1</v>
      </c>
      <c r="G30" s="614">
        <f t="shared" si="2"/>
        <v>0</v>
      </c>
      <c r="H30" s="546">
        <v>21</v>
      </c>
      <c r="I30" s="614">
        <f t="shared" si="0"/>
        <v>0</v>
      </c>
    </row>
    <row r="31" spans="1:9" ht="15.75" customHeight="1">
      <c r="A31" s="561"/>
      <c r="B31" s="607" t="s">
        <v>3322</v>
      </c>
      <c r="C31" s="608" t="s">
        <v>3321</v>
      </c>
      <c r="D31" s="609">
        <v>36543</v>
      </c>
      <c r="E31" s="603">
        <v>0</v>
      </c>
      <c r="F31" s="546">
        <v>1</v>
      </c>
      <c r="G31" s="614">
        <f t="shared" si="2"/>
        <v>0</v>
      </c>
      <c r="H31" s="546">
        <v>21</v>
      </c>
      <c r="I31" s="614">
        <f t="shared" si="0"/>
        <v>0</v>
      </c>
    </row>
    <row r="32" spans="1:9" ht="15.75" customHeight="1">
      <c r="A32" s="561"/>
      <c r="B32" s="607" t="s">
        <v>3320</v>
      </c>
      <c r="C32" s="608" t="s">
        <v>3319</v>
      </c>
      <c r="D32" s="609">
        <v>36543</v>
      </c>
      <c r="E32" s="603">
        <v>0</v>
      </c>
      <c r="F32" s="546">
        <v>1</v>
      </c>
      <c r="G32" s="614">
        <f t="shared" si="2"/>
        <v>0</v>
      </c>
      <c r="H32" s="546">
        <v>21</v>
      </c>
      <c r="I32" s="614">
        <f t="shared" si="0"/>
        <v>0</v>
      </c>
    </row>
    <row r="33" spans="1:9" ht="15.75" customHeight="1">
      <c r="A33" s="561"/>
      <c r="B33" s="607" t="s">
        <v>3318</v>
      </c>
      <c r="C33" s="608" t="s">
        <v>3317</v>
      </c>
      <c r="D33" s="609">
        <v>34768</v>
      </c>
      <c r="E33" s="603">
        <v>0</v>
      </c>
      <c r="F33" s="546">
        <v>1</v>
      </c>
      <c r="G33" s="614">
        <f t="shared" si="2"/>
        <v>0</v>
      </c>
      <c r="H33" s="546">
        <v>21</v>
      </c>
      <c r="I33" s="614">
        <f t="shared" si="0"/>
        <v>0</v>
      </c>
    </row>
    <row r="34" spans="1:9" ht="15.75" customHeight="1">
      <c r="A34" s="561"/>
      <c r="B34" s="607" t="s">
        <v>3316</v>
      </c>
      <c r="C34" s="608" t="s">
        <v>3312</v>
      </c>
      <c r="D34" s="609">
        <v>34059</v>
      </c>
      <c r="E34" s="603">
        <v>0</v>
      </c>
      <c r="F34" s="546">
        <v>1</v>
      </c>
      <c r="G34" s="614">
        <f t="shared" si="2"/>
        <v>0</v>
      </c>
      <c r="H34" s="546">
        <v>21</v>
      </c>
      <c r="I34" s="614">
        <f t="shared" si="0"/>
        <v>0</v>
      </c>
    </row>
    <row r="35" spans="1:9" ht="15.75" customHeight="1">
      <c r="A35" s="561"/>
      <c r="B35" s="607" t="s">
        <v>3315</v>
      </c>
      <c r="C35" s="608" t="s">
        <v>3312</v>
      </c>
      <c r="D35" s="609">
        <v>34059</v>
      </c>
      <c r="E35" s="603">
        <v>0</v>
      </c>
      <c r="F35" s="546">
        <v>1</v>
      </c>
      <c r="G35" s="614">
        <f t="shared" si="2"/>
        <v>0</v>
      </c>
      <c r="H35" s="546">
        <v>21</v>
      </c>
      <c r="I35" s="614">
        <f t="shared" ref="I35:I66" si="3">G35*1.21</f>
        <v>0</v>
      </c>
    </row>
    <row r="36" spans="1:9" ht="15.75" customHeight="1">
      <c r="A36" s="561"/>
      <c r="B36" s="607" t="s">
        <v>3314</v>
      </c>
      <c r="C36" s="608" t="s">
        <v>3312</v>
      </c>
      <c r="D36" s="609">
        <v>38554</v>
      </c>
      <c r="E36" s="603">
        <v>0</v>
      </c>
      <c r="F36" s="546">
        <v>1</v>
      </c>
      <c r="G36" s="614">
        <f t="shared" si="2"/>
        <v>0</v>
      </c>
      <c r="H36" s="546">
        <v>21</v>
      </c>
      <c r="I36" s="614">
        <f t="shared" si="3"/>
        <v>0</v>
      </c>
    </row>
    <row r="37" spans="1:9" ht="15.75" customHeight="1">
      <c r="A37" s="561"/>
      <c r="B37" s="607" t="s">
        <v>3313</v>
      </c>
      <c r="C37" s="608" t="s">
        <v>3312</v>
      </c>
      <c r="D37" s="609">
        <v>38554</v>
      </c>
      <c r="E37" s="603">
        <v>0</v>
      </c>
      <c r="F37" s="546">
        <v>1</v>
      </c>
      <c r="G37" s="614">
        <f t="shared" si="2"/>
        <v>0</v>
      </c>
      <c r="H37" s="546">
        <v>21</v>
      </c>
      <c r="I37" s="614">
        <f t="shared" si="3"/>
        <v>0</v>
      </c>
    </row>
    <row r="38" spans="1:9" ht="15.75" customHeight="1">
      <c r="A38" s="561"/>
      <c r="B38" s="607" t="s">
        <v>3311</v>
      </c>
      <c r="C38" s="608" t="s">
        <v>3310</v>
      </c>
      <c r="D38" s="609">
        <v>35185</v>
      </c>
      <c r="E38" s="603">
        <v>0</v>
      </c>
      <c r="F38" s="546">
        <v>1</v>
      </c>
      <c r="G38" s="614">
        <f t="shared" si="2"/>
        <v>0</v>
      </c>
      <c r="H38" s="546">
        <v>21</v>
      </c>
      <c r="I38" s="614">
        <f t="shared" si="3"/>
        <v>0</v>
      </c>
    </row>
    <row r="39" spans="1:9" ht="15.75" customHeight="1">
      <c r="A39" s="561"/>
      <c r="B39" s="607" t="s">
        <v>3309</v>
      </c>
      <c r="C39" s="608" t="s">
        <v>3308</v>
      </c>
      <c r="D39" s="609">
        <v>33970</v>
      </c>
      <c r="E39" s="603">
        <v>0</v>
      </c>
      <c r="F39" s="546">
        <v>1</v>
      </c>
      <c r="G39" s="614">
        <f t="shared" si="2"/>
        <v>0</v>
      </c>
      <c r="H39" s="546">
        <v>21</v>
      </c>
      <c r="I39" s="614">
        <f t="shared" si="3"/>
        <v>0</v>
      </c>
    </row>
    <row r="40" spans="1:9" ht="15.75" customHeight="1">
      <c r="A40" s="561"/>
      <c r="B40" s="607" t="s">
        <v>3307</v>
      </c>
      <c r="C40" s="608" t="s">
        <v>3306</v>
      </c>
      <c r="D40" s="609">
        <v>35166</v>
      </c>
      <c r="E40" s="603">
        <v>0</v>
      </c>
      <c r="F40" s="546">
        <v>1</v>
      </c>
      <c r="G40" s="614">
        <f t="shared" si="2"/>
        <v>0</v>
      </c>
      <c r="H40" s="546">
        <v>21</v>
      </c>
      <c r="I40" s="614">
        <f t="shared" si="3"/>
        <v>0</v>
      </c>
    </row>
    <row r="41" spans="1:9" ht="15.75" customHeight="1">
      <c r="A41" s="561"/>
      <c r="B41" s="607" t="s">
        <v>3305</v>
      </c>
      <c r="C41" s="608" t="s">
        <v>3299</v>
      </c>
      <c r="D41" s="609">
        <v>37974</v>
      </c>
      <c r="E41" s="603">
        <v>0</v>
      </c>
      <c r="F41" s="546">
        <v>1</v>
      </c>
      <c r="G41" s="614">
        <f t="shared" si="2"/>
        <v>0</v>
      </c>
      <c r="H41" s="546">
        <v>21</v>
      </c>
      <c r="I41" s="614">
        <f t="shared" si="3"/>
        <v>0</v>
      </c>
    </row>
    <row r="42" spans="1:9" ht="15.75" customHeight="1">
      <c r="A42" s="561"/>
      <c r="B42" s="607" t="s">
        <v>3304</v>
      </c>
      <c r="C42" s="608" t="s">
        <v>3299</v>
      </c>
      <c r="D42" s="609">
        <v>37974</v>
      </c>
      <c r="E42" s="603">
        <v>0</v>
      </c>
      <c r="F42" s="546">
        <v>1</v>
      </c>
      <c r="G42" s="614">
        <f t="shared" si="2"/>
        <v>0</v>
      </c>
      <c r="H42" s="546">
        <v>21</v>
      </c>
      <c r="I42" s="614">
        <f t="shared" si="3"/>
        <v>0</v>
      </c>
    </row>
    <row r="43" spans="1:9" ht="15.75" customHeight="1">
      <c r="A43" s="561"/>
      <c r="B43" s="607" t="s">
        <v>3303</v>
      </c>
      <c r="C43" s="608" t="s">
        <v>3299</v>
      </c>
      <c r="D43" s="609">
        <v>37974</v>
      </c>
      <c r="E43" s="603">
        <v>0</v>
      </c>
      <c r="F43" s="546">
        <v>1</v>
      </c>
      <c r="G43" s="614">
        <f t="shared" si="2"/>
        <v>0</v>
      </c>
      <c r="H43" s="546">
        <v>21</v>
      </c>
      <c r="I43" s="614">
        <f t="shared" si="3"/>
        <v>0</v>
      </c>
    </row>
    <row r="44" spans="1:9" ht="15.75" customHeight="1">
      <c r="A44" s="561"/>
      <c r="B44" s="607" t="s">
        <v>3302</v>
      </c>
      <c r="C44" s="608" t="s">
        <v>3299</v>
      </c>
      <c r="D44" s="609">
        <v>37974</v>
      </c>
      <c r="E44" s="603">
        <v>0</v>
      </c>
      <c r="F44" s="546">
        <v>1</v>
      </c>
      <c r="G44" s="614">
        <f t="shared" si="2"/>
        <v>0</v>
      </c>
      <c r="H44" s="546">
        <v>21</v>
      </c>
      <c r="I44" s="614">
        <f t="shared" si="3"/>
        <v>0</v>
      </c>
    </row>
    <row r="45" spans="1:9" ht="15.75" customHeight="1">
      <c r="A45" s="561"/>
      <c r="B45" s="607" t="s">
        <v>3301</v>
      </c>
      <c r="C45" s="608" t="s">
        <v>3299</v>
      </c>
      <c r="D45" s="609">
        <v>37974</v>
      </c>
      <c r="E45" s="603">
        <v>0</v>
      </c>
      <c r="F45" s="546">
        <v>1</v>
      </c>
      <c r="G45" s="614">
        <f t="shared" si="2"/>
        <v>0</v>
      </c>
      <c r="H45" s="546">
        <v>21</v>
      </c>
      <c r="I45" s="614">
        <f t="shared" si="3"/>
        <v>0</v>
      </c>
    </row>
    <row r="46" spans="1:9" ht="15.75" customHeight="1">
      <c r="A46" s="561"/>
      <c r="B46" s="607" t="s">
        <v>3300</v>
      </c>
      <c r="C46" s="608" t="s">
        <v>3299</v>
      </c>
      <c r="D46" s="609">
        <v>37974</v>
      </c>
      <c r="E46" s="603">
        <v>0</v>
      </c>
      <c r="F46" s="546">
        <v>1</v>
      </c>
      <c r="G46" s="614">
        <f t="shared" si="2"/>
        <v>0</v>
      </c>
      <c r="H46" s="546">
        <v>21</v>
      </c>
      <c r="I46" s="614">
        <f t="shared" si="3"/>
        <v>0</v>
      </c>
    </row>
    <row r="47" spans="1:9" ht="15.75" customHeight="1">
      <c r="A47" s="561"/>
      <c r="B47" s="607" t="s">
        <v>3298</v>
      </c>
      <c r="C47" s="608" t="s">
        <v>3295</v>
      </c>
      <c r="D47" s="609">
        <v>35166</v>
      </c>
      <c r="E47" s="603">
        <v>0</v>
      </c>
      <c r="F47" s="546">
        <v>1</v>
      </c>
      <c r="G47" s="614">
        <f t="shared" si="2"/>
        <v>0</v>
      </c>
      <c r="H47" s="546">
        <v>21</v>
      </c>
      <c r="I47" s="614">
        <f t="shared" si="3"/>
        <v>0</v>
      </c>
    </row>
    <row r="48" spans="1:9" ht="15.75" customHeight="1">
      <c r="A48" s="561"/>
      <c r="B48" s="607" t="s">
        <v>3297</v>
      </c>
      <c r="C48" s="608" t="s">
        <v>3295</v>
      </c>
      <c r="D48" s="609">
        <v>35166</v>
      </c>
      <c r="E48" s="603">
        <v>0</v>
      </c>
      <c r="F48" s="546">
        <v>1</v>
      </c>
      <c r="G48" s="614">
        <f t="shared" si="2"/>
        <v>0</v>
      </c>
      <c r="H48" s="546">
        <v>21</v>
      </c>
      <c r="I48" s="614">
        <f t="shared" si="3"/>
        <v>0</v>
      </c>
    </row>
    <row r="49" spans="1:9" ht="15.75" customHeight="1">
      <c r="A49" s="561"/>
      <c r="B49" s="607" t="s">
        <v>3296</v>
      </c>
      <c r="C49" s="608" t="s">
        <v>3295</v>
      </c>
      <c r="D49" s="609">
        <v>35166</v>
      </c>
      <c r="E49" s="603">
        <v>0</v>
      </c>
      <c r="F49" s="546">
        <v>1</v>
      </c>
      <c r="G49" s="614">
        <f t="shared" si="2"/>
        <v>0</v>
      </c>
      <c r="H49" s="546">
        <v>21</v>
      </c>
      <c r="I49" s="614">
        <f t="shared" si="3"/>
        <v>0</v>
      </c>
    </row>
    <row r="50" spans="1:9" ht="15.75" customHeight="1">
      <c r="A50" s="561"/>
      <c r="B50" s="607" t="s">
        <v>3294</v>
      </c>
      <c r="C50" s="608" t="s">
        <v>3293</v>
      </c>
      <c r="D50" s="609">
        <v>37231</v>
      </c>
      <c r="E50" s="603">
        <v>0</v>
      </c>
      <c r="F50" s="546">
        <v>1</v>
      </c>
      <c r="G50" s="614">
        <f>F50*E50</f>
        <v>0</v>
      </c>
      <c r="H50" s="546">
        <v>21</v>
      </c>
      <c r="I50" s="614">
        <f t="shared" si="3"/>
        <v>0</v>
      </c>
    </row>
    <row r="51" spans="1:9" ht="15.75" customHeight="1">
      <c r="A51" s="561"/>
      <c r="B51" s="607" t="s">
        <v>3292</v>
      </c>
      <c r="C51" s="608" t="s">
        <v>3289</v>
      </c>
      <c r="D51" s="609">
        <v>34768</v>
      </c>
      <c r="E51" s="603">
        <v>0</v>
      </c>
      <c r="F51" s="546">
        <v>1</v>
      </c>
      <c r="G51" s="614">
        <f t="shared" si="2"/>
        <v>0</v>
      </c>
      <c r="H51" s="546">
        <v>21</v>
      </c>
      <c r="I51" s="614">
        <f t="shared" si="3"/>
        <v>0</v>
      </c>
    </row>
    <row r="52" spans="1:9" ht="15.75" customHeight="1">
      <c r="A52" s="561"/>
      <c r="B52" s="607" t="s">
        <v>3291</v>
      </c>
      <c r="C52" s="608" t="s">
        <v>3289</v>
      </c>
      <c r="D52" s="609">
        <v>34768</v>
      </c>
      <c r="E52" s="603">
        <v>0</v>
      </c>
      <c r="F52" s="546">
        <v>1</v>
      </c>
      <c r="G52" s="614">
        <f t="shared" si="2"/>
        <v>0</v>
      </c>
      <c r="H52" s="546">
        <v>21</v>
      </c>
      <c r="I52" s="614">
        <f t="shared" si="3"/>
        <v>0</v>
      </c>
    </row>
    <row r="53" spans="1:9" ht="15.75" customHeight="1">
      <c r="A53" s="561"/>
      <c r="B53" s="607" t="s">
        <v>3290</v>
      </c>
      <c r="C53" s="608" t="s">
        <v>3289</v>
      </c>
      <c r="D53" s="609">
        <v>34768</v>
      </c>
      <c r="E53" s="603">
        <v>0</v>
      </c>
      <c r="F53" s="546">
        <v>1</v>
      </c>
      <c r="G53" s="614">
        <f t="shared" si="2"/>
        <v>0</v>
      </c>
      <c r="H53" s="546">
        <v>21</v>
      </c>
      <c r="I53" s="614">
        <f t="shared" si="3"/>
        <v>0</v>
      </c>
    </row>
    <row r="54" spans="1:9" ht="15.75" customHeight="1">
      <c r="A54" s="561"/>
      <c r="B54" s="607" t="s">
        <v>3288</v>
      </c>
      <c r="C54" s="608" t="s">
        <v>3286</v>
      </c>
      <c r="D54" s="609">
        <v>33970</v>
      </c>
      <c r="E54" s="603">
        <v>0</v>
      </c>
      <c r="F54" s="546">
        <v>1</v>
      </c>
      <c r="G54" s="614">
        <f t="shared" si="2"/>
        <v>0</v>
      </c>
      <c r="H54" s="546">
        <v>21</v>
      </c>
      <c r="I54" s="614">
        <f t="shared" si="3"/>
        <v>0</v>
      </c>
    </row>
    <row r="55" spans="1:9" ht="15.75" customHeight="1">
      <c r="A55" s="561"/>
      <c r="B55" s="607" t="s">
        <v>3287</v>
      </c>
      <c r="C55" s="608" t="s">
        <v>3286</v>
      </c>
      <c r="D55" s="609">
        <v>33970</v>
      </c>
      <c r="E55" s="603">
        <v>0</v>
      </c>
      <c r="F55" s="546">
        <v>1</v>
      </c>
      <c r="G55" s="614">
        <f t="shared" si="2"/>
        <v>0</v>
      </c>
      <c r="H55" s="546">
        <v>21</v>
      </c>
      <c r="I55" s="614">
        <f t="shared" si="3"/>
        <v>0</v>
      </c>
    </row>
    <row r="56" spans="1:9" ht="15.75" customHeight="1">
      <c r="A56" s="561"/>
      <c r="B56" s="607" t="s">
        <v>3285</v>
      </c>
      <c r="C56" s="608" t="s">
        <v>3284</v>
      </c>
      <c r="D56" s="609">
        <v>40518</v>
      </c>
      <c r="E56" s="603">
        <v>0</v>
      </c>
      <c r="F56" s="546">
        <v>1</v>
      </c>
      <c r="G56" s="614">
        <f t="shared" si="2"/>
        <v>0</v>
      </c>
      <c r="H56" s="546">
        <v>21</v>
      </c>
      <c r="I56" s="614">
        <f t="shared" si="3"/>
        <v>0</v>
      </c>
    </row>
    <row r="57" spans="1:9" ht="15.75" customHeight="1">
      <c r="A57" s="561"/>
      <c r="B57" s="607" t="s">
        <v>3283</v>
      </c>
      <c r="C57" s="608" t="s">
        <v>3282</v>
      </c>
      <c r="D57" s="609">
        <v>41809</v>
      </c>
      <c r="E57" s="603">
        <v>0</v>
      </c>
      <c r="F57" s="546">
        <v>1</v>
      </c>
      <c r="G57" s="614">
        <f t="shared" si="2"/>
        <v>0</v>
      </c>
      <c r="H57" s="546">
        <v>21</v>
      </c>
      <c r="I57" s="614">
        <f t="shared" si="3"/>
        <v>0</v>
      </c>
    </row>
    <row r="58" spans="1:9" ht="15.75" customHeight="1">
      <c r="A58" s="561"/>
      <c r="B58" s="607" t="s">
        <v>3281</v>
      </c>
      <c r="C58" s="608" t="s">
        <v>3280</v>
      </c>
      <c r="D58" s="609">
        <v>41759</v>
      </c>
      <c r="E58" s="603">
        <v>0</v>
      </c>
      <c r="F58" s="546">
        <v>1</v>
      </c>
      <c r="G58" s="614">
        <f t="shared" si="2"/>
        <v>0</v>
      </c>
      <c r="H58" s="546">
        <v>21</v>
      </c>
      <c r="I58" s="614">
        <f t="shared" si="3"/>
        <v>0</v>
      </c>
    </row>
    <row r="59" spans="1:9" ht="15.75" customHeight="1">
      <c r="A59" s="561"/>
      <c r="B59" s="607" t="s">
        <v>3279</v>
      </c>
      <c r="C59" s="608" t="s">
        <v>3278</v>
      </c>
      <c r="D59" s="609">
        <v>41809</v>
      </c>
      <c r="E59" s="603">
        <v>0</v>
      </c>
      <c r="F59" s="546">
        <v>1</v>
      </c>
      <c r="G59" s="614">
        <f t="shared" si="2"/>
        <v>0</v>
      </c>
      <c r="H59" s="546">
        <v>21</v>
      </c>
      <c r="I59" s="614">
        <f t="shared" si="3"/>
        <v>0</v>
      </c>
    </row>
    <row r="60" spans="1:9" ht="15.75" customHeight="1">
      <c r="A60" s="561"/>
      <c r="B60" s="607" t="s">
        <v>3277</v>
      </c>
      <c r="C60" s="608" t="s">
        <v>3276</v>
      </c>
      <c r="D60" s="609">
        <v>33878</v>
      </c>
      <c r="E60" s="603">
        <v>0</v>
      </c>
      <c r="F60" s="546">
        <v>1</v>
      </c>
      <c r="G60" s="614">
        <f t="shared" si="2"/>
        <v>0</v>
      </c>
      <c r="H60" s="546">
        <v>21</v>
      </c>
      <c r="I60" s="614">
        <f t="shared" si="3"/>
        <v>0</v>
      </c>
    </row>
    <row r="61" spans="1:9" ht="15.75" customHeight="1">
      <c r="A61" s="561"/>
      <c r="B61" s="607" t="s">
        <v>3275</v>
      </c>
      <c r="C61" s="608" t="s">
        <v>3274</v>
      </c>
      <c r="D61" s="609">
        <v>42804</v>
      </c>
      <c r="E61" s="603">
        <v>0</v>
      </c>
      <c r="F61" s="546">
        <v>1</v>
      </c>
      <c r="G61" s="614">
        <f t="shared" si="2"/>
        <v>0</v>
      </c>
      <c r="H61" s="546">
        <v>21</v>
      </c>
      <c r="I61" s="614">
        <f t="shared" si="3"/>
        <v>0</v>
      </c>
    </row>
    <row r="62" spans="1:9" ht="15.75" customHeight="1">
      <c r="A62" s="561"/>
      <c r="B62" s="607" t="s">
        <v>3273</v>
      </c>
      <c r="C62" s="608" t="s">
        <v>3272</v>
      </c>
      <c r="D62" s="609">
        <v>36542</v>
      </c>
      <c r="E62" s="603">
        <v>0</v>
      </c>
      <c r="F62" s="546">
        <v>1</v>
      </c>
      <c r="G62" s="614">
        <f t="shared" si="2"/>
        <v>0</v>
      </c>
      <c r="H62" s="546">
        <v>21</v>
      </c>
      <c r="I62" s="614">
        <f t="shared" si="3"/>
        <v>0</v>
      </c>
    </row>
    <row r="63" spans="1:9" ht="15.75" customHeight="1">
      <c r="A63" s="561"/>
      <c r="B63" s="607" t="s">
        <v>3271</v>
      </c>
      <c r="C63" s="608" t="s">
        <v>3258</v>
      </c>
      <c r="D63" s="609">
        <v>36543</v>
      </c>
      <c r="E63" s="603">
        <v>0</v>
      </c>
      <c r="F63" s="546">
        <v>1</v>
      </c>
      <c r="G63" s="614">
        <f t="shared" si="2"/>
        <v>0</v>
      </c>
      <c r="H63" s="546">
        <v>21</v>
      </c>
      <c r="I63" s="614">
        <f t="shared" si="3"/>
        <v>0</v>
      </c>
    </row>
    <row r="64" spans="1:9" ht="15.75" customHeight="1">
      <c r="A64" s="561"/>
      <c r="B64" s="607" t="s">
        <v>3270</v>
      </c>
      <c r="C64" s="608" t="s">
        <v>3258</v>
      </c>
      <c r="D64" s="609">
        <v>36543</v>
      </c>
      <c r="E64" s="603">
        <v>0</v>
      </c>
      <c r="F64" s="546">
        <v>1</v>
      </c>
      <c r="G64" s="614">
        <f t="shared" si="2"/>
        <v>0</v>
      </c>
      <c r="H64" s="546">
        <v>21</v>
      </c>
      <c r="I64" s="614">
        <f t="shared" si="3"/>
        <v>0</v>
      </c>
    </row>
    <row r="65" spans="1:9" ht="15.75" customHeight="1">
      <c r="A65" s="561"/>
      <c r="B65" s="607" t="s">
        <v>3269</v>
      </c>
      <c r="C65" s="608" t="s">
        <v>3258</v>
      </c>
      <c r="D65" s="609">
        <v>36543</v>
      </c>
      <c r="E65" s="603">
        <v>0</v>
      </c>
      <c r="F65" s="546">
        <v>1</v>
      </c>
      <c r="G65" s="614">
        <f t="shared" si="2"/>
        <v>0</v>
      </c>
      <c r="H65" s="546">
        <v>21</v>
      </c>
      <c r="I65" s="614">
        <f t="shared" si="3"/>
        <v>0</v>
      </c>
    </row>
    <row r="66" spans="1:9" ht="15.75" customHeight="1">
      <c r="A66" s="561"/>
      <c r="B66" s="607" t="s">
        <v>3268</v>
      </c>
      <c r="C66" s="608" t="s">
        <v>3258</v>
      </c>
      <c r="D66" s="609">
        <v>36543</v>
      </c>
      <c r="E66" s="603">
        <v>0</v>
      </c>
      <c r="F66" s="546">
        <v>1</v>
      </c>
      <c r="G66" s="614">
        <f t="shared" si="2"/>
        <v>0</v>
      </c>
      <c r="H66" s="546">
        <v>21</v>
      </c>
      <c r="I66" s="614">
        <f t="shared" si="3"/>
        <v>0</v>
      </c>
    </row>
    <row r="67" spans="1:9" ht="15.75" customHeight="1">
      <c r="A67" s="561"/>
      <c r="B67" s="607" t="s">
        <v>3267</v>
      </c>
      <c r="C67" s="608" t="s">
        <v>3258</v>
      </c>
      <c r="D67" s="609">
        <v>36543</v>
      </c>
      <c r="E67" s="603">
        <v>0</v>
      </c>
      <c r="F67" s="546">
        <v>1</v>
      </c>
      <c r="G67" s="614">
        <f t="shared" si="2"/>
        <v>0</v>
      </c>
      <c r="H67" s="546">
        <v>21</v>
      </c>
      <c r="I67" s="614">
        <f t="shared" ref="I67:I98" si="4">G67*1.21</f>
        <v>0</v>
      </c>
    </row>
    <row r="68" spans="1:9" ht="15.75" customHeight="1">
      <c r="A68" s="561"/>
      <c r="B68" s="607" t="s">
        <v>3266</v>
      </c>
      <c r="C68" s="608" t="s">
        <v>3258</v>
      </c>
      <c r="D68" s="609">
        <v>36543</v>
      </c>
      <c r="E68" s="603">
        <v>0</v>
      </c>
      <c r="F68" s="546">
        <v>1</v>
      </c>
      <c r="G68" s="614">
        <f t="shared" si="2"/>
        <v>0</v>
      </c>
      <c r="H68" s="546">
        <v>21</v>
      </c>
      <c r="I68" s="614">
        <f t="shared" si="4"/>
        <v>0</v>
      </c>
    </row>
    <row r="69" spans="1:9" ht="15.75" customHeight="1">
      <c r="A69" s="561"/>
      <c r="B69" s="607" t="s">
        <v>3265</v>
      </c>
      <c r="C69" s="608" t="s">
        <v>3258</v>
      </c>
      <c r="D69" s="609">
        <v>36543</v>
      </c>
      <c r="E69" s="603">
        <v>0</v>
      </c>
      <c r="F69" s="546">
        <v>1</v>
      </c>
      <c r="G69" s="614">
        <f t="shared" si="2"/>
        <v>0</v>
      </c>
      <c r="H69" s="546">
        <v>21</v>
      </c>
      <c r="I69" s="614">
        <f t="shared" si="4"/>
        <v>0</v>
      </c>
    </row>
    <row r="70" spans="1:9" ht="15.75" customHeight="1">
      <c r="A70" s="561"/>
      <c r="B70" s="607" t="s">
        <v>3264</v>
      </c>
      <c r="C70" s="608" t="s">
        <v>3258</v>
      </c>
      <c r="D70" s="609">
        <v>36543</v>
      </c>
      <c r="E70" s="603">
        <v>0</v>
      </c>
      <c r="F70" s="546">
        <v>1</v>
      </c>
      <c r="G70" s="614">
        <f t="shared" si="2"/>
        <v>0</v>
      </c>
      <c r="H70" s="546">
        <v>21</v>
      </c>
      <c r="I70" s="614">
        <f t="shared" si="4"/>
        <v>0</v>
      </c>
    </row>
    <row r="71" spans="1:9" ht="15.75" customHeight="1">
      <c r="A71" s="561"/>
      <c r="B71" s="607" t="s">
        <v>3263</v>
      </c>
      <c r="C71" s="608" t="s">
        <v>3258</v>
      </c>
      <c r="D71" s="609">
        <v>36543</v>
      </c>
      <c r="E71" s="603">
        <v>0</v>
      </c>
      <c r="F71" s="546">
        <v>1</v>
      </c>
      <c r="G71" s="614">
        <f>F71*E71</f>
        <v>0</v>
      </c>
      <c r="H71" s="546">
        <v>21</v>
      </c>
      <c r="I71" s="614">
        <f t="shared" si="4"/>
        <v>0</v>
      </c>
    </row>
    <row r="72" spans="1:9" ht="15.75" customHeight="1">
      <c r="A72" s="561"/>
      <c r="B72" s="607" t="s">
        <v>3262</v>
      </c>
      <c r="C72" s="608" t="s">
        <v>3258</v>
      </c>
      <c r="D72" s="609">
        <v>36543</v>
      </c>
      <c r="E72" s="603">
        <v>0</v>
      </c>
      <c r="F72" s="546">
        <v>1</v>
      </c>
      <c r="G72" s="614">
        <f t="shared" si="2"/>
        <v>0</v>
      </c>
      <c r="H72" s="546">
        <v>21</v>
      </c>
      <c r="I72" s="614">
        <f t="shared" si="4"/>
        <v>0</v>
      </c>
    </row>
    <row r="73" spans="1:9" ht="15.75" customHeight="1">
      <c r="A73" s="561"/>
      <c r="B73" s="607" t="s">
        <v>3261</v>
      </c>
      <c r="C73" s="608" t="s">
        <v>3258</v>
      </c>
      <c r="D73" s="609">
        <v>36543</v>
      </c>
      <c r="E73" s="603">
        <v>0</v>
      </c>
      <c r="F73" s="546">
        <v>1</v>
      </c>
      <c r="G73" s="614">
        <f t="shared" si="2"/>
        <v>0</v>
      </c>
      <c r="H73" s="546">
        <v>21</v>
      </c>
      <c r="I73" s="614">
        <f t="shared" si="4"/>
        <v>0</v>
      </c>
    </row>
    <row r="74" spans="1:9" ht="15.75" customHeight="1">
      <c r="A74" s="561"/>
      <c r="B74" s="607" t="s">
        <v>3260</v>
      </c>
      <c r="C74" s="608" t="s">
        <v>3258</v>
      </c>
      <c r="D74" s="609">
        <v>36543</v>
      </c>
      <c r="E74" s="603">
        <v>0</v>
      </c>
      <c r="F74" s="546">
        <v>1</v>
      </c>
      <c r="G74" s="614">
        <f t="shared" si="2"/>
        <v>0</v>
      </c>
      <c r="H74" s="546">
        <v>21</v>
      </c>
      <c r="I74" s="614">
        <f t="shared" si="4"/>
        <v>0</v>
      </c>
    </row>
    <row r="75" spans="1:9" ht="15.75" customHeight="1">
      <c r="A75" s="561"/>
      <c r="B75" s="607" t="s">
        <v>3259</v>
      </c>
      <c r="C75" s="608" t="s">
        <v>3258</v>
      </c>
      <c r="D75" s="609">
        <v>36543</v>
      </c>
      <c r="E75" s="603">
        <v>0</v>
      </c>
      <c r="F75" s="546">
        <v>1</v>
      </c>
      <c r="G75" s="614">
        <f t="shared" si="2"/>
        <v>0</v>
      </c>
      <c r="H75" s="546">
        <v>21</v>
      </c>
      <c r="I75" s="614">
        <f t="shared" si="4"/>
        <v>0</v>
      </c>
    </row>
    <row r="76" spans="1:9" ht="15.75" customHeight="1">
      <c r="A76" s="561"/>
      <c r="B76" s="607" t="s">
        <v>3257</v>
      </c>
      <c r="C76" s="608" t="s">
        <v>3255</v>
      </c>
      <c r="D76" s="609">
        <v>36543</v>
      </c>
      <c r="E76" s="603">
        <v>0</v>
      </c>
      <c r="F76" s="546">
        <v>1</v>
      </c>
      <c r="G76" s="614">
        <f t="shared" si="2"/>
        <v>0</v>
      </c>
      <c r="H76" s="546">
        <v>21</v>
      </c>
      <c r="I76" s="614">
        <f t="shared" si="4"/>
        <v>0</v>
      </c>
    </row>
    <row r="77" spans="1:9" ht="15.75" customHeight="1">
      <c r="A77" s="561"/>
      <c r="B77" s="607" t="s">
        <v>3256</v>
      </c>
      <c r="C77" s="608" t="s">
        <v>3255</v>
      </c>
      <c r="D77" s="609">
        <v>36543</v>
      </c>
      <c r="E77" s="603">
        <v>0</v>
      </c>
      <c r="F77" s="546">
        <v>1</v>
      </c>
      <c r="G77" s="614">
        <f t="shared" si="2"/>
        <v>0</v>
      </c>
      <c r="H77" s="546">
        <v>21</v>
      </c>
      <c r="I77" s="614">
        <f t="shared" si="4"/>
        <v>0</v>
      </c>
    </row>
    <row r="78" spans="1:9" ht="15.75" customHeight="1">
      <c r="A78" s="561"/>
      <c r="B78" s="607" t="s">
        <v>3254</v>
      </c>
      <c r="C78" s="608" t="s">
        <v>3253</v>
      </c>
      <c r="D78" s="609">
        <v>36543</v>
      </c>
      <c r="E78" s="603">
        <v>0</v>
      </c>
      <c r="F78" s="546">
        <v>1</v>
      </c>
      <c r="G78" s="614">
        <f t="shared" si="2"/>
        <v>0</v>
      </c>
      <c r="H78" s="546">
        <v>21</v>
      </c>
      <c r="I78" s="614">
        <f t="shared" si="4"/>
        <v>0</v>
      </c>
    </row>
    <row r="79" spans="1:9" ht="15.75" customHeight="1">
      <c r="A79" s="561"/>
      <c r="B79" s="607" t="s">
        <v>3252</v>
      </c>
      <c r="C79" s="608" t="s">
        <v>3251</v>
      </c>
      <c r="D79" s="609">
        <v>35185</v>
      </c>
      <c r="E79" s="603">
        <v>0</v>
      </c>
      <c r="F79" s="546">
        <v>1</v>
      </c>
      <c r="G79" s="614">
        <f t="shared" si="2"/>
        <v>0</v>
      </c>
      <c r="H79" s="546">
        <v>21</v>
      </c>
      <c r="I79" s="614">
        <f t="shared" si="4"/>
        <v>0</v>
      </c>
    </row>
    <row r="80" spans="1:9" ht="15.75" customHeight="1">
      <c r="A80" s="561"/>
      <c r="B80" s="607" t="s">
        <v>3250</v>
      </c>
      <c r="C80" s="608" t="s">
        <v>3249</v>
      </c>
      <c r="D80" s="609">
        <v>36543</v>
      </c>
      <c r="E80" s="603">
        <v>0</v>
      </c>
      <c r="F80" s="546">
        <v>1</v>
      </c>
      <c r="G80" s="614">
        <f t="shared" si="2"/>
        <v>0</v>
      </c>
      <c r="H80" s="546">
        <v>21</v>
      </c>
      <c r="I80" s="614">
        <f t="shared" si="4"/>
        <v>0</v>
      </c>
    </row>
    <row r="81" spans="1:9" ht="15.75" customHeight="1">
      <c r="A81" s="561"/>
      <c r="B81" s="607" t="s">
        <v>3248</v>
      </c>
      <c r="C81" s="608" t="s">
        <v>3247</v>
      </c>
      <c r="D81" s="609">
        <v>35166</v>
      </c>
      <c r="E81" s="603">
        <v>0</v>
      </c>
      <c r="F81" s="546">
        <v>1</v>
      </c>
      <c r="G81" s="614">
        <f t="shared" si="2"/>
        <v>0</v>
      </c>
      <c r="H81" s="546">
        <v>21</v>
      </c>
      <c r="I81" s="614">
        <f t="shared" si="4"/>
        <v>0</v>
      </c>
    </row>
    <row r="82" spans="1:9" ht="15.75" customHeight="1">
      <c r="A82" s="561"/>
      <c r="B82" s="607" t="s">
        <v>3246</v>
      </c>
      <c r="C82" s="608" t="s">
        <v>3245</v>
      </c>
      <c r="D82" s="609">
        <v>36181</v>
      </c>
      <c r="E82" s="603">
        <v>0</v>
      </c>
      <c r="F82" s="546">
        <v>1</v>
      </c>
      <c r="G82" s="614">
        <f t="shared" si="2"/>
        <v>0</v>
      </c>
      <c r="H82" s="546">
        <v>21</v>
      </c>
      <c r="I82" s="614">
        <f t="shared" si="4"/>
        <v>0</v>
      </c>
    </row>
    <row r="83" spans="1:9" ht="15.75" customHeight="1">
      <c r="A83" s="561"/>
      <c r="B83" s="607" t="s">
        <v>3244</v>
      </c>
      <c r="C83" s="608" t="s">
        <v>3243</v>
      </c>
      <c r="D83" s="609">
        <v>33970</v>
      </c>
      <c r="E83" s="603">
        <v>0</v>
      </c>
      <c r="F83" s="546">
        <v>1</v>
      </c>
      <c r="G83" s="614">
        <f t="shared" si="2"/>
        <v>0</v>
      </c>
      <c r="H83" s="546">
        <v>21</v>
      </c>
      <c r="I83" s="614">
        <f t="shared" si="4"/>
        <v>0</v>
      </c>
    </row>
    <row r="84" spans="1:9" ht="15.75" customHeight="1">
      <c r="A84" s="561"/>
      <c r="B84" s="607" t="s">
        <v>3242</v>
      </c>
      <c r="C84" s="608" t="s">
        <v>3241</v>
      </c>
      <c r="D84" s="609">
        <v>36543</v>
      </c>
      <c r="E84" s="603">
        <v>0</v>
      </c>
      <c r="F84" s="546">
        <v>1</v>
      </c>
      <c r="G84" s="614">
        <f t="shared" si="2"/>
        <v>0</v>
      </c>
      <c r="H84" s="546">
        <v>21</v>
      </c>
      <c r="I84" s="614">
        <f t="shared" si="4"/>
        <v>0</v>
      </c>
    </row>
    <row r="85" spans="1:9" ht="15.75" customHeight="1">
      <c r="A85" s="561"/>
      <c r="B85" s="607" t="s">
        <v>3240</v>
      </c>
      <c r="C85" s="608" t="s">
        <v>3239</v>
      </c>
      <c r="D85" s="609">
        <v>35817</v>
      </c>
      <c r="E85" s="603">
        <v>0</v>
      </c>
      <c r="F85" s="546">
        <v>1</v>
      </c>
      <c r="G85" s="614">
        <f t="shared" si="2"/>
        <v>0</v>
      </c>
      <c r="H85" s="546">
        <v>21</v>
      </c>
      <c r="I85" s="614">
        <f t="shared" si="4"/>
        <v>0</v>
      </c>
    </row>
    <row r="86" spans="1:9" ht="15.75" customHeight="1">
      <c r="A86" s="561"/>
      <c r="B86" s="607" t="s">
        <v>3238</v>
      </c>
      <c r="C86" s="608" t="s">
        <v>3237</v>
      </c>
      <c r="D86" s="609">
        <v>42717</v>
      </c>
      <c r="E86" s="603">
        <v>0</v>
      </c>
      <c r="F86" s="546">
        <v>1</v>
      </c>
      <c r="G86" s="614">
        <f t="shared" si="2"/>
        <v>0</v>
      </c>
      <c r="H86" s="546">
        <v>21</v>
      </c>
      <c r="I86" s="614">
        <f t="shared" si="4"/>
        <v>0</v>
      </c>
    </row>
    <row r="87" spans="1:9" ht="15.75" customHeight="1">
      <c r="A87" s="561"/>
      <c r="B87" s="607" t="s">
        <v>3236</v>
      </c>
      <c r="C87" s="608" t="s">
        <v>3235</v>
      </c>
      <c r="D87" s="609">
        <v>35166</v>
      </c>
      <c r="E87" s="603">
        <v>0</v>
      </c>
      <c r="F87" s="546">
        <v>1</v>
      </c>
      <c r="G87" s="614">
        <f t="shared" si="2"/>
        <v>0</v>
      </c>
      <c r="H87" s="546">
        <v>21</v>
      </c>
      <c r="I87" s="614">
        <f t="shared" si="4"/>
        <v>0</v>
      </c>
    </row>
    <row r="88" spans="1:9" ht="15.75" customHeight="1">
      <c r="A88" s="561"/>
      <c r="B88" s="607" t="s">
        <v>3234</v>
      </c>
      <c r="C88" s="608" t="s">
        <v>3219</v>
      </c>
      <c r="D88" s="609">
        <v>36556</v>
      </c>
      <c r="E88" s="603">
        <v>0</v>
      </c>
      <c r="F88" s="546">
        <v>1</v>
      </c>
      <c r="G88" s="614">
        <f t="shared" si="2"/>
        <v>0</v>
      </c>
      <c r="H88" s="546">
        <v>21</v>
      </c>
      <c r="I88" s="614">
        <f t="shared" si="4"/>
        <v>0</v>
      </c>
    </row>
    <row r="89" spans="1:9" ht="15.75" customHeight="1">
      <c r="A89" s="561"/>
      <c r="B89" s="607" t="s">
        <v>3233</v>
      </c>
      <c r="C89" s="608" t="s">
        <v>3219</v>
      </c>
      <c r="D89" s="609">
        <v>36556</v>
      </c>
      <c r="E89" s="603">
        <v>0</v>
      </c>
      <c r="F89" s="546">
        <v>1</v>
      </c>
      <c r="G89" s="614">
        <f t="shared" si="2"/>
        <v>0</v>
      </c>
      <c r="H89" s="546">
        <v>21</v>
      </c>
      <c r="I89" s="614">
        <f t="shared" si="4"/>
        <v>0</v>
      </c>
    </row>
    <row r="90" spans="1:9" ht="15.75" customHeight="1">
      <c r="A90" s="561"/>
      <c r="B90" s="607" t="s">
        <v>3232</v>
      </c>
      <c r="C90" s="608" t="s">
        <v>3219</v>
      </c>
      <c r="D90" s="609">
        <v>36556</v>
      </c>
      <c r="E90" s="603">
        <v>0</v>
      </c>
      <c r="F90" s="546">
        <v>1</v>
      </c>
      <c r="G90" s="614">
        <f t="shared" si="2"/>
        <v>0</v>
      </c>
      <c r="H90" s="546">
        <v>21</v>
      </c>
      <c r="I90" s="614">
        <f t="shared" si="4"/>
        <v>0</v>
      </c>
    </row>
    <row r="91" spans="1:9" ht="15.75" customHeight="1">
      <c r="A91" s="561"/>
      <c r="B91" s="607" t="s">
        <v>3231</v>
      </c>
      <c r="C91" s="608" t="s">
        <v>3219</v>
      </c>
      <c r="D91" s="609">
        <v>36556</v>
      </c>
      <c r="E91" s="603">
        <v>0</v>
      </c>
      <c r="F91" s="546">
        <v>1</v>
      </c>
      <c r="G91" s="614">
        <f t="shared" ref="G91:G92" si="5">F91*E91</f>
        <v>0</v>
      </c>
      <c r="H91" s="546">
        <v>21</v>
      </c>
      <c r="I91" s="614">
        <f t="shared" si="4"/>
        <v>0</v>
      </c>
    </row>
    <row r="92" spans="1:9" ht="15.75" customHeight="1">
      <c r="A92" s="561"/>
      <c r="B92" s="607" t="s">
        <v>3230</v>
      </c>
      <c r="C92" s="608" t="s">
        <v>3219</v>
      </c>
      <c r="D92" s="609">
        <v>36556</v>
      </c>
      <c r="E92" s="603">
        <v>0</v>
      </c>
      <c r="F92" s="546">
        <v>1</v>
      </c>
      <c r="G92" s="614">
        <f t="shared" si="5"/>
        <v>0</v>
      </c>
      <c r="H92" s="546">
        <v>21</v>
      </c>
      <c r="I92" s="614">
        <f t="shared" si="4"/>
        <v>0</v>
      </c>
    </row>
    <row r="93" spans="1:9" ht="15.75" customHeight="1">
      <c r="A93" s="561"/>
      <c r="B93" s="607" t="s">
        <v>3229</v>
      </c>
      <c r="C93" s="608" t="s">
        <v>3219</v>
      </c>
      <c r="D93" s="609">
        <v>36556</v>
      </c>
      <c r="E93" s="603">
        <v>0</v>
      </c>
      <c r="F93" s="546">
        <v>1</v>
      </c>
      <c r="G93" s="614">
        <f>F93*E93</f>
        <v>0</v>
      </c>
      <c r="H93" s="546">
        <v>21</v>
      </c>
      <c r="I93" s="614">
        <f t="shared" si="4"/>
        <v>0</v>
      </c>
    </row>
    <row r="94" spans="1:9" ht="15.75" customHeight="1">
      <c r="A94" s="561"/>
      <c r="B94" s="607" t="s">
        <v>3228</v>
      </c>
      <c r="C94" s="608" t="s">
        <v>3219</v>
      </c>
      <c r="D94" s="609">
        <v>36556</v>
      </c>
      <c r="E94" s="603">
        <v>0</v>
      </c>
      <c r="F94" s="546">
        <v>1</v>
      </c>
      <c r="G94" s="614">
        <f t="shared" ref="G94:G112" si="6">F94*E94</f>
        <v>0</v>
      </c>
      <c r="H94" s="546">
        <v>21</v>
      </c>
      <c r="I94" s="614">
        <f t="shared" si="4"/>
        <v>0</v>
      </c>
    </row>
    <row r="95" spans="1:9" ht="15.75" customHeight="1">
      <c r="A95" s="561"/>
      <c r="B95" s="607" t="s">
        <v>3227</v>
      </c>
      <c r="C95" s="608" t="s">
        <v>3219</v>
      </c>
      <c r="D95" s="609">
        <v>36556</v>
      </c>
      <c r="E95" s="603">
        <v>0</v>
      </c>
      <c r="F95" s="546">
        <v>1</v>
      </c>
      <c r="G95" s="614">
        <f t="shared" si="6"/>
        <v>0</v>
      </c>
      <c r="H95" s="546">
        <v>21</v>
      </c>
      <c r="I95" s="614">
        <f t="shared" si="4"/>
        <v>0</v>
      </c>
    </row>
    <row r="96" spans="1:9" ht="15.75" customHeight="1">
      <c r="A96" s="561"/>
      <c r="B96" s="607" t="s">
        <v>3226</v>
      </c>
      <c r="C96" s="608" t="s">
        <v>3219</v>
      </c>
      <c r="D96" s="609">
        <v>36556</v>
      </c>
      <c r="E96" s="603">
        <v>0</v>
      </c>
      <c r="F96" s="546">
        <v>1</v>
      </c>
      <c r="G96" s="614">
        <f t="shared" si="6"/>
        <v>0</v>
      </c>
      <c r="H96" s="546">
        <v>21</v>
      </c>
      <c r="I96" s="614">
        <f t="shared" si="4"/>
        <v>0</v>
      </c>
    </row>
    <row r="97" spans="1:9" ht="15.75" customHeight="1">
      <c r="A97" s="561"/>
      <c r="B97" s="607" t="s">
        <v>3225</v>
      </c>
      <c r="C97" s="608" t="s">
        <v>3219</v>
      </c>
      <c r="D97" s="609">
        <v>36556</v>
      </c>
      <c r="E97" s="603">
        <v>0</v>
      </c>
      <c r="F97" s="546">
        <v>1</v>
      </c>
      <c r="G97" s="614">
        <f t="shared" si="6"/>
        <v>0</v>
      </c>
      <c r="H97" s="546">
        <v>21</v>
      </c>
      <c r="I97" s="614">
        <f t="shared" si="4"/>
        <v>0</v>
      </c>
    </row>
    <row r="98" spans="1:9" ht="15.75" customHeight="1">
      <c r="A98" s="561"/>
      <c r="B98" s="607" t="s">
        <v>3224</v>
      </c>
      <c r="C98" s="608" t="s">
        <v>3219</v>
      </c>
      <c r="D98" s="609">
        <v>36556</v>
      </c>
      <c r="E98" s="603">
        <v>0</v>
      </c>
      <c r="F98" s="546">
        <v>1</v>
      </c>
      <c r="G98" s="614">
        <f t="shared" si="6"/>
        <v>0</v>
      </c>
      <c r="H98" s="546">
        <v>21</v>
      </c>
      <c r="I98" s="614">
        <f t="shared" si="4"/>
        <v>0</v>
      </c>
    </row>
    <row r="99" spans="1:9" ht="15.75" customHeight="1">
      <c r="A99" s="561"/>
      <c r="B99" s="607" t="s">
        <v>3223</v>
      </c>
      <c r="C99" s="608" t="s">
        <v>3219</v>
      </c>
      <c r="D99" s="609">
        <v>36556</v>
      </c>
      <c r="E99" s="603">
        <v>0</v>
      </c>
      <c r="F99" s="546">
        <v>1</v>
      </c>
      <c r="G99" s="614">
        <f t="shared" si="6"/>
        <v>0</v>
      </c>
      <c r="H99" s="546">
        <v>21</v>
      </c>
      <c r="I99" s="614">
        <f t="shared" ref="I99:I130" si="7">G99*1.21</f>
        <v>0</v>
      </c>
    </row>
    <row r="100" spans="1:9" ht="15.75" customHeight="1">
      <c r="A100" s="561"/>
      <c r="B100" s="607" t="s">
        <v>3222</v>
      </c>
      <c r="C100" s="608" t="s">
        <v>3219</v>
      </c>
      <c r="D100" s="609">
        <v>36556</v>
      </c>
      <c r="E100" s="603">
        <v>0</v>
      </c>
      <c r="F100" s="546">
        <v>1</v>
      </c>
      <c r="G100" s="614">
        <f t="shared" si="6"/>
        <v>0</v>
      </c>
      <c r="H100" s="546">
        <v>21</v>
      </c>
      <c r="I100" s="614">
        <f t="shared" si="7"/>
        <v>0</v>
      </c>
    </row>
    <row r="101" spans="1:9" ht="15.75" customHeight="1">
      <c r="A101" s="561"/>
      <c r="B101" s="607" t="s">
        <v>3221</v>
      </c>
      <c r="C101" s="608" t="s">
        <v>3219</v>
      </c>
      <c r="D101" s="609">
        <v>36556</v>
      </c>
      <c r="E101" s="603">
        <v>0</v>
      </c>
      <c r="F101" s="546">
        <v>1</v>
      </c>
      <c r="G101" s="614">
        <f t="shared" si="6"/>
        <v>0</v>
      </c>
      <c r="H101" s="546">
        <v>21</v>
      </c>
      <c r="I101" s="614">
        <f t="shared" si="7"/>
        <v>0</v>
      </c>
    </row>
    <row r="102" spans="1:9" ht="15.75" customHeight="1">
      <c r="A102" s="561"/>
      <c r="B102" s="607" t="s">
        <v>3220</v>
      </c>
      <c r="C102" s="608" t="s">
        <v>3219</v>
      </c>
      <c r="D102" s="609">
        <v>36556</v>
      </c>
      <c r="E102" s="603">
        <v>0</v>
      </c>
      <c r="F102" s="546">
        <v>1</v>
      </c>
      <c r="G102" s="614">
        <f t="shared" si="6"/>
        <v>0</v>
      </c>
      <c r="H102" s="546">
        <v>21</v>
      </c>
      <c r="I102" s="614">
        <f t="shared" si="7"/>
        <v>0</v>
      </c>
    </row>
    <row r="103" spans="1:9" ht="15.75" customHeight="1">
      <c r="A103" s="561"/>
      <c r="B103" s="607" t="s">
        <v>3218</v>
      </c>
      <c r="C103" s="608" t="s">
        <v>3217</v>
      </c>
      <c r="D103" s="609">
        <v>43398</v>
      </c>
      <c r="E103" s="603">
        <v>0</v>
      </c>
      <c r="F103" s="546">
        <v>1</v>
      </c>
      <c r="G103" s="614">
        <f t="shared" si="6"/>
        <v>0</v>
      </c>
      <c r="H103" s="546">
        <v>21</v>
      </c>
      <c r="I103" s="614">
        <f t="shared" si="7"/>
        <v>0</v>
      </c>
    </row>
    <row r="104" spans="1:9" ht="15.75" customHeight="1">
      <c r="A104" s="561"/>
      <c r="B104" s="607" t="s">
        <v>3216</v>
      </c>
      <c r="C104" s="608" t="s">
        <v>3215</v>
      </c>
      <c r="D104" s="609">
        <v>40715</v>
      </c>
      <c r="E104" s="603">
        <v>0</v>
      </c>
      <c r="F104" s="546">
        <v>1</v>
      </c>
      <c r="G104" s="614">
        <f t="shared" si="6"/>
        <v>0</v>
      </c>
      <c r="H104" s="546">
        <v>21</v>
      </c>
      <c r="I104" s="614">
        <f t="shared" si="7"/>
        <v>0</v>
      </c>
    </row>
    <row r="105" spans="1:9" ht="15.75" customHeight="1">
      <c r="A105" s="561"/>
      <c r="B105" s="607" t="s">
        <v>3214</v>
      </c>
      <c r="C105" s="608" t="s">
        <v>3213</v>
      </c>
      <c r="D105" s="609">
        <v>36059</v>
      </c>
      <c r="E105" s="603">
        <v>0</v>
      </c>
      <c r="F105" s="546">
        <v>1</v>
      </c>
      <c r="G105" s="614">
        <f t="shared" si="6"/>
        <v>0</v>
      </c>
      <c r="H105" s="546">
        <v>21</v>
      </c>
      <c r="I105" s="614">
        <f t="shared" si="7"/>
        <v>0</v>
      </c>
    </row>
    <row r="106" spans="1:9" ht="15.75" customHeight="1">
      <c r="A106" s="561"/>
      <c r="B106" s="607" t="s">
        <v>3212</v>
      </c>
      <c r="C106" s="608" t="s">
        <v>3211</v>
      </c>
      <c r="D106" s="609">
        <v>36542</v>
      </c>
      <c r="E106" s="603">
        <v>0</v>
      </c>
      <c r="F106" s="546">
        <v>1</v>
      </c>
      <c r="G106" s="614">
        <f t="shared" si="6"/>
        <v>0</v>
      </c>
      <c r="H106" s="546">
        <v>21</v>
      </c>
      <c r="I106" s="614">
        <f t="shared" si="7"/>
        <v>0</v>
      </c>
    </row>
    <row r="107" spans="1:9" ht="15.75" customHeight="1">
      <c r="A107" s="561"/>
      <c r="B107" s="607" t="s">
        <v>3210</v>
      </c>
      <c r="C107" s="608" t="s">
        <v>3209</v>
      </c>
      <c r="D107" s="609">
        <v>36542</v>
      </c>
      <c r="E107" s="603">
        <v>0</v>
      </c>
      <c r="F107" s="546">
        <v>1</v>
      </c>
      <c r="G107" s="614">
        <f t="shared" si="6"/>
        <v>0</v>
      </c>
      <c r="H107" s="546">
        <v>21</v>
      </c>
      <c r="I107" s="614">
        <f t="shared" si="7"/>
        <v>0</v>
      </c>
    </row>
    <row r="108" spans="1:9" ht="15.75" customHeight="1">
      <c r="A108" s="561"/>
      <c r="B108" s="607" t="s">
        <v>3208</v>
      </c>
      <c r="C108" s="608" t="s">
        <v>3207</v>
      </c>
      <c r="D108" s="609">
        <v>34824</v>
      </c>
      <c r="E108" s="603">
        <v>0</v>
      </c>
      <c r="F108" s="546">
        <v>1</v>
      </c>
      <c r="G108" s="614">
        <f t="shared" si="6"/>
        <v>0</v>
      </c>
      <c r="H108" s="546">
        <v>21</v>
      </c>
      <c r="I108" s="614">
        <f t="shared" si="7"/>
        <v>0</v>
      </c>
    </row>
    <row r="109" spans="1:9" ht="15.75" customHeight="1">
      <c r="A109" s="561"/>
      <c r="B109" s="607" t="s">
        <v>3206</v>
      </c>
      <c r="C109" s="608" t="s">
        <v>3204</v>
      </c>
      <c r="D109" s="609">
        <v>36543</v>
      </c>
      <c r="E109" s="603">
        <v>0</v>
      </c>
      <c r="F109" s="546">
        <v>1</v>
      </c>
      <c r="G109" s="614">
        <f t="shared" si="6"/>
        <v>0</v>
      </c>
      <c r="H109" s="546">
        <v>21</v>
      </c>
      <c r="I109" s="614">
        <f t="shared" si="7"/>
        <v>0</v>
      </c>
    </row>
    <row r="110" spans="1:9" ht="15.75" customHeight="1">
      <c r="A110" s="561"/>
      <c r="B110" s="607" t="s">
        <v>3205</v>
      </c>
      <c r="C110" s="608" t="s">
        <v>3204</v>
      </c>
      <c r="D110" s="609">
        <v>36543</v>
      </c>
      <c r="E110" s="603">
        <v>0</v>
      </c>
      <c r="F110" s="546">
        <v>1</v>
      </c>
      <c r="G110" s="614">
        <f t="shared" si="6"/>
        <v>0</v>
      </c>
      <c r="H110" s="546">
        <v>21</v>
      </c>
      <c r="I110" s="614">
        <f t="shared" si="7"/>
        <v>0</v>
      </c>
    </row>
    <row r="111" spans="1:9" ht="15.75" customHeight="1">
      <c r="A111" s="561"/>
      <c r="B111" s="607" t="s">
        <v>3203</v>
      </c>
      <c r="C111" s="608" t="s">
        <v>3202</v>
      </c>
      <c r="D111" s="609">
        <v>36881</v>
      </c>
      <c r="E111" s="603">
        <v>0</v>
      </c>
      <c r="F111" s="546">
        <v>1</v>
      </c>
      <c r="G111" s="614">
        <f t="shared" si="6"/>
        <v>0</v>
      </c>
      <c r="H111" s="546">
        <v>21</v>
      </c>
      <c r="I111" s="614">
        <f t="shared" si="7"/>
        <v>0</v>
      </c>
    </row>
    <row r="112" spans="1:9" ht="15.75" customHeight="1">
      <c r="A112" s="561"/>
      <c r="B112" s="607" t="s">
        <v>3201</v>
      </c>
      <c r="C112" s="608" t="s">
        <v>3200</v>
      </c>
      <c r="D112" s="609">
        <v>35185</v>
      </c>
      <c r="E112" s="603">
        <v>0</v>
      </c>
      <c r="F112" s="546">
        <v>1</v>
      </c>
      <c r="G112" s="614">
        <f t="shared" si="6"/>
        <v>0</v>
      </c>
      <c r="H112" s="546">
        <v>21</v>
      </c>
      <c r="I112" s="614">
        <f t="shared" si="7"/>
        <v>0</v>
      </c>
    </row>
    <row r="113" spans="1:9" ht="15.75" customHeight="1">
      <c r="A113" s="561"/>
      <c r="B113" s="607" t="s">
        <v>3199</v>
      </c>
      <c r="C113" s="608" t="s">
        <v>3198</v>
      </c>
      <c r="D113" s="609">
        <v>43455</v>
      </c>
      <c r="E113" s="603">
        <v>0</v>
      </c>
      <c r="F113" s="546">
        <v>1</v>
      </c>
      <c r="G113" s="614">
        <f>F113*E113</f>
        <v>0</v>
      </c>
      <c r="H113" s="546">
        <v>21</v>
      </c>
      <c r="I113" s="614">
        <f t="shared" si="7"/>
        <v>0</v>
      </c>
    </row>
    <row r="114" spans="1:9" ht="15.75" customHeight="1">
      <c r="A114" s="561"/>
      <c r="B114" s="607" t="s">
        <v>3197</v>
      </c>
      <c r="C114" s="608" t="s">
        <v>3196</v>
      </c>
      <c r="D114" s="609">
        <v>33970</v>
      </c>
      <c r="E114" s="603">
        <v>0</v>
      </c>
      <c r="F114" s="546">
        <v>1</v>
      </c>
      <c r="G114" s="614">
        <f t="shared" ref="G114:G134" si="8">F114*E114</f>
        <v>0</v>
      </c>
      <c r="H114" s="546">
        <v>21</v>
      </c>
      <c r="I114" s="614">
        <f t="shared" si="7"/>
        <v>0</v>
      </c>
    </row>
    <row r="115" spans="1:9" ht="15.75" customHeight="1">
      <c r="A115" s="561"/>
      <c r="B115" s="607" t="s">
        <v>3195</v>
      </c>
      <c r="C115" s="608" t="s">
        <v>3194</v>
      </c>
      <c r="D115" s="609">
        <v>35166</v>
      </c>
      <c r="E115" s="603">
        <v>0</v>
      </c>
      <c r="F115" s="546">
        <v>1</v>
      </c>
      <c r="G115" s="614">
        <f t="shared" si="8"/>
        <v>0</v>
      </c>
      <c r="H115" s="546">
        <v>21</v>
      </c>
      <c r="I115" s="614">
        <f t="shared" si="7"/>
        <v>0</v>
      </c>
    </row>
    <row r="116" spans="1:9" ht="15.75" customHeight="1">
      <c r="A116" s="561"/>
      <c r="B116" s="607" t="s">
        <v>3193</v>
      </c>
      <c r="C116" s="608" t="s">
        <v>3192</v>
      </c>
      <c r="D116" s="609">
        <v>36181</v>
      </c>
      <c r="E116" s="603">
        <v>0</v>
      </c>
      <c r="F116" s="546">
        <v>1</v>
      </c>
      <c r="G116" s="614">
        <f t="shared" si="8"/>
        <v>0</v>
      </c>
      <c r="H116" s="546">
        <v>21</v>
      </c>
      <c r="I116" s="614">
        <f t="shared" si="7"/>
        <v>0</v>
      </c>
    </row>
    <row r="117" spans="1:9" ht="15.75" customHeight="1">
      <c r="A117" s="561"/>
      <c r="B117" s="607" t="s">
        <v>3191</v>
      </c>
      <c r="C117" s="608" t="s">
        <v>3190</v>
      </c>
      <c r="D117" s="609">
        <v>36543</v>
      </c>
      <c r="E117" s="603">
        <v>0</v>
      </c>
      <c r="F117" s="546">
        <v>1</v>
      </c>
      <c r="G117" s="614">
        <f t="shared" si="8"/>
        <v>0</v>
      </c>
      <c r="H117" s="546">
        <v>21</v>
      </c>
      <c r="I117" s="614">
        <f t="shared" si="7"/>
        <v>0</v>
      </c>
    </row>
    <row r="118" spans="1:9" ht="15.75" customHeight="1">
      <c r="A118" s="561"/>
      <c r="B118" s="607" t="s">
        <v>3189</v>
      </c>
      <c r="C118" s="608" t="s">
        <v>3178</v>
      </c>
      <c r="D118" s="609">
        <v>33970</v>
      </c>
      <c r="E118" s="603">
        <v>0</v>
      </c>
      <c r="F118" s="546">
        <v>1</v>
      </c>
      <c r="G118" s="614">
        <f t="shared" si="8"/>
        <v>0</v>
      </c>
      <c r="H118" s="546">
        <v>21</v>
      </c>
      <c r="I118" s="614">
        <f t="shared" si="7"/>
        <v>0</v>
      </c>
    </row>
    <row r="119" spans="1:9" ht="15.75" customHeight="1">
      <c r="A119" s="561"/>
      <c r="B119" s="607" t="s">
        <v>3188</v>
      </c>
      <c r="C119" s="608" t="s">
        <v>3178</v>
      </c>
      <c r="D119" s="609">
        <v>33970</v>
      </c>
      <c r="E119" s="603">
        <v>0</v>
      </c>
      <c r="F119" s="546">
        <v>1</v>
      </c>
      <c r="G119" s="614">
        <f t="shared" si="8"/>
        <v>0</v>
      </c>
      <c r="H119" s="546">
        <v>21</v>
      </c>
      <c r="I119" s="614">
        <f t="shared" si="7"/>
        <v>0</v>
      </c>
    </row>
    <row r="120" spans="1:9" ht="15.75" customHeight="1">
      <c r="A120" s="561"/>
      <c r="B120" s="607" t="s">
        <v>3187</v>
      </c>
      <c r="C120" s="608" t="s">
        <v>3178</v>
      </c>
      <c r="D120" s="609">
        <v>33970</v>
      </c>
      <c r="E120" s="603">
        <v>0</v>
      </c>
      <c r="F120" s="546">
        <v>1</v>
      </c>
      <c r="G120" s="614">
        <f t="shared" si="8"/>
        <v>0</v>
      </c>
      <c r="H120" s="546">
        <v>21</v>
      </c>
      <c r="I120" s="614">
        <f t="shared" si="7"/>
        <v>0</v>
      </c>
    </row>
    <row r="121" spans="1:9" ht="15.75" customHeight="1">
      <c r="A121" s="561"/>
      <c r="B121" s="607" t="s">
        <v>3186</v>
      </c>
      <c r="C121" s="608" t="s">
        <v>3178</v>
      </c>
      <c r="D121" s="609">
        <v>33970</v>
      </c>
      <c r="E121" s="603">
        <v>0</v>
      </c>
      <c r="F121" s="546">
        <v>1</v>
      </c>
      <c r="G121" s="614">
        <f t="shared" si="8"/>
        <v>0</v>
      </c>
      <c r="H121" s="546">
        <v>21</v>
      </c>
      <c r="I121" s="614">
        <f t="shared" si="7"/>
        <v>0</v>
      </c>
    </row>
    <row r="122" spans="1:9" ht="15.75" customHeight="1">
      <c r="A122" s="561"/>
      <c r="B122" s="607" t="s">
        <v>3185</v>
      </c>
      <c r="C122" s="608" t="s">
        <v>3178</v>
      </c>
      <c r="D122" s="609">
        <v>33970</v>
      </c>
      <c r="E122" s="603">
        <v>0</v>
      </c>
      <c r="F122" s="546">
        <v>1</v>
      </c>
      <c r="G122" s="614">
        <f t="shared" si="8"/>
        <v>0</v>
      </c>
      <c r="H122" s="546">
        <v>21</v>
      </c>
      <c r="I122" s="614">
        <f t="shared" si="7"/>
        <v>0</v>
      </c>
    </row>
    <row r="123" spans="1:9" ht="15.75" customHeight="1">
      <c r="A123" s="561"/>
      <c r="B123" s="607" t="s">
        <v>3184</v>
      </c>
      <c r="C123" s="608" t="s">
        <v>3178</v>
      </c>
      <c r="D123" s="609">
        <v>33970</v>
      </c>
      <c r="E123" s="603">
        <v>0</v>
      </c>
      <c r="F123" s="546">
        <v>1</v>
      </c>
      <c r="G123" s="614">
        <f t="shared" si="8"/>
        <v>0</v>
      </c>
      <c r="H123" s="546">
        <v>21</v>
      </c>
      <c r="I123" s="614">
        <f t="shared" si="7"/>
        <v>0</v>
      </c>
    </row>
    <row r="124" spans="1:9" ht="15.75" customHeight="1">
      <c r="A124" s="561"/>
      <c r="B124" s="607" t="s">
        <v>3183</v>
      </c>
      <c r="C124" s="608" t="s">
        <v>3178</v>
      </c>
      <c r="D124" s="609">
        <v>33970</v>
      </c>
      <c r="E124" s="603">
        <v>0</v>
      </c>
      <c r="F124" s="546">
        <v>1</v>
      </c>
      <c r="G124" s="614">
        <f t="shared" si="8"/>
        <v>0</v>
      </c>
      <c r="H124" s="546">
        <v>21</v>
      </c>
      <c r="I124" s="614">
        <f t="shared" si="7"/>
        <v>0</v>
      </c>
    </row>
    <row r="125" spans="1:9" ht="15.75" customHeight="1">
      <c r="A125" s="561"/>
      <c r="B125" s="607" t="s">
        <v>3182</v>
      </c>
      <c r="C125" s="608" t="s">
        <v>3178</v>
      </c>
      <c r="D125" s="609">
        <v>33970</v>
      </c>
      <c r="E125" s="603">
        <v>0</v>
      </c>
      <c r="F125" s="546">
        <v>1</v>
      </c>
      <c r="G125" s="614">
        <f t="shared" si="8"/>
        <v>0</v>
      </c>
      <c r="H125" s="546">
        <v>21</v>
      </c>
      <c r="I125" s="614">
        <f t="shared" si="7"/>
        <v>0</v>
      </c>
    </row>
    <row r="126" spans="1:9" ht="15.75" customHeight="1">
      <c r="A126" s="561"/>
      <c r="B126" s="607" t="s">
        <v>3181</v>
      </c>
      <c r="C126" s="608" t="s">
        <v>3178</v>
      </c>
      <c r="D126" s="609">
        <v>33970</v>
      </c>
      <c r="E126" s="603">
        <v>0</v>
      </c>
      <c r="F126" s="546">
        <v>1</v>
      </c>
      <c r="G126" s="614">
        <f t="shared" si="8"/>
        <v>0</v>
      </c>
      <c r="H126" s="546">
        <v>21</v>
      </c>
      <c r="I126" s="614">
        <f t="shared" si="7"/>
        <v>0</v>
      </c>
    </row>
    <row r="127" spans="1:9" ht="15.75" customHeight="1">
      <c r="A127" s="561"/>
      <c r="B127" s="607" t="s">
        <v>3180</v>
      </c>
      <c r="C127" s="608" t="s">
        <v>3178</v>
      </c>
      <c r="D127" s="609">
        <v>33970</v>
      </c>
      <c r="E127" s="603">
        <v>0</v>
      </c>
      <c r="F127" s="546">
        <v>1</v>
      </c>
      <c r="G127" s="614">
        <f t="shared" si="8"/>
        <v>0</v>
      </c>
      <c r="H127" s="546">
        <v>21</v>
      </c>
      <c r="I127" s="614">
        <f t="shared" si="7"/>
        <v>0</v>
      </c>
    </row>
    <row r="128" spans="1:9" ht="15.75" customHeight="1">
      <c r="A128" s="561"/>
      <c r="B128" s="607" t="s">
        <v>3179</v>
      </c>
      <c r="C128" s="608" t="s">
        <v>3178</v>
      </c>
      <c r="D128" s="609">
        <v>33970</v>
      </c>
      <c r="E128" s="603">
        <v>0</v>
      </c>
      <c r="F128" s="546">
        <v>1</v>
      </c>
      <c r="G128" s="614">
        <f t="shared" si="8"/>
        <v>0</v>
      </c>
      <c r="H128" s="546">
        <v>21</v>
      </c>
      <c r="I128" s="614">
        <f t="shared" si="7"/>
        <v>0</v>
      </c>
    </row>
    <row r="129" spans="1:9" ht="15.75" customHeight="1">
      <c r="A129" s="561"/>
      <c r="B129" s="607" t="s">
        <v>3177</v>
      </c>
      <c r="C129" s="608" t="s">
        <v>3125</v>
      </c>
      <c r="D129" s="609">
        <v>36543</v>
      </c>
      <c r="E129" s="603">
        <v>0</v>
      </c>
      <c r="F129" s="546">
        <v>1</v>
      </c>
      <c r="G129" s="614">
        <f t="shared" si="8"/>
        <v>0</v>
      </c>
      <c r="H129" s="546">
        <v>21</v>
      </c>
      <c r="I129" s="614">
        <f t="shared" si="7"/>
        <v>0</v>
      </c>
    </row>
    <row r="130" spans="1:9" ht="15.75" customHeight="1">
      <c r="A130" s="561"/>
      <c r="B130" s="607" t="s">
        <v>3176</v>
      </c>
      <c r="C130" s="608" t="s">
        <v>3125</v>
      </c>
      <c r="D130" s="609">
        <v>36543</v>
      </c>
      <c r="E130" s="603">
        <v>0</v>
      </c>
      <c r="F130" s="546">
        <v>1</v>
      </c>
      <c r="G130" s="614">
        <f t="shared" si="8"/>
        <v>0</v>
      </c>
      <c r="H130" s="546">
        <v>21</v>
      </c>
      <c r="I130" s="614">
        <f t="shared" si="7"/>
        <v>0</v>
      </c>
    </row>
    <row r="131" spans="1:9" ht="15.75" customHeight="1">
      <c r="A131" s="561"/>
      <c r="B131" s="607" t="s">
        <v>3175</v>
      </c>
      <c r="C131" s="608" t="s">
        <v>3125</v>
      </c>
      <c r="D131" s="609">
        <v>36543</v>
      </c>
      <c r="E131" s="603">
        <v>0</v>
      </c>
      <c r="F131" s="546">
        <v>1</v>
      </c>
      <c r="G131" s="614">
        <f t="shared" si="8"/>
        <v>0</v>
      </c>
      <c r="H131" s="546">
        <v>21</v>
      </c>
      <c r="I131" s="614">
        <f t="shared" ref="I131:I162" si="9">G131*1.21</f>
        <v>0</v>
      </c>
    </row>
    <row r="132" spans="1:9" ht="15.75" customHeight="1">
      <c r="A132" s="561"/>
      <c r="B132" s="607" t="s">
        <v>3174</v>
      </c>
      <c r="C132" s="608" t="s">
        <v>3125</v>
      </c>
      <c r="D132" s="609">
        <v>36543</v>
      </c>
      <c r="E132" s="603">
        <v>0</v>
      </c>
      <c r="F132" s="546">
        <v>1</v>
      </c>
      <c r="G132" s="614">
        <f t="shared" si="8"/>
        <v>0</v>
      </c>
      <c r="H132" s="546">
        <v>21</v>
      </c>
      <c r="I132" s="614">
        <f t="shared" si="9"/>
        <v>0</v>
      </c>
    </row>
    <row r="133" spans="1:9" ht="15.75" customHeight="1">
      <c r="A133" s="561"/>
      <c r="B133" s="607" t="s">
        <v>3173</v>
      </c>
      <c r="C133" s="608" t="s">
        <v>3125</v>
      </c>
      <c r="D133" s="609">
        <v>36543</v>
      </c>
      <c r="E133" s="603">
        <v>0</v>
      </c>
      <c r="F133" s="546">
        <v>1</v>
      </c>
      <c r="G133" s="614">
        <f t="shared" si="8"/>
        <v>0</v>
      </c>
      <c r="H133" s="546">
        <v>21</v>
      </c>
      <c r="I133" s="614">
        <f t="shared" si="9"/>
        <v>0</v>
      </c>
    </row>
    <row r="134" spans="1:9" ht="15.75" customHeight="1">
      <c r="A134" s="561"/>
      <c r="B134" s="607" t="s">
        <v>3172</v>
      </c>
      <c r="C134" s="608" t="s">
        <v>3125</v>
      </c>
      <c r="D134" s="609">
        <v>36543</v>
      </c>
      <c r="E134" s="603">
        <v>0</v>
      </c>
      <c r="F134" s="546">
        <v>1</v>
      </c>
      <c r="G134" s="614">
        <f t="shared" si="8"/>
        <v>0</v>
      </c>
      <c r="H134" s="546">
        <v>21</v>
      </c>
      <c r="I134" s="614">
        <f t="shared" si="9"/>
        <v>0</v>
      </c>
    </row>
    <row r="135" spans="1:9" ht="15.75" customHeight="1">
      <c r="A135" s="561"/>
      <c r="B135" s="607" t="s">
        <v>3171</v>
      </c>
      <c r="C135" s="608" t="s">
        <v>3125</v>
      </c>
      <c r="D135" s="609">
        <v>36543</v>
      </c>
      <c r="E135" s="603">
        <v>0</v>
      </c>
      <c r="F135" s="546">
        <v>1</v>
      </c>
      <c r="G135" s="614">
        <f>F135*E135</f>
        <v>0</v>
      </c>
      <c r="H135" s="546">
        <v>21</v>
      </c>
      <c r="I135" s="614">
        <f t="shared" si="9"/>
        <v>0</v>
      </c>
    </row>
    <row r="136" spans="1:9" ht="15.75" customHeight="1">
      <c r="A136" s="561"/>
      <c r="B136" s="607" t="s">
        <v>3170</v>
      </c>
      <c r="C136" s="608" t="s">
        <v>3125</v>
      </c>
      <c r="D136" s="609">
        <v>36543</v>
      </c>
      <c r="E136" s="603">
        <v>0</v>
      </c>
      <c r="F136" s="546">
        <v>1</v>
      </c>
      <c r="G136" s="614">
        <f t="shared" ref="G136:G158" si="10">F136*E136</f>
        <v>0</v>
      </c>
      <c r="H136" s="546">
        <v>21</v>
      </c>
      <c r="I136" s="614">
        <f t="shared" si="9"/>
        <v>0</v>
      </c>
    </row>
    <row r="137" spans="1:9" ht="15.75" customHeight="1">
      <c r="A137" s="561"/>
      <c r="B137" s="607" t="s">
        <v>3169</v>
      </c>
      <c r="C137" s="608" t="s">
        <v>3125</v>
      </c>
      <c r="D137" s="609">
        <v>36543</v>
      </c>
      <c r="E137" s="603">
        <v>0</v>
      </c>
      <c r="F137" s="546">
        <v>1</v>
      </c>
      <c r="G137" s="614">
        <f t="shared" si="10"/>
        <v>0</v>
      </c>
      <c r="H137" s="546">
        <v>21</v>
      </c>
      <c r="I137" s="614">
        <f t="shared" si="9"/>
        <v>0</v>
      </c>
    </row>
    <row r="138" spans="1:9" ht="15.75" customHeight="1">
      <c r="A138" s="561"/>
      <c r="B138" s="607" t="s">
        <v>3168</v>
      </c>
      <c r="C138" s="608" t="s">
        <v>3125</v>
      </c>
      <c r="D138" s="609">
        <v>36543</v>
      </c>
      <c r="E138" s="603">
        <v>0</v>
      </c>
      <c r="F138" s="546">
        <v>1</v>
      </c>
      <c r="G138" s="614">
        <f t="shared" si="10"/>
        <v>0</v>
      </c>
      <c r="H138" s="546">
        <v>21</v>
      </c>
      <c r="I138" s="614">
        <f t="shared" si="9"/>
        <v>0</v>
      </c>
    </row>
    <row r="139" spans="1:9" ht="15.75" customHeight="1">
      <c r="A139" s="561"/>
      <c r="B139" s="607" t="s">
        <v>3167</v>
      </c>
      <c r="C139" s="608" t="s">
        <v>3125</v>
      </c>
      <c r="D139" s="609">
        <v>36543</v>
      </c>
      <c r="E139" s="603">
        <v>0</v>
      </c>
      <c r="F139" s="546">
        <v>1</v>
      </c>
      <c r="G139" s="614">
        <f t="shared" si="10"/>
        <v>0</v>
      </c>
      <c r="H139" s="546">
        <v>21</v>
      </c>
      <c r="I139" s="614">
        <f t="shared" si="9"/>
        <v>0</v>
      </c>
    </row>
    <row r="140" spans="1:9" ht="15.75" customHeight="1">
      <c r="A140" s="561"/>
      <c r="B140" s="607" t="s">
        <v>3166</v>
      </c>
      <c r="C140" s="608" t="s">
        <v>3125</v>
      </c>
      <c r="D140" s="609">
        <v>36543</v>
      </c>
      <c r="E140" s="603">
        <v>0</v>
      </c>
      <c r="F140" s="546">
        <v>1</v>
      </c>
      <c r="G140" s="614">
        <f t="shared" si="10"/>
        <v>0</v>
      </c>
      <c r="H140" s="546">
        <v>21</v>
      </c>
      <c r="I140" s="614">
        <f t="shared" si="9"/>
        <v>0</v>
      </c>
    </row>
    <row r="141" spans="1:9" ht="15.75" customHeight="1">
      <c r="A141" s="561"/>
      <c r="B141" s="607" t="s">
        <v>3165</v>
      </c>
      <c r="C141" s="608" t="s">
        <v>3125</v>
      </c>
      <c r="D141" s="609">
        <v>36543</v>
      </c>
      <c r="E141" s="603">
        <v>0</v>
      </c>
      <c r="F141" s="546">
        <v>1</v>
      </c>
      <c r="G141" s="614">
        <f t="shared" si="10"/>
        <v>0</v>
      </c>
      <c r="H141" s="546">
        <v>21</v>
      </c>
      <c r="I141" s="614">
        <f t="shared" si="9"/>
        <v>0</v>
      </c>
    </row>
    <row r="142" spans="1:9" ht="15.75" customHeight="1">
      <c r="A142" s="561"/>
      <c r="B142" s="607" t="s">
        <v>3164</v>
      </c>
      <c r="C142" s="608" t="s">
        <v>3125</v>
      </c>
      <c r="D142" s="609">
        <v>36543</v>
      </c>
      <c r="E142" s="603">
        <v>0</v>
      </c>
      <c r="F142" s="546">
        <v>1</v>
      </c>
      <c r="G142" s="614">
        <f t="shared" si="10"/>
        <v>0</v>
      </c>
      <c r="H142" s="546">
        <v>21</v>
      </c>
      <c r="I142" s="614">
        <f t="shared" si="9"/>
        <v>0</v>
      </c>
    </row>
    <row r="143" spans="1:9" ht="15.75" customHeight="1">
      <c r="A143" s="561"/>
      <c r="B143" s="607" t="s">
        <v>3163</v>
      </c>
      <c r="C143" s="608" t="s">
        <v>3125</v>
      </c>
      <c r="D143" s="609">
        <v>36543</v>
      </c>
      <c r="E143" s="603">
        <v>0</v>
      </c>
      <c r="F143" s="546">
        <v>1</v>
      </c>
      <c r="G143" s="614">
        <f t="shared" si="10"/>
        <v>0</v>
      </c>
      <c r="H143" s="546">
        <v>21</v>
      </c>
      <c r="I143" s="614">
        <f t="shared" si="9"/>
        <v>0</v>
      </c>
    </row>
    <row r="144" spans="1:9" ht="15.75" customHeight="1">
      <c r="A144" s="561"/>
      <c r="B144" s="607" t="s">
        <v>3162</v>
      </c>
      <c r="C144" s="608" t="s">
        <v>3125</v>
      </c>
      <c r="D144" s="609">
        <v>36543</v>
      </c>
      <c r="E144" s="603">
        <v>0</v>
      </c>
      <c r="F144" s="546">
        <v>1</v>
      </c>
      <c r="G144" s="614">
        <f t="shared" si="10"/>
        <v>0</v>
      </c>
      <c r="H144" s="546">
        <v>21</v>
      </c>
      <c r="I144" s="614">
        <f t="shared" si="9"/>
        <v>0</v>
      </c>
    </row>
    <row r="145" spans="1:9" ht="15.75" customHeight="1">
      <c r="A145" s="561"/>
      <c r="B145" s="607" t="s">
        <v>3161</v>
      </c>
      <c r="C145" s="608" t="s">
        <v>3125</v>
      </c>
      <c r="D145" s="609">
        <v>36543</v>
      </c>
      <c r="E145" s="603">
        <v>0</v>
      </c>
      <c r="F145" s="546">
        <v>1</v>
      </c>
      <c r="G145" s="614">
        <f t="shared" si="10"/>
        <v>0</v>
      </c>
      <c r="H145" s="546">
        <v>21</v>
      </c>
      <c r="I145" s="614">
        <f t="shared" si="9"/>
        <v>0</v>
      </c>
    </row>
    <row r="146" spans="1:9" ht="15.75" customHeight="1">
      <c r="A146" s="561"/>
      <c r="B146" s="607" t="s">
        <v>3160</v>
      </c>
      <c r="C146" s="608" t="s">
        <v>3125</v>
      </c>
      <c r="D146" s="609">
        <v>36543</v>
      </c>
      <c r="E146" s="603">
        <v>0</v>
      </c>
      <c r="F146" s="546">
        <v>1</v>
      </c>
      <c r="G146" s="614">
        <f t="shared" si="10"/>
        <v>0</v>
      </c>
      <c r="H146" s="546">
        <v>21</v>
      </c>
      <c r="I146" s="614">
        <f t="shared" si="9"/>
        <v>0</v>
      </c>
    </row>
    <row r="147" spans="1:9" ht="15.75" customHeight="1">
      <c r="A147" s="561"/>
      <c r="B147" s="607" t="s">
        <v>3159</v>
      </c>
      <c r="C147" s="608" t="s">
        <v>3125</v>
      </c>
      <c r="D147" s="609">
        <v>36543</v>
      </c>
      <c r="E147" s="603">
        <v>0</v>
      </c>
      <c r="F147" s="546">
        <v>1</v>
      </c>
      <c r="G147" s="614">
        <f t="shared" si="10"/>
        <v>0</v>
      </c>
      <c r="H147" s="546">
        <v>21</v>
      </c>
      <c r="I147" s="614">
        <f t="shared" si="9"/>
        <v>0</v>
      </c>
    </row>
    <row r="148" spans="1:9" ht="15.75" customHeight="1">
      <c r="A148" s="561"/>
      <c r="B148" s="607" t="s">
        <v>3158</v>
      </c>
      <c r="C148" s="608" t="s">
        <v>3125</v>
      </c>
      <c r="D148" s="609">
        <v>36543</v>
      </c>
      <c r="E148" s="603">
        <v>0</v>
      </c>
      <c r="F148" s="546">
        <v>1</v>
      </c>
      <c r="G148" s="614">
        <f t="shared" si="10"/>
        <v>0</v>
      </c>
      <c r="H148" s="546">
        <v>21</v>
      </c>
      <c r="I148" s="614">
        <f t="shared" si="9"/>
        <v>0</v>
      </c>
    </row>
    <row r="149" spans="1:9" ht="15.75" customHeight="1">
      <c r="A149" s="561"/>
      <c r="B149" s="607" t="s">
        <v>3157</v>
      </c>
      <c r="C149" s="608" t="s">
        <v>3125</v>
      </c>
      <c r="D149" s="609">
        <v>36543</v>
      </c>
      <c r="E149" s="603">
        <v>0</v>
      </c>
      <c r="F149" s="546">
        <v>1</v>
      </c>
      <c r="G149" s="614">
        <f t="shared" si="10"/>
        <v>0</v>
      </c>
      <c r="H149" s="546">
        <v>21</v>
      </c>
      <c r="I149" s="614">
        <f t="shared" si="9"/>
        <v>0</v>
      </c>
    </row>
    <row r="150" spans="1:9" ht="15.75" customHeight="1">
      <c r="A150" s="561"/>
      <c r="B150" s="607" t="s">
        <v>3156</v>
      </c>
      <c r="C150" s="608" t="s">
        <v>3125</v>
      </c>
      <c r="D150" s="609">
        <v>36543</v>
      </c>
      <c r="E150" s="603">
        <v>0</v>
      </c>
      <c r="F150" s="546">
        <v>1</v>
      </c>
      <c r="G150" s="614">
        <f t="shared" si="10"/>
        <v>0</v>
      </c>
      <c r="H150" s="546">
        <v>21</v>
      </c>
      <c r="I150" s="614">
        <f t="shared" si="9"/>
        <v>0</v>
      </c>
    </row>
    <row r="151" spans="1:9" ht="15.75" customHeight="1">
      <c r="A151" s="561"/>
      <c r="B151" s="607" t="s">
        <v>3155</v>
      </c>
      <c r="C151" s="608" t="s">
        <v>3125</v>
      </c>
      <c r="D151" s="609">
        <v>36543</v>
      </c>
      <c r="E151" s="603">
        <v>0</v>
      </c>
      <c r="F151" s="546">
        <v>1</v>
      </c>
      <c r="G151" s="614">
        <f t="shared" si="10"/>
        <v>0</v>
      </c>
      <c r="H151" s="546">
        <v>21</v>
      </c>
      <c r="I151" s="614">
        <f t="shared" si="9"/>
        <v>0</v>
      </c>
    </row>
    <row r="152" spans="1:9" ht="15.75" customHeight="1">
      <c r="A152" s="561"/>
      <c r="B152" s="607" t="s">
        <v>3154</v>
      </c>
      <c r="C152" s="608" t="s">
        <v>3125</v>
      </c>
      <c r="D152" s="609">
        <v>36543</v>
      </c>
      <c r="E152" s="603">
        <v>0</v>
      </c>
      <c r="F152" s="546">
        <v>1</v>
      </c>
      <c r="G152" s="614">
        <f t="shared" si="10"/>
        <v>0</v>
      </c>
      <c r="H152" s="546">
        <v>21</v>
      </c>
      <c r="I152" s="614">
        <f t="shared" si="9"/>
        <v>0</v>
      </c>
    </row>
    <row r="153" spans="1:9" ht="15.75" customHeight="1">
      <c r="A153" s="561"/>
      <c r="B153" s="607" t="s">
        <v>3153</v>
      </c>
      <c r="C153" s="608" t="s">
        <v>3125</v>
      </c>
      <c r="D153" s="609">
        <v>36543</v>
      </c>
      <c r="E153" s="603">
        <v>0</v>
      </c>
      <c r="F153" s="546">
        <v>1</v>
      </c>
      <c r="G153" s="614">
        <f t="shared" si="10"/>
        <v>0</v>
      </c>
      <c r="H153" s="546">
        <v>21</v>
      </c>
      <c r="I153" s="614">
        <f t="shared" si="9"/>
        <v>0</v>
      </c>
    </row>
    <row r="154" spans="1:9" ht="15.75" customHeight="1">
      <c r="A154" s="561"/>
      <c r="B154" s="607" t="s">
        <v>3152</v>
      </c>
      <c r="C154" s="608" t="s">
        <v>3125</v>
      </c>
      <c r="D154" s="609">
        <v>36543</v>
      </c>
      <c r="E154" s="603">
        <v>0</v>
      </c>
      <c r="F154" s="546">
        <v>1</v>
      </c>
      <c r="G154" s="614">
        <f t="shared" si="10"/>
        <v>0</v>
      </c>
      <c r="H154" s="546">
        <v>21</v>
      </c>
      <c r="I154" s="614">
        <f t="shared" si="9"/>
        <v>0</v>
      </c>
    </row>
    <row r="155" spans="1:9" ht="15.75" customHeight="1">
      <c r="A155" s="561"/>
      <c r="B155" s="607" t="s">
        <v>3151</v>
      </c>
      <c r="C155" s="608" t="s">
        <v>3125</v>
      </c>
      <c r="D155" s="609">
        <v>36543</v>
      </c>
      <c r="E155" s="603">
        <v>0</v>
      </c>
      <c r="F155" s="546">
        <v>1</v>
      </c>
      <c r="G155" s="614">
        <f t="shared" si="10"/>
        <v>0</v>
      </c>
      <c r="H155" s="546">
        <v>21</v>
      </c>
      <c r="I155" s="614">
        <f t="shared" si="9"/>
        <v>0</v>
      </c>
    </row>
    <row r="156" spans="1:9" ht="15.75" customHeight="1">
      <c r="A156" s="561"/>
      <c r="B156" s="607" t="s">
        <v>3150</v>
      </c>
      <c r="C156" s="608" t="s">
        <v>3125</v>
      </c>
      <c r="D156" s="609">
        <v>36543</v>
      </c>
      <c r="E156" s="603">
        <v>0</v>
      </c>
      <c r="F156" s="546">
        <v>1</v>
      </c>
      <c r="G156" s="614">
        <f t="shared" si="10"/>
        <v>0</v>
      </c>
      <c r="H156" s="546">
        <v>21</v>
      </c>
      <c r="I156" s="614">
        <f t="shared" si="9"/>
        <v>0</v>
      </c>
    </row>
    <row r="157" spans="1:9" ht="15.75" customHeight="1">
      <c r="A157" s="561"/>
      <c r="B157" s="607" t="s">
        <v>3149</v>
      </c>
      <c r="C157" s="608" t="s">
        <v>3125</v>
      </c>
      <c r="D157" s="609">
        <v>36543</v>
      </c>
      <c r="E157" s="603">
        <v>0</v>
      </c>
      <c r="F157" s="546">
        <v>1</v>
      </c>
      <c r="G157" s="614">
        <f t="shared" si="10"/>
        <v>0</v>
      </c>
      <c r="H157" s="546">
        <v>21</v>
      </c>
      <c r="I157" s="614">
        <f t="shared" si="9"/>
        <v>0</v>
      </c>
    </row>
    <row r="158" spans="1:9" ht="15.75" customHeight="1">
      <c r="A158" s="561"/>
      <c r="B158" s="607" t="s">
        <v>3148</v>
      </c>
      <c r="C158" s="608" t="s">
        <v>3125</v>
      </c>
      <c r="D158" s="609">
        <v>36543</v>
      </c>
      <c r="E158" s="603">
        <v>0</v>
      </c>
      <c r="F158" s="546">
        <v>1</v>
      </c>
      <c r="G158" s="614">
        <f t="shared" si="10"/>
        <v>0</v>
      </c>
      <c r="H158" s="546">
        <v>21</v>
      </c>
      <c r="I158" s="614">
        <f t="shared" si="9"/>
        <v>0</v>
      </c>
    </row>
    <row r="159" spans="1:9" ht="15.75" customHeight="1">
      <c r="A159" s="561"/>
      <c r="B159" s="607" t="s">
        <v>3147</v>
      </c>
      <c r="C159" s="608" t="s">
        <v>3125</v>
      </c>
      <c r="D159" s="609">
        <v>36543</v>
      </c>
      <c r="E159" s="603">
        <v>0</v>
      </c>
      <c r="F159" s="546">
        <v>1</v>
      </c>
      <c r="G159" s="614">
        <f>F159*E159</f>
        <v>0</v>
      </c>
      <c r="H159" s="546">
        <v>21</v>
      </c>
      <c r="I159" s="614">
        <f t="shared" si="9"/>
        <v>0</v>
      </c>
    </row>
    <row r="160" spans="1:9" ht="15.75" customHeight="1">
      <c r="A160" s="561"/>
      <c r="B160" s="607" t="s">
        <v>3146</v>
      </c>
      <c r="C160" s="608" t="s">
        <v>3125</v>
      </c>
      <c r="D160" s="609">
        <v>36543</v>
      </c>
      <c r="E160" s="603">
        <v>0</v>
      </c>
      <c r="F160" s="546">
        <v>1</v>
      </c>
      <c r="G160" s="614">
        <f>F160*E160</f>
        <v>0</v>
      </c>
      <c r="H160" s="546">
        <v>21</v>
      </c>
      <c r="I160" s="614">
        <f t="shared" si="9"/>
        <v>0</v>
      </c>
    </row>
    <row r="161" spans="1:9" ht="15.75" customHeight="1">
      <c r="A161" s="561"/>
      <c r="B161" s="607" t="s">
        <v>3145</v>
      </c>
      <c r="C161" s="608" t="s">
        <v>3125</v>
      </c>
      <c r="D161" s="609">
        <v>36543</v>
      </c>
      <c r="E161" s="603">
        <v>0</v>
      </c>
      <c r="F161" s="546">
        <v>1</v>
      </c>
      <c r="G161" s="614">
        <f t="shared" ref="G161:G182" si="11">F161*E161</f>
        <v>0</v>
      </c>
      <c r="H161" s="546">
        <v>21</v>
      </c>
      <c r="I161" s="614">
        <f t="shared" si="9"/>
        <v>0</v>
      </c>
    </row>
    <row r="162" spans="1:9" ht="15.75" customHeight="1">
      <c r="A162" s="561"/>
      <c r="B162" s="607" t="s">
        <v>3144</v>
      </c>
      <c r="C162" s="608" t="s">
        <v>3125</v>
      </c>
      <c r="D162" s="609">
        <v>36543</v>
      </c>
      <c r="E162" s="603">
        <v>0</v>
      </c>
      <c r="F162" s="546">
        <v>1</v>
      </c>
      <c r="G162" s="614">
        <f t="shared" si="11"/>
        <v>0</v>
      </c>
      <c r="H162" s="546">
        <v>21</v>
      </c>
      <c r="I162" s="614">
        <f t="shared" si="9"/>
        <v>0</v>
      </c>
    </row>
    <row r="163" spans="1:9" ht="15.75" customHeight="1">
      <c r="A163" s="561"/>
      <c r="B163" s="607" t="s">
        <v>3143</v>
      </c>
      <c r="C163" s="608" t="s">
        <v>3125</v>
      </c>
      <c r="D163" s="609">
        <v>36543</v>
      </c>
      <c r="E163" s="603">
        <v>0</v>
      </c>
      <c r="F163" s="546">
        <v>1</v>
      </c>
      <c r="G163" s="614">
        <f t="shared" si="11"/>
        <v>0</v>
      </c>
      <c r="H163" s="546">
        <v>21</v>
      </c>
      <c r="I163" s="614">
        <f t="shared" ref="I163:I184" si="12">G163*1.21</f>
        <v>0</v>
      </c>
    </row>
    <row r="164" spans="1:9" ht="15.75" customHeight="1">
      <c r="A164" s="561"/>
      <c r="B164" s="607" t="s">
        <v>3142</v>
      </c>
      <c r="C164" s="608" t="s">
        <v>3125</v>
      </c>
      <c r="D164" s="609">
        <v>36543</v>
      </c>
      <c r="E164" s="603">
        <v>0</v>
      </c>
      <c r="F164" s="546">
        <v>1</v>
      </c>
      <c r="G164" s="614">
        <f t="shared" si="11"/>
        <v>0</v>
      </c>
      <c r="H164" s="546">
        <v>21</v>
      </c>
      <c r="I164" s="614">
        <f t="shared" si="12"/>
        <v>0</v>
      </c>
    </row>
    <row r="165" spans="1:9" ht="15.75" customHeight="1">
      <c r="A165" s="561"/>
      <c r="B165" s="607" t="s">
        <v>3141</v>
      </c>
      <c r="C165" s="608" t="s">
        <v>3125</v>
      </c>
      <c r="D165" s="609">
        <v>36543</v>
      </c>
      <c r="E165" s="603">
        <v>0</v>
      </c>
      <c r="F165" s="546">
        <v>1</v>
      </c>
      <c r="G165" s="614">
        <f t="shared" si="11"/>
        <v>0</v>
      </c>
      <c r="H165" s="546">
        <v>21</v>
      </c>
      <c r="I165" s="614">
        <f t="shared" si="12"/>
        <v>0</v>
      </c>
    </row>
    <row r="166" spans="1:9" ht="15.75" customHeight="1">
      <c r="A166" s="561"/>
      <c r="B166" s="607" t="s">
        <v>3140</v>
      </c>
      <c r="C166" s="608" t="s">
        <v>3125</v>
      </c>
      <c r="D166" s="609">
        <v>36543</v>
      </c>
      <c r="E166" s="603">
        <v>0</v>
      </c>
      <c r="F166" s="546">
        <v>1</v>
      </c>
      <c r="G166" s="614">
        <f t="shared" si="11"/>
        <v>0</v>
      </c>
      <c r="H166" s="546">
        <v>21</v>
      </c>
      <c r="I166" s="614">
        <f t="shared" si="12"/>
        <v>0</v>
      </c>
    </row>
    <row r="167" spans="1:9" ht="15.75" customHeight="1">
      <c r="A167" s="561"/>
      <c r="B167" s="607" t="s">
        <v>3139</v>
      </c>
      <c r="C167" s="608" t="s">
        <v>3125</v>
      </c>
      <c r="D167" s="609">
        <v>36543</v>
      </c>
      <c r="E167" s="603">
        <v>0</v>
      </c>
      <c r="F167" s="546">
        <v>1</v>
      </c>
      <c r="G167" s="614">
        <f t="shared" si="11"/>
        <v>0</v>
      </c>
      <c r="H167" s="546">
        <v>21</v>
      </c>
      <c r="I167" s="614">
        <f t="shared" si="12"/>
        <v>0</v>
      </c>
    </row>
    <row r="168" spans="1:9" ht="15.75" customHeight="1">
      <c r="A168" s="561"/>
      <c r="B168" s="607" t="s">
        <v>3138</v>
      </c>
      <c r="C168" s="608" t="s">
        <v>3125</v>
      </c>
      <c r="D168" s="609">
        <v>36543</v>
      </c>
      <c r="E168" s="603">
        <v>0</v>
      </c>
      <c r="F168" s="546">
        <v>1</v>
      </c>
      <c r="G168" s="614">
        <f t="shared" si="11"/>
        <v>0</v>
      </c>
      <c r="H168" s="546">
        <v>21</v>
      </c>
      <c r="I168" s="614">
        <f t="shared" si="12"/>
        <v>0</v>
      </c>
    </row>
    <row r="169" spans="1:9" ht="15.75" customHeight="1">
      <c r="A169" s="561"/>
      <c r="B169" s="607" t="s">
        <v>3137</v>
      </c>
      <c r="C169" s="608" t="s">
        <v>3125</v>
      </c>
      <c r="D169" s="609">
        <v>36543</v>
      </c>
      <c r="E169" s="603">
        <v>0</v>
      </c>
      <c r="F169" s="546">
        <v>1</v>
      </c>
      <c r="G169" s="614">
        <f t="shared" si="11"/>
        <v>0</v>
      </c>
      <c r="H169" s="546">
        <v>21</v>
      </c>
      <c r="I169" s="614">
        <f t="shared" si="12"/>
        <v>0</v>
      </c>
    </row>
    <row r="170" spans="1:9" ht="15.75" customHeight="1">
      <c r="A170" s="561"/>
      <c r="B170" s="607" t="s">
        <v>3136</v>
      </c>
      <c r="C170" s="608" t="s">
        <v>3125</v>
      </c>
      <c r="D170" s="609">
        <v>36543</v>
      </c>
      <c r="E170" s="603">
        <v>0</v>
      </c>
      <c r="F170" s="546">
        <v>1</v>
      </c>
      <c r="G170" s="614">
        <f t="shared" si="11"/>
        <v>0</v>
      </c>
      <c r="H170" s="546">
        <v>21</v>
      </c>
      <c r="I170" s="614">
        <f t="shared" si="12"/>
        <v>0</v>
      </c>
    </row>
    <row r="171" spans="1:9" ht="15.75" customHeight="1">
      <c r="A171" s="561"/>
      <c r="B171" s="607" t="s">
        <v>3135</v>
      </c>
      <c r="C171" s="608" t="s">
        <v>3125</v>
      </c>
      <c r="D171" s="609">
        <v>36543</v>
      </c>
      <c r="E171" s="603">
        <v>0</v>
      </c>
      <c r="F171" s="546">
        <v>1</v>
      </c>
      <c r="G171" s="614">
        <f t="shared" si="11"/>
        <v>0</v>
      </c>
      <c r="H171" s="546">
        <v>21</v>
      </c>
      <c r="I171" s="614">
        <f t="shared" si="12"/>
        <v>0</v>
      </c>
    </row>
    <row r="172" spans="1:9" ht="15.75" customHeight="1">
      <c r="A172" s="561"/>
      <c r="B172" s="607" t="s">
        <v>3134</v>
      </c>
      <c r="C172" s="608" t="s">
        <v>3125</v>
      </c>
      <c r="D172" s="609">
        <v>36543</v>
      </c>
      <c r="E172" s="603">
        <v>0</v>
      </c>
      <c r="F172" s="546">
        <v>1</v>
      </c>
      <c r="G172" s="614">
        <f t="shared" si="11"/>
        <v>0</v>
      </c>
      <c r="H172" s="546">
        <v>21</v>
      </c>
      <c r="I172" s="614">
        <f t="shared" si="12"/>
        <v>0</v>
      </c>
    </row>
    <row r="173" spans="1:9" ht="15.75" customHeight="1">
      <c r="A173" s="561"/>
      <c r="B173" s="607" t="s">
        <v>3133</v>
      </c>
      <c r="C173" s="608" t="s">
        <v>3125</v>
      </c>
      <c r="D173" s="609">
        <v>36543</v>
      </c>
      <c r="E173" s="603">
        <v>0</v>
      </c>
      <c r="F173" s="546">
        <v>1</v>
      </c>
      <c r="G173" s="614">
        <f t="shared" si="11"/>
        <v>0</v>
      </c>
      <c r="H173" s="546">
        <v>21</v>
      </c>
      <c r="I173" s="614">
        <f t="shared" si="12"/>
        <v>0</v>
      </c>
    </row>
    <row r="174" spans="1:9" ht="15.75" customHeight="1">
      <c r="A174" s="561"/>
      <c r="B174" s="607" t="s">
        <v>3132</v>
      </c>
      <c r="C174" s="608" t="s">
        <v>3125</v>
      </c>
      <c r="D174" s="609">
        <v>36543</v>
      </c>
      <c r="E174" s="603">
        <v>0</v>
      </c>
      <c r="F174" s="546">
        <v>1</v>
      </c>
      <c r="G174" s="614">
        <f t="shared" si="11"/>
        <v>0</v>
      </c>
      <c r="H174" s="546">
        <v>21</v>
      </c>
      <c r="I174" s="614">
        <f t="shared" si="12"/>
        <v>0</v>
      </c>
    </row>
    <row r="175" spans="1:9" ht="15.75" customHeight="1">
      <c r="A175" s="561"/>
      <c r="B175" s="607" t="s">
        <v>3131</v>
      </c>
      <c r="C175" s="608" t="s">
        <v>3125</v>
      </c>
      <c r="D175" s="609">
        <v>36543</v>
      </c>
      <c r="E175" s="603">
        <v>0</v>
      </c>
      <c r="F175" s="546">
        <v>1</v>
      </c>
      <c r="G175" s="614">
        <f t="shared" si="11"/>
        <v>0</v>
      </c>
      <c r="H175" s="546">
        <v>21</v>
      </c>
      <c r="I175" s="614">
        <f t="shared" si="12"/>
        <v>0</v>
      </c>
    </row>
    <row r="176" spans="1:9" ht="15.75" customHeight="1">
      <c r="A176" s="561"/>
      <c r="B176" s="607" t="s">
        <v>3130</v>
      </c>
      <c r="C176" s="608" t="s">
        <v>3125</v>
      </c>
      <c r="D176" s="609">
        <v>36543</v>
      </c>
      <c r="E176" s="603">
        <v>0</v>
      </c>
      <c r="F176" s="546">
        <v>1</v>
      </c>
      <c r="G176" s="614">
        <f t="shared" si="11"/>
        <v>0</v>
      </c>
      <c r="H176" s="546">
        <v>21</v>
      </c>
      <c r="I176" s="614">
        <f t="shared" si="12"/>
        <v>0</v>
      </c>
    </row>
    <row r="177" spans="1:9" ht="15.75" customHeight="1">
      <c r="A177" s="561"/>
      <c r="B177" s="607" t="s">
        <v>3129</v>
      </c>
      <c r="C177" s="608" t="s">
        <v>3125</v>
      </c>
      <c r="D177" s="609">
        <v>36543</v>
      </c>
      <c r="E177" s="603">
        <v>0</v>
      </c>
      <c r="F177" s="546">
        <v>1</v>
      </c>
      <c r="G177" s="614">
        <f t="shared" si="11"/>
        <v>0</v>
      </c>
      <c r="H177" s="546">
        <v>21</v>
      </c>
      <c r="I177" s="614">
        <f t="shared" si="12"/>
        <v>0</v>
      </c>
    </row>
    <row r="178" spans="1:9" ht="15.75" customHeight="1">
      <c r="A178" s="561"/>
      <c r="B178" s="607" t="s">
        <v>3128</v>
      </c>
      <c r="C178" s="608" t="s">
        <v>3125</v>
      </c>
      <c r="D178" s="609">
        <v>36543</v>
      </c>
      <c r="E178" s="603">
        <v>0</v>
      </c>
      <c r="F178" s="546">
        <v>1</v>
      </c>
      <c r="G178" s="614">
        <f t="shared" si="11"/>
        <v>0</v>
      </c>
      <c r="H178" s="546">
        <v>21</v>
      </c>
      <c r="I178" s="614">
        <f t="shared" si="12"/>
        <v>0</v>
      </c>
    </row>
    <row r="179" spans="1:9" ht="15.75" customHeight="1">
      <c r="A179" s="561"/>
      <c r="B179" s="607" t="s">
        <v>3127</v>
      </c>
      <c r="C179" s="608" t="s">
        <v>3125</v>
      </c>
      <c r="D179" s="609">
        <v>36543</v>
      </c>
      <c r="E179" s="603">
        <v>0</v>
      </c>
      <c r="F179" s="546">
        <v>1</v>
      </c>
      <c r="G179" s="614">
        <f t="shared" si="11"/>
        <v>0</v>
      </c>
      <c r="H179" s="546">
        <v>21</v>
      </c>
      <c r="I179" s="614">
        <f t="shared" si="12"/>
        <v>0</v>
      </c>
    </row>
    <row r="180" spans="1:9" ht="15.75" customHeight="1">
      <c r="A180" s="561"/>
      <c r="B180" s="607" t="s">
        <v>3126</v>
      </c>
      <c r="C180" s="608" t="s">
        <v>3125</v>
      </c>
      <c r="D180" s="609">
        <v>36543</v>
      </c>
      <c r="E180" s="603">
        <v>0</v>
      </c>
      <c r="F180" s="546">
        <v>1</v>
      </c>
      <c r="G180" s="614">
        <f t="shared" si="11"/>
        <v>0</v>
      </c>
      <c r="H180" s="546">
        <v>21</v>
      </c>
      <c r="I180" s="614">
        <f t="shared" si="12"/>
        <v>0</v>
      </c>
    </row>
    <row r="181" spans="1:9" ht="15.75" customHeight="1">
      <c r="A181" s="561"/>
      <c r="B181" s="607" t="s">
        <v>3124</v>
      </c>
      <c r="C181" s="608" t="s">
        <v>3123</v>
      </c>
      <c r="D181" s="609">
        <v>43045</v>
      </c>
      <c r="E181" s="603">
        <v>0</v>
      </c>
      <c r="F181" s="546">
        <v>1</v>
      </c>
      <c r="G181" s="614">
        <f t="shared" si="11"/>
        <v>0</v>
      </c>
      <c r="H181" s="546">
        <v>21</v>
      </c>
      <c r="I181" s="614">
        <f t="shared" si="12"/>
        <v>0</v>
      </c>
    </row>
    <row r="182" spans="1:9" ht="15.75" customHeight="1">
      <c r="A182" s="561"/>
      <c r="B182" s="607" t="s">
        <v>3122</v>
      </c>
      <c r="C182" s="608" t="s">
        <v>3121</v>
      </c>
      <c r="D182" s="609">
        <v>41759</v>
      </c>
      <c r="E182" s="603">
        <v>0</v>
      </c>
      <c r="F182" s="546">
        <v>1</v>
      </c>
      <c r="G182" s="614">
        <f t="shared" si="11"/>
        <v>0</v>
      </c>
      <c r="H182" s="546">
        <v>21</v>
      </c>
      <c r="I182" s="614">
        <f t="shared" si="12"/>
        <v>0</v>
      </c>
    </row>
    <row r="183" spans="1:9" ht="15.75" customHeight="1">
      <c r="A183" s="561"/>
      <c r="B183" s="607" t="s">
        <v>3120</v>
      </c>
      <c r="C183" s="608" t="s">
        <v>3119</v>
      </c>
      <c r="D183" s="609">
        <v>42114</v>
      </c>
      <c r="E183" s="603">
        <v>0</v>
      </c>
      <c r="F183" s="546">
        <v>1</v>
      </c>
      <c r="G183" s="614">
        <f>F183*E183</f>
        <v>0</v>
      </c>
      <c r="H183" s="546">
        <v>21</v>
      </c>
      <c r="I183" s="614">
        <f t="shared" si="12"/>
        <v>0</v>
      </c>
    </row>
    <row r="184" spans="1:9" ht="15.75" customHeight="1">
      <c r="A184" s="561"/>
      <c r="B184" s="607" t="s">
        <v>3118</v>
      </c>
      <c r="C184" s="608" t="s">
        <v>3117</v>
      </c>
      <c r="D184" s="609">
        <v>40842</v>
      </c>
      <c r="E184" s="603">
        <v>0</v>
      </c>
      <c r="F184" s="546">
        <v>1</v>
      </c>
      <c r="G184" s="614">
        <f t="shared" ref="G184" si="13">F184*E184</f>
        <v>0</v>
      </c>
      <c r="H184" s="546">
        <v>21</v>
      </c>
      <c r="I184" s="614">
        <f t="shared" si="12"/>
        <v>0</v>
      </c>
    </row>
    <row r="185" spans="1:9">
      <c r="A185" s="561"/>
      <c r="B185" s="565"/>
      <c r="C185" s="611" t="s">
        <v>2264</v>
      </c>
      <c r="D185" s="565"/>
      <c r="E185" s="604"/>
      <c r="F185" s="561"/>
      <c r="G185" s="615">
        <f>SUM(G3:G184)</f>
        <v>0</v>
      </c>
      <c r="H185" s="561"/>
      <c r="I185" s="615">
        <f>SUM(I3:I184)</f>
        <v>0</v>
      </c>
    </row>
  </sheetData>
  <sheetProtection password="CAB1" sheet="1" objects="1" scenarios="1"/>
  <pageMargins left="0.70866141732283472" right="0.70866141732283472" top="0.78740157480314965" bottom="0.78740157480314965" header="0.31496062992125984" footer="0.31496062992125984"/>
  <pageSetup paperSize="9" scale="58" orientation="portrait" r:id="rId1"/>
  <headerFooter>
    <oddHeader>&amp;LČeská republika - Úřad vlády ČRGastroprovoz Úřadu vlády ČR v 1.PP Strakovy akademie&amp;CPoložkový rozpočet demontáže stáv. zařízení vč. ekologické likvidace&amp;R11/2019</oddHeader>
    <oddFooter>&amp;C&amp;P/&amp;N&amp;RD.2.2.5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BM97"/>
  <sheetViews>
    <sheetView showGridLines="0" workbookViewId="0">
      <selection activeCell="J42" sqref="J42"/>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130</v>
      </c>
    </row>
    <row r="3" spans="1:46" s="1" customFormat="1" ht="6.95" customHeight="1">
      <c r="A3" s="61"/>
      <c r="B3" s="263"/>
      <c r="C3" s="264"/>
      <c r="D3" s="264"/>
      <c r="E3" s="264"/>
      <c r="F3" s="264"/>
      <c r="G3" s="264"/>
      <c r="H3" s="264"/>
      <c r="I3" s="264"/>
      <c r="J3" s="264"/>
      <c r="K3" s="264"/>
      <c r="L3" s="20"/>
      <c r="AT3" s="19" t="s">
        <v>77</v>
      </c>
    </row>
    <row r="4" spans="1:46" s="1" customFormat="1" ht="24.95" customHeight="1">
      <c r="A4" s="61"/>
      <c r="B4" s="265"/>
      <c r="C4" s="61"/>
      <c r="D4" s="266" t="s">
        <v>142</v>
      </c>
      <c r="E4" s="61"/>
      <c r="F4" s="61"/>
      <c r="G4" s="61"/>
      <c r="H4" s="61"/>
      <c r="I4" s="61"/>
      <c r="J4" s="61"/>
      <c r="K4" s="61"/>
      <c r="L4" s="20"/>
      <c r="M4" s="63" t="s">
        <v>11</v>
      </c>
      <c r="AT4" s="19" t="s">
        <v>4</v>
      </c>
    </row>
    <row r="5" spans="1:46" s="1" customFormat="1" ht="6.95" customHeight="1">
      <c r="A5" s="61"/>
      <c r="B5" s="265"/>
      <c r="C5" s="61"/>
      <c r="D5" s="61"/>
      <c r="E5" s="61"/>
      <c r="F5" s="61"/>
      <c r="G5" s="61"/>
      <c r="H5" s="61"/>
      <c r="I5" s="61"/>
      <c r="J5" s="61"/>
      <c r="K5" s="61"/>
      <c r="L5" s="20"/>
    </row>
    <row r="6" spans="1:46" s="1" customFormat="1" ht="12" customHeight="1">
      <c r="A6" s="61"/>
      <c r="B6" s="265"/>
      <c r="C6" s="61"/>
      <c r="D6" s="268" t="s">
        <v>15</v>
      </c>
      <c r="E6" s="61"/>
      <c r="F6" s="61"/>
      <c r="G6" s="61"/>
      <c r="H6" s="61"/>
      <c r="I6" s="61"/>
      <c r="J6" s="61"/>
      <c r="K6" s="61"/>
      <c r="L6" s="20"/>
    </row>
    <row r="7" spans="1:46" s="1" customFormat="1" ht="14.45" customHeight="1">
      <c r="A7" s="61"/>
      <c r="B7" s="265"/>
      <c r="C7" s="61"/>
      <c r="D7" s="61"/>
      <c r="E7" s="722" t="str">
        <f>'Rekapitulace stavby'!K6</f>
        <v>Úpravy gastroprovozu Úřadu vlády ČR v 1.pp Strakovy akademie</v>
      </c>
      <c r="F7" s="723"/>
      <c r="G7" s="723"/>
      <c r="H7" s="723"/>
      <c r="I7" s="61"/>
      <c r="J7" s="61"/>
      <c r="K7" s="61"/>
      <c r="L7" s="20"/>
    </row>
    <row r="8" spans="1:46" ht="12.75">
      <c r="A8" s="61"/>
      <c r="B8" s="265"/>
      <c r="C8" s="61"/>
      <c r="D8" s="268" t="s">
        <v>151</v>
      </c>
      <c r="E8" s="61"/>
      <c r="F8" s="61"/>
      <c r="G8" s="61"/>
      <c r="H8" s="61"/>
      <c r="I8" s="61"/>
      <c r="J8" s="61"/>
      <c r="K8" s="61"/>
      <c r="L8" s="20"/>
    </row>
    <row r="9" spans="1:46" s="1" customFormat="1" ht="14.45" customHeight="1">
      <c r="A9" s="61"/>
      <c r="B9" s="265"/>
      <c r="C9" s="61"/>
      <c r="D9" s="61"/>
      <c r="E9" s="722" t="s">
        <v>1759</v>
      </c>
      <c r="F9" s="715"/>
      <c r="G9" s="715"/>
      <c r="H9" s="715"/>
      <c r="I9" s="61"/>
      <c r="J9" s="61"/>
      <c r="K9" s="61"/>
      <c r="L9" s="20"/>
    </row>
    <row r="10" spans="1:46" s="1" customFormat="1" ht="12" customHeight="1">
      <c r="A10" s="61"/>
      <c r="B10" s="265"/>
      <c r="C10" s="61"/>
      <c r="D10" s="268" t="s">
        <v>157</v>
      </c>
      <c r="E10" s="61"/>
      <c r="F10" s="61"/>
      <c r="G10" s="61"/>
      <c r="H10" s="61"/>
      <c r="I10" s="61"/>
      <c r="J10" s="61"/>
      <c r="K10" s="61"/>
      <c r="L10" s="20"/>
    </row>
    <row r="11" spans="1:46" s="2" customFormat="1" ht="14.45" customHeight="1">
      <c r="A11" s="271"/>
      <c r="B11" s="270"/>
      <c r="C11" s="271"/>
      <c r="D11" s="271"/>
      <c r="E11" s="762" t="s">
        <v>1795</v>
      </c>
      <c r="F11" s="721"/>
      <c r="G11" s="721"/>
      <c r="H11" s="721"/>
      <c r="I11" s="271"/>
      <c r="J11" s="271"/>
      <c r="K11" s="271"/>
      <c r="L11" s="64"/>
      <c r="S11" s="23"/>
      <c r="T11" s="23"/>
      <c r="U11" s="23"/>
      <c r="V11" s="23"/>
      <c r="W11" s="23"/>
      <c r="X11" s="23"/>
      <c r="Y11" s="23"/>
      <c r="Z11" s="23"/>
      <c r="AA11" s="23"/>
      <c r="AB11" s="23"/>
      <c r="AC11" s="23"/>
      <c r="AD11" s="23"/>
      <c r="AE11" s="23"/>
    </row>
    <row r="12" spans="1:46" s="2" customFormat="1" ht="12" customHeight="1">
      <c r="A12" s="271"/>
      <c r="B12" s="270"/>
      <c r="C12" s="271"/>
      <c r="D12" s="268" t="s">
        <v>1777</v>
      </c>
      <c r="E12" s="271"/>
      <c r="F12" s="271"/>
      <c r="G12" s="271"/>
      <c r="H12" s="271"/>
      <c r="I12" s="271"/>
      <c r="J12" s="271"/>
      <c r="K12" s="271"/>
      <c r="L12" s="64"/>
      <c r="S12" s="23"/>
      <c r="T12" s="23"/>
      <c r="U12" s="23"/>
      <c r="V12" s="23"/>
      <c r="W12" s="23"/>
      <c r="X12" s="23"/>
      <c r="Y12" s="23"/>
      <c r="Z12" s="23"/>
      <c r="AA12" s="23"/>
      <c r="AB12" s="23"/>
      <c r="AC12" s="23"/>
      <c r="AD12" s="23"/>
      <c r="AE12" s="23"/>
    </row>
    <row r="13" spans="1:46" s="2" customFormat="1" ht="14.45" customHeight="1">
      <c r="A13" s="271"/>
      <c r="B13" s="270"/>
      <c r="C13" s="271"/>
      <c r="D13" s="271"/>
      <c r="E13" s="689" t="s">
        <v>1809</v>
      </c>
      <c r="F13" s="721"/>
      <c r="G13" s="721"/>
      <c r="H13" s="721"/>
      <c r="I13" s="271"/>
      <c r="J13" s="271"/>
      <c r="K13" s="271"/>
      <c r="L13" s="64"/>
      <c r="S13" s="23"/>
      <c r="T13" s="23"/>
      <c r="U13" s="23"/>
      <c r="V13" s="23"/>
      <c r="W13" s="23"/>
      <c r="X13" s="23"/>
      <c r="Y13" s="23"/>
      <c r="Z13" s="23"/>
      <c r="AA13" s="23"/>
      <c r="AB13" s="23"/>
      <c r="AC13" s="23"/>
      <c r="AD13" s="23"/>
      <c r="AE13" s="23"/>
    </row>
    <row r="14" spans="1:46" s="2" customFormat="1">
      <c r="A14" s="271"/>
      <c r="B14" s="270"/>
      <c r="C14" s="271"/>
      <c r="D14" s="271"/>
      <c r="E14" s="271"/>
      <c r="F14" s="271"/>
      <c r="G14" s="271"/>
      <c r="H14" s="271"/>
      <c r="I14" s="271"/>
      <c r="J14" s="271"/>
      <c r="K14" s="271"/>
      <c r="L14" s="64"/>
      <c r="S14" s="23"/>
      <c r="T14" s="23"/>
      <c r="U14" s="23"/>
      <c r="V14" s="23"/>
      <c r="W14" s="23"/>
      <c r="X14" s="23"/>
      <c r="Y14" s="23"/>
      <c r="Z14" s="23"/>
      <c r="AA14" s="23"/>
      <c r="AB14" s="23"/>
      <c r="AC14" s="23"/>
      <c r="AD14" s="23"/>
      <c r="AE14" s="23"/>
    </row>
    <row r="15" spans="1:46" s="2" customFormat="1" ht="12" customHeight="1">
      <c r="A15" s="271"/>
      <c r="B15" s="270"/>
      <c r="C15" s="271"/>
      <c r="D15" s="268" t="s">
        <v>17</v>
      </c>
      <c r="E15" s="271"/>
      <c r="F15" s="273" t="s">
        <v>3</v>
      </c>
      <c r="G15" s="271"/>
      <c r="H15" s="271"/>
      <c r="I15" s="268" t="s">
        <v>18</v>
      </c>
      <c r="J15" s="273" t="s">
        <v>3</v>
      </c>
      <c r="K15" s="271"/>
      <c r="L15" s="64"/>
      <c r="S15" s="23"/>
      <c r="T15" s="23"/>
      <c r="U15" s="23"/>
      <c r="V15" s="23"/>
      <c r="W15" s="23"/>
      <c r="X15" s="23"/>
      <c r="Y15" s="23"/>
      <c r="Z15" s="23"/>
      <c r="AA15" s="23"/>
      <c r="AB15" s="23"/>
      <c r="AC15" s="23"/>
      <c r="AD15" s="23"/>
      <c r="AE15" s="23"/>
    </row>
    <row r="16" spans="1:46" s="2" customFormat="1" ht="12" customHeight="1">
      <c r="A16" s="271"/>
      <c r="B16" s="270"/>
      <c r="C16" s="271"/>
      <c r="D16" s="268" t="s">
        <v>19</v>
      </c>
      <c r="E16" s="271"/>
      <c r="F16" s="273" t="s">
        <v>27</v>
      </c>
      <c r="G16" s="271"/>
      <c r="H16" s="271"/>
      <c r="I16" s="268" t="s">
        <v>21</v>
      </c>
      <c r="J16" s="387">
        <f>'Rekapitulace stavby'!AN8</f>
        <v>44077</v>
      </c>
      <c r="K16" s="271"/>
      <c r="L16" s="64"/>
      <c r="S16" s="23"/>
      <c r="T16" s="23"/>
      <c r="U16" s="23"/>
      <c r="V16" s="23"/>
      <c r="W16" s="23"/>
      <c r="X16" s="23"/>
      <c r="Y16" s="23"/>
      <c r="Z16" s="23"/>
      <c r="AA16" s="23"/>
      <c r="AB16" s="23"/>
      <c r="AC16" s="23"/>
      <c r="AD16" s="23"/>
      <c r="AE16" s="23"/>
    </row>
    <row r="17" spans="1:31" s="2" customFormat="1" ht="10.9" customHeight="1">
      <c r="A17" s="271"/>
      <c r="B17" s="270"/>
      <c r="C17" s="271"/>
      <c r="D17" s="271"/>
      <c r="E17" s="271"/>
      <c r="F17" s="271"/>
      <c r="G17" s="271"/>
      <c r="H17" s="271"/>
      <c r="I17" s="271"/>
      <c r="J17" s="271"/>
      <c r="K17" s="271"/>
      <c r="L17" s="64"/>
      <c r="S17" s="23"/>
      <c r="T17" s="23"/>
      <c r="U17" s="23"/>
      <c r="V17" s="23"/>
      <c r="W17" s="23"/>
      <c r="X17" s="23"/>
      <c r="Y17" s="23"/>
      <c r="Z17" s="23"/>
      <c r="AA17" s="23"/>
      <c r="AB17" s="23"/>
      <c r="AC17" s="23"/>
      <c r="AD17" s="23"/>
      <c r="AE17" s="23"/>
    </row>
    <row r="18" spans="1:31" s="2" customFormat="1" ht="12" customHeight="1">
      <c r="A18" s="271"/>
      <c r="B18" s="270"/>
      <c r="C18" s="271"/>
      <c r="D18" s="268" t="s">
        <v>22</v>
      </c>
      <c r="E18" s="271"/>
      <c r="F18" s="271"/>
      <c r="G18" s="271"/>
      <c r="H18" s="271"/>
      <c r="I18" s="268" t="s">
        <v>23</v>
      </c>
      <c r="J18" s="273" t="s">
        <v>3</v>
      </c>
      <c r="K18" s="271"/>
      <c r="L18" s="64"/>
      <c r="S18" s="23"/>
      <c r="T18" s="23"/>
      <c r="U18" s="23"/>
      <c r="V18" s="23"/>
      <c r="W18" s="23"/>
      <c r="X18" s="23"/>
      <c r="Y18" s="23"/>
      <c r="Z18" s="23"/>
      <c r="AA18" s="23"/>
      <c r="AB18" s="23"/>
      <c r="AC18" s="23"/>
      <c r="AD18" s="23"/>
      <c r="AE18" s="23"/>
    </row>
    <row r="19" spans="1:31" s="2" customFormat="1" ht="18" customHeight="1">
      <c r="A19" s="271"/>
      <c r="B19" s="270"/>
      <c r="C19" s="271"/>
      <c r="D19" s="271"/>
      <c r="E19" s="273" t="s">
        <v>24</v>
      </c>
      <c r="F19" s="271"/>
      <c r="G19" s="271"/>
      <c r="H19" s="271"/>
      <c r="I19" s="268" t="s">
        <v>25</v>
      </c>
      <c r="J19" s="273" t="s">
        <v>3</v>
      </c>
      <c r="K19" s="271"/>
      <c r="L19" s="64"/>
      <c r="S19" s="23"/>
      <c r="T19" s="23"/>
      <c r="U19" s="23"/>
      <c r="V19" s="23"/>
      <c r="W19" s="23"/>
      <c r="X19" s="23"/>
      <c r="Y19" s="23"/>
      <c r="Z19" s="23"/>
      <c r="AA19" s="23"/>
      <c r="AB19" s="23"/>
      <c r="AC19" s="23"/>
      <c r="AD19" s="23"/>
      <c r="AE19" s="23"/>
    </row>
    <row r="20" spans="1:31" s="2" customFormat="1" ht="6.95" customHeight="1">
      <c r="A20" s="271"/>
      <c r="B20" s="270"/>
      <c r="C20" s="271"/>
      <c r="D20" s="271"/>
      <c r="E20" s="271"/>
      <c r="F20" s="271"/>
      <c r="G20" s="271"/>
      <c r="H20" s="271"/>
      <c r="I20" s="271"/>
      <c r="J20" s="271"/>
      <c r="K20" s="271"/>
      <c r="L20" s="64"/>
      <c r="S20" s="23"/>
      <c r="T20" s="23"/>
      <c r="U20" s="23"/>
      <c r="V20" s="23"/>
      <c r="W20" s="23"/>
      <c r="X20" s="23"/>
      <c r="Y20" s="23"/>
      <c r="Z20" s="23"/>
      <c r="AA20" s="23"/>
      <c r="AB20" s="23"/>
      <c r="AC20" s="23"/>
      <c r="AD20" s="23"/>
      <c r="AE20" s="23"/>
    </row>
    <row r="21" spans="1:31" s="2" customFormat="1" ht="12" customHeight="1">
      <c r="A21" s="271"/>
      <c r="B21" s="270"/>
      <c r="C21" s="271"/>
      <c r="D21" s="268" t="s">
        <v>26</v>
      </c>
      <c r="E21" s="271"/>
      <c r="F21" s="271"/>
      <c r="G21" s="271"/>
      <c r="H21" s="271"/>
      <c r="I21" s="268" t="s">
        <v>23</v>
      </c>
      <c r="J21" s="273" t="str">
        <f>'Rekapitulace stavby'!AN13</f>
        <v/>
      </c>
      <c r="K21" s="271"/>
      <c r="L21" s="64"/>
      <c r="S21" s="23"/>
      <c r="T21" s="23"/>
      <c r="U21" s="23"/>
      <c r="V21" s="23"/>
      <c r="W21" s="23"/>
      <c r="X21" s="23"/>
      <c r="Y21" s="23"/>
      <c r="Z21" s="23"/>
      <c r="AA21" s="23"/>
      <c r="AB21" s="23"/>
      <c r="AC21" s="23"/>
      <c r="AD21" s="23"/>
      <c r="AE21" s="23"/>
    </row>
    <row r="22" spans="1:31" s="2" customFormat="1" ht="18" customHeight="1">
      <c r="A22" s="271"/>
      <c r="B22" s="270"/>
      <c r="C22" s="271"/>
      <c r="D22" s="271"/>
      <c r="E22" s="714" t="str">
        <f>'Rekapitulace stavby'!E14</f>
        <v xml:space="preserve"> </v>
      </c>
      <c r="F22" s="714"/>
      <c r="G22" s="714"/>
      <c r="H22" s="714"/>
      <c r="I22" s="268" t="s">
        <v>25</v>
      </c>
      <c r="J22" s="273" t="str">
        <f>'Rekapitulace stavby'!AN14</f>
        <v/>
      </c>
      <c r="K22" s="271"/>
      <c r="L22" s="64"/>
      <c r="S22" s="23"/>
      <c r="T22" s="23"/>
      <c r="U22" s="23"/>
      <c r="V22" s="23"/>
      <c r="W22" s="23"/>
      <c r="X22" s="23"/>
      <c r="Y22" s="23"/>
      <c r="Z22" s="23"/>
      <c r="AA22" s="23"/>
      <c r="AB22" s="23"/>
      <c r="AC22" s="23"/>
      <c r="AD22" s="23"/>
      <c r="AE22" s="23"/>
    </row>
    <row r="23" spans="1:31" s="2" customFormat="1" ht="6.95" customHeight="1">
      <c r="A23" s="271"/>
      <c r="B23" s="270"/>
      <c r="C23" s="271"/>
      <c r="D23" s="271"/>
      <c r="E23" s="271"/>
      <c r="F23" s="271"/>
      <c r="G23" s="271"/>
      <c r="H23" s="271"/>
      <c r="I23" s="271"/>
      <c r="J23" s="271"/>
      <c r="K23" s="271"/>
      <c r="L23" s="64"/>
      <c r="S23" s="23"/>
      <c r="T23" s="23"/>
      <c r="U23" s="23"/>
      <c r="V23" s="23"/>
      <c r="W23" s="23"/>
      <c r="X23" s="23"/>
      <c r="Y23" s="23"/>
      <c r="Z23" s="23"/>
      <c r="AA23" s="23"/>
      <c r="AB23" s="23"/>
      <c r="AC23" s="23"/>
      <c r="AD23" s="23"/>
      <c r="AE23" s="23"/>
    </row>
    <row r="24" spans="1:31" s="2" customFormat="1" ht="12" customHeight="1">
      <c r="A24" s="271"/>
      <c r="B24" s="270"/>
      <c r="C24" s="271"/>
      <c r="D24" s="268" t="s">
        <v>28</v>
      </c>
      <c r="E24" s="271"/>
      <c r="F24" s="271"/>
      <c r="G24" s="271"/>
      <c r="H24" s="271"/>
      <c r="I24" s="268" t="s">
        <v>23</v>
      </c>
      <c r="J24" s="273" t="s">
        <v>3</v>
      </c>
      <c r="K24" s="271"/>
      <c r="L24" s="64"/>
      <c r="S24" s="23"/>
      <c r="T24" s="23"/>
      <c r="U24" s="23"/>
      <c r="V24" s="23"/>
      <c r="W24" s="23"/>
      <c r="X24" s="23"/>
      <c r="Y24" s="23"/>
      <c r="Z24" s="23"/>
      <c r="AA24" s="23"/>
      <c r="AB24" s="23"/>
      <c r="AC24" s="23"/>
      <c r="AD24" s="23"/>
      <c r="AE24" s="23"/>
    </row>
    <row r="25" spans="1:31" s="2" customFormat="1" ht="18" customHeight="1">
      <c r="A25" s="271"/>
      <c r="B25" s="270"/>
      <c r="C25" s="271"/>
      <c r="D25" s="271"/>
      <c r="E25" s="273" t="s">
        <v>29</v>
      </c>
      <c r="F25" s="271"/>
      <c r="G25" s="271"/>
      <c r="H25" s="271"/>
      <c r="I25" s="268" t="s">
        <v>25</v>
      </c>
      <c r="J25" s="273" t="s">
        <v>3</v>
      </c>
      <c r="K25" s="271"/>
      <c r="L25" s="64"/>
      <c r="S25" s="23"/>
      <c r="T25" s="23"/>
      <c r="U25" s="23"/>
      <c r="V25" s="23"/>
      <c r="W25" s="23"/>
      <c r="X25" s="23"/>
      <c r="Y25" s="23"/>
      <c r="Z25" s="23"/>
      <c r="AA25" s="23"/>
      <c r="AB25" s="23"/>
      <c r="AC25" s="23"/>
      <c r="AD25" s="23"/>
      <c r="AE25" s="23"/>
    </row>
    <row r="26" spans="1:31" s="2" customFormat="1" ht="6.95" customHeight="1">
      <c r="A26" s="271"/>
      <c r="B26" s="270"/>
      <c r="C26" s="271"/>
      <c r="D26" s="271"/>
      <c r="E26" s="271"/>
      <c r="F26" s="271"/>
      <c r="G26" s="271"/>
      <c r="H26" s="271"/>
      <c r="I26" s="271"/>
      <c r="J26" s="271"/>
      <c r="K26" s="271"/>
      <c r="L26" s="64"/>
      <c r="S26" s="23"/>
      <c r="T26" s="23"/>
      <c r="U26" s="23"/>
      <c r="V26" s="23"/>
      <c r="W26" s="23"/>
      <c r="X26" s="23"/>
      <c r="Y26" s="23"/>
      <c r="Z26" s="23"/>
      <c r="AA26" s="23"/>
      <c r="AB26" s="23"/>
      <c r="AC26" s="23"/>
      <c r="AD26" s="23"/>
      <c r="AE26" s="23"/>
    </row>
    <row r="27" spans="1:31" s="2" customFormat="1" ht="12" customHeight="1">
      <c r="A27" s="271"/>
      <c r="B27" s="270"/>
      <c r="C27" s="271"/>
      <c r="D27" s="268" t="s">
        <v>31</v>
      </c>
      <c r="E27" s="271"/>
      <c r="F27" s="271"/>
      <c r="G27" s="271"/>
      <c r="H27" s="271"/>
      <c r="I27" s="268" t="s">
        <v>23</v>
      </c>
      <c r="J27" s="273" t="s">
        <v>3</v>
      </c>
      <c r="K27" s="271"/>
      <c r="L27" s="64"/>
      <c r="S27" s="23"/>
      <c r="T27" s="23"/>
      <c r="U27" s="23"/>
      <c r="V27" s="23"/>
      <c r="W27" s="23"/>
      <c r="X27" s="23"/>
      <c r="Y27" s="23"/>
      <c r="Z27" s="23"/>
      <c r="AA27" s="23"/>
      <c r="AB27" s="23"/>
      <c r="AC27" s="23"/>
      <c r="AD27" s="23"/>
      <c r="AE27" s="23"/>
    </row>
    <row r="28" spans="1:31" s="2" customFormat="1" ht="18" customHeight="1">
      <c r="A28" s="271"/>
      <c r="B28" s="270"/>
      <c r="C28" s="271"/>
      <c r="D28" s="271"/>
      <c r="E28" s="273" t="s">
        <v>29</v>
      </c>
      <c r="F28" s="271"/>
      <c r="G28" s="271"/>
      <c r="H28" s="271"/>
      <c r="I28" s="268" t="s">
        <v>25</v>
      </c>
      <c r="J28" s="273" t="s">
        <v>3</v>
      </c>
      <c r="K28" s="271"/>
      <c r="L28" s="64"/>
      <c r="S28" s="23"/>
      <c r="T28" s="23"/>
      <c r="U28" s="23"/>
      <c r="V28" s="23"/>
      <c r="W28" s="23"/>
      <c r="X28" s="23"/>
      <c r="Y28" s="23"/>
      <c r="Z28" s="23"/>
      <c r="AA28" s="23"/>
      <c r="AB28" s="23"/>
      <c r="AC28" s="23"/>
      <c r="AD28" s="23"/>
      <c r="AE28" s="23"/>
    </row>
    <row r="29" spans="1:31" s="2" customFormat="1" ht="6.95" customHeight="1">
      <c r="A29" s="271"/>
      <c r="B29" s="270"/>
      <c r="C29" s="271"/>
      <c r="D29" s="271"/>
      <c r="E29" s="271"/>
      <c r="F29" s="271"/>
      <c r="G29" s="271"/>
      <c r="H29" s="271"/>
      <c r="I29" s="271"/>
      <c r="J29" s="271"/>
      <c r="K29" s="271"/>
      <c r="L29" s="64"/>
      <c r="S29" s="23"/>
      <c r="T29" s="23"/>
      <c r="U29" s="23"/>
      <c r="V29" s="23"/>
      <c r="W29" s="23"/>
      <c r="X29" s="23"/>
      <c r="Y29" s="23"/>
      <c r="Z29" s="23"/>
      <c r="AA29" s="23"/>
      <c r="AB29" s="23"/>
      <c r="AC29" s="23"/>
      <c r="AD29" s="23"/>
      <c r="AE29" s="23"/>
    </row>
    <row r="30" spans="1:31" s="2" customFormat="1" ht="12" customHeight="1">
      <c r="A30" s="271"/>
      <c r="B30" s="270"/>
      <c r="C30" s="271"/>
      <c r="D30" s="268" t="s">
        <v>32</v>
      </c>
      <c r="E30" s="271"/>
      <c r="F30" s="271"/>
      <c r="G30" s="271"/>
      <c r="H30" s="271"/>
      <c r="I30" s="271"/>
      <c r="J30" s="271"/>
      <c r="K30" s="271"/>
      <c r="L30" s="64"/>
      <c r="S30" s="23"/>
      <c r="T30" s="23"/>
      <c r="U30" s="23"/>
      <c r="V30" s="23"/>
      <c r="W30" s="23"/>
      <c r="X30" s="23"/>
      <c r="Y30" s="23"/>
      <c r="Z30" s="23"/>
      <c r="AA30" s="23"/>
      <c r="AB30" s="23"/>
      <c r="AC30" s="23"/>
      <c r="AD30" s="23"/>
      <c r="AE30" s="23"/>
    </row>
    <row r="31" spans="1:31" s="8" customFormat="1" ht="14.45" customHeight="1">
      <c r="A31" s="274"/>
      <c r="B31" s="275"/>
      <c r="C31" s="274"/>
      <c r="D31" s="274"/>
      <c r="E31" s="707" t="s">
        <v>3</v>
      </c>
      <c r="F31" s="707"/>
      <c r="G31" s="707"/>
      <c r="H31" s="707"/>
      <c r="I31" s="274"/>
      <c r="J31" s="274"/>
      <c r="K31" s="274"/>
      <c r="L31" s="66"/>
      <c r="S31" s="65"/>
      <c r="T31" s="65"/>
      <c r="U31" s="65"/>
      <c r="V31" s="65"/>
      <c r="W31" s="65"/>
      <c r="X31" s="65"/>
      <c r="Y31" s="65"/>
      <c r="Z31" s="65"/>
      <c r="AA31" s="65"/>
      <c r="AB31" s="65"/>
      <c r="AC31" s="65"/>
      <c r="AD31" s="65"/>
      <c r="AE31" s="65"/>
    </row>
    <row r="32" spans="1:31" s="2" customFormat="1" ht="6.95" customHeight="1">
      <c r="A32" s="271"/>
      <c r="B32" s="270"/>
      <c r="C32" s="271"/>
      <c r="D32" s="271"/>
      <c r="E32" s="271"/>
      <c r="F32" s="271"/>
      <c r="G32" s="271"/>
      <c r="H32" s="271"/>
      <c r="I32" s="271"/>
      <c r="J32" s="271"/>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25.35" customHeight="1">
      <c r="A34" s="271"/>
      <c r="B34" s="270"/>
      <c r="C34" s="271"/>
      <c r="D34" s="277" t="s">
        <v>34</v>
      </c>
      <c r="E34" s="271"/>
      <c r="F34" s="271"/>
      <c r="G34" s="271"/>
      <c r="H34" s="271"/>
      <c r="I34" s="271"/>
      <c r="J34" s="388">
        <f>ROUND(J93, 2)</f>
        <v>0</v>
      </c>
      <c r="K34" s="271"/>
      <c r="L34" s="64"/>
      <c r="S34" s="23"/>
      <c r="T34" s="23"/>
      <c r="U34" s="23"/>
      <c r="V34" s="23"/>
      <c r="W34" s="23"/>
      <c r="X34" s="23"/>
      <c r="Y34" s="23"/>
      <c r="Z34" s="23"/>
      <c r="AA34" s="23"/>
      <c r="AB34" s="23"/>
      <c r="AC34" s="23"/>
      <c r="AD34" s="23"/>
      <c r="AE34" s="23"/>
    </row>
    <row r="35" spans="1:31" s="2" customFormat="1" ht="6.95" customHeight="1">
      <c r="A35" s="271"/>
      <c r="B35" s="270"/>
      <c r="C35" s="271"/>
      <c r="D35" s="276"/>
      <c r="E35" s="276"/>
      <c r="F35" s="276"/>
      <c r="G35" s="276"/>
      <c r="H35" s="276"/>
      <c r="I35" s="276"/>
      <c r="J35" s="276"/>
      <c r="K35" s="276"/>
      <c r="L35" s="64"/>
      <c r="S35" s="23"/>
      <c r="T35" s="23"/>
      <c r="U35" s="23"/>
      <c r="V35" s="23"/>
      <c r="W35" s="23"/>
      <c r="X35" s="23"/>
      <c r="Y35" s="23"/>
      <c r="Z35" s="23"/>
      <c r="AA35" s="23"/>
      <c r="AB35" s="23"/>
      <c r="AC35" s="23"/>
      <c r="AD35" s="23"/>
      <c r="AE35" s="23"/>
    </row>
    <row r="36" spans="1:31" s="2" customFormat="1" ht="14.45" customHeight="1">
      <c r="A36" s="271"/>
      <c r="B36" s="270"/>
      <c r="C36" s="271"/>
      <c r="D36" s="271"/>
      <c r="E36" s="271"/>
      <c r="F36" s="278" t="s">
        <v>36</v>
      </c>
      <c r="G36" s="271"/>
      <c r="H36" s="271"/>
      <c r="I36" s="278" t="s">
        <v>35</v>
      </c>
      <c r="J36" s="278" t="s">
        <v>37</v>
      </c>
      <c r="K36" s="271"/>
      <c r="L36" s="64"/>
      <c r="S36" s="23"/>
      <c r="T36" s="23"/>
      <c r="U36" s="23"/>
      <c r="V36" s="23"/>
      <c r="W36" s="23"/>
      <c r="X36" s="23"/>
      <c r="Y36" s="23"/>
      <c r="Z36" s="23"/>
      <c r="AA36" s="23"/>
      <c r="AB36" s="23"/>
      <c r="AC36" s="23"/>
      <c r="AD36" s="23"/>
      <c r="AE36" s="23"/>
    </row>
    <row r="37" spans="1:31" s="2" customFormat="1" ht="14.45" customHeight="1">
      <c r="A37" s="271"/>
      <c r="B37" s="270"/>
      <c r="C37" s="271"/>
      <c r="D37" s="279" t="s">
        <v>38</v>
      </c>
      <c r="E37" s="268" t="s">
        <v>39</v>
      </c>
      <c r="F37" s="280">
        <f>ROUND((SUM(BE93:BE96)),  2)</f>
        <v>0</v>
      </c>
      <c r="G37" s="271"/>
      <c r="H37" s="271"/>
      <c r="I37" s="389">
        <v>0.21</v>
      </c>
      <c r="J37" s="280">
        <f>ROUND(((SUM(BE93:BE96))*I37),  2)</f>
        <v>0</v>
      </c>
      <c r="K37" s="271"/>
      <c r="L37" s="64"/>
      <c r="S37" s="23"/>
      <c r="T37" s="23"/>
      <c r="U37" s="23"/>
      <c r="V37" s="23"/>
      <c r="W37" s="23"/>
      <c r="X37" s="23"/>
      <c r="Y37" s="23"/>
      <c r="Z37" s="23"/>
      <c r="AA37" s="23"/>
      <c r="AB37" s="23"/>
      <c r="AC37" s="23"/>
      <c r="AD37" s="23"/>
      <c r="AE37" s="23"/>
    </row>
    <row r="38" spans="1:31" s="2" customFormat="1" ht="14.45" customHeight="1">
      <c r="A38" s="271"/>
      <c r="B38" s="270"/>
      <c r="C38" s="271"/>
      <c r="D38" s="271"/>
      <c r="E38" s="268" t="s">
        <v>40</v>
      </c>
      <c r="F38" s="280">
        <f>ROUND((SUM(BF93:BF96)),  2)</f>
        <v>0</v>
      </c>
      <c r="G38" s="271"/>
      <c r="H38" s="271"/>
      <c r="I38" s="389">
        <v>0.15</v>
      </c>
      <c r="J38" s="280">
        <f>ROUND(((SUM(BF93:BF96))*I38),  2)</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41</v>
      </c>
      <c r="F39" s="280">
        <f>ROUND((SUM(BG93:BG96)),  2)</f>
        <v>0</v>
      </c>
      <c r="G39" s="271"/>
      <c r="H39" s="271"/>
      <c r="I39" s="389">
        <v>0.21</v>
      </c>
      <c r="J39" s="280">
        <f>0</f>
        <v>0</v>
      </c>
      <c r="K39" s="271"/>
      <c r="L39" s="64"/>
      <c r="S39" s="23"/>
      <c r="T39" s="23"/>
      <c r="U39" s="23"/>
      <c r="V39" s="23"/>
      <c r="W39" s="23"/>
      <c r="X39" s="23"/>
      <c r="Y39" s="23"/>
      <c r="Z39" s="23"/>
      <c r="AA39" s="23"/>
      <c r="AB39" s="23"/>
      <c r="AC39" s="23"/>
      <c r="AD39" s="23"/>
      <c r="AE39" s="23"/>
    </row>
    <row r="40" spans="1:31" s="2" customFormat="1" ht="14.45" hidden="1" customHeight="1">
      <c r="A40" s="271"/>
      <c r="B40" s="270"/>
      <c r="C40" s="271"/>
      <c r="D40" s="271"/>
      <c r="E40" s="268" t="s">
        <v>42</v>
      </c>
      <c r="F40" s="280">
        <f>ROUND((SUM(BH93:BH96)),  2)</f>
        <v>0</v>
      </c>
      <c r="G40" s="271"/>
      <c r="H40" s="271"/>
      <c r="I40" s="389">
        <v>0.15</v>
      </c>
      <c r="J40" s="280">
        <f>0</f>
        <v>0</v>
      </c>
      <c r="K40" s="271"/>
      <c r="L40" s="64"/>
      <c r="S40" s="23"/>
      <c r="T40" s="23"/>
      <c r="U40" s="23"/>
      <c r="V40" s="23"/>
      <c r="W40" s="23"/>
      <c r="X40" s="23"/>
      <c r="Y40" s="23"/>
      <c r="Z40" s="23"/>
      <c r="AA40" s="23"/>
      <c r="AB40" s="23"/>
      <c r="AC40" s="23"/>
      <c r="AD40" s="23"/>
      <c r="AE40" s="23"/>
    </row>
    <row r="41" spans="1:31" s="2" customFormat="1" ht="14.45" hidden="1" customHeight="1">
      <c r="A41" s="271"/>
      <c r="B41" s="270"/>
      <c r="C41" s="271"/>
      <c r="D41" s="271"/>
      <c r="E41" s="268" t="s">
        <v>43</v>
      </c>
      <c r="F41" s="280">
        <f>ROUND((SUM(BI93:BI96)),  2)</f>
        <v>0</v>
      </c>
      <c r="G41" s="271"/>
      <c r="H41" s="271"/>
      <c r="I41" s="389">
        <v>0</v>
      </c>
      <c r="J41" s="280">
        <f>0</f>
        <v>0</v>
      </c>
      <c r="K41" s="271"/>
      <c r="L41" s="64"/>
      <c r="S41" s="23"/>
      <c r="T41" s="23"/>
      <c r="U41" s="23"/>
      <c r="V41" s="23"/>
      <c r="W41" s="23"/>
      <c r="X41" s="23"/>
      <c r="Y41" s="23"/>
      <c r="Z41" s="23"/>
      <c r="AA41" s="23"/>
      <c r="AB41" s="23"/>
      <c r="AC41" s="23"/>
      <c r="AD41" s="23"/>
      <c r="AE41" s="23"/>
    </row>
    <row r="42" spans="1:31" s="2" customFormat="1" ht="6.95" customHeight="1">
      <c r="A42" s="271"/>
      <c r="B42" s="270"/>
      <c r="C42" s="271"/>
      <c r="D42" s="271"/>
      <c r="E42" s="271"/>
      <c r="F42" s="271"/>
      <c r="G42" s="271"/>
      <c r="H42" s="271"/>
      <c r="I42" s="271"/>
      <c r="J42" s="271"/>
      <c r="K42" s="271"/>
      <c r="L42" s="64"/>
      <c r="S42" s="23"/>
      <c r="T42" s="23"/>
      <c r="U42" s="23"/>
      <c r="V42" s="23"/>
      <c r="W42" s="23"/>
      <c r="X42" s="23"/>
      <c r="Y42" s="23"/>
      <c r="Z42" s="23"/>
      <c r="AA42" s="23"/>
      <c r="AB42" s="23"/>
      <c r="AC42" s="23"/>
      <c r="AD42" s="23"/>
      <c r="AE42" s="23"/>
    </row>
    <row r="43" spans="1:31" s="2" customFormat="1" ht="25.35" customHeight="1">
      <c r="A43" s="271"/>
      <c r="B43" s="270"/>
      <c r="C43" s="281"/>
      <c r="D43" s="282" t="s">
        <v>44</v>
      </c>
      <c r="E43" s="283"/>
      <c r="F43" s="283"/>
      <c r="G43" s="284" t="s">
        <v>45</v>
      </c>
      <c r="H43" s="285" t="s">
        <v>46</v>
      </c>
      <c r="I43" s="283"/>
      <c r="J43" s="390">
        <f>SUM(J34:J41)</f>
        <v>0</v>
      </c>
      <c r="K43" s="339"/>
      <c r="L43" s="64"/>
      <c r="S43" s="23"/>
      <c r="T43" s="23"/>
      <c r="U43" s="23"/>
      <c r="V43" s="23"/>
      <c r="W43" s="23"/>
      <c r="X43" s="23"/>
      <c r="Y43" s="23"/>
      <c r="Z43" s="23"/>
      <c r="AA43" s="23"/>
      <c r="AB43" s="23"/>
      <c r="AC43" s="23"/>
      <c r="AD43" s="23"/>
      <c r="AE43" s="23"/>
    </row>
    <row r="44" spans="1:31" s="2" customFormat="1" ht="14.45" customHeight="1">
      <c r="A44" s="271"/>
      <c r="B44" s="286"/>
      <c r="C44" s="287"/>
      <c r="D44" s="287"/>
      <c r="E44" s="287"/>
      <c r="F44" s="287"/>
      <c r="G44" s="287"/>
      <c r="H44" s="287"/>
      <c r="I44" s="287"/>
      <c r="J44" s="287"/>
      <c r="K44" s="287"/>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1"/>
      <c r="B48" s="288"/>
      <c r="C48" s="289"/>
      <c r="D48" s="289"/>
      <c r="E48" s="289"/>
      <c r="F48" s="289"/>
      <c r="G48" s="289"/>
      <c r="H48" s="289"/>
      <c r="I48" s="289"/>
      <c r="J48" s="289"/>
      <c r="K48" s="289"/>
      <c r="L48" s="64"/>
      <c r="S48" s="23"/>
      <c r="T48" s="23"/>
      <c r="U48" s="23"/>
      <c r="V48" s="23"/>
      <c r="W48" s="23"/>
      <c r="X48" s="23"/>
      <c r="Y48" s="23"/>
      <c r="Z48" s="23"/>
      <c r="AA48" s="23"/>
      <c r="AB48" s="23"/>
      <c r="AC48" s="23"/>
      <c r="AD48" s="23"/>
      <c r="AE48" s="23"/>
    </row>
    <row r="49" spans="1:31" s="2" customFormat="1" ht="24.95" customHeight="1">
      <c r="A49" s="271"/>
      <c r="B49" s="270"/>
      <c r="C49" s="266" t="s">
        <v>167</v>
      </c>
      <c r="D49" s="271"/>
      <c r="E49" s="271"/>
      <c r="F49" s="271"/>
      <c r="G49" s="271"/>
      <c r="H49" s="271"/>
      <c r="I49" s="271"/>
      <c r="J49" s="271"/>
      <c r="K49" s="271"/>
      <c r="L49" s="64"/>
      <c r="S49" s="23"/>
      <c r="T49" s="23"/>
      <c r="U49" s="23"/>
      <c r="V49" s="23"/>
      <c r="W49" s="23"/>
      <c r="X49" s="23"/>
      <c r="Y49" s="23"/>
      <c r="Z49" s="23"/>
      <c r="AA49" s="23"/>
      <c r="AB49" s="23"/>
      <c r="AC49" s="23"/>
      <c r="AD49" s="23"/>
      <c r="AE49" s="23"/>
    </row>
    <row r="50" spans="1:31" s="2" customFormat="1" ht="6.95" customHeight="1">
      <c r="A50" s="271"/>
      <c r="B50" s="270"/>
      <c r="C50" s="271"/>
      <c r="D50" s="271"/>
      <c r="E50" s="271"/>
      <c r="F50" s="271"/>
      <c r="G50" s="271"/>
      <c r="H50" s="271"/>
      <c r="I50" s="271"/>
      <c r="J50" s="271"/>
      <c r="K50" s="271"/>
      <c r="L50" s="64"/>
      <c r="S50" s="23"/>
      <c r="T50" s="23"/>
      <c r="U50" s="23"/>
      <c r="V50" s="23"/>
      <c r="W50" s="23"/>
      <c r="X50" s="23"/>
      <c r="Y50" s="23"/>
      <c r="Z50" s="23"/>
      <c r="AA50" s="23"/>
      <c r="AB50" s="23"/>
      <c r="AC50" s="23"/>
      <c r="AD50" s="23"/>
      <c r="AE50" s="23"/>
    </row>
    <row r="51" spans="1:31" s="2" customFormat="1" ht="12" customHeight="1">
      <c r="A51" s="271"/>
      <c r="B51" s="270"/>
      <c r="C51" s="268" t="s">
        <v>15</v>
      </c>
      <c r="D51" s="271"/>
      <c r="E51" s="271"/>
      <c r="F51" s="271"/>
      <c r="G51" s="271"/>
      <c r="H51" s="271"/>
      <c r="I51" s="271"/>
      <c r="J51" s="271"/>
      <c r="K51" s="271"/>
      <c r="L51" s="64"/>
      <c r="S51" s="23"/>
      <c r="T51" s="23"/>
      <c r="U51" s="23"/>
      <c r="V51" s="23"/>
      <c r="W51" s="23"/>
      <c r="X51" s="23"/>
      <c r="Y51" s="23"/>
      <c r="Z51" s="23"/>
      <c r="AA51" s="23"/>
      <c r="AB51" s="23"/>
      <c r="AC51" s="23"/>
      <c r="AD51" s="23"/>
      <c r="AE51" s="23"/>
    </row>
    <row r="52" spans="1:31" s="2" customFormat="1" ht="14.45" customHeight="1">
      <c r="A52" s="271"/>
      <c r="B52" s="270"/>
      <c r="C52" s="271"/>
      <c r="D52" s="271"/>
      <c r="E52" s="722" t="str">
        <f>E7</f>
        <v>Úpravy gastroprovozu Úřadu vlády ČR v 1.pp Strakovy akademie</v>
      </c>
      <c r="F52" s="723"/>
      <c r="G52" s="723"/>
      <c r="H52" s="723"/>
      <c r="I52" s="271"/>
      <c r="J52" s="271"/>
      <c r="K52" s="271"/>
      <c r="L52" s="64"/>
      <c r="S52" s="23"/>
      <c r="T52" s="23"/>
      <c r="U52" s="23"/>
      <c r="V52" s="23"/>
      <c r="W52" s="23"/>
      <c r="X52" s="23"/>
      <c r="Y52" s="23"/>
      <c r="Z52" s="23"/>
      <c r="AA52" s="23"/>
      <c r="AB52" s="23"/>
      <c r="AC52" s="23"/>
      <c r="AD52" s="23"/>
      <c r="AE52" s="23"/>
    </row>
    <row r="53" spans="1:31" s="1" customFormat="1" ht="12" customHeight="1">
      <c r="A53" s="61"/>
      <c r="B53" s="265"/>
      <c r="C53" s="268" t="s">
        <v>151</v>
      </c>
      <c r="D53" s="61"/>
      <c r="E53" s="61"/>
      <c r="F53" s="61"/>
      <c r="G53" s="61"/>
      <c r="H53" s="61"/>
      <c r="I53" s="61"/>
      <c r="J53" s="61"/>
      <c r="K53" s="61"/>
      <c r="L53" s="20"/>
    </row>
    <row r="54" spans="1:31" s="1" customFormat="1" ht="14.45" customHeight="1">
      <c r="A54" s="61"/>
      <c r="B54" s="265"/>
      <c r="C54" s="61"/>
      <c r="D54" s="61"/>
      <c r="E54" s="722" t="s">
        <v>1759</v>
      </c>
      <c r="F54" s="715"/>
      <c r="G54" s="715"/>
      <c r="H54" s="715"/>
      <c r="I54" s="61"/>
      <c r="J54" s="61"/>
      <c r="K54" s="61"/>
      <c r="L54" s="20"/>
    </row>
    <row r="55" spans="1:31" s="1" customFormat="1" ht="12" customHeight="1">
      <c r="A55" s="61"/>
      <c r="B55" s="265"/>
      <c r="C55" s="268" t="s">
        <v>157</v>
      </c>
      <c r="D55" s="61"/>
      <c r="E55" s="61"/>
      <c r="F55" s="61"/>
      <c r="G55" s="61"/>
      <c r="H55" s="61"/>
      <c r="I55" s="61"/>
      <c r="J55" s="61"/>
      <c r="K55" s="61"/>
      <c r="L55" s="20"/>
    </row>
    <row r="56" spans="1:31" s="2" customFormat="1" ht="14.45" customHeight="1">
      <c r="A56" s="271"/>
      <c r="B56" s="270"/>
      <c r="C56" s="271"/>
      <c r="D56" s="271"/>
      <c r="E56" s="762" t="s">
        <v>1795</v>
      </c>
      <c r="F56" s="721"/>
      <c r="G56" s="721"/>
      <c r="H56" s="721"/>
      <c r="I56" s="271"/>
      <c r="J56" s="271"/>
      <c r="K56" s="271"/>
      <c r="L56" s="64"/>
      <c r="S56" s="23"/>
      <c r="T56" s="23"/>
      <c r="U56" s="23"/>
      <c r="V56" s="23"/>
      <c r="W56" s="23"/>
      <c r="X56" s="23"/>
      <c r="Y56" s="23"/>
      <c r="Z56" s="23"/>
      <c r="AA56" s="23"/>
      <c r="AB56" s="23"/>
      <c r="AC56" s="23"/>
      <c r="AD56" s="23"/>
      <c r="AE56" s="23"/>
    </row>
    <row r="57" spans="1:31" s="2" customFormat="1" ht="12" customHeight="1">
      <c r="A57" s="271"/>
      <c r="B57" s="270"/>
      <c r="C57" s="268" t="s">
        <v>1777</v>
      </c>
      <c r="D57" s="271"/>
      <c r="E57" s="271"/>
      <c r="F57" s="271"/>
      <c r="G57" s="271"/>
      <c r="H57" s="271"/>
      <c r="I57" s="271"/>
      <c r="J57" s="271"/>
      <c r="K57" s="271"/>
      <c r="L57" s="64"/>
      <c r="S57" s="23"/>
      <c r="T57" s="23"/>
      <c r="U57" s="23"/>
      <c r="V57" s="23"/>
      <c r="W57" s="23"/>
      <c r="X57" s="23"/>
      <c r="Y57" s="23"/>
      <c r="Z57" s="23"/>
      <c r="AA57" s="23"/>
      <c r="AB57" s="23"/>
      <c r="AC57" s="23"/>
      <c r="AD57" s="23"/>
      <c r="AE57" s="23"/>
    </row>
    <row r="58" spans="1:31" s="2" customFormat="1" ht="14.45" customHeight="1">
      <c r="A58" s="271"/>
      <c r="B58" s="270"/>
      <c r="C58" s="271"/>
      <c r="D58" s="271"/>
      <c r="E58" s="689" t="str">
        <f>E13</f>
        <v>D.1.4.06.5 - Soupis prací - Gastro demontáž TG</v>
      </c>
      <c r="F58" s="721"/>
      <c r="G58" s="721"/>
      <c r="H58" s="721"/>
      <c r="I58" s="271"/>
      <c r="J58" s="271"/>
      <c r="K58" s="271"/>
      <c r="L58" s="64"/>
      <c r="S58" s="23"/>
      <c r="T58" s="23"/>
      <c r="U58" s="23"/>
      <c r="V58" s="23"/>
      <c r="W58" s="23"/>
      <c r="X58" s="23"/>
      <c r="Y58" s="23"/>
      <c r="Z58" s="23"/>
      <c r="AA58" s="23"/>
      <c r="AB58" s="23"/>
      <c r="AC58" s="23"/>
      <c r="AD58" s="23"/>
      <c r="AE58" s="23"/>
    </row>
    <row r="59" spans="1:31" s="2" customFormat="1" ht="6.95" customHeight="1">
      <c r="A59" s="271"/>
      <c r="B59" s="270"/>
      <c r="C59" s="271"/>
      <c r="D59" s="271"/>
      <c r="E59" s="271"/>
      <c r="F59" s="271"/>
      <c r="G59" s="271"/>
      <c r="H59" s="271"/>
      <c r="I59" s="271"/>
      <c r="J59" s="271"/>
      <c r="K59" s="271"/>
      <c r="L59" s="64"/>
      <c r="S59" s="23"/>
      <c r="T59" s="23"/>
      <c r="U59" s="23"/>
      <c r="V59" s="23"/>
      <c r="W59" s="23"/>
      <c r="X59" s="23"/>
      <c r="Y59" s="23"/>
      <c r="Z59" s="23"/>
      <c r="AA59" s="23"/>
      <c r="AB59" s="23"/>
      <c r="AC59" s="23"/>
      <c r="AD59" s="23"/>
      <c r="AE59" s="23"/>
    </row>
    <row r="60" spans="1:31" s="2" customFormat="1" ht="12" customHeight="1">
      <c r="A60" s="271"/>
      <c r="B60" s="270"/>
      <c r="C60" s="268" t="s">
        <v>19</v>
      </c>
      <c r="D60" s="271"/>
      <c r="E60" s="271"/>
      <c r="F60" s="273" t="str">
        <f>F16</f>
        <v xml:space="preserve"> </v>
      </c>
      <c r="G60" s="271"/>
      <c r="H60" s="271"/>
      <c r="I60" s="268" t="s">
        <v>21</v>
      </c>
      <c r="J60" s="387">
        <f>IF(J16="","",J16)</f>
        <v>44077</v>
      </c>
      <c r="K60" s="271"/>
      <c r="L60" s="64"/>
      <c r="S60" s="23"/>
      <c r="T60" s="23"/>
      <c r="U60" s="23"/>
      <c r="V60" s="23"/>
      <c r="W60" s="23"/>
      <c r="X60" s="23"/>
      <c r="Y60" s="23"/>
      <c r="Z60" s="23"/>
      <c r="AA60" s="23"/>
      <c r="AB60" s="23"/>
      <c r="AC60" s="23"/>
      <c r="AD60" s="23"/>
      <c r="AE60" s="23"/>
    </row>
    <row r="61" spans="1:31" s="2" customFormat="1" ht="6.95" customHeight="1">
      <c r="A61" s="271"/>
      <c r="B61" s="270"/>
      <c r="C61" s="271"/>
      <c r="D61" s="271"/>
      <c r="E61" s="271"/>
      <c r="F61" s="271"/>
      <c r="G61" s="271"/>
      <c r="H61" s="271"/>
      <c r="I61" s="271"/>
      <c r="J61" s="271"/>
      <c r="K61" s="271"/>
      <c r="L61" s="64"/>
      <c r="S61" s="23"/>
      <c r="T61" s="23"/>
      <c r="U61" s="23"/>
      <c r="V61" s="23"/>
      <c r="W61" s="23"/>
      <c r="X61" s="23"/>
      <c r="Y61" s="23"/>
      <c r="Z61" s="23"/>
      <c r="AA61" s="23"/>
      <c r="AB61" s="23"/>
      <c r="AC61" s="23"/>
      <c r="AD61" s="23"/>
      <c r="AE61" s="23"/>
    </row>
    <row r="62" spans="1:31" s="2" customFormat="1" ht="26.45" customHeight="1">
      <c r="A62" s="271"/>
      <c r="B62" s="270"/>
      <c r="C62" s="268" t="s">
        <v>22</v>
      </c>
      <c r="D62" s="271"/>
      <c r="E62" s="271"/>
      <c r="F62" s="273" t="str">
        <f>E19</f>
        <v xml:space="preserve">Úřad vlády České republiky </v>
      </c>
      <c r="G62" s="271"/>
      <c r="H62" s="271"/>
      <c r="I62" s="268" t="s">
        <v>28</v>
      </c>
      <c r="J62" s="391" t="str">
        <f>E25</f>
        <v>Ateliér Simona Group</v>
      </c>
      <c r="K62" s="271"/>
      <c r="L62" s="64"/>
      <c r="S62" s="23"/>
      <c r="T62" s="23"/>
      <c r="U62" s="23"/>
      <c r="V62" s="23"/>
      <c r="W62" s="23"/>
      <c r="X62" s="23"/>
      <c r="Y62" s="23"/>
      <c r="Z62" s="23"/>
      <c r="AA62" s="23"/>
      <c r="AB62" s="23"/>
      <c r="AC62" s="23"/>
      <c r="AD62" s="23"/>
      <c r="AE62" s="23"/>
    </row>
    <row r="63" spans="1:31" s="2" customFormat="1" ht="26.45" customHeight="1">
      <c r="A63" s="271"/>
      <c r="B63" s="270"/>
      <c r="C63" s="268" t="s">
        <v>26</v>
      </c>
      <c r="D63" s="271"/>
      <c r="E63" s="271"/>
      <c r="F63" s="273" t="str">
        <f>IF(E22="","",E22)</f>
        <v xml:space="preserve"> </v>
      </c>
      <c r="G63" s="271"/>
      <c r="H63" s="271"/>
      <c r="I63" s="268" t="s">
        <v>31</v>
      </c>
      <c r="J63" s="391" t="str">
        <f>E28</f>
        <v>Ateliér Simona Group</v>
      </c>
      <c r="K63" s="271"/>
      <c r="L63" s="64"/>
      <c r="S63" s="23"/>
      <c r="T63" s="23"/>
      <c r="U63" s="23"/>
      <c r="V63" s="23"/>
      <c r="W63" s="23"/>
      <c r="X63" s="23"/>
      <c r="Y63" s="23"/>
      <c r="Z63" s="23"/>
      <c r="AA63" s="23"/>
      <c r="AB63" s="23"/>
      <c r="AC63" s="23"/>
      <c r="AD63" s="23"/>
      <c r="AE63" s="23"/>
    </row>
    <row r="64" spans="1:31" s="2" customFormat="1" ht="10.35" customHeight="1">
      <c r="A64" s="271"/>
      <c r="B64" s="270"/>
      <c r="C64" s="271"/>
      <c r="D64" s="271"/>
      <c r="E64" s="271"/>
      <c r="F64" s="271"/>
      <c r="G64" s="271"/>
      <c r="H64" s="271"/>
      <c r="I64" s="271"/>
      <c r="J64" s="271"/>
      <c r="K64" s="271"/>
      <c r="L64" s="64"/>
      <c r="S64" s="23"/>
      <c r="T64" s="23"/>
      <c r="U64" s="23"/>
      <c r="V64" s="23"/>
      <c r="W64" s="23"/>
      <c r="X64" s="23"/>
      <c r="Y64" s="23"/>
      <c r="Z64" s="23"/>
      <c r="AA64" s="23"/>
      <c r="AB64" s="23"/>
      <c r="AC64" s="23"/>
      <c r="AD64" s="23"/>
      <c r="AE64" s="23"/>
    </row>
    <row r="65" spans="1:47" s="2" customFormat="1" ht="29.25" customHeight="1">
      <c r="A65" s="271"/>
      <c r="B65" s="270"/>
      <c r="C65" s="290" t="s">
        <v>168</v>
      </c>
      <c r="D65" s="281"/>
      <c r="E65" s="281"/>
      <c r="F65" s="281"/>
      <c r="G65" s="281"/>
      <c r="H65" s="281"/>
      <c r="I65" s="281"/>
      <c r="J65" s="392" t="s">
        <v>169</v>
      </c>
      <c r="K65" s="281"/>
      <c r="L65" s="64"/>
      <c r="S65" s="23"/>
      <c r="T65" s="23"/>
      <c r="U65" s="23"/>
      <c r="V65" s="23"/>
      <c r="W65" s="23"/>
      <c r="X65" s="23"/>
      <c r="Y65" s="23"/>
      <c r="Z65" s="23"/>
      <c r="AA65" s="23"/>
      <c r="AB65" s="23"/>
      <c r="AC65" s="23"/>
      <c r="AD65" s="23"/>
      <c r="AE65" s="23"/>
    </row>
    <row r="66" spans="1:47" s="2" customFormat="1" ht="10.35" customHeight="1">
      <c r="A66" s="271"/>
      <c r="B66" s="270"/>
      <c r="C66" s="271"/>
      <c r="D66" s="271"/>
      <c r="E66" s="271"/>
      <c r="F66" s="271"/>
      <c r="G66" s="271"/>
      <c r="H66" s="271"/>
      <c r="I66" s="271"/>
      <c r="J66" s="271"/>
      <c r="K66" s="271"/>
      <c r="L66" s="64"/>
      <c r="S66" s="23"/>
      <c r="T66" s="23"/>
      <c r="U66" s="23"/>
      <c r="V66" s="23"/>
      <c r="W66" s="23"/>
      <c r="X66" s="23"/>
      <c r="Y66" s="23"/>
      <c r="Z66" s="23"/>
      <c r="AA66" s="23"/>
      <c r="AB66" s="23"/>
      <c r="AC66" s="23"/>
      <c r="AD66" s="23"/>
      <c r="AE66" s="23"/>
    </row>
    <row r="67" spans="1:47" s="2" customFormat="1" ht="22.9" customHeight="1">
      <c r="A67" s="271"/>
      <c r="B67" s="270"/>
      <c r="C67" s="291" t="s">
        <v>66</v>
      </c>
      <c r="D67" s="271"/>
      <c r="E67" s="271"/>
      <c r="F67" s="271"/>
      <c r="G67" s="271"/>
      <c r="H67" s="271"/>
      <c r="I67" s="271"/>
      <c r="J67" s="388">
        <f>J93</f>
        <v>0</v>
      </c>
      <c r="K67" s="271"/>
      <c r="L67" s="64"/>
      <c r="S67" s="23"/>
      <c r="T67" s="23"/>
      <c r="U67" s="23"/>
      <c r="V67" s="23"/>
      <c r="W67" s="23"/>
      <c r="X67" s="23"/>
      <c r="Y67" s="23"/>
      <c r="Z67" s="23"/>
      <c r="AA67" s="23"/>
      <c r="AB67" s="23"/>
      <c r="AC67" s="23"/>
      <c r="AD67" s="23"/>
      <c r="AE67" s="23"/>
      <c r="AU67" s="19" t="s">
        <v>170</v>
      </c>
    </row>
    <row r="68" spans="1:47" s="9" customFormat="1" ht="24.95" customHeight="1">
      <c r="A68" s="292"/>
      <c r="B68" s="293"/>
      <c r="C68" s="292"/>
      <c r="D68" s="294" t="s">
        <v>181</v>
      </c>
      <c r="E68" s="295"/>
      <c r="F68" s="295"/>
      <c r="G68" s="295"/>
      <c r="H68" s="295"/>
      <c r="I68" s="295"/>
      <c r="J68" s="393">
        <f>J94</f>
        <v>0</v>
      </c>
      <c r="K68" s="292"/>
      <c r="L68" s="67"/>
    </row>
    <row r="69" spans="1:47" s="10" customFormat="1" ht="19.899999999999999" customHeight="1">
      <c r="A69" s="246"/>
      <c r="B69" s="296"/>
      <c r="C69" s="246"/>
      <c r="D69" s="297" t="s">
        <v>196</v>
      </c>
      <c r="E69" s="298"/>
      <c r="F69" s="298"/>
      <c r="G69" s="298"/>
      <c r="H69" s="298"/>
      <c r="I69" s="298"/>
      <c r="J69" s="394">
        <f>J95</f>
        <v>0</v>
      </c>
      <c r="K69" s="246"/>
      <c r="L69" s="68"/>
    </row>
    <row r="70" spans="1:47" s="2" customFormat="1" ht="21.75" customHeight="1">
      <c r="A70" s="271"/>
      <c r="B70" s="270"/>
      <c r="C70" s="271"/>
      <c r="D70" s="271"/>
      <c r="E70" s="271"/>
      <c r="F70" s="271"/>
      <c r="G70" s="271"/>
      <c r="H70" s="271"/>
      <c r="I70" s="271"/>
      <c r="J70" s="271"/>
      <c r="K70" s="271"/>
      <c r="L70" s="64"/>
      <c r="S70" s="23"/>
      <c r="T70" s="23"/>
      <c r="U70" s="23"/>
      <c r="V70" s="23"/>
      <c r="W70" s="23"/>
      <c r="X70" s="23"/>
      <c r="Y70" s="23"/>
      <c r="Z70" s="23"/>
      <c r="AA70" s="23"/>
      <c r="AB70" s="23"/>
      <c r="AC70" s="23"/>
      <c r="AD70" s="23"/>
      <c r="AE70" s="23"/>
    </row>
    <row r="71" spans="1:47" s="2" customFormat="1" ht="6.95" customHeight="1">
      <c r="A71" s="271"/>
      <c r="B71" s="286"/>
      <c r="C71" s="287"/>
      <c r="D71" s="287"/>
      <c r="E71" s="287"/>
      <c r="F71" s="287"/>
      <c r="G71" s="287"/>
      <c r="H71" s="287"/>
      <c r="I71" s="287"/>
      <c r="J71" s="287"/>
      <c r="K71" s="287"/>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1"/>
      <c r="B75" s="288"/>
      <c r="C75" s="289"/>
      <c r="D75" s="289"/>
      <c r="E75" s="289"/>
      <c r="F75" s="289"/>
      <c r="G75" s="289"/>
      <c r="H75" s="289"/>
      <c r="I75" s="289"/>
      <c r="J75" s="289"/>
      <c r="K75" s="289"/>
      <c r="L75" s="64"/>
      <c r="S75" s="23"/>
      <c r="T75" s="23"/>
      <c r="U75" s="23"/>
      <c r="V75" s="23"/>
      <c r="W75" s="23"/>
      <c r="X75" s="23"/>
      <c r="Y75" s="23"/>
      <c r="Z75" s="23"/>
      <c r="AA75" s="23"/>
      <c r="AB75" s="23"/>
      <c r="AC75" s="23"/>
      <c r="AD75" s="23"/>
      <c r="AE75" s="23"/>
    </row>
    <row r="76" spans="1:47" s="2" customFormat="1" ht="24.95" customHeight="1">
      <c r="A76" s="271"/>
      <c r="B76" s="270"/>
      <c r="C76" s="266" t="s">
        <v>201</v>
      </c>
      <c r="D76" s="271"/>
      <c r="E76" s="271"/>
      <c r="F76" s="271"/>
      <c r="G76" s="271"/>
      <c r="H76" s="271"/>
      <c r="I76" s="271"/>
      <c r="J76" s="271"/>
      <c r="K76" s="271"/>
      <c r="L76" s="64"/>
      <c r="S76" s="23"/>
      <c r="T76" s="23"/>
      <c r="U76" s="23"/>
      <c r="V76" s="23"/>
      <c r="W76" s="23"/>
      <c r="X76" s="23"/>
      <c r="Y76" s="23"/>
      <c r="Z76" s="23"/>
      <c r="AA76" s="23"/>
      <c r="AB76" s="23"/>
      <c r="AC76" s="23"/>
      <c r="AD76" s="23"/>
      <c r="AE76" s="23"/>
    </row>
    <row r="77" spans="1:47" s="2" customFormat="1" ht="6.95" customHeight="1">
      <c r="A77" s="271"/>
      <c r="B77" s="270"/>
      <c r="C77" s="271"/>
      <c r="D77" s="271"/>
      <c r="E77" s="271"/>
      <c r="F77" s="271"/>
      <c r="G77" s="271"/>
      <c r="H77" s="271"/>
      <c r="I77" s="271"/>
      <c r="J77" s="271"/>
      <c r="K77" s="271"/>
      <c r="L77" s="64"/>
      <c r="S77" s="23"/>
      <c r="T77" s="23"/>
      <c r="U77" s="23"/>
      <c r="V77" s="23"/>
      <c r="W77" s="23"/>
      <c r="X77" s="23"/>
      <c r="Y77" s="23"/>
      <c r="Z77" s="23"/>
      <c r="AA77" s="23"/>
      <c r="AB77" s="23"/>
      <c r="AC77" s="23"/>
      <c r="AD77" s="23"/>
      <c r="AE77" s="23"/>
    </row>
    <row r="78" spans="1:47" s="2" customFormat="1" ht="12" customHeight="1">
      <c r="A78" s="271"/>
      <c r="B78" s="270"/>
      <c r="C78" s="268" t="s">
        <v>15</v>
      </c>
      <c r="D78" s="271"/>
      <c r="E78" s="271"/>
      <c r="F78" s="271"/>
      <c r="G78" s="271"/>
      <c r="H78" s="271"/>
      <c r="I78" s="271"/>
      <c r="J78" s="271"/>
      <c r="K78" s="271"/>
      <c r="L78" s="64"/>
      <c r="S78" s="23"/>
      <c r="T78" s="23"/>
      <c r="U78" s="23"/>
      <c r="V78" s="23"/>
      <c r="W78" s="23"/>
      <c r="X78" s="23"/>
      <c r="Y78" s="23"/>
      <c r="Z78" s="23"/>
      <c r="AA78" s="23"/>
      <c r="AB78" s="23"/>
      <c r="AC78" s="23"/>
      <c r="AD78" s="23"/>
      <c r="AE78" s="23"/>
    </row>
    <row r="79" spans="1:47" s="2" customFormat="1" ht="14.45" customHeight="1">
      <c r="A79" s="271"/>
      <c r="B79" s="270"/>
      <c r="C79" s="271"/>
      <c r="D79" s="271"/>
      <c r="E79" s="722" t="str">
        <f>E7</f>
        <v>Úpravy gastroprovozu Úřadu vlády ČR v 1.pp Strakovy akademie</v>
      </c>
      <c r="F79" s="723"/>
      <c r="G79" s="723"/>
      <c r="H79" s="723"/>
      <c r="I79" s="271"/>
      <c r="J79" s="271"/>
      <c r="K79" s="271"/>
      <c r="L79" s="64"/>
      <c r="S79" s="23"/>
      <c r="T79" s="23"/>
      <c r="U79" s="23"/>
      <c r="V79" s="23"/>
      <c r="W79" s="23"/>
      <c r="X79" s="23"/>
      <c r="Y79" s="23"/>
      <c r="Z79" s="23"/>
      <c r="AA79" s="23"/>
      <c r="AB79" s="23"/>
      <c r="AC79" s="23"/>
      <c r="AD79" s="23"/>
      <c r="AE79" s="23"/>
    </row>
    <row r="80" spans="1:47" s="1" customFormat="1" ht="12" customHeight="1">
      <c r="A80" s="61"/>
      <c r="B80" s="265"/>
      <c r="C80" s="268" t="s">
        <v>151</v>
      </c>
      <c r="D80" s="61"/>
      <c r="E80" s="61"/>
      <c r="F80" s="61"/>
      <c r="G80" s="61"/>
      <c r="H80" s="61"/>
      <c r="I80" s="61"/>
      <c r="J80" s="61"/>
      <c r="K80" s="61"/>
      <c r="L80" s="20"/>
    </row>
    <row r="81" spans="1:65" s="1" customFormat="1" ht="14.45" customHeight="1">
      <c r="A81" s="61"/>
      <c r="B81" s="265"/>
      <c r="C81" s="61"/>
      <c r="D81" s="61"/>
      <c r="E81" s="722" t="s">
        <v>1759</v>
      </c>
      <c r="F81" s="715"/>
      <c r="G81" s="715"/>
      <c r="H81" s="715"/>
      <c r="I81" s="61"/>
      <c r="J81" s="61"/>
      <c r="K81" s="61"/>
      <c r="L81" s="20"/>
    </row>
    <row r="82" spans="1:65" s="1" customFormat="1" ht="12" customHeight="1">
      <c r="A82" s="61"/>
      <c r="B82" s="265"/>
      <c r="C82" s="268" t="s">
        <v>157</v>
      </c>
      <c r="D82" s="61"/>
      <c r="E82" s="61"/>
      <c r="F82" s="61"/>
      <c r="G82" s="61"/>
      <c r="H82" s="61"/>
      <c r="I82" s="61"/>
      <c r="J82" s="61"/>
      <c r="K82" s="61"/>
      <c r="L82" s="20"/>
    </row>
    <row r="83" spans="1:65" s="2" customFormat="1" ht="14.45" customHeight="1">
      <c r="A83" s="271"/>
      <c r="B83" s="270"/>
      <c r="C83" s="271"/>
      <c r="D83" s="271"/>
      <c r="E83" s="762" t="s">
        <v>1795</v>
      </c>
      <c r="F83" s="721"/>
      <c r="G83" s="721"/>
      <c r="H83" s="721"/>
      <c r="I83" s="271"/>
      <c r="J83" s="271"/>
      <c r="K83" s="271"/>
      <c r="L83" s="64"/>
      <c r="S83" s="23"/>
      <c r="T83" s="23"/>
      <c r="U83" s="23"/>
      <c r="V83" s="23"/>
      <c r="W83" s="23"/>
      <c r="X83" s="23"/>
      <c r="Y83" s="23"/>
      <c r="Z83" s="23"/>
      <c r="AA83" s="23"/>
      <c r="AB83" s="23"/>
      <c r="AC83" s="23"/>
      <c r="AD83" s="23"/>
      <c r="AE83" s="23"/>
    </row>
    <row r="84" spans="1:65" s="2" customFormat="1" ht="12" customHeight="1">
      <c r="A84" s="271"/>
      <c r="B84" s="270"/>
      <c r="C84" s="268" t="s">
        <v>1777</v>
      </c>
      <c r="D84" s="271"/>
      <c r="E84" s="271"/>
      <c r="F84" s="271"/>
      <c r="G84" s="271"/>
      <c r="H84" s="271"/>
      <c r="I84" s="271"/>
      <c r="J84" s="271"/>
      <c r="K84" s="271"/>
      <c r="L84" s="64"/>
      <c r="S84" s="23"/>
      <c r="T84" s="23"/>
      <c r="U84" s="23"/>
      <c r="V84" s="23"/>
      <c r="W84" s="23"/>
      <c r="X84" s="23"/>
      <c r="Y84" s="23"/>
      <c r="Z84" s="23"/>
      <c r="AA84" s="23"/>
      <c r="AB84" s="23"/>
      <c r="AC84" s="23"/>
      <c r="AD84" s="23"/>
      <c r="AE84" s="23"/>
    </row>
    <row r="85" spans="1:65" s="2" customFormat="1" ht="14.45" customHeight="1">
      <c r="A85" s="271"/>
      <c r="B85" s="270"/>
      <c r="C85" s="271"/>
      <c r="D85" s="271"/>
      <c r="E85" s="689" t="str">
        <f>E13</f>
        <v>D.1.4.06.5 - Soupis prací - Gastro demontáž TG</v>
      </c>
      <c r="F85" s="721"/>
      <c r="G85" s="721"/>
      <c r="H85" s="721"/>
      <c r="I85" s="271"/>
      <c r="J85" s="271"/>
      <c r="K85" s="271"/>
      <c r="L85" s="64"/>
      <c r="S85" s="23"/>
      <c r="T85" s="23"/>
      <c r="U85" s="23"/>
      <c r="V85" s="23"/>
      <c r="W85" s="23"/>
      <c r="X85" s="23"/>
      <c r="Y85" s="23"/>
      <c r="Z85" s="23"/>
      <c r="AA85" s="23"/>
      <c r="AB85" s="23"/>
      <c r="AC85" s="23"/>
      <c r="AD85" s="23"/>
      <c r="AE85" s="23"/>
    </row>
    <row r="86" spans="1:65" s="2" customFormat="1" ht="6.95" customHeight="1">
      <c r="A86" s="271"/>
      <c r="B86" s="270"/>
      <c r="C86" s="271"/>
      <c r="D86" s="271"/>
      <c r="E86" s="271"/>
      <c r="F86" s="271"/>
      <c r="G86" s="271"/>
      <c r="H86" s="271"/>
      <c r="I86" s="271"/>
      <c r="J86" s="271"/>
      <c r="K86" s="271"/>
      <c r="L86" s="64"/>
      <c r="S86" s="23"/>
      <c r="T86" s="23"/>
      <c r="U86" s="23"/>
      <c r="V86" s="23"/>
      <c r="W86" s="23"/>
      <c r="X86" s="23"/>
      <c r="Y86" s="23"/>
      <c r="Z86" s="23"/>
      <c r="AA86" s="23"/>
      <c r="AB86" s="23"/>
      <c r="AC86" s="23"/>
      <c r="AD86" s="23"/>
      <c r="AE86" s="23"/>
    </row>
    <row r="87" spans="1:65" s="2" customFormat="1" ht="12" customHeight="1">
      <c r="A87" s="271"/>
      <c r="B87" s="270"/>
      <c r="C87" s="268" t="s">
        <v>19</v>
      </c>
      <c r="D87" s="271"/>
      <c r="E87" s="271"/>
      <c r="F87" s="273" t="str">
        <f>F16</f>
        <v xml:space="preserve"> </v>
      </c>
      <c r="G87" s="271"/>
      <c r="H87" s="271"/>
      <c r="I87" s="268" t="s">
        <v>21</v>
      </c>
      <c r="J87" s="387">
        <f>IF(J16="","",J16)</f>
        <v>44077</v>
      </c>
      <c r="K87" s="271"/>
      <c r="L87" s="64"/>
      <c r="S87" s="23"/>
      <c r="T87" s="23"/>
      <c r="U87" s="23"/>
      <c r="V87" s="23"/>
      <c r="W87" s="23"/>
      <c r="X87" s="23"/>
      <c r="Y87" s="23"/>
      <c r="Z87" s="23"/>
      <c r="AA87" s="23"/>
      <c r="AB87" s="23"/>
      <c r="AC87" s="23"/>
      <c r="AD87" s="23"/>
      <c r="AE87" s="23"/>
    </row>
    <row r="88" spans="1:65" s="2" customFormat="1" ht="6.95" customHeight="1">
      <c r="A88" s="271"/>
      <c r="B88" s="270"/>
      <c r="C88" s="271"/>
      <c r="D88" s="271"/>
      <c r="E88" s="271"/>
      <c r="F88" s="271"/>
      <c r="G88" s="271"/>
      <c r="H88" s="271"/>
      <c r="I88" s="271"/>
      <c r="J88" s="271"/>
      <c r="K88" s="271"/>
      <c r="L88" s="64"/>
      <c r="S88" s="23"/>
      <c r="T88" s="23"/>
      <c r="U88" s="23"/>
      <c r="V88" s="23"/>
      <c r="W88" s="23"/>
      <c r="X88" s="23"/>
      <c r="Y88" s="23"/>
      <c r="Z88" s="23"/>
      <c r="AA88" s="23"/>
      <c r="AB88" s="23"/>
      <c r="AC88" s="23"/>
      <c r="AD88" s="23"/>
      <c r="AE88" s="23"/>
    </row>
    <row r="89" spans="1:65" s="2" customFormat="1" ht="26.45" customHeight="1">
      <c r="A89" s="271"/>
      <c r="B89" s="270"/>
      <c r="C89" s="268" t="s">
        <v>22</v>
      </c>
      <c r="D89" s="271"/>
      <c r="E89" s="271"/>
      <c r="F89" s="273" t="str">
        <f>E19</f>
        <v xml:space="preserve">Úřad vlády České republiky </v>
      </c>
      <c r="G89" s="271"/>
      <c r="H89" s="271"/>
      <c r="I89" s="268" t="s">
        <v>28</v>
      </c>
      <c r="J89" s="391" t="str">
        <f>E25</f>
        <v>Ateliér Simona Group</v>
      </c>
      <c r="K89" s="271"/>
      <c r="L89" s="64"/>
      <c r="S89" s="23"/>
      <c r="T89" s="23"/>
      <c r="U89" s="23"/>
      <c r="V89" s="23"/>
      <c r="W89" s="23"/>
      <c r="X89" s="23"/>
      <c r="Y89" s="23"/>
      <c r="Z89" s="23"/>
      <c r="AA89" s="23"/>
      <c r="AB89" s="23"/>
      <c r="AC89" s="23"/>
      <c r="AD89" s="23"/>
      <c r="AE89" s="23"/>
    </row>
    <row r="90" spans="1:65" s="2" customFormat="1" ht="26.45" customHeight="1">
      <c r="A90" s="271"/>
      <c r="B90" s="270"/>
      <c r="C90" s="268" t="s">
        <v>26</v>
      </c>
      <c r="D90" s="271"/>
      <c r="E90" s="271"/>
      <c r="F90" s="273" t="str">
        <f>IF(E22="","",E22)</f>
        <v xml:space="preserve"> </v>
      </c>
      <c r="G90" s="271"/>
      <c r="H90" s="271"/>
      <c r="I90" s="268" t="s">
        <v>31</v>
      </c>
      <c r="J90" s="391" t="str">
        <f>E28</f>
        <v>Ateliér Simona Group</v>
      </c>
      <c r="K90" s="271"/>
      <c r="L90" s="64"/>
      <c r="S90" s="23"/>
      <c r="T90" s="23"/>
      <c r="U90" s="23"/>
      <c r="V90" s="23"/>
      <c r="W90" s="23"/>
      <c r="X90" s="23"/>
      <c r="Y90" s="23"/>
      <c r="Z90" s="23"/>
      <c r="AA90" s="23"/>
      <c r="AB90" s="23"/>
      <c r="AC90" s="23"/>
      <c r="AD90" s="23"/>
      <c r="AE90" s="23"/>
    </row>
    <row r="91" spans="1:65" s="2" customFormat="1" ht="10.35" customHeight="1">
      <c r="A91" s="271"/>
      <c r="B91" s="270"/>
      <c r="C91" s="271"/>
      <c r="D91" s="271"/>
      <c r="E91" s="271"/>
      <c r="F91" s="271"/>
      <c r="G91" s="271"/>
      <c r="H91" s="271"/>
      <c r="I91" s="271"/>
      <c r="J91" s="271"/>
      <c r="K91" s="271"/>
      <c r="L91" s="64"/>
      <c r="S91" s="23"/>
      <c r="T91" s="23"/>
      <c r="U91" s="23"/>
      <c r="V91" s="23"/>
      <c r="W91" s="23"/>
      <c r="X91" s="23"/>
      <c r="Y91" s="23"/>
      <c r="Z91" s="23"/>
      <c r="AA91" s="23"/>
      <c r="AB91" s="23"/>
      <c r="AC91" s="23"/>
      <c r="AD91" s="23"/>
      <c r="AE91" s="23"/>
    </row>
    <row r="92" spans="1:65" s="11" customFormat="1" ht="29.25" customHeight="1">
      <c r="A92" s="299"/>
      <c r="B92" s="300"/>
      <c r="C92" s="301" t="s">
        <v>202</v>
      </c>
      <c r="D92" s="302" t="s">
        <v>53</v>
      </c>
      <c r="E92" s="302" t="s">
        <v>49</v>
      </c>
      <c r="F92" s="302" t="s">
        <v>50</v>
      </c>
      <c r="G92" s="302" t="s">
        <v>203</v>
      </c>
      <c r="H92" s="302" t="s">
        <v>204</v>
      </c>
      <c r="I92" s="302" t="s">
        <v>205</v>
      </c>
      <c r="J92" s="302" t="s">
        <v>169</v>
      </c>
      <c r="K92" s="340" t="s">
        <v>206</v>
      </c>
      <c r="L92" s="70"/>
      <c r="M92" s="34" t="s">
        <v>3</v>
      </c>
      <c r="N92" s="35" t="s">
        <v>38</v>
      </c>
      <c r="O92" s="35" t="s">
        <v>207</v>
      </c>
      <c r="P92" s="35" t="s">
        <v>208</v>
      </c>
      <c r="Q92" s="35" t="s">
        <v>209</v>
      </c>
      <c r="R92" s="35" t="s">
        <v>210</v>
      </c>
      <c r="S92" s="35" t="s">
        <v>211</v>
      </c>
      <c r="T92" s="36" t="s">
        <v>212</v>
      </c>
      <c r="U92" s="69"/>
      <c r="V92" s="69"/>
      <c r="W92" s="69"/>
      <c r="X92" s="69"/>
      <c r="Y92" s="69"/>
      <c r="Z92" s="69"/>
      <c r="AA92" s="69"/>
      <c r="AB92" s="69"/>
      <c r="AC92" s="69"/>
      <c r="AD92" s="69"/>
      <c r="AE92" s="69"/>
    </row>
    <row r="93" spans="1:65" s="2" customFormat="1" ht="22.9" customHeight="1">
      <c r="A93" s="271"/>
      <c r="B93" s="270"/>
      <c r="C93" s="243" t="s">
        <v>213</v>
      </c>
      <c r="D93" s="271"/>
      <c r="E93" s="271"/>
      <c r="F93" s="271"/>
      <c r="G93" s="271"/>
      <c r="H93" s="271"/>
      <c r="I93" s="271"/>
      <c r="J93" s="410">
        <f>BK93</f>
        <v>0</v>
      </c>
      <c r="K93" s="271"/>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170</v>
      </c>
      <c r="BK93" s="73">
        <f>BK94</f>
        <v>0</v>
      </c>
    </row>
    <row r="94" spans="1:65" s="12" customFormat="1" ht="25.9" customHeight="1">
      <c r="A94" s="303"/>
      <c r="B94" s="304"/>
      <c r="C94" s="303"/>
      <c r="D94" s="305" t="s">
        <v>67</v>
      </c>
      <c r="E94" s="306" t="s">
        <v>895</v>
      </c>
      <c r="F94" s="306" t="s">
        <v>896</v>
      </c>
      <c r="G94" s="303"/>
      <c r="H94" s="303"/>
      <c r="I94" s="303"/>
      <c r="J94" s="411">
        <f>BK94</f>
        <v>0</v>
      </c>
      <c r="K94" s="303"/>
      <c r="L94" s="74"/>
      <c r="M94" s="76"/>
      <c r="N94" s="77"/>
      <c r="O94" s="77"/>
      <c r="P94" s="78">
        <f>P95</f>
        <v>0</v>
      </c>
      <c r="Q94" s="77"/>
      <c r="R94" s="78">
        <f>R95</f>
        <v>0</v>
      </c>
      <c r="S94" s="77"/>
      <c r="T94" s="79">
        <f>T95</f>
        <v>0</v>
      </c>
      <c r="AR94" s="75" t="s">
        <v>77</v>
      </c>
      <c r="AT94" s="80" t="s">
        <v>67</v>
      </c>
      <c r="AU94" s="80" t="s">
        <v>68</v>
      </c>
      <c r="AY94" s="75" t="s">
        <v>216</v>
      </c>
      <c r="BK94" s="81">
        <f>BK95</f>
        <v>0</v>
      </c>
    </row>
    <row r="95" spans="1:65" s="12" customFormat="1" ht="22.9" customHeight="1">
      <c r="A95" s="303"/>
      <c r="B95" s="304"/>
      <c r="C95" s="303"/>
      <c r="D95" s="305" t="s">
        <v>67</v>
      </c>
      <c r="E95" s="307" t="s">
        <v>1655</v>
      </c>
      <c r="F95" s="307" t="s">
        <v>1656</v>
      </c>
      <c r="G95" s="303"/>
      <c r="H95" s="303"/>
      <c r="I95" s="303"/>
      <c r="J95" s="412">
        <f>BK95</f>
        <v>0</v>
      </c>
      <c r="K95" s="303"/>
      <c r="L95" s="74"/>
      <c r="M95" s="76"/>
      <c r="N95" s="77"/>
      <c r="O95" s="77"/>
      <c r="P95" s="78">
        <f>P96</f>
        <v>0</v>
      </c>
      <c r="Q95" s="77"/>
      <c r="R95" s="78">
        <f>R96</f>
        <v>0</v>
      </c>
      <c r="S95" s="77"/>
      <c r="T95" s="79">
        <f>T96</f>
        <v>0</v>
      </c>
      <c r="AR95" s="75" t="s">
        <v>77</v>
      </c>
      <c r="AT95" s="80" t="s">
        <v>67</v>
      </c>
      <c r="AU95" s="80" t="s">
        <v>75</v>
      </c>
      <c r="AY95" s="75" t="s">
        <v>216</v>
      </c>
      <c r="BK95" s="81">
        <f>BK96</f>
        <v>0</v>
      </c>
    </row>
    <row r="96" spans="1:65" s="2" customFormat="1" ht="14.45" customHeight="1">
      <c r="A96" s="271"/>
      <c r="B96" s="270"/>
      <c r="C96" s="308" t="s">
        <v>75</v>
      </c>
      <c r="D96" s="308" t="s">
        <v>218</v>
      </c>
      <c r="E96" s="309" t="s">
        <v>1810</v>
      </c>
      <c r="F96" s="310" t="s">
        <v>3378</v>
      </c>
      <c r="G96" s="311" t="s">
        <v>1766</v>
      </c>
      <c r="H96" s="312">
        <v>1</v>
      </c>
      <c r="I96" s="413">
        <f>'G-DEM TG'!G43</f>
        <v>0</v>
      </c>
      <c r="J96" s="413">
        <f>ROUND(I96*H96,2)</f>
        <v>0</v>
      </c>
      <c r="K96" s="310"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305</v>
      </c>
      <c r="AT96" s="87" t="s">
        <v>218</v>
      </c>
      <c r="AU96" s="87" t="s">
        <v>77</v>
      </c>
      <c r="AY96" s="19" t="s">
        <v>216</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305</v>
      </c>
      <c r="BM96" s="87" t="s">
        <v>1811</v>
      </c>
    </row>
    <row r="97" spans="1:31" s="2" customFormat="1" ht="6.95" customHeight="1">
      <c r="A97" s="271"/>
      <c r="B97" s="286"/>
      <c r="C97" s="287"/>
      <c r="D97" s="287"/>
      <c r="E97" s="287"/>
      <c r="F97" s="287"/>
      <c r="G97" s="287"/>
      <c r="H97" s="287"/>
      <c r="I97" s="287"/>
      <c r="J97" s="287"/>
      <c r="K97" s="287"/>
      <c r="L97" s="24"/>
      <c r="M97" s="23"/>
      <c r="O97" s="23"/>
      <c r="P97" s="23"/>
      <c r="Q97" s="23"/>
      <c r="R97" s="23"/>
      <c r="S97" s="23"/>
      <c r="T97" s="23"/>
      <c r="U97" s="23"/>
      <c r="V97" s="23"/>
      <c r="W97" s="23"/>
      <c r="X97" s="23"/>
      <c r="Y97" s="23"/>
      <c r="Z97" s="23"/>
      <c r="AA97" s="23"/>
      <c r="AB97" s="23"/>
      <c r="AC97" s="23"/>
      <c r="AD97" s="23"/>
      <c r="AE97" s="23"/>
    </row>
  </sheetData>
  <sheetProtection password="CAB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44"/>
  <sheetViews>
    <sheetView view="pageBreakPreview" zoomScaleSheetLayoutView="100" workbookViewId="0">
      <selection activeCell="H30" sqref="H30"/>
    </sheetView>
  </sheetViews>
  <sheetFormatPr defaultColWidth="13.33203125" defaultRowHeight="15"/>
  <cols>
    <col min="1" max="1" width="5.83203125" style="234" customWidth="1"/>
    <col min="2" max="2" width="15.83203125" style="233" customWidth="1"/>
    <col min="3" max="3" width="59.1640625" style="233" customWidth="1"/>
    <col min="4" max="4" width="18" style="233" customWidth="1"/>
    <col min="5" max="5" width="13.83203125" style="241" bestFit="1" customWidth="1"/>
    <col min="6" max="6" width="13.33203125" style="234"/>
    <col min="7" max="7" width="15" style="234" bestFit="1" customWidth="1"/>
    <col min="8" max="8" width="13.33203125" style="234"/>
    <col min="9" max="9" width="15" style="234" bestFit="1" customWidth="1"/>
    <col min="10" max="256" width="13.33203125" style="233"/>
    <col min="257" max="257" width="5.83203125" style="233" customWidth="1"/>
    <col min="258" max="258" width="15.83203125" style="233" customWidth="1"/>
    <col min="259" max="259" width="59.1640625" style="233" customWidth="1"/>
    <col min="260" max="260" width="18" style="233" customWidth="1"/>
    <col min="261" max="512" width="13.33203125" style="233"/>
    <col min="513" max="513" width="5.83203125" style="233" customWidth="1"/>
    <col min="514" max="514" width="15.83203125" style="233" customWidth="1"/>
    <col min="515" max="515" width="59.1640625" style="233" customWidth="1"/>
    <col min="516" max="516" width="18" style="233" customWidth="1"/>
    <col min="517" max="768" width="13.33203125" style="233"/>
    <col min="769" max="769" width="5.83203125" style="233" customWidth="1"/>
    <col min="770" max="770" width="15.83203125" style="233" customWidth="1"/>
    <col min="771" max="771" width="59.1640625" style="233" customWidth="1"/>
    <col min="772" max="772" width="18" style="233" customWidth="1"/>
    <col min="773" max="1024" width="13.33203125" style="233"/>
    <col min="1025" max="1025" width="5.83203125" style="233" customWidth="1"/>
    <col min="1026" max="1026" width="15.83203125" style="233" customWidth="1"/>
    <col min="1027" max="1027" width="59.1640625" style="233" customWidth="1"/>
    <col min="1028" max="1028" width="18" style="233" customWidth="1"/>
    <col min="1029" max="1280" width="13.33203125" style="233"/>
    <col min="1281" max="1281" width="5.83203125" style="233" customWidth="1"/>
    <col min="1282" max="1282" width="15.83203125" style="233" customWidth="1"/>
    <col min="1283" max="1283" width="59.1640625" style="233" customWidth="1"/>
    <col min="1284" max="1284" width="18" style="233" customWidth="1"/>
    <col min="1285" max="1536" width="13.33203125" style="233"/>
    <col min="1537" max="1537" width="5.83203125" style="233" customWidth="1"/>
    <col min="1538" max="1538" width="15.83203125" style="233" customWidth="1"/>
    <col min="1539" max="1539" width="59.1640625" style="233" customWidth="1"/>
    <col min="1540" max="1540" width="18" style="233" customWidth="1"/>
    <col min="1541" max="1792" width="13.33203125" style="233"/>
    <col min="1793" max="1793" width="5.83203125" style="233" customWidth="1"/>
    <col min="1794" max="1794" width="15.83203125" style="233" customWidth="1"/>
    <col min="1795" max="1795" width="59.1640625" style="233" customWidth="1"/>
    <col min="1796" max="1796" width="18" style="233" customWidth="1"/>
    <col min="1797" max="2048" width="13.33203125" style="233"/>
    <col min="2049" max="2049" width="5.83203125" style="233" customWidth="1"/>
    <col min="2050" max="2050" width="15.83203125" style="233" customWidth="1"/>
    <col min="2051" max="2051" width="59.1640625" style="233" customWidth="1"/>
    <col min="2052" max="2052" width="18" style="233" customWidth="1"/>
    <col min="2053" max="2304" width="13.33203125" style="233"/>
    <col min="2305" max="2305" width="5.83203125" style="233" customWidth="1"/>
    <col min="2306" max="2306" width="15.83203125" style="233" customWidth="1"/>
    <col min="2307" max="2307" width="59.1640625" style="233" customWidth="1"/>
    <col min="2308" max="2308" width="18" style="233" customWidth="1"/>
    <col min="2309" max="2560" width="13.33203125" style="233"/>
    <col min="2561" max="2561" width="5.83203125" style="233" customWidth="1"/>
    <col min="2562" max="2562" width="15.83203125" style="233" customWidth="1"/>
    <col min="2563" max="2563" width="59.1640625" style="233" customWidth="1"/>
    <col min="2564" max="2564" width="18" style="233" customWidth="1"/>
    <col min="2565" max="2816" width="13.33203125" style="233"/>
    <col min="2817" max="2817" width="5.83203125" style="233" customWidth="1"/>
    <col min="2818" max="2818" width="15.83203125" style="233" customWidth="1"/>
    <col min="2819" max="2819" width="59.1640625" style="233" customWidth="1"/>
    <col min="2820" max="2820" width="18" style="233" customWidth="1"/>
    <col min="2821" max="3072" width="13.33203125" style="233"/>
    <col min="3073" max="3073" width="5.83203125" style="233" customWidth="1"/>
    <col min="3074" max="3074" width="15.83203125" style="233" customWidth="1"/>
    <col min="3075" max="3075" width="59.1640625" style="233" customWidth="1"/>
    <col min="3076" max="3076" width="18" style="233" customWidth="1"/>
    <col min="3077" max="3328" width="13.33203125" style="233"/>
    <col min="3329" max="3329" width="5.83203125" style="233" customWidth="1"/>
    <col min="3330" max="3330" width="15.83203125" style="233" customWidth="1"/>
    <col min="3331" max="3331" width="59.1640625" style="233" customWidth="1"/>
    <col min="3332" max="3332" width="18" style="233" customWidth="1"/>
    <col min="3333" max="3584" width="13.33203125" style="233"/>
    <col min="3585" max="3585" width="5.83203125" style="233" customWidth="1"/>
    <col min="3586" max="3586" width="15.83203125" style="233" customWidth="1"/>
    <col min="3587" max="3587" width="59.1640625" style="233" customWidth="1"/>
    <col min="3588" max="3588" width="18" style="233" customWidth="1"/>
    <col min="3589" max="3840" width="13.33203125" style="233"/>
    <col min="3841" max="3841" width="5.83203125" style="233" customWidth="1"/>
    <col min="3842" max="3842" width="15.83203125" style="233" customWidth="1"/>
    <col min="3843" max="3843" width="59.1640625" style="233" customWidth="1"/>
    <col min="3844" max="3844" width="18" style="233" customWidth="1"/>
    <col min="3845" max="4096" width="13.33203125" style="233"/>
    <col min="4097" max="4097" width="5.83203125" style="233" customWidth="1"/>
    <col min="4098" max="4098" width="15.83203125" style="233" customWidth="1"/>
    <col min="4099" max="4099" width="59.1640625" style="233" customWidth="1"/>
    <col min="4100" max="4100" width="18" style="233" customWidth="1"/>
    <col min="4101" max="4352" width="13.33203125" style="233"/>
    <col min="4353" max="4353" width="5.83203125" style="233" customWidth="1"/>
    <col min="4354" max="4354" width="15.83203125" style="233" customWidth="1"/>
    <col min="4355" max="4355" width="59.1640625" style="233" customWidth="1"/>
    <col min="4356" max="4356" width="18" style="233" customWidth="1"/>
    <col min="4357" max="4608" width="13.33203125" style="233"/>
    <col min="4609" max="4609" width="5.83203125" style="233" customWidth="1"/>
    <col min="4610" max="4610" width="15.83203125" style="233" customWidth="1"/>
    <col min="4611" max="4611" width="59.1640625" style="233" customWidth="1"/>
    <col min="4612" max="4612" width="18" style="233" customWidth="1"/>
    <col min="4613" max="4864" width="13.33203125" style="233"/>
    <col min="4865" max="4865" width="5.83203125" style="233" customWidth="1"/>
    <col min="4866" max="4866" width="15.83203125" style="233" customWidth="1"/>
    <col min="4867" max="4867" width="59.1640625" style="233" customWidth="1"/>
    <col min="4868" max="4868" width="18" style="233" customWidth="1"/>
    <col min="4869" max="5120" width="13.33203125" style="233"/>
    <col min="5121" max="5121" width="5.83203125" style="233" customWidth="1"/>
    <col min="5122" max="5122" width="15.83203125" style="233" customWidth="1"/>
    <col min="5123" max="5123" width="59.1640625" style="233" customWidth="1"/>
    <col min="5124" max="5124" width="18" style="233" customWidth="1"/>
    <col min="5125" max="5376" width="13.33203125" style="233"/>
    <col min="5377" max="5377" width="5.83203125" style="233" customWidth="1"/>
    <col min="5378" max="5378" width="15.83203125" style="233" customWidth="1"/>
    <col min="5379" max="5379" width="59.1640625" style="233" customWidth="1"/>
    <col min="5380" max="5380" width="18" style="233" customWidth="1"/>
    <col min="5381" max="5632" width="13.33203125" style="233"/>
    <col min="5633" max="5633" width="5.83203125" style="233" customWidth="1"/>
    <col min="5634" max="5634" width="15.83203125" style="233" customWidth="1"/>
    <col min="5635" max="5635" width="59.1640625" style="233" customWidth="1"/>
    <col min="5636" max="5636" width="18" style="233" customWidth="1"/>
    <col min="5637" max="5888" width="13.33203125" style="233"/>
    <col min="5889" max="5889" width="5.83203125" style="233" customWidth="1"/>
    <col min="5890" max="5890" width="15.83203125" style="233" customWidth="1"/>
    <col min="5891" max="5891" width="59.1640625" style="233" customWidth="1"/>
    <col min="5892" max="5892" width="18" style="233" customWidth="1"/>
    <col min="5893" max="6144" width="13.33203125" style="233"/>
    <col min="6145" max="6145" width="5.83203125" style="233" customWidth="1"/>
    <col min="6146" max="6146" width="15.83203125" style="233" customWidth="1"/>
    <col min="6147" max="6147" width="59.1640625" style="233" customWidth="1"/>
    <col min="6148" max="6148" width="18" style="233" customWidth="1"/>
    <col min="6149" max="6400" width="13.33203125" style="233"/>
    <col min="6401" max="6401" width="5.83203125" style="233" customWidth="1"/>
    <col min="6402" max="6402" width="15.83203125" style="233" customWidth="1"/>
    <col min="6403" max="6403" width="59.1640625" style="233" customWidth="1"/>
    <col min="6404" max="6404" width="18" style="233" customWidth="1"/>
    <col min="6405" max="6656" width="13.33203125" style="233"/>
    <col min="6657" max="6657" width="5.83203125" style="233" customWidth="1"/>
    <col min="6658" max="6658" width="15.83203125" style="233" customWidth="1"/>
    <col min="6659" max="6659" width="59.1640625" style="233" customWidth="1"/>
    <col min="6660" max="6660" width="18" style="233" customWidth="1"/>
    <col min="6661" max="6912" width="13.33203125" style="233"/>
    <col min="6913" max="6913" width="5.83203125" style="233" customWidth="1"/>
    <col min="6914" max="6914" width="15.83203125" style="233" customWidth="1"/>
    <col min="6915" max="6915" width="59.1640625" style="233" customWidth="1"/>
    <col min="6916" max="6916" width="18" style="233" customWidth="1"/>
    <col min="6917" max="7168" width="13.33203125" style="233"/>
    <col min="7169" max="7169" width="5.83203125" style="233" customWidth="1"/>
    <col min="7170" max="7170" width="15.83203125" style="233" customWidth="1"/>
    <col min="7171" max="7171" width="59.1640625" style="233" customWidth="1"/>
    <col min="7172" max="7172" width="18" style="233" customWidth="1"/>
    <col min="7173" max="7424" width="13.33203125" style="233"/>
    <col min="7425" max="7425" width="5.83203125" style="233" customWidth="1"/>
    <col min="7426" max="7426" width="15.83203125" style="233" customWidth="1"/>
    <col min="7427" max="7427" width="59.1640625" style="233" customWidth="1"/>
    <col min="7428" max="7428" width="18" style="233" customWidth="1"/>
    <col min="7429" max="7680" width="13.33203125" style="233"/>
    <col min="7681" max="7681" width="5.83203125" style="233" customWidth="1"/>
    <col min="7682" max="7682" width="15.83203125" style="233" customWidth="1"/>
    <col min="7683" max="7683" width="59.1640625" style="233" customWidth="1"/>
    <col min="7684" max="7684" width="18" style="233" customWidth="1"/>
    <col min="7685" max="7936" width="13.33203125" style="233"/>
    <col min="7937" max="7937" width="5.83203125" style="233" customWidth="1"/>
    <col min="7938" max="7938" width="15.83203125" style="233" customWidth="1"/>
    <col min="7939" max="7939" width="59.1640625" style="233" customWidth="1"/>
    <col min="7940" max="7940" width="18" style="233" customWidth="1"/>
    <col min="7941" max="8192" width="13.33203125" style="233"/>
    <col min="8193" max="8193" width="5.83203125" style="233" customWidth="1"/>
    <col min="8194" max="8194" width="15.83203125" style="233" customWidth="1"/>
    <col min="8195" max="8195" width="59.1640625" style="233" customWidth="1"/>
    <col min="8196" max="8196" width="18" style="233" customWidth="1"/>
    <col min="8197" max="8448" width="13.33203125" style="233"/>
    <col min="8449" max="8449" width="5.83203125" style="233" customWidth="1"/>
    <col min="8450" max="8450" width="15.83203125" style="233" customWidth="1"/>
    <col min="8451" max="8451" width="59.1640625" style="233" customWidth="1"/>
    <col min="8452" max="8452" width="18" style="233" customWidth="1"/>
    <col min="8453" max="8704" width="13.33203125" style="233"/>
    <col min="8705" max="8705" width="5.83203125" style="233" customWidth="1"/>
    <col min="8706" max="8706" width="15.83203125" style="233" customWidth="1"/>
    <col min="8707" max="8707" width="59.1640625" style="233" customWidth="1"/>
    <col min="8708" max="8708" width="18" style="233" customWidth="1"/>
    <col min="8709" max="8960" width="13.33203125" style="233"/>
    <col min="8961" max="8961" width="5.83203125" style="233" customWidth="1"/>
    <col min="8962" max="8962" width="15.83203125" style="233" customWidth="1"/>
    <col min="8963" max="8963" width="59.1640625" style="233" customWidth="1"/>
    <col min="8964" max="8964" width="18" style="233" customWidth="1"/>
    <col min="8965" max="9216" width="13.33203125" style="233"/>
    <col min="9217" max="9217" width="5.83203125" style="233" customWidth="1"/>
    <col min="9218" max="9218" width="15.83203125" style="233" customWidth="1"/>
    <col min="9219" max="9219" width="59.1640625" style="233" customWidth="1"/>
    <col min="9220" max="9220" width="18" style="233" customWidth="1"/>
    <col min="9221" max="9472" width="13.33203125" style="233"/>
    <col min="9473" max="9473" width="5.83203125" style="233" customWidth="1"/>
    <col min="9474" max="9474" width="15.83203125" style="233" customWidth="1"/>
    <col min="9475" max="9475" width="59.1640625" style="233" customWidth="1"/>
    <col min="9476" max="9476" width="18" style="233" customWidth="1"/>
    <col min="9477" max="9728" width="13.33203125" style="233"/>
    <col min="9729" max="9729" width="5.83203125" style="233" customWidth="1"/>
    <col min="9730" max="9730" width="15.83203125" style="233" customWidth="1"/>
    <col min="9731" max="9731" width="59.1640625" style="233" customWidth="1"/>
    <col min="9732" max="9732" width="18" style="233" customWidth="1"/>
    <col min="9733" max="9984" width="13.33203125" style="233"/>
    <col min="9985" max="9985" width="5.83203125" style="233" customWidth="1"/>
    <col min="9986" max="9986" width="15.83203125" style="233" customWidth="1"/>
    <col min="9987" max="9987" width="59.1640625" style="233" customWidth="1"/>
    <col min="9988" max="9988" width="18" style="233" customWidth="1"/>
    <col min="9989" max="10240" width="13.33203125" style="233"/>
    <col min="10241" max="10241" width="5.83203125" style="233" customWidth="1"/>
    <col min="10242" max="10242" width="15.83203125" style="233" customWidth="1"/>
    <col min="10243" max="10243" width="59.1640625" style="233" customWidth="1"/>
    <col min="10244" max="10244" width="18" style="233" customWidth="1"/>
    <col min="10245" max="10496" width="13.33203125" style="233"/>
    <col min="10497" max="10497" width="5.83203125" style="233" customWidth="1"/>
    <col min="10498" max="10498" width="15.83203125" style="233" customWidth="1"/>
    <col min="10499" max="10499" width="59.1640625" style="233" customWidth="1"/>
    <col min="10500" max="10500" width="18" style="233" customWidth="1"/>
    <col min="10501" max="10752" width="13.33203125" style="233"/>
    <col min="10753" max="10753" width="5.83203125" style="233" customWidth="1"/>
    <col min="10754" max="10754" width="15.83203125" style="233" customWidth="1"/>
    <col min="10755" max="10755" width="59.1640625" style="233" customWidth="1"/>
    <col min="10756" max="10756" width="18" style="233" customWidth="1"/>
    <col min="10757" max="11008" width="13.33203125" style="233"/>
    <col min="11009" max="11009" width="5.83203125" style="233" customWidth="1"/>
    <col min="11010" max="11010" width="15.83203125" style="233" customWidth="1"/>
    <col min="11011" max="11011" width="59.1640625" style="233" customWidth="1"/>
    <col min="11012" max="11012" width="18" style="233" customWidth="1"/>
    <col min="11013" max="11264" width="13.33203125" style="233"/>
    <col min="11265" max="11265" width="5.83203125" style="233" customWidth="1"/>
    <col min="11266" max="11266" width="15.83203125" style="233" customWidth="1"/>
    <col min="11267" max="11267" width="59.1640625" style="233" customWidth="1"/>
    <col min="11268" max="11268" width="18" style="233" customWidth="1"/>
    <col min="11269" max="11520" width="13.33203125" style="233"/>
    <col min="11521" max="11521" width="5.83203125" style="233" customWidth="1"/>
    <col min="11522" max="11522" width="15.83203125" style="233" customWidth="1"/>
    <col min="11523" max="11523" width="59.1640625" style="233" customWidth="1"/>
    <col min="11524" max="11524" width="18" style="233" customWidth="1"/>
    <col min="11525" max="11776" width="13.33203125" style="233"/>
    <col min="11777" max="11777" width="5.83203125" style="233" customWidth="1"/>
    <col min="11778" max="11778" width="15.83203125" style="233" customWidth="1"/>
    <col min="11779" max="11779" width="59.1640625" style="233" customWidth="1"/>
    <col min="11780" max="11780" width="18" style="233" customWidth="1"/>
    <col min="11781" max="12032" width="13.33203125" style="233"/>
    <col min="12033" max="12033" width="5.83203125" style="233" customWidth="1"/>
    <col min="12034" max="12034" width="15.83203125" style="233" customWidth="1"/>
    <col min="12035" max="12035" width="59.1640625" style="233" customWidth="1"/>
    <col min="12036" max="12036" width="18" style="233" customWidth="1"/>
    <col min="12037" max="12288" width="13.33203125" style="233"/>
    <col min="12289" max="12289" width="5.83203125" style="233" customWidth="1"/>
    <col min="12290" max="12290" width="15.83203125" style="233" customWidth="1"/>
    <col min="12291" max="12291" width="59.1640625" style="233" customWidth="1"/>
    <col min="12292" max="12292" width="18" style="233" customWidth="1"/>
    <col min="12293" max="12544" width="13.33203125" style="233"/>
    <col min="12545" max="12545" width="5.83203125" style="233" customWidth="1"/>
    <col min="12546" max="12546" width="15.83203125" style="233" customWidth="1"/>
    <col min="12547" max="12547" width="59.1640625" style="233" customWidth="1"/>
    <col min="12548" max="12548" width="18" style="233" customWidth="1"/>
    <col min="12549" max="12800" width="13.33203125" style="233"/>
    <col min="12801" max="12801" width="5.83203125" style="233" customWidth="1"/>
    <col min="12802" max="12802" width="15.83203125" style="233" customWidth="1"/>
    <col min="12803" max="12803" width="59.1640625" style="233" customWidth="1"/>
    <col min="12804" max="12804" width="18" style="233" customWidth="1"/>
    <col min="12805" max="13056" width="13.33203125" style="233"/>
    <col min="13057" max="13057" width="5.83203125" style="233" customWidth="1"/>
    <col min="13058" max="13058" width="15.83203125" style="233" customWidth="1"/>
    <col min="13059" max="13059" width="59.1640625" style="233" customWidth="1"/>
    <col min="13060" max="13060" width="18" style="233" customWidth="1"/>
    <col min="13061" max="13312" width="13.33203125" style="233"/>
    <col min="13313" max="13313" width="5.83203125" style="233" customWidth="1"/>
    <col min="13314" max="13314" width="15.83203125" style="233" customWidth="1"/>
    <col min="13315" max="13315" width="59.1640625" style="233" customWidth="1"/>
    <col min="13316" max="13316" width="18" style="233" customWidth="1"/>
    <col min="13317" max="13568" width="13.33203125" style="233"/>
    <col min="13569" max="13569" width="5.83203125" style="233" customWidth="1"/>
    <col min="13570" max="13570" width="15.83203125" style="233" customWidth="1"/>
    <col min="13571" max="13571" width="59.1640625" style="233" customWidth="1"/>
    <col min="13572" max="13572" width="18" style="233" customWidth="1"/>
    <col min="13573" max="13824" width="13.33203125" style="233"/>
    <col min="13825" max="13825" width="5.83203125" style="233" customWidth="1"/>
    <col min="13826" max="13826" width="15.83203125" style="233" customWidth="1"/>
    <col min="13827" max="13827" width="59.1640625" style="233" customWidth="1"/>
    <col min="13828" max="13828" width="18" style="233" customWidth="1"/>
    <col min="13829" max="14080" width="13.33203125" style="233"/>
    <col min="14081" max="14081" width="5.83203125" style="233" customWidth="1"/>
    <col min="14082" max="14082" width="15.83203125" style="233" customWidth="1"/>
    <col min="14083" max="14083" width="59.1640625" style="233" customWidth="1"/>
    <col min="14084" max="14084" width="18" style="233" customWidth="1"/>
    <col min="14085" max="14336" width="13.33203125" style="233"/>
    <col min="14337" max="14337" width="5.83203125" style="233" customWidth="1"/>
    <col min="14338" max="14338" width="15.83203125" style="233" customWidth="1"/>
    <col min="14339" max="14339" width="59.1640625" style="233" customWidth="1"/>
    <col min="14340" max="14340" width="18" style="233" customWidth="1"/>
    <col min="14341" max="14592" width="13.33203125" style="233"/>
    <col min="14593" max="14593" width="5.83203125" style="233" customWidth="1"/>
    <col min="14594" max="14594" width="15.83203125" style="233" customWidth="1"/>
    <col min="14595" max="14595" width="59.1640625" style="233" customWidth="1"/>
    <col min="14596" max="14596" width="18" style="233" customWidth="1"/>
    <col min="14597" max="14848" width="13.33203125" style="233"/>
    <col min="14849" max="14849" width="5.83203125" style="233" customWidth="1"/>
    <col min="14850" max="14850" width="15.83203125" style="233" customWidth="1"/>
    <col min="14851" max="14851" width="59.1640625" style="233" customWidth="1"/>
    <col min="14852" max="14852" width="18" style="233" customWidth="1"/>
    <col min="14853" max="15104" width="13.33203125" style="233"/>
    <col min="15105" max="15105" width="5.83203125" style="233" customWidth="1"/>
    <col min="15106" max="15106" width="15.83203125" style="233" customWidth="1"/>
    <col min="15107" max="15107" width="59.1640625" style="233" customWidth="1"/>
    <col min="15108" max="15108" width="18" style="233" customWidth="1"/>
    <col min="15109" max="15360" width="13.33203125" style="233"/>
    <col min="15361" max="15361" width="5.83203125" style="233" customWidth="1"/>
    <col min="15362" max="15362" width="15.83203125" style="233" customWidth="1"/>
    <col min="15363" max="15363" width="59.1640625" style="233" customWidth="1"/>
    <col min="15364" max="15364" width="18" style="233" customWidth="1"/>
    <col min="15365" max="15616" width="13.33203125" style="233"/>
    <col min="15617" max="15617" width="5.83203125" style="233" customWidth="1"/>
    <col min="15618" max="15618" width="15.83203125" style="233" customWidth="1"/>
    <col min="15619" max="15619" width="59.1640625" style="233" customWidth="1"/>
    <col min="15620" max="15620" width="18" style="233" customWidth="1"/>
    <col min="15621" max="15872" width="13.33203125" style="233"/>
    <col min="15873" max="15873" width="5.83203125" style="233" customWidth="1"/>
    <col min="15874" max="15874" width="15.83203125" style="233" customWidth="1"/>
    <col min="15875" max="15875" width="59.1640625" style="233" customWidth="1"/>
    <col min="15876" max="15876" width="18" style="233" customWidth="1"/>
    <col min="15877" max="16128" width="13.33203125" style="233"/>
    <col min="16129" max="16129" width="5.83203125" style="233" customWidth="1"/>
    <col min="16130" max="16130" width="15.83203125" style="233" customWidth="1"/>
    <col min="16131" max="16131" width="59.1640625" style="233" customWidth="1"/>
    <col min="16132" max="16132" width="18" style="233" customWidth="1"/>
    <col min="16133" max="16384" width="13.33203125" style="233"/>
  </cols>
  <sheetData>
    <row r="1" spans="1:9">
      <c r="A1" s="561"/>
      <c r="B1" s="565"/>
      <c r="C1" s="616" t="s">
        <v>3448</v>
      </c>
      <c r="D1" s="565"/>
      <c r="E1" s="604"/>
      <c r="F1" s="561"/>
      <c r="G1" s="561"/>
      <c r="H1" s="561"/>
      <c r="I1" s="561"/>
    </row>
    <row r="2" spans="1:9" ht="30">
      <c r="A2" s="561"/>
      <c r="B2" s="606" t="s">
        <v>3376</v>
      </c>
      <c r="C2" s="606" t="s">
        <v>3375</v>
      </c>
      <c r="D2" s="606" t="s">
        <v>3374</v>
      </c>
      <c r="E2" s="613" t="s">
        <v>2930</v>
      </c>
      <c r="F2" s="612" t="s">
        <v>2929</v>
      </c>
      <c r="G2" s="613" t="s">
        <v>2928</v>
      </c>
      <c r="H2" s="613" t="s">
        <v>38</v>
      </c>
      <c r="I2" s="613" t="s">
        <v>2927</v>
      </c>
    </row>
    <row r="3" spans="1:9">
      <c r="A3" s="561"/>
      <c r="B3" s="607" t="s">
        <v>3447</v>
      </c>
      <c r="C3" s="608" t="s">
        <v>3446</v>
      </c>
      <c r="D3" s="609">
        <v>35886</v>
      </c>
      <c r="E3" s="603">
        <v>0</v>
      </c>
      <c r="F3" s="546">
        <v>1</v>
      </c>
      <c r="G3" s="614">
        <f>F3*E3</f>
        <v>0</v>
      </c>
      <c r="H3" s="546">
        <v>21</v>
      </c>
      <c r="I3" s="614">
        <f t="shared" ref="I3:I42" si="0">G3*1.21</f>
        <v>0</v>
      </c>
    </row>
    <row r="4" spans="1:9">
      <c r="A4" s="561"/>
      <c r="B4" s="607" t="s">
        <v>3445</v>
      </c>
      <c r="C4" s="608" t="s">
        <v>3444</v>
      </c>
      <c r="D4" s="609">
        <v>42269</v>
      </c>
      <c r="E4" s="603">
        <v>0</v>
      </c>
      <c r="F4" s="546">
        <v>1</v>
      </c>
      <c r="G4" s="614">
        <f t="shared" ref="G4:G42" si="1">F4*E4</f>
        <v>0</v>
      </c>
      <c r="H4" s="546">
        <v>21</v>
      </c>
      <c r="I4" s="614">
        <f t="shared" si="0"/>
        <v>0</v>
      </c>
    </row>
    <row r="5" spans="1:9">
      <c r="A5" s="561"/>
      <c r="B5" s="607" t="s">
        <v>3443</v>
      </c>
      <c r="C5" s="608" t="s">
        <v>3442</v>
      </c>
      <c r="D5" s="609">
        <v>42867</v>
      </c>
      <c r="E5" s="603">
        <v>0</v>
      </c>
      <c r="F5" s="546">
        <v>1</v>
      </c>
      <c r="G5" s="614">
        <f t="shared" si="1"/>
        <v>0</v>
      </c>
      <c r="H5" s="546">
        <v>21</v>
      </c>
      <c r="I5" s="614">
        <f t="shared" si="0"/>
        <v>0</v>
      </c>
    </row>
    <row r="6" spans="1:9">
      <c r="A6" s="561"/>
      <c r="B6" s="607" t="s">
        <v>3441</v>
      </c>
      <c r="C6" s="608" t="s">
        <v>3439</v>
      </c>
      <c r="D6" s="609">
        <v>43229</v>
      </c>
      <c r="E6" s="603">
        <v>0</v>
      </c>
      <c r="F6" s="546">
        <v>1</v>
      </c>
      <c r="G6" s="614">
        <f t="shared" si="1"/>
        <v>0</v>
      </c>
      <c r="H6" s="546">
        <v>21</v>
      </c>
      <c r="I6" s="614">
        <f t="shared" si="0"/>
        <v>0</v>
      </c>
    </row>
    <row r="7" spans="1:9">
      <c r="A7" s="561"/>
      <c r="B7" s="607" t="s">
        <v>3440</v>
      </c>
      <c r="C7" s="608" t="s">
        <v>3439</v>
      </c>
      <c r="D7" s="609">
        <v>43229</v>
      </c>
      <c r="E7" s="603">
        <v>0</v>
      </c>
      <c r="F7" s="546">
        <v>1</v>
      </c>
      <c r="G7" s="614">
        <f t="shared" si="1"/>
        <v>0</v>
      </c>
      <c r="H7" s="546">
        <v>21</v>
      </c>
      <c r="I7" s="614">
        <f t="shared" si="0"/>
        <v>0</v>
      </c>
    </row>
    <row r="8" spans="1:9">
      <c r="A8" s="561"/>
      <c r="B8" s="607" t="s">
        <v>3438</v>
      </c>
      <c r="C8" s="608" t="s">
        <v>3437</v>
      </c>
      <c r="D8" s="609">
        <v>41859</v>
      </c>
      <c r="E8" s="603">
        <v>0</v>
      </c>
      <c r="F8" s="546">
        <v>1</v>
      </c>
      <c r="G8" s="614">
        <f t="shared" si="1"/>
        <v>0</v>
      </c>
      <c r="H8" s="546">
        <v>21</v>
      </c>
      <c r="I8" s="614">
        <f t="shared" si="0"/>
        <v>0</v>
      </c>
    </row>
    <row r="9" spans="1:9">
      <c r="A9" s="561"/>
      <c r="B9" s="607" t="s">
        <v>3436</v>
      </c>
      <c r="C9" s="608" t="s">
        <v>3435</v>
      </c>
      <c r="D9" s="609">
        <v>37550</v>
      </c>
      <c r="E9" s="603">
        <v>0</v>
      </c>
      <c r="F9" s="546">
        <v>1</v>
      </c>
      <c r="G9" s="614">
        <f t="shared" si="1"/>
        <v>0</v>
      </c>
      <c r="H9" s="546">
        <v>21</v>
      </c>
      <c r="I9" s="614">
        <f t="shared" si="0"/>
        <v>0</v>
      </c>
    </row>
    <row r="10" spans="1:9">
      <c r="A10" s="561"/>
      <c r="B10" s="607" t="s">
        <v>3434</v>
      </c>
      <c r="C10" s="608" t="s">
        <v>3433</v>
      </c>
      <c r="D10" s="609">
        <v>35118</v>
      </c>
      <c r="E10" s="603">
        <v>0</v>
      </c>
      <c r="F10" s="546">
        <v>1</v>
      </c>
      <c r="G10" s="614">
        <f t="shared" si="1"/>
        <v>0</v>
      </c>
      <c r="H10" s="546">
        <v>21</v>
      </c>
      <c r="I10" s="614">
        <f t="shared" si="0"/>
        <v>0</v>
      </c>
    </row>
    <row r="11" spans="1:9">
      <c r="A11" s="561"/>
      <c r="B11" s="607" t="s">
        <v>3432</v>
      </c>
      <c r="C11" s="608" t="s">
        <v>3431</v>
      </c>
      <c r="D11" s="609">
        <v>41851</v>
      </c>
      <c r="E11" s="603">
        <v>0</v>
      </c>
      <c r="F11" s="546">
        <v>1</v>
      </c>
      <c r="G11" s="614">
        <f t="shared" si="1"/>
        <v>0</v>
      </c>
      <c r="H11" s="546">
        <v>21</v>
      </c>
      <c r="I11" s="614">
        <f t="shared" si="0"/>
        <v>0</v>
      </c>
    </row>
    <row r="12" spans="1:9">
      <c r="A12" s="561"/>
      <c r="B12" s="607" t="s">
        <v>3430</v>
      </c>
      <c r="C12" s="608" t="s">
        <v>3429</v>
      </c>
      <c r="D12" s="609">
        <v>41851</v>
      </c>
      <c r="E12" s="603">
        <v>0</v>
      </c>
      <c r="F12" s="546">
        <v>1</v>
      </c>
      <c r="G12" s="614">
        <f t="shared" si="1"/>
        <v>0</v>
      </c>
      <c r="H12" s="546">
        <v>21</v>
      </c>
      <c r="I12" s="614">
        <f t="shared" si="0"/>
        <v>0</v>
      </c>
    </row>
    <row r="13" spans="1:9">
      <c r="A13" s="561"/>
      <c r="B13" s="607" t="s">
        <v>3428</v>
      </c>
      <c r="C13" s="608" t="s">
        <v>3427</v>
      </c>
      <c r="D13" s="609">
        <v>42866</v>
      </c>
      <c r="E13" s="603">
        <v>0</v>
      </c>
      <c r="F13" s="546">
        <v>1</v>
      </c>
      <c r="G13" s="614">
        <f t="shared" si="1"/>
        <v>0</v>
      </c>
      <c r="H13" s="546">
        <v>21</v>
      </c>
      <c r="I13" s="614">
        <f t="shared" si="0"/>
        <v>0</v>
      </c>
    </row>
    <row r="14" spans="1:9">
      <c r="A14" s="561"/>
      <c r="B14" s="607" t="s">
        <v>3426</v>
      </c>
      <c r="C14" s="608" t="s">
        <v>3425</v>
      </c>
      <c r="D14" s="609">
        <v>35166</v>
      </c>
      <c r="E14" s="603">
        <v>0</v>
      </c>
      <c r="F14" s="546">
        <v>1</v>
      </c>
      <c r="G14" s="614">
        <f t="shared" si="1"/>
        <v>0</v>
      </c>
      <c r="H14" s="546">
        <v>21</v>
      </c>
      <c r="I14" s="614">
        <f t="shared" si="0"/>
        <v>0</v>
      </c>
    </row>
    <row r="15" spans="1:9">
      <c r="A15" s="561"/>
      <c r="B15" s="607" t="s">
        <v>3424</v>
      </c>
      <c r="C15" s="608" t="s">
        <v>3423</v>
      </c>
      <c r="D15" s="609">
        <v>36543</v>
      </c>
      <c r="E15" s="603">
        <v>0</v>
      </c>
      <c r="F15" s="546">
        <v>1</v>
      </c>
      <c r="G15" s="614">
        <f t="shared" si="1"/>
        <v>0</v>
      </c>
      <c r="H15" s="546">
        <v>21</v>
      </c>
      <c r="I15" s="614">
        <f t="shared" si="0"/>
        <v>0</v>
      </c>
    </row>
    <row r="16" spans="1:9">
      <c r="A16" s="561"/>
      <c r="B16" s="607" t="s">
        <v>3422</v>
      </c>
      <c r="C16" s="608" t="s">
        <v>3421</v>
      </c>
      <c r="D16" s="609">
        <v>33970</v>
      </c>
      <c r="E16" s="603">
        <v>0</v>
      </c>
      <c r="F16" s="546">
        <v>1</v>
      </c>
      <c r="G16" s="614">
        <f t="shared" si="1"/>
        <v>0</v>
      </c>
      <c r="H16" s="546">
        <v>21</v>
      </c>
      <c r="I16" s="614">
        <f t="shared" si="0"/>
        <v>0</v>
      </c>
    </row>
    <row r="17" spans="1:9">
      <c r="A17" s="561"/>
      <c r="B17" s="607" t="s">
        <v>3420</v>
      </c>
      <c r="C17" s="608" t="s">
        <v>3419</v>
      </c>
      <c r="D17" s="609">
        <v>41771</v>
      </c>
      <c r="E17" s="603">
        <v>0</v>
      </c>
      <c r="F17" s="546">
        <v>1</v>
      </c>
      <c r="G17" s="614">
        <f t="shared" si="1"/>
        <v>0</v>
      </c>
      <c r="H17" s="546">
        <v>21</v>
      </c>
      <c r="I17" s="614">
        <f t="shared" si="0"/>
        <v>0</v>
      </c>
    </row>
    <row r="18" spans="1:9">
      <c r="A18" s="561"/>
      <c r="B18" s="607" t="s">
        <v>3418</v>
      </c>
      <c r="C18" s="608" t="s">
        <v>3414</v>
      </c>
      <c r="D18" s="609">
        <v>43354</v>
      </c>
      <c r="E18" s="603">
        <v>0</v>
      </c>
      <c r="F18" s="546">
        <v>1</v>
      </c>
      <c r="G18" s="614">
        <f t="shared" si="1"/>
        <v>0</v>
      </c>
      <c r="H18" s="546">
        <v>21</v>
      </c>
      <c r="I18" s="614">
        <f t="shared" si="0"/>
        <v>0</v>
      </c>
    </row>
    <row r="19" spans="1:9">
      <c r="A19" s="561"/>
      <c r="B19" s="607" t="s">
        <v>3417</v>
      </c>
      <c r="C19" s="608" t="s">
        <v>3414</v>
      </c>
      <c r="D19" s="609">
        <v>43354</v>
      </c>
      <c r="E19" s="603">
        <v>0</v>
      </c>
      <c r="F19" s="546">
        <v>1</v>
      </c>
      <c r="G19" s="614">
        <f t="shared" si="1"/>
        <v>0</v>
      </c>
      <c r="H19" s="546">
        <v>21</v>
      </c>
      <c r="I19" s="614">
        <f t="shared" si="0"/>
        <v>0</v>
      </c>
    </row>
    <row r="20" spans="1:9">
      <c r="A20" s="561"/>
      <c r="B20" s="607" t="s">
        <v>3416</v>
      </c>
      <c r="C20" s="608" t="s">
        <v>3414</v>
      </c>
      <c r="D20" s="609">
        <v>43354</v>
      </c>
      <c r="E20" s="603">
        <v>0</v>
      </c>
      <c r="F20" s="546">
        <v>1</v>
      </c>
      <c r="G20" s="614">
        <f t="shared" si="1"/>
        <v>0</v>
      </c>
      <c r="H20" s="546">
        <v>21</v>
      </c>
      <c r="I20" s="614">
        <f t="shared" si="0"/>
        <v>0</v>
      </c>
    </row>
    <row r="21" spans="1:9">
      <c r="A21" s="561"/>
      <c r="B21" s="607" t="s">
        <v>3415</v>
      </c>
      <c r="C21" s="608" t="s">
        <v>3414</v>
      </c>
      <c r="D21" s="609">
        <v>43354</v>
      </c>
      <c r="E21" s="603">
        <v>0</v>
      </c>
      <c r="F21" s="546">
        <v>1</v>
      </c>
      <c r="G21" s="614">
        <f t="shared" si="1"/>
        <v>0</v>
      </c>
      <c r="H21" s="546">
        <v>21</v>
      </c>
      <c r="I21" s="614">
        <f t="shared" si="0"/>
        <v>0</v>
      </c>
    </row>
    <row r="22" spans="1:9">
      <c r="A22" s="561"/>
      <c r="B22" s="607" t="s">
        <v>3413</v>
      </c>
      <c r="C22" s="608" t="s">
        <v>3412</v>
      </c>
      <c r="D22" s="609">
        <v>36543</v>
      </c>
      <c r="E22" s="603">
        <v>0</v>
      </c>
      <c r="F22" s="546">
        <v>1</v>
      </c>
      <c r="G22" s="614">
        <f t="shared" si="1"/>
        <v>0</v>
      </c>
      <c r="H22" s="546">
        <v>21</v>
      </c>
      <c r="I22" s="614">
        <f t="shared" si="0"/>
        <v>0</v>
      </c>
    </row>
    <row r="23" spans="1:9">
      <c r="A23" s="561"/>
      <c r="B23" s="607" t="s">
        <v>3411</v>
      </c>
      <c r="C23" s="608" t="s">
        <v>3410</v>
      </c>
      <c r="D23" s="609">
        <v>36181</v>
      </c>
      <c r="E23" s="603">
        <v>0</v>
      </c>
      <c r="F23" s="546">
        <v>1</v>
      </c>
      <c r="G23" s="614">
        <f t="shared" si="1"/>
        <v>0</v>
      </c>
      <c r="H23" s="546">
        <v>21</v>
      </c>
      <c r="I23" s="614">
        <f t="shared" si="0"/>
        <v>0</v>
      </c>
    </row>
    <row r="24" spans="1:9">
      <c r="A24" s="561"/>
      <c r="B24" s="607" t="s">
        <v>3409</v>
      </c>
      <c r="C24" s="608" t="s">
        <v>3408</v>
      </c>
      <c r="D24" s="609">
        <v>35185</v>
      </c>
      <c r="E24" s="603">
        <v>0</v>
      </c>
      <c r="F24" s="546">
        <v>1</v>
      </c>
      <c r="G24" s="614">
        <f t="shared" si="1"/>
        <v>0</v>
      </c>
      <c r="H24" s="546">
        <v>21</v>
      </c>
      <c r="I24" s="614">
        <f t="shared" si="0"/>
        <v>0</v>
      </c>
    </row>
    <row r="25" spans="1:9">
      <c r="A25" s="561"/>
      <c r="B25" s="607" t="s">
        <v>3407</v>
      </c>
      <c r="C25" s="608" t="s">
        <v>3406</v>
      </c>
      <c r="D25" s="609">
        <v>36543</v>
      </c>
      <c r="E25" s="603">
        <v>0</v>
      </c>
      <c r="F25" s="546">
        <v>1</v>
      </c>
      <c r="G25" s="614">
        <f t="shared" si="1"/>
        <v>0</v>
      </c>
      <c r="H25" s="546">
        <v>21</v>
      </c>
      <c r="I25" s="614">
        <f t="shared" si="0"/>
        <v>0</v>
      </c>
    </row>
    <row r="26" spans="1:9">
      <c r="A26" s="561"/>
      <c r="B26" s="607" t="s">
        <v>3405</v>
      </c>
      <c r="C26" s="608" t="s">
        <v>3404</v>
      </c>
      <c r="D26" s="609">
        <v>40518</v>
      </c>
      <c r="E26" s="603">
        <v>0</v>
      </c>
      <c r="F26" s="546">
        <v>1</v>
      </c>
      <c r="G26" s="614">
        <f t="shared" si="1"/>
        <v>0</v>
      </c>
      <c r="H26" s="546">
        <v>21</v>
      </c>
      <c r="I26" s="614">
        <f t="shared" si="0"/>
        <v>0</v>
      </c>
    </row>
    <row r="27" spans="1:9">
      <c r="A27" s="561"/>
      <c r="B27" s="607" t="s">
        <v>3403</v>
      </c>
      <c r="C27" s="608" t="s">
        <v>3402</v>
      </c>
      <c r="D27" s="609">
        <v>42929</v>
      </c>
      <c r="E27" s="603">
        <v>0</v>
      </c>
      <c r="F27" s="546">
        <v>1</v>
      </c>
      <c r="G27" s="614">
        <f t="shared" si="1"/>
        <v>0</v>
      </c>
      <c r="H27" s="546">
        <v>21</v>
      </c>
      <c r="I27" s="614">
        <f t="shared" si="0"/>
        <v>0</v>
      </c>
    </row>
    <row r="28" spans="1:9">
      <c r="A28" s="561"/>
      <c r="B28" s="607" t="s">
        <v>3401</v>
      </c>
      <c r="C28" s="608" t="s">
        <v>3400</v>
      </c>
      <c r="D28" s="609">
        <v>43336</v>
      </c>
      <c r="E28" s="603">
        <v>0</v>
      </c>
      <c r="F28" s="546">
        <v>1</v>
      </c>
      <c r="G28" s="614">
        <f t="shared" si="1"/>
        <v>0</v>
      </c>
      <c r="H28" s="546">
        <v>21</v>
      </c>
      <c r="I28" s="614">
        <f t="shared" si="0"/>
        <v>0</v>
      </c>
    </row>
    <row r="29" spans="1:9">
      <c r="A29" s="561"/>
      <c r="B29" s="607" t="s">
        <v>3399</v>
      </c>
      <c r="C29" s="608" t="s">
        <v>3398</v>
      </c>
      <c r="D29" s="609">
        <v>39847</v>
      </c>
      <c r="E29" s="603">
        <v>0</v>
      </c>
      <c r="F29" s="546">
        <v>1</v>
      </c>
      <c r="G29" s="614">
        <f t="shared" si="1"/>
        <v>0</v>
      </c>
      <c r="H29" s="546">
        <v>21</v>
      </c>
      <c r="I29" s="614">
        <f t="shared" si="0"/>
        <v>0</v>
      </c>
    </row>
    <row r="30" spans="1:9">
      <c r="A30" s="561"/>
      <c r="B30" s="607" t="s">
        <v>3397</v>
      </c>
      <c r="C30" s="608" t="s">
        <v>3396</v>
      </c>
      <c r="D30" s="609">
        <v>36137</v>
      </c>
      <c r="E30" s="603">
        <v>0</v>
      </c>
      <c r="F30" s="546">
        <v>1</v>
      </c>
      <c r="G30" s="614">
        <f t="shared" si="1"/>
        <v>0</v>
      </c>
      <c r="H30" s="546">
        <v>21</v>
      </c>
      <c r="I30" s="614">
        <f t="shared" si="0"/>
        <v>0</v>
      </c>
    </row>
    <row r="31" spans="1:9">
      <c r="A31" s="561"/>
      <c r="B31" s="607" t="s">
        <v>3395</v>
      </c>
      <c r="C31" s="608" t="s">
        <v>3393</v>
      </c>
      <c r="D31" s="609">
        <v>37235</v>
      </c>
      <c r="E31" s="603">
        <v>0</v>
      </c>
      <c r="F31" s="546">
        <v>1</v>
      </c>
      <c r="G31" s="614">
        <f t="shared" si="1"/>
        <v>0</v>
      </c>
      <c r="H31" s="546">
        <v>21</v>
      </c>
      <c r="I31" s="614">
        <f t="shared" si="0"/>
        <v>0</v>
      </c>
    </row>
    <row r="32" spans="1:9">
      <c r="A32" s="561"/>
      <c r="B32" s="607" t="s">
        <v>3394</v>
      </c>
      <c r="C32" s="608" t="s">
        <v>3393</v>
      </c>
      <c r="D32" s="609">
        <v>37228</v>
      </c>
      <c r="E32" s="603">
        <v>0</v>
      </c>
      <c r="F32" s="546">
        <v>1</v>
      </c>
      <c r="G32" s="614">
        <f t="shared" si="1"/>
        <v>0</v>
      </c>
      <c r="H32" s="546">
        <v>21</v>
      </c>
      <c r="I32" s="614">
        <f t="shared" si="0"/>
        <v>0</v>
      </c>
    </row>
    <row r="33" spans="1:9">
      <c r="A33" s="561"/>
      <c r="B33" s="607" t="s">
        <v>3392</v>
      </c>
      <c r="C33" s="608" t="s">
        <v>3391</v>
      </c>
      <c r="D33" s="609">
        <v>39388</v>
      </c>
      <c r="E33" s="603">
        <v>0</v>
      </c>
      <c r="F33" s="546">
        <v>1</v>
      </c>
      <c r="G33" s="614">
        <f t="shared" si="1"/>
        <v>0</v>
      </c>
      <c r="H33" s="546">
        <v>21</v>
      </c>
      <c r="I33" s="614">
        <f t="shared" si="0"/>
        <v>0</v>
      </c>
    </row>
    <row r="34" spans="1:9">
      <c r="A34" s="561"/>
      <c r="B34" s="607" t="s">
        <v>3390</v>
      </c>
      <c r="C34" s="608" t="s">
        <v>3389</v>
      </c>
      <c r="D34" s="609">
        <v>37362</v>
      </c>
      <c r="E34" s="603">
        <v>0</v>
      </c>
      <c r="F34" s="546">
        <v>1</v>
      </c>
      <c r="G34" s="614">
        <f t="shared" si="1"/>
        <v>0</v>
      </c>
      <c r="H34" s="546">
        <v>21</v>
      </c>
      <c r="I34" s="614">
        <f t="shared" si="0"/>
        <v>0</v>
      </c>
    </row>
    <row r="35" spans="1:9">
      <c r="A35" s="561"/>
      <c r="B35" s="607" t="s">
        <v>3388</v>
      </c>
      <c r="C35" s="608" t="s">
        <v>3380</v>
      </c>
      <c r="D35" s="609">
        <v>39532</v>
      </c>
      <c r="E35" s="603">
        <v>0</v>
      </c>
      <c r="F35" s="546">
        <v>1</v>
      </c>
      <c r="G35" s="614">
        <f t="shared" si="1"/>
        <v>0</v>
      </c>
      <c r="H35" s="546">
        <v>21</v>
      </c>
      <c r="I35" s="614">
        <f t="shared" si="0"/>
        <v>0</v>
      </c>
    </row>
    <row r="36" spans="1:9">
      <c r="A36" s="561"/>
      <c r="B36" s="607" t="s">
        <v>3387</v>
      </c>
      <c r="C36" s="608" t="s">
        <v>3380</v>
      </c>
      <c r="D36" s="609">
        <v>39532</v>
      </c>
      <c r="E36" s="603">
        <v>0</v>
      </c>
      <c r="F36" s="546">
        <v>1</v>
      </c>
      <c r="G36" s="614">
        <f t="shared" si="1"/>
        <v>0</v>
      </c>
      <c r="H36" s="546">
        <v>21</v>
      </c>
      <c r="I36" s="614">
        <f t="shared" si="0"/>
        <v>0</v>
      </c>
    </row>
    <row r="37" spans="1:9">
      <c r="A37" s="561"/>
      <c r="B37" s="607" t="s">
        <v>3386</v>
      </c>
      <c r="C37" s="608" t="s">
        <v>3380</v>
      </c>
      <c r="D37" s="609">
        <v>39532</v>
      </c>
      <c r="E37" s="603">
        <v>0</v>
      </c>
      <c r="F37" s="546">
        <v>1</v>
      </c>
      <c r="G37" s="614">
        <f>F37*E37</f>
        <v>0</v>
      </c>
      <c r="H37" s="546">
        <v>21</v>
      </c>
      <c r="I37" s="614">
        <f t="shared" si="0"/>
        <v>0</v>
      </c>
    </row>
    <row r="38" spans="1:9">
      <c r="A38" s="561"/>
      <c r="B38" s="607" t="s">
        <v>3385</v>
      </c>
      <c r="C38" s="608" t="s">
        <v>3380</v>
      </c>
      <c r="D38" s="609">
        <v>39532</v>
      </c>
      <c r="E38" s="603">
        <v>0</v>
      </c>
      <c r="F38" s="546">
        <v>1</v>
      </c>
      <c r="G38" s="614">
        <f t="shared" si="1"/>
        <v>0</v>
      </c>
      <c r="H38" s="546">
        <v>21</v>
      </c>
      <c r="I38" s="614">
        <f t="shared" si="0"/>
        <v>0</v>
      </c>
    </row>
    <row r="39" spans="1:9">
      <c r="A39" s="561"/>
      <c r="B39" s="607" t="s">
        <v>3384</v>
      </c>
      <c r="C39" s="608" t="s">
        <v>3380</v>
      </c>
      <c r="D39" s="609">
        <v>39532</v>
      </c>
      <c r="E39" s="603">
        <v>0</v>
      </c>
      <c r="F39" s="546">
        <v>1</v>
      </c>
      <c r="G39" s="614">
        <f t="shared" si="1"/>
        <v>0</v>
      </c>
      <c r="H39" s="546">
        <v>21</v>
      </c>
      <c r="I39" s="614">
        <f t="shared" si="0"/>
        <v>0</v>
      </c>
    </row>
    <row r="40" spans="1:9">
      <c r="A40" s="561"/>
      <c r="B40" s="607" t="s">
        <v>3383</v>
      </c>
      <c r="C40" s="608" t="s">
        <v>3380</v>
      </c>
      <c r="D40" s="609">
        <v>39532</v>
      </c>
      <c r="E40" s="603">
        <v>0</v>
      </c>
      <c r="F40" s="546">
        <v>1</v>
      </c>
      <c r="G40" s="614">
        <f t="shared" si="1"/>
        <v>0</v>
      </c>
      <c r="H40" s="546">
        <v>21</v>
      </c>
      <c r="I40" s="614">
        <f t="shared" si="0"/>
        <v>0</v>
      </c>
    </row>
    <row r="41" spans="1:9">
      <c r="A41" s="561"/>
      <c r="B41" s="607" t="s">
        <v>3382</v>
      </c>
      <c r="C41" s="608" t="s">
        <v>3380</v>
      </c>
      <c r="D41" s="609">
        <v>39532</v>
      </c>
      <c r="E41" s="603">
        <v>0</v>
      </c>
      <c r="F41" s="546">
        <v>1</v>
      </c>
      <c r="G41" s="614">
        <f t="shared" si="1"/>
        <v>0</v>
      </c>
      <c r="H41" s="546">
        <v>21</v>
      </c>
      <c r="I41" s="614">
        <f t="shared" si="0"/>
        <v>0</v>
      </c>
    </row>
    <row r="42" spans="1:9">
      <c r="A42" s="561"/>
      <c r="B42" s="607" t="s">
        <v>3381</v>
      </c>
      <c r="C42" s="608" t="s">
        <v>3380</v>
      </c>
      <c r="D42" s="609">
        <v>39532</v>
      </c>
      <c r="E42" s="603">
        <v>0</v>
      </c>
      <c r="F42" s="546">
        <v>1</v>
      </c>
      <c r="G42" s="614">
        <f t="shared" si="1"/>
        <v>0</v>
      </c>
      <c r="H42" s="546">
        <v>21</v>
      </c>
      <c r="I42" s="614">
        <f t="shared" si="0"/>
        <v>0</v>
      </c>
    </row>
    <row r="43" spans="1:9">
      <c r="A43" s="561"/>
      <c r="B43" s="565"/>
      <c r="C43" s="611" t="s">
        <v>2264</v>
      </c>
      <c r="D43" s="565"/>
      <c r="E43" s="604"/>
      <c r="F43" s="561"/>
      <c r="G43" s="615">
        <f>SUM(G3:G42)</f>
        <v>0</v>
      </c>
      <c r="H43" s="561"/>
      <c r="I43" s="615">
        <f>SUM(I3:I42)</f>
        <v>0</v>
      </c>
    </row>
    <row r="44" spans="1:9">
      <c r="A44" s="561"/>
      <c r="B44" s="565"/>
      <c r="C44" s="617" t="s">
        <v>3379</v>
      </c>
      <c r="D44" s="565"/>
      <c r="E44" s="604"/>
      <c r="F44" s="561"/>
      <c r="G44" s="561"/>
      <c r="H44" s="561"/>
      <c r="I44" s="561"/>
    </row>
  </sheetData>
  <sheetProtection password="CAB1" sheet="1" objects="1" scenarios="1"/>
  <pageMargins left="0.70866141732283472" right="0.70866141732283472" top="0.78740157480314965" bottom="0.78740157480314965" header="0.31496062992125984" footer="0.31496062992125984"/>
  <pageSetup paperSize="9" scale="60" orientation="portrait" r:id="rId1"/>
  <headerFooter>
    <oddHeader>&amp;LČeská republika - Úřad vlády ČRGastroprovoz Úřadu vlády ČR v 1.PP Strakovy akademie&amp;CPoložkový rozpočet demontáže stávajících strojů a zařízení&amp;R11/2019</oddHeader>
    <oddFooter>&amp;C&amp;P/&amp;N&amp;RD.2.2.4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M91"/>
  <sheetViews>
    <sheetView showGridLines="0" topLeftCell="A52" workbookViewId="0">
      <selection activeCell="J64" sqref="J64"/>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52"/>
      <c r="B1" s="652"/>
      <c r="C1" s="652"/>
      <c r="D1" s="652"/>
      <c r="E1" s="652"/>
      <c r="F1" s="652"/>
      <c r="G1" s="652"/>
      <c r="H1" s="652"/>
      <c r="I1" s="652"/>
      <c r="J1" s="652"/>
      <c r="K1" s="652"/>
    </row>
    <row r="2" spans="1:46" s="1" customFormat="1" ht="36.950000000000003" customHeight="1">
      <c r="A2" s="652"/>
      <c r="B2" s="652"/>
      <c r="C2" s="652"/>
      <c r="D2" s="652"/>
      <c r="E2" s="652"/>
      <c r="F2" s="652"/>
      <c r="G2" s="652"/>
      <c r="H2" s="652"/>
      <c r="I2" s="652"/>
      <c r="J2" s="652"/>
      <c r="K2" s="652"/>
      <c r="L2" s="705" t="s">
        <v>6</v>
      </c>
      <c r="M2" s="706"/>
      <c r="N2" s="706"/>
      <c r="O2" s="706"/>
      <c r="P2" s="706"/>
      <c r="Q2" s="706"/>
      <c r="R2" s="706"/>
      <c r="S2" s="706"/>
      <c r="T2" s="706"/>
      <c r="U2" s="706"/>
      <c r="V2" s="706"/>
      <c r="AT2" s="19" t="s">
        <v>132</v>
      </c>
    </row>
    <row r="3" spans="1:46" s="1" customFormat="1" ht="6.95" customHeight="1">
      <c r="A3" s="652"/>
      <c r="B3" s="263"/>
      <c r="C3" s="264"/>
      <c r="D3" s="264"/>
      <c r="E3" s="264"/>
      <c r="F3" s="264"/>
      <c r="G3" s="264"/>
      <c r="H3" s="264"/>
      <c r="I3" s="264"/>
      <c r="J3" s="264"/>
      <c r="K3" s="264"/>
      <c r="L3" s="20"/>
      <c r="AT3" s="19" t="s">
        <v>77</v>
      </c>
    </row>
    <row r="4" spans="1:46" s="1" customFormat="1" ht="24.95" customHeight="1">
      <c r="A4" s="652"/>
      <c r="B4" s="265"/>
      <c r="C4" s="652"/>
      <c r="D4" s="266" t="s">
        <v>142</v>
      </c>
      <c r="E4" s="652"/>
      <c r="F4" s="652"/>
      <c r="G4" s="652"/>
      <c r="H4" s="652"/>
      <c r="I4" s="652"/>
      <c r="J4" s="652"/>
      <c r="K4" s="652"/>
      <c r="L4" s="20"/>
      <c r="M4" s="63" t="s">
        <v>11</v>
      </c>
      <c r="AT4" s="19" t="s">
        <v>4</v>
      </c>
    </row>
    <row r="5" spans="1:46" s="1" customFormat="1" ht="6.95" customHeight="1">
      <c r="A5" s="652"/>
      <c r="B5" s="265"/>
      <c r="C5" s="652"/>
      <c r="D5" s="652"/>
      <c r="E5" s="652"/>
      <c r="F5" s="652"/>
      <c r="G5" s="652"/>
      <c r="H5" s="652"/>
      <c r="I5" s="652"/>
      <c r="J5" s="652"/>
      <c r="K5" s="652"/>
      <c r="L5" s="20"/>
    </row>
    <row r="6" spans="1:46" s="1" customFormat="1" ht="12" customHeight="1">
      <c r="A6" s="652"/>
      <c r="B6" s="265"/>
      <c r="C6" s="652"/>
      <c r="D6" s="663" t="s">
        <v>15</v>
      </c>
      <c r="E6" s="652"/>
      <c r="F6" s="652"/>
      <c r="G6" s="652"/>
      <c r="H6" s="652"/>
      <c r="I6" s="652"/>
      <c r="J6" s="652"/>
      <c r="K6" s="652"/>
      <c r="L6" s="20"/>
    </row>
    <row r="7" spans="1:46" s="1" customFormat="1" ht="14.45" customHeight="1">
      <c r="A7" s="652"/>
      <c r="B7" s="265"/>
      <c r="C7" s="652"/>
      <c r="D7" s="652"/>
      <c r="E7" s="722" t="str">
        <f>'Rekapitulace stavby'!K6</f>
        <v>Úpravy gastroprovozu Úřadu vlády ČR v 1.pp Strakovy akademie</v>
      </c>
      <c r="F7" s="723"/>
      <c r="G7" s="723"/>
      <c r="H7" s="723"/>
      <c r="I7" s="652"/>
      <c r="J7" s="652"/>
      <c r="K7" s="652"/>
      <c r="L7" s="20"/>
    </row>
    <row r="8" spans="1:46" s="1" customFormat="1" ht="12" customHeight="1">
      <c r="A8" s="652"/>
      <c r="B8" s="265"/>
      <c r="C8" s="652"/>
      <c r="D8" s="663" t="s">
        <v>151</v>
      </c>
      <c r="E8" s="652"/>
      <c r="F8" s="652"/>
      <c r="G8" s="652"/>
      <c r="H8" s="652"/>
      <c r="I8" s="652"/>
      <c r="J8" s="652"/>
      <c r="K8" s="652"/>
      <c r="L8" s="20"/>
    </row>
    <row r="9" spans="1:46" s="2" customFormat="1" ht="14.45" customHeight="1">
      <c r="A9" s="662"/>
      <c r="B9" s="270"/>
      <c r="C9" s="662"/>
      <c r="D9" s="662"/>
      <c r="E9" s="722" t="s">
        <v>1759</v>
      </c>
      <c r="F9" s="721"/>
      <c r="G9" s="721"/>
      <c r="H9" s="721"/>
      <c r="I9" s="662"/>
      <c r="J9" s="662"/>
      <c r="K9" s="662"/>
      <c r="L9" s="64"/>
      <c r="S9" s="23"/>
      <c r="T9" s="23"/>
      <c r="U9" s="23"/>
      <c r="V9" s="23"/>
      <c r="W9" s="23"/>
      <c r="X9" s="23"/>
      <c r="Y9" s="23"/>
      <c r="Z9" s="23"/>
      <c r="AA9" s="23"/>
      <c r="AB9" s="23"/>
      <c r="AC9" s="23"/>
      <c r="AD9" s="23"/>
      <c r="AE9" s="23"/>
    </row>
    <row r="10" spans="1:46" s="2" customFormat="1" ht="12" customHeight="1">
      <c r="A10" s="662"/>
      <c r="B10" s="270"/>
      <c r="C10" s="662"/>
      <c r="D10" s="663" t="s">
        <v>157</v>
      </c>
      <c r="E10" s="662"/>
      <c r="F10" s="662"/>
      <c r="G10" s="662"/>
      <c r="H10" s="662"/>
      <c r="I10" s="662"/>
      <c r="J10" s="662"/>
      <c r="K10" s="662"/>
      <c r="L10" s="64"/>
      <c r="S10" s="23"/>
      <c r="T10" s="23"/>
      <c r="U10" s="23"/>
      <c r="V10" s="23"/>
      <c r="W10" s="23"/>
      <c r="X10" s="23"/>
      <c r="Y10" s="23"/>
      <c r="Z10" s="23"/>
      <c r="AA10" s="23"/>
      <c r="AB10" s="23"/>
      <c r="AC10" s="23"/>
      <c r="AD10" s="23"/>
      <c r="AE10" s="23"/>
    </row>
    <row r="11" spans="1:46" s="2" customFormat="1" ht="14.45" customHeight="1">
      <c r="A11" s="662"/>
      <c r="B11" s="270"/>
      <c r="C11" s="662"/>
      <c r="D11" s="662"/>
      <c r="E11" s="689" t="s">
        <v>3472</v>
      </c>
      <c r="F11" s="721"/>
      <c r="G11" s="721"/>
      <c r="H11" s="721"/>
      <c r="I11" s="662"/>
      <c r="J11" s="662"/>
      <c r="K11" s="662"/>
      <c r="L11" s="64"/>
      <c r="S11" s="23"/>
      <c r="T11" s="23"/>
      <c r="U11" s="23"/>
      <c r="V11" s="23"/>
      <c r="W11" s="23"/>
      <c r="X11" s="23"/>
      <c r="Y11" s="23"/>
      <c r="Z11" s="23"/>
      <c r="AA11" s="23"/>
      <c r="AB11" s="23"/>
      <c r="AC11" s="23"/>
      <c r="AD11" s="23"/>
      <c r="AE11" s="23"/>
    </row>
    <row r="12" spans="1:46" s="2" customFormat="1">
      <c r="A12" s="662"/>
      <c r="B12" s="270"/>
      <c r="C12" s="662"/>
      <c r="D12" s="662"/>
      <c r="E12" s="662"/>
      <c r="F12" s="662"/>
      <c r="G12" s="662"/>
      <c r="H12" s="662"/>
      <c r="I12" s="662"/>
      <c r="J12" s="662"/>
      <c r="K12" s="662"/>
      <c r="L12" s="64"/>
      <c r="S12" s="23"/>
      <c r="T12" s="23"/>
      <c r="U12" s="23"/>
      <c r="V12" s="23"/>
      <c r="W12" s="23"/>
      <c r="X12" s="23"/>
      <c r="Y12" s="23"/>
      <c r="Z12" s="23"/>
      <c r="AA12" s="23"/>
      <c r="AB12" s="23"/>
      <c r="AC12" s="23"/>
      <c r="AD12" s="23"/>
      <c r="AE12" s="23"/>
    </row>
    <row r="13" spans="1:46" s="2" customFormat="1" ht="12" customHeight="1">
      <c r="A13" s="662"/>
      <c r="B13" s="270"/>
      <c r="C13" s="662"/>
      <c r="D13" s="663" t="s">
        <v>17</v>
      </c>
      <c r="E13" s="662"/>
      <c r="F13" s="651" t="s">
        <v>3</v>
      </c>
      <c r="G13" s="662"/>
      <c r="H13" s="662"/>
      <c r="I13" s="663" t="s">
        <v>18</v>
      </c>
      <c r="J13" s="651" t="s">
        <v>3</v>
      </c>
      <c r="K13" s="662"/>
      <c r="L13" s="64"/>
      <c r="S13" s="23"/>
      <c r="T13" s="23"/>
      <c r="U13" s="23"/>
      <c r="V13" s="23"/>
      <c r="W13" s="23"/>
      <c r="X13" s="23"/>
      <c r="Y13" s="23"/>
      <c r="Z13" s="23"/>
      <c r="AA13" s="23"/>
      <c r="AB13" s="23"/>
      <c r="AC13" s="23"/>
      <c r="AD13" s="23"/>
      <c r="AE13" s="23"/>
    </row>
    <row r="14" spans="1:46" s="2" customFormat="1" ht="12" customHeight="1">
      <c r="A14" s="662"/>
      <c r="B14" s="270"/>
      <c r="C14" s="662"/>
      <c r="D14" s="663" t="s">
        <v>19</v>
      </c>
      <c r="E14" s="662"/>
      <c r="F14" s="651" t="s">
        <v>27</v>
      </c>
      <c r="G14" s="662"/>
      <c r="H14" s="662"/>
      <c r="I14" s="663" t="s">
        <v>21</v>
      </c>
      <c r="J14" s="660">
        <f>'Rekapitulace stavby'!AN8</f>
        <v>44077</v>
      </c>
      <c r="K14" s="662"/>
      <c r="L14" s="64"/>
      <c r="S14" s="23"/>
      <c r="T14" s="23"/>
      <c r="U14" s="23"/>
      <c r="V14" s="23"/>
      <c r="W14" s="23"/>
      <c r="X14" s="23"/>
      <c r="Y14" s="23"/>
      <c r="Z14" s="23"/>
      <c r="AA14" s="23"/>
      <c r="AB14" s="23"/>
      <c r="AC14" s="23"/>
      <c r="AD14" s="23"/>
      <c r="AE14" s="23"/>
    </row>
    <row r="15" spans="1:46" s="2" customFormat="1" ht="10.9" customHeight="1">
      <c r="A15" s="662"/>
      <c r="B15" s="270"/>
      <c r="C15" s="662"/>
      <c r="D15" s="662"/>
      <c r="E15" s="662"/>
      <c r="F15" s="662"/>
      <c r="G15" s="662"/>
      <c r="H15" s="662"/>
      <c r="I15" s="662"/>
      <c r="J15" s="662"/>
      <c r="K15" s="662"/>
      <c r="L15" s="64"/>
      <c r="S15" s="23"/>
      <c r="T15" s="23"/>
      <c r="U15" s="23"/>
      <c r="V15" s="23"/>
      <c r="W15" s="23"/>
      <c r="X15" s="23"/>
      <c r="Y15" s="23"/>
      <c r="Z15" s="23"/>
      <c r="AA15" s="23"/>
      <c r="AB15" s="23"/>
      <c r="AC15" s="23"/>
      <c r="AD15" s="23"/>
      <c r="AE15" s="23"/>
    </row>
    <row r="16" spans="1:46" s="2" customFormat="1" ht="12" customHeight="1">
      <c r="A16" s="662"/>
      <c r="B16" s="270"/>
      <c r="C16" s="662"/>
      <c r="D16" s="663" t="s">
        <v>22</v>
      </c>
      <c r="E16" s="662"/>
      <c r="F16" s="662"/>
      <c r="G16" s="662"/>
      <c r="H16" s="662"/>
      <c r="I16" s="663" t="s">
        <v>23</v>
      </c>
      <c r="J16" s="651" t="s">
        <v>3</v>
      </c>
      <c r="K16" s="662"/>
      <c r="L16" s="64"/>
      <c r="S16" s="23"/>
      <c r="T16" s="23"/>
      <c r="U16" s="23"/>
      <c r="V16" s="23"/>
      <c r="W16" s="23"/>
      <c r="X16" s="23"/>
      <c r="Y16" s="23"/>
      <c r="Z16" s="23"/>
      <c r="AA16" s="23"/>
      <c r="AB16" s="23"/>
      <c r="AC16" s="23"/>
      <c r="AD16" s="23"/>
      <c r="AE16" s="23"/>
    </row>
    <row r="17" spans="1:31" s="2" customFormat="1" ht="18" customHeight="1">
      <c r="A17" s="662"/>
      <c r="B17" s="270"/>
      <c r="C17" s="662"/>
      <c r="D17" s="662"/>
      <c r="E17" s="651" t="s">
        <v>24</v>
      </c>
      <c r="F17" s="662"/>
      <c r="G17" s="662"/>
      <c r="H17" s="662"/>
      <c r="I17" s="663" t="s">
        <v>25</v>
      </c>
      <c r="J17" s="651" t="s">
        <v>3</v>
      </c>
      <c r="K17" s="662"/>
      <c r="L17" s="64"/>
      <c r="S17" s="23"/>
      <c r="T17" s="23"/>
      <c r="U17" s="23"/>
      <c r="V17" s="23"/>
      <c r="W17" s="23"/>
      <c r="X17" s="23"/>
      <c r="Y17" s="23"/>
      <c r="Z17" s="23"/>
      <c r="AA17" s="23"/>
      <c r="AB17" s="23"/>
      <c r="AC17" s="23"/>
      <c r="AD17" s="23"/>
      <c r="AE17" s="23"/>
    </row>
    <row r="18" spans="1:31" s="2" customFormat="1" ht="6.95" customHeight="1">
      <c r="A18" s="662"/>
      <c r="B18" s="270"/>
      <c r="C18" s="662"/>
      <c r="D18" s="662"/>
      <c r="E18" s="662"/>
      <c r="F18" s="662"/>
      <c r="G18" s="662"/>
      <c r="H18" s="662"/>
      <c r="I18" s="662"/>
      <c r="J18" s="662"/>
      <c r="K18" s="662"/>
      <c r="L18" s="64"/>
      <c r="S18" s="23"/>
      <c r="T18" s="23"/>
      <c r="U18" s="23"/>
      <c r="V18" s="23"/>
      <c r="W18" s="23"/>
      <c r="X18" s="23"/>
      <c r="Y18" s="23"/>
      <c r="Z18" s="23"/>
      <c r="AA18" s="23"/>
      <c r="AB18" s="23"/>
      <c r="AC18" s="23"/>
      <c r="AD18" s="23"/>
      <c r="AE18" s="23"/>
    </row>
    <row r="19" spans="1:31" s="2" customFormat="1" ht="12" customHeight="1">
      <c r="A19" s="662"/>
      <c r="B19" s="270"/>
      <c r="C19" s="662"/>
      <c r="D19" s="663" t="s">
        <v>26</v>
      </c>
      <c r="E19" s="662"/>
      <c r="F19" s="662"/>
      <c r="G19" s="662"/>
      <c r="H19" s="662"/>
      <c r="I19" s="663" t="s">
        <v>23</v>
      </c>
      <c r="J19" s="651" t="str">
        <f>'Rekapitulace stavby'!AN13</f>
        <v/>
      </c>
      <c r="K19" s="662"/>
      <c r="L19" s="64"/>
      <c r="S19" s="23"/>
      <c r="T19" s="23"/>
      <c r="U19" s="23"/>
      <c r="V19" s="23"/>
      <c r="W19" s="23"/>
      <c r="X19" s="23"/>
      <c r="Y19" s="23"/>
      <c r="Z19" s="23"/>
      <c r="AA19" s="23"/>
      <c r="AB19" s="23"/>
      <c r="AC19" s="23"/>
      <c r="AD19" s="23"/>
      <c r="AE19" s="23"/>
    </row>
    <row r="20" spans="1:31" s="2" customFormat="1" ht="18" customHeight="1">
      <c r="A20" s="662"/>
      <c r="B20" s="270"/>
      <c r="C20" s="662"/>
      <c r="D20" s="662"/>
      <c r="E20" s="714" t="str">
        <f>'Rekapitulace stavby'!E14</f>
        <v xml:space="preserve"> </v>
      </c>
      <c r="F20" s="714"/>
      <c r="G20" s="714"/>
      <c r="H20" s="714"/>
      <c r="I20" s="663" t="s">
        <v>25</v>
      </c>
      <c r="J20" s="651" t="str">
        <f>'Rekapitulace stavby'!AN14</f>
        <v/>
      </c>
      <c r="K20" s="662"/>
      <c r="L20" s="64"/>
      <c r="S20" s="23"/>
      <c r="T20" s="23"/>
      <c r="U20" s="23"/>
      <c r="V20" s="23"/>
      <c r="W20" s="23"/>
      <c r="X20" s="23"/>
      <c r="Y20" s="23"/>
      <c r="Z20" s="23"/>
      <c r="AA20" s="23"/>
      <c r="AB20" s="23"/>
      <c r="AC20" s="23"/>
      <c r="AD20" s="23"/>
      <c r="AE20" s="23"/>
    </row>
    <row r="21" spans="1:31" s="2" customFormat="1" ht="6.95" customHeight="1">
      <c r="A21" s="662"/>
      <c r="B21" s="270"/>
      <c r="C21" s="662"/>
      <c r="D21" s="662"/>
      <c r="E21" s="662"/>
      <c r="F21" s="662"/>
      <c r="G21" s="662"/>
      <c r="H21" s="662"/>
      <c r="I21" s="662"/>
      <c r="J21" s="662"/>
      <c r="K21" s="662"/>
      <c r="L21" s="64"/>
      <c r="S21" s="23"/>
      <c r="T21" s="23"/>
      <c r="U21" s="23"/>
      <c r="V21" s="23"/>
      <c r="W21" s="23"/>
      <c r="X21" s="23"/>
      <c r="Y21" s="23"/>
      <c r="Z21" s="23"/>
      <c r="AA21" s="23"/>
      <c r="AB21" s="23"/>
      <c r="AC21" s="23"/>
      <c r="AD21" s="23"/>
      <c r="AE21" s="23"/>
    </row>
    <row r="22" spans="1:31" s="2" customFormat="1" ht="12" customHeight="1">
      <c r="A22" s="662"/>
      <c r="B22" s="270"/>
      <c r="C22" s="662"/>
      <c r="D22" s="663" t="s">
        <v>28</v>
      </c>
      <c r="E22" s="662"/>
      <c r="F22" s="662"/>
      <c r="G22" s="662"/>
      <c r="H22" s="662"/>
      <c r="I22" s="663" t="s">
        <v>23</v>
      </c>
      <c r="J22" s="651" t="s">
        <v>3</v>
      </c>
      <c r="K22" s="662"/>
      <c r="L22" s="64"/>
      <c r="S22" s="23"/>
      <c r="T22" s="23"/>
      <c r="U22" s="23"/>
      <c r="V22" s="23"/>
      <c r="W22" s="23"/>
      <c r="X22" s="23"/>
      <c r="Y22" s="23"/>
      <c r="Z22" s="23"/>
      <c r="AA22" s="23"/>
      <c r="AB22" s="23"/>
      <c r="AC22" s="23"/>
      <c r="AD22" s="23"/>
      <c r="AE22" s="23"/>
    </row>
    <row r="23" spans="1:31" s="2" customFormat="1" ht="18" customHeight="1">
      <c r="A23" s="662"/>
      <c r="B23" s="270"/>
      <c r="C23" s="662"/>
      <c r="D23" s="662"/>
      <c r="E23" s="651" t="s">
        <v>29</v>
      </c>
      <c r="F23" s="662"/>
      <c r="G23" s="662"/>
      <c r="H23" s="662"/>
      <c r="I23" s="663" t="s">
        <v>25</v>
      </c>
      <c r="J23" s="651" t="s">
        <v>3</v>
      </c>
      <c r="K23" s="662"/>
      <c r="L23" s="64"/>
      <c r="S23" s="23"/>
      <c r="T23" s="23"/>
      <c r="U23" s="23"/>
      <c r="V23" s="23"/>
      <c r="W23" s="23"/>
      <c r="X23" s="23"/>
      <c r="Y23" s="23"/>
      <c r="Z23" s="23"/>
      <c r="AA23" s="23"/>
      <c r="AB23" s="23"/>
      <c r="AC23" s="23"/>
      <c r="AD23" s="23"/>
      <c r="AE23" s="23"/>
    </row>
    <row r="24" spans="1:31" s="2" customFormat="1" ht="6.95" customHeight="1">
      <c r="A24" s="662"/>
      <c r="B24" s="270"/>
      <c r="C24" s="662"/>
      <c r="D24" s="662"/>
      <c r="E24" s="662"/>
      <c r="F24" s="662"/>
      <c r="G24" s="662"/>
      <c r="H24" s="662"/>
      <c r="I24" s="662"/>
      <c r="J24" s="662"/>
      <c r="K24" s="662"/>
      <c r="L24" s="64"/>
      <c r="S24" s="23"/>
      <c r="T24" s="23"/>
      <c r="U24" s="23"/>
      <c r="V24" s="23"/>
      <c r="W24" s="23"/>
      <c r="X24" s="23"/>
      <c r="Y24" s="23"/>
      <c r="Z24" s="23"/>
      <c r="AA24" s="23"/>
      <c r="AB24" s="23"/>
      <c r="AC24" s="23"/>
      <c r="AD24" s="23"/>
      <c r="AE24" s="23"/>
    </row>
    <row r="25" spans="1:31" s="2" customFormat="1" ht="12" customHeight="1">
      <c r="A25" s="662"/>
      <c r="B25" s="270"/>
      <c r="C25" s="662"/>
      <c r="D25" s="663" t="s">
        <v>31</v>
      </c>
      <c r="E25" s="662"/>
      <c r="F25" s="662"/>
      <c r="G25" s="662"/>
      <c r="H25" s="662"/>
      <c r="I25" s="663" t="s">
        <v>23</v>
      </c>
      <c r="J25" s="651" t="s">
        <v>3</v>
      </c>
      <c r="K25" s="662"/>
      <c r="L25" s="64"/>
      <c r="S25" s="23"/>
      <c r="T25" s="23"/>
      <c r="U25" s="23"/>
      <c r="V25" s="23"/>
      <c r="W25" s="23"/>
      <c r="X25" s="23"/>
      <c r="Y25" s="23"/>
      <c r="Z25" s="23"/>
      <c r="AA25" s="23"/>
      <c r="AB25" s="23"/>
      <c r="AC25" s="23"/>
      <c r="AD25" s="23"/>
      <c r="AE25" s="23"/>
    </row>
    <row r="26" spans="1:31" s="2" customFormat="1" ht="18" customHeight="1">
      <c r="A26" s="662"/>
      <c r="B26" s="270"/>
      <c r="C26" s="662"/>
      <c r="D26" s="662"/>
      <c r="E26" s="651" t="s">
        <v>29</v>
      </c>
      <c r="F26" s="662"/>
      <c r="G26" s="662"/>
      <c r="H26" s="662"/>
      <c r="I26" s="663" t="s">
        <v>25</v>
      </c>
      <c r="J26" s="651" t="s">
        <v>3</v>
      </c>
      <c r="K26" s="662"/>
      <c r="L26" s="64"/>
      <c r="S26" s="23"/>
      <c r="T26" s="23"/>
      <c r="U26" s="23"/>
      <c r="V26" s="23"/>
      <c r="W26" s="23"/>
      <c r="X26" s="23"/>
      <c r="Y26" s="23"/>
      <c r="Z26" s="23"/>
      <c r="AA26" s="23"/>
      <c r="AB26" s="23"/>
      <c r="AC26" s="23"/>
      <c r="AD26" s="23"/>
      <c r="AE26" s="23"/>
    </row>
    <row r="27" spans="1:31" s="2" customFormat="1" ht="6.95" customHeight="1">
      <c r="A27" s="662"/>
      <c r="B27" s="270"/>
      <c r="C27" s="662"/>
      <c r="D27" s="662"/>
      <c r="E27" s="662"/>
      <c r="F27" s="662"/>
      <c r="G27" s="662"/>
      <c r="H27" s="662"/>
      <c r="I27" s="662"/>
      <c r="J27" s="662"/>
      <c r="K27" s="662"/>
      <c r="L27" s="64"/>
      <c r="S27" s="23"/>
      <c r="T27" s="23"/>
      <c r="U27" s="23"/>
      <c r="V27" s="23"/>
      <c r="W27" s="23"/>
      <c r="X27" s="23"/>
      <c r="Y27" s="23"/>
      <c r="Z27" s="23"/>
      <c r="AA27" s="23"/>
      <c r="AB27" s="23"/>
      <c r="AC27" s="23"/>
      <c r="AD27" s="23"/>
      <c r="AE27" s="23"/>
    </row>
    <row r="28" spans="1:31" s="2" customFormat="1" ht="12" customHeight="1">
      <c r="A28" s="662"/>
      <c r="B28" s="270"/>
      <c r="C28" s="662"/>
      <c r="D28" s="663" t="s">
        <v>32</v>
      </c>
      <c r="E28" s="662"/>
      <c r="F28" s="662"/>
      <c r="G28" s="662"/>
      <c r="H28" s="662"/>
      <c r="I28" s="662"/>
      <c r="J28" s="662"/>
      <c r="K28" s="662"/>
      <c r="L28" s="64"/>
      <c r="S28" s="23"/>
      <c r="T28" s="23"/>
      <c r="U28" s="23"/>
      <c r="V28" s="23"/>
      <c r="W28" s="23"/>
      <c r="X28" s="23"/>
      <c r="Y28" s="23"/>
      <c r="Z28" s="23"/>
      <c r="AA28" s="23"/>
      <c r="AB28" s="23"/>
      <c r="AC28" s="23"/>
      <c r="AD28" s="23"/>
      <c r="AE28" s="23"/>
    </row>
    <row r="29" spans="1:31" s="8" customFormat="1" ht="14.45" customHeight="1">
      <c r="A29" s="274"/>
      <c r="B29" s="275"/>
      <c r="C29" s="274"/>
      <c r="D29" s="274"/>
      <c r="E29" s="707" t="s">
        <v>3</v>
      </c>
      <c r="F29" s="707"/>
      <c r="G29" s="707"/>
      <c r="H29" s="707"/>
      <c r="I29" s="274"/>
      <c r="J29" s="274"/>
      <c r="K29" s="274"/>
      <c r="L29" s="66"/>
      <c r="S29" s="65"/>
      <c r="T29" s="65"/>
      <c r="U29" s="65"/>
      <c r="V29" s="65"/>
      <c r="W29" s="65"/>
      <c r="X29" s="65"/>
      <c r="Y29" s="65"/>
      <c r="Z29" s="65"/>
      <c r="AA29" s="65"/>
      <c r="AB29" s="65"/>
      <c r="AC29" s="65"/>
      <c r="AD29" s="65"/>
      <c r="AE29" s="65"/>
    </row>
    <row r="30" spans="1:31" s="2" customFormat="1" ht="6.95" customHeight="1">
      <c r="A30" s="662"/>
      <c r="B30" s="270"/>
      <c r="C30" s="662"/>
      <c r="D30" s="662"/>
      <c r="E30" s="662"/>
      <c r="F30" s="662"/>
      <c r="G30" s="662"/>
      <c r="H30" s="662"/>
      <c r="I30" s="662"/>
      <c r="J30" s="662"/>
      <c r="K30" s="662"/>
      <c r="L30" s="64"/>
      <c r="S30" s="23"/>
      <c r="T30" s="23"/>
      <c r="U30" s="23"/>
      <c r="V30" s="23"/>
      <c r="W30" s="23"/>
      <c r="X30" s="23"/>
      <c r="Y30" s="23"/>
      <c r="Z30" s="23"/>
      <c r="AA30" s="23"/>
      <c r="AB30" s="23"/>
      <c r="AC30" s="23"/>
      <c r="AD30" s="23"/>
      <c r="AE30" s="23"/>
    </row>
    <row r="31" spans="1:31" s="2" customFormat="1" ht="6.95" customHeight="1">
      <c r="A31" s="662"/>
      <c r="B31" s="270"/>
      <c r="C31" s="662"/>
      <c r="D31" s="276"/>
      <c r="E31" s="276"/>
      <c r="F31" s="276"/>
      <c r="G31" s="276"/>
      <c r="H31" s="276"/>
      <c r="I31" s="276"/>
      <c r="J31" s="276"/>
      <c r="K31" s="276"/>
      <c r="L31" s="64"/>
      <c r="S31" s="23"/>
      <c r="T31" s="23"/>
      <c r="U31" s="23"/>
      <c r="V31" s="23"/>
      <c r="W31" s="23"/>
      <c r="X31" s="23"/>
      <c r="Y31" s="23"/>
      <c r="Z31" s="23"/>
      <c r="AA31" s="23"/>
      <c r="AB31" s="23"/>
      <c r="AC31" s="23"/>
      <c r="AD31" s="23"/>
      <c r="AE31" s="23"/>
    </row>
    <row r="32" spans="1:31" s="2" customFormat="1" ht="25.35" customHeight="1">
      <c r="A32" s="662"/>
      <c r="B32" s="270"/>
      <c r="C32" s="662"/>
      <c r="D32" s="277" t="s">
        <v>34</v>
      </c>
      <c r="E32" s="662"/>
      <c r="F32" s="662"/>
      <c r="G32" s="662"/>
      <c r="H32" s="662"/>
      <c r="I32" s="662"/>
      <c r="J32" s="661">
        <f>ROUND(J87, 2)</f>
        <v>0</v>
      </c>
      <c r="K32" s="662"/>
      <c r="L32" s="64"/>
      <c r="S32" s="23"/>
      <c r="T32" s="23"/>
      <c r="U32" s="23"/>
      <c r="V32" s="23"/>
      <c r="W32" s="23"/>
      <c r="X32" s="23"/>
      <c r="Y32" s="23"/>
      <c r="Z32" s="23"/>
      <c r="AA32" s="23"/>
      <c r="AB32" s="23"/>
      <c r="AC32" s="23"/>
      <c r="AD32" s="23"/>
      <c r="AE32" s="23"/>
    </row>
    <row r="33" spans="1:31" s="2" customFormat="1" ht="6.95" customHeight="1">
      <c r="A33" s="662"/>
      <c r="B33" s="270"/>
      <c r="C33" s="662"/>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14.45" customHeight="1">
      <c r="A34" s="662"/>
      <c r="B34" s="270"/>
      <c r="C34" s="662"/>
      <c r="D34" s="662"/>
      <c r="E34" s="662"/>
      <c r="F34" s="657" t="s">
        <v>36</v>
      </c>
      <c r="G34" s="662"/>
      <c r="H34" s="662"/>
      <c r="I34" s="657" t="s">
        <v>35</v>
      </c>
      <c r="J34" s="657" t="s">
        <v>37</v>
      </c>
      <c r="K34" s="662"/>
      <c r="L34" s="64"/>
      <c r="S34" s="23"/>
      <c r="T34" s="23"/>
      <c r="U34" s="23"/>
      <c r="V34" s="23"/>
      <c r="W34" s="23"/>
      <c r="X34" s="23"/>
      <c r="Y34" s="23"/>
      <c r="Z34" s="23"/>
      <c r="AA34" s="23"/>
      <c r="AB34" s="23"/>
      <c r="AC34" s="23"/>
      <c r="AD34" s="23"/>
      <c r="AE34" s="23"/>
    </row>
    <row r="35" spans="1:31" s="2" customFormat="1" ht="14.45" customHeight="1">
      <c r="A35" s="662"/>
      <c r="B35" s="270"/>
      <c r="C35" s="662"/>
      <c r="D35" s="664" t="s">
        <v>38</v>
      </c>
      <c r="E35" s="663" t="s">
        <v>39</v>
      </c>
      <c r="F35" s="280">
        <f>ROUND((SUM(BE87:BE90)),  2)</f>
        <v>0</v>
      </c>
      <c r="G35" s="662"/>
      <c r="H35" s="662"/>
      <c r="I35" s="389">
        <v>0.21</v>
      </c>
      <c r="J35" s="280">
        <f>ROUND(((SUM(BE87:BE90))*I35),  2)</f>
        <v>0</v>
      </c>
      <c r="K35" s="662"/>
      <c r="L35" s="64"/>
      <c r="S35" s="23"/>
      <c r="T35" s="23"/>
      <c r="U35" s="23"/>
      <c r="V35" s="23"/>
      <c r="W35" s="23"/>
      <c r="X35" s="23"/>
      <c r="Y35" s="23"/>
      <c r="Z35" s="23"/>
      <c r="AA35" s="23"/>
      <c r="AB35" s="23"/>
      <c r="AC35" s="23"/>
      <c r="AD35" s="23"/>
      <c r="AE35" s="23"/>
    </row>
    <row r="36" spans="1:31" s="2" customFormat="1" ht="14.45" customHeight="1">
      <c r="A36" s="662"/>
      <c r="B36" s="270"/>
      <c r="C36" s="662"/>
      <c r="D36" s="662"/>
      <c r="E36" s="663" t="s">
        <v>40</v>
      </c>
      <c r="F36" s="280">
        <f>ROUND((SUM(BF87:BF90)),  2)</f>
        <v>0</v>
      </c>
      <c r="G36" s="662"/>
      <c r="H36" s="662"/>
      <c r="I36" s="389">
        <v>0.15</v>
      </c>
      <c r="J36" s="280">
        <f>ROUND(((SUM(BF87:BF90))*I36),  2)</f>
        <v>0</v>
      </c>
      <c r="K36" s="662"/>
      <c r="L36" s="64"/>
      <c r="S36" s="23"/>
      <c r="T36" s="23"/>
      <c r="U36" s="23"/>
      <c r="V36" s="23"/>
      <c r="W36" s="23"/>
      <c r="X36" s="23"/>
      <c r="Y36" s="23"/>
      <c r="Z36" s="23"/>
      <c r="AA36" s="23"/>
      <c r="AB36" s="23"/>
      <c r="AC36" s="23"/>
      <c r="AD36" s="23"/>
      <c r="AE36" s="23"/>
    </row>
    <row r="37" spans="1:31" s="2" customFormat="1" ht="14.45" hidden="1" customHeight="1">
      <c r="A37" s="662"/>
      <c r="B37" s="270"/>
      <c r="C37" s="662"/>
      <c r="D37" s="662"/>
      <c r="E37" s="663" t="s">
        <v>41</v>
      </c>
      <c r="F37" s="280">
        <f>ROUND((SUM(BG87:BG90)),  2)</f>
        <v>0</v>
      </c>
      <c r="G37" s="662"/>
      <c r="H37" s="662"/>
      <c r="I37" s="389">
        <v>0.21</v>
      </c>
      <c r="J37" s="280">
        <f>0</f>
        <v>0</v>
      </c>
      <c r="K37" s="662"/>
      <c r="L37" s="64"/>
      <c r="S37" s="23"/>
      <c r="T37" s="23"/>
      <c r="U37" s="23"/>
      <c r="V37" s="23"/>
      <c r="W37" s="23"/>
      <c r="X37" s="23"/>
      <c r="Y37" s="23"/>
      <c r="Z37" s="23"/>
      <c r="AA37" s="23"/>
      <c r="AB37" s="23"/>
      <c r="AC37" s="23"/>
      <c r="AD37" s="23"/>
      <c r="AE37" s="23"/>
    </row>
    <row r="38" spans="1:31" s="2" customFormat="1" ht="14.45" hidden="1" customHeight="1">
      <c r="A38" s="662"/>
      <c r="B38" s="270"/>
      <c r="C38" s="662"/>
      <c r="D38" s="662"/>
      <c r="E38" s="663" t="s">
        <v>42</v>
      </c>
      <c r="F38" s="280">
        <f>ROUND((SUM(BH87:BH90)),  2)</f>
        <v>0</v>
      </c>
      <c r="G38" s="662"/>
      <c r="H38" s="662"/>
      <c r="I38" s="389">
        <v>0.15</v>
      </c>
      <c r="J38" s="280">
        <f>0</f>
        <v>0</v>
      </c>
      <c r="K38" s="662"/>
      <c r="L38" s="64"/>
      <c r="S38" s="23"/>
      <c r="T38" s="23"/>
      <c r="U38" s="23"/>
      <c r="V38" s="23"/>
      <c r="W38" s="23"/>
      <c r="X38" s="23"/>
      <c r="Y38" s="23"/>
      <c r="Z38" s="23"/>
      <c r="AA38" s="23"/>
      <c r="AB38" s="23"/>
      <c r="AC38" s="23"/>
      <c r="AD38" s="23"/>
      <c r="AE38" s="23"/>
    </row>
    <row r="39" spans="1:31" s="2" customFormat="1" ht="14.45" hidden="1" customHeight="1">
      <c r="A39" s="662"/>
      <c r="B39" s="270"/>
      <c r="C39" s="662"/>
      <c r="D39" s="662"/>
      <c r="E39" s="663" t="s">
        <v>43</v>
      </c>
      <c r="F39" s="280">
        <f>ROUND((SUM(BI87:BI90)),  2)</f>
        <v>0</v>
      </c>
      <c r="G39" s="662"/>
      <c r="H39" s="662"/>
      <c r="I39" s="389">
        <v>0</v>
      </c>
      <c r="J39" s="280">
        <f>0</f>
        <v>0</v>
      </c>
      <c r="K39" s="662"/>
      <c r="L39" s="64"/>
      <c r="S39" s="23"/>
      <c r="T39" s="23"/>
      <c r="U39" s="23"/>
      <c r="V39" s="23"/>
      <c r="W39" s="23"/>
      <c r="X39" s="23"/>
      <c r="Y39" s="23"/>
      <c r="Z39" s="23"/>
      <c r="AA39" s="23"/>
      <c r="AB39" s="23"/>
      <c r="AC39" s="23"/>
      <c r="AD39" s="23"/>
      <c r="AE39" s="23"/>
    </row>
    <row r="40" spans="1:31" s="2" customFormat="1" ht="6.95" customHeight="1">
      <c r="A40" s="662"/>
      <c r="B40" s="270"/>
      <c r="C40" s="662"/>
      <c r="D40" s="662"/>
      <c r="E40" s="662"/>
      <c r="F40" s="662"/>
      <c r="G40" s="662"/>
      <c r="H40" s="662"/>
      <c r="I40" s="662"/>
      <c r="J40" s="662"/>
      <c r="K40" s="662"/>
      <c r="L40" s="64"/>
      <c r="S40" s="23"/>
      <c r="T40" s="23"/>
      <c r="U40" s="23"/>
      <c r="V40" s="23"/>
      <c r="W40" s="23"/>
      <c r="X40" s="23"/>
      <c r="Y40" s="23"/>
      <c r="Z40" s="23"/>
      <c r="AA40" s="23"/>
      <c r="AB40" s="23"/>
      <c r="AC40" s="23"/>
      <c r="AD40" s="23"/>
      <c r="AE40" s="23"/>
    </row>
    <row r="41" spans="1:31" s="2" customFormat="1" ht="25.35" customHeight="1">
      <c r="A41" s="662"/>
      <c r="B41" s="270"/>
      <c r="C41" s="281"/>
      <c r="D41" s="282" t="s">
        <v>44</v>
      </c>
      <c r="E41" s="283"/>
      <c r="F41" s="283"/>
      <c r="G41" s="284" t="s">
        <v>45</v>
      </c>
      <c r="H41" s="285" t="s">
        <v>46</v>
      </c>
      <c r="I41" s="283"/>
      <c r="J41" s="390">
        <f>SUM(J32:J39)</f>
        <v>0</v>
      </c>
      <c r="K41" s="339"/>
      <c r="L41" s="64"/>
      <c r="S41" s="23"/>
      <c r="T41" s="23"/>
      <c r="U41" s="23"/>
      <c r="V41" s="23"/>
      <c r="W41" s="23"/>
      <c r="X41" s="23"/>
      <c r="Y41" s="23"/>
      <c r="Z41" s="23"/>
      <c r="AA41" s="23"/>
      <c r="AB41" s="23"/>
      <c r="AC41" s="23"/>
      <c r="AD41" s="23"/>
      <c r="AE41" s="23"/>
    </row>
    <row r="42" spans="1:31" s="2" customFormat="1" ht="14.45" customHeight="1">
      <c r="A42" s="662"/>
      <c r="B42" s="286"/>
      <c r="C42" s="287"/>
      <c r="D42" s="287"/>
      <c r="E42" s="287"/>
      <c r="F42" s="287"/>
      <c r="G42" s="287"/>
      <c r="H42" s="287"/>
      <c r="I42" s="287"/>
      <c r="J42" s="287"/>
      <c r="K42" s="287"/>
      <c r="L42" s="64"/>
      <c r="S42" s="23"/>
      <c r="T42" s="23"/>
      <c r="U42" s="23"/>
      <c r="V42" s="23"/>
      <c r="W42" s="23"/>
      <c r="X42" s="23"/>
      <c r="Y42" s="23"/>
      <c r="Z42" s="23"/>
      <c r="AA42" s="23"/>
      <c r="AB42" s="23"/>
      <c r="AC42" s="23"/>
      <c r="AD42" s="23"/>
      <c r="AE42" s="23"/>
    </row>
    <row r="43" spans="1:31">
      <c r="A43" s="652"/>
      <c r="B43" s="652"/>
      <c r="C43" s="652"/>
      <c r="D43" s="652"/>
      <c r="E43" s="652"/>
      <c r="F43" s="652"/>
      <c r="G43" s="652"/>
      <c r="H43" s="652"/>
      <c r="I43" s="652"/>
      <c r="J43" s="652"/>
      <c r="K43" s="652"/>
    </row>
    <row r="44" spans="1:31">
      <c r="A44" s="652"/>
      <c r="B44" s="652"/>
      <c r="C44" s="652"/>
      <c r="D44" s="652"/>
      <c r="E44" s="652"/>
      <c r="F44" s="652"/>
      <c r="G44" s="652"/>
      <c r="H44" s="652"/>
      <c r="I44" s="652"/>
      <c r="J44" s="652"/>
      <c r="K44" s="652"/>
    </row>
    <row r="45" spans="1:31">
      <c r="A45" s="652"/>
      <c r="B45" s="652"/>
      <c r="C45" s="652"/>
      <c r="D45" s="652"/>
      <c r="E45" s="652"/>
      <c r="F45" s="652"/>
      <c r="G45" s="652"/>
      <c r="H45" s="652"/>
      <c r="I45" s="652"/>
      <c r="J45" s="652"/>
      <c r="K45" s="652"/>
    </row>
    <row r="46" spans="1:31" s="2" customFormat="1" ht="6.95" customHeight="1">
      <c r="A46" s="662"/>
      <c r="B46" s="288"/>
      <c r="C46" s="289"/>
      <c r="D46" s="289"/>
      <c r="E46" s="289"/>
      <c r="F46" s="289"/>
      <c r="G46" s="289"/>
      <c r="H46" s="289"/>
      <c r="I46" s="289"/>
      <c r="J46" s="289"/>
      <c r="K46" s="289"/>
      <c r="L46" s="64"/>
      <c r="S46" s="23"/>
      <c r="T46" s="23"/>
      <c r="U46" s="23"/>
      <c r="V46" s="23"/>
      <c r="W46" s="23"/>
      <c r="X46" s="23"/>
      <c r="Y46" s="23"/>
      <c r="Z46" s="23"/>
      <c r="AA46" s="23"/>
      <c r="AB46" s="23"/>
      <c r="AC46" s="23"/>
      <c r="AD46" s="23"/>
      <c r="AE46" s="23"/>
    </row>
    <row r="47" spans="1:31" s="2" customFormat="1" ht="24.95" customHeight="1">
      <c r="A47" s="662"/>
      <c r="B47" s="270"/>
      <c r="C47" s="266" t="s">
        <v>167</v>
      </c>
      <c r="D47" s="662"/>
      <c r="E47" s="662"/>
      <c r="F47" s="662"/>
      <c r="G47" s="662"/>
      <c r="H47" s="662"/>
      <c r="I47" s="662"/>
      <c r="J47" s="662"/>
      <c r="K47" s="662"/>
      <c r="L47" s="64"/>
      <c r="S47" s="23"/>
      <c r="T47" s="23"/>
      <c r="U47" s="23"/>
      <c r="V47" s="23"/>
      <c r="W47" s="23"/>
      <c r="X47" s="23"/>
      <c r="Y47" s="23"/>
      <c r="Z47" s="23"/>
      <c r="AA47" s="23"/>
      <c r="AB47" s="23"/>
      <c r="AC47" s="23"/>
      <c r="AD47" s="23"/>
      <c r="AE47" s="23"/>
    </row>
    <row r="48" spans="1:31" s="2" customFormat="1" ht="6.95" customHeight="1">
      <c r="A48" s="662"/>
      <c r="B48" s="270"/>
      <c r="C48" s="662"/>
      <c r="D48" s="662"/>
      <c r="E48" s="662"/>
      <c r="F48" s="662"/>
      <c r="G48" s="662"/>
      <c r="H48" s="662"/>
      <c r="I48" s="662"/>
      <c r="J48" s="662"/>
      <c r="K48" s="662"/>
      <c r="L48" s="64"/>
      <c r="S48" s="23"/>
      <c r="T48" s="23"/>
      <c r="U48" s="23"/>
      <c r="V48" s="23"/>
      <c r="W48" s="23"/>
      <c r="X48" s="23"/>
      <c r="Y48" s="23"/>
      <c r="Z48" s="23"/>
      <c r="AA48" s="23"/>
      <c r="AB48" s="23"/>
      <c r="AC48" s="23"/>
      <c r="AD48" s="23"/>
      <c r="AE48" s="23"/>
    </row>
    <row r="49" spans="1:47" s="2" customFormat="1" ht="12" customHeight="1">
      <c r="A49" s="662"/>
      <c r="B49" s="270"/>
      <c r="C49" s="663" t="s">
        <v>15</v>
      </c>
      <c r="D49" s="662"/>
      <c r="E49" s="662"/>
      <c r="F49" s="662"/>
      <c r="G49" s="662"/>
      <c r="H49" s="662"/>
      <c r="I49" s="662"/>
      <c r="J49" s="662"/>
      <c r="K49" s="662"/>
      <c r="L49" s="64"/>
      <c r="S49" s="23"/>
      <c r="T49" s="23"/>
      <c r="U49" s="23"/>
      <c r="V49" s="23"/>
      <c r="W49" s="23"/>
      <c r="X49" s="23"/>
      <c r="Y49" s="23"/>
      <c r="Z49" s="23"/>
      <c r="AA49" s="23"/>
      <c r="AB49" s="23"/>
      <c r="AC49" s="23"/>
      <c r="AD49" s="23"/>
      <c r="AE49" s="23"/>
    </row>
    <row r="50" spans="1:47" s="2" customFormat="1" ht="14.45" customHeight="1">
      <c r="A50" s="662"/>
      <c r="B50" s="270"/>
      <c r="C50" s="662"/>
      <c r="D50" s="662"/>
      <c r="E50" s="722" t="str">
        <f>E7</f>
        <v>Úpravy gastroprovozu Úřadu vlády ČR v 1.pp Strakovy akademie</v>
      </c>
      <c r="F50" s="723"/>
      <c r="G50" s="723"/>
      <c r="H50" s="723"/>
      <c r="I50" s="662"/>
      <c r="J50" s="662"/>
      <c r="K50" s="662"/>
      <c r="L50" s="64"/>
      <c r="S50" s="23"/>
      <c r="T50" s="23"/>
      <c r="U50" s="23"/>
      <c r="V50" s="23"/>
      <c r="W50" s="23"/>
      <c r="X50" s="23"/>
      <c r="Y50" s="23"/>
      <c r="Z50" s="23"/>
      <c r="AA50" s="23"/>
      <c r="AB50" s="23"/>
      <c r="AC50" s="23"/>
      <c r="AD50" s="23"/>
      <c r="AE50" s="23"/>
    </row>
    <row r="51" spans="1:47" s="1" customFormat="1" ht="12" customHeight="1">
      <c r="A51" s="652"/>
      <c r="B51" s="265"/>
      <c r="C51" s="663" t="s">
        <v>151</v>
      </c>
      <c r="D51" s="652"/>
      <c r="E51" s="652"/>
      <c r="F51" s="652"/>
      <c r="G51" s="652"/>
      <c r="H51" s="652"/>
      <c r="I51" s="652"/>
      <c r="J51" s="652"/>
      <c r="K51" s="652"/>
      <c r="L51" s="20"/>
    </row>
    <row r="52" spans="1:47" s="2" customFormat="1" ht="14.45" customHeight="1">
      <c r="A52" s="662"/>
      <c r="B52" s="270"/>
      <c r="C52" s="662"/>
      <c r="D52" s="662"/>
      <c r="E52" s="722" t="s">
        <v>1759</v>
      </c>
      <c r="F52" s="721"/>
      <c r="G52" s="721"/>
      <c r="H52" s="721"/>
      <c r="I52" s="662"/>
      <c r="J52" s="662"/>
      <c r="K52" s="662"/>
      <c r="L52" s="64"/>
      <c r="S52" s="23"/>
      <c r="T52" s="23"/>
      <c r="U52" s="23"/>
      <c r="V52" s="23"/>
      <c r="W52" s="23"/>
      <c r="X52" s="23"/>
      <c r="Y52" s="23"/>
      <c r="Z52" s="23"/>
      <c r="AA52" s="23"/>
      <c r="AB52" s="23"/>
      <c r="AC52" s="23"/>
      <c r="AD52" s="23"/>
      <c r="AE52" s="23"/>
    </row>
    <row r="53" spans="1:47" s="2" customFormat="1" ht="12" customHeight="1">
      <c r="A53" s="662"/>
      <c r="B53" s="270"/>
      <c r="C53" s="663" t="s">
        <v>157</v>
      </c>
      <c r="D53" s="662"/>
      <c r="E53" s="662"/>
      <c r="F53" s="662"/>
      <c r="G53" s="662"/>
      <c r="H53" s="662"/>
      <c r="I53" s="662"/>
      <c r="J53" s="662"/>
      <c r="K53" s="662"/>
      <c r="L53" s="64"/>
      <c r="S53" s="23"/>
      <c r="T53" s="23"/>
      <c r="U53" s="23"/>
      <c r="V53" s="23"/>
      <c r="W53" s="23"/>
      <c r="X53" s="23"/>
      <c r="Y53" s="23"/>
      <c r="Z53" s="23"/>
      <c r="AA53" s="23"/>
      <c r="AB53" s="23"/>
      <c r="AC53" s="23"/>
      <c r="AD53" s="23"/>
      <c r="AE53" s="23"/>
    </row>
    <row r="54" spans="1:47" s="2" customFormat="1" ht="14.45" customHeight="1">
      <c r="A54" s="662"/>
      <c r="B54" s="270"/>
      <c r="C54" s="662"/>
      <c r="D54" s="662"/>
      <c r="E54" s="689" t="str">
        <f>E11</f>
        <v>D.1.4.07 - Soupis prací - Servis</v>
      </c>
      <c r="F54" s="721"/>
      <c r="G54" s="721"/>
      <c r="H54" s="721"/>
      <c r="I54" s="662"/>
      <c r="J54" s="662"/>
      <c r="K54" s="662"/>
      <c r="L54" s="64"/>
      <c r="S54" s="23"/>
      <c r="T54" s="23"/>
      <c r="U54" s="23"/>
      <c r="V54" s="23"/>
      <c r="W54" s="23"/>
      <c r="X54" s="23"/>
      <c r="Y54" s="23"/>
      <c r="Z54" s="23"/>
      <c r="AA54" s="23"/>
      <c r="AB54" s="23"/>
      <c r="AC54" s="23"/>
      <c r="AD54" s="23"/>
      <c r="AE54" s="23"/>
    </row>
    <row r="55" spans="1:47" s="2" customFormat="1" ht="6.95" customHeight="1">
      <c r="A55" s="662"/>
      <c r="B55" s="270"/>
      <c r="C55" s="662"/>
      <c r="D55" s="662"/>
      <c r="E55" s="662"/>
      <c r="F55" s="662"/>
      <c r="G55" s="662"/>
      <c r="H55" s="662"/>
      <c r="I55" s="662"/>
      <c r="J55" s="662"/>
      <c r="K55" s="662"/>
      <c r="L55" s="64"/>
      <c r="S55" s="23"/>
      <c r="T55" s="23"/>
      <c r="U55" s="23"/>
      <c r="V55" s="23"/>
      <c r="W55" s="23"/>
      <c r="X55" s="23"/>
      <c r="Y55" s="23"/>
      <c r="Z55" s="23"/>
      <c r="AA55" s="23"/>
      <c r="AB55" s="23"/>
      <c r="AC55" s="23"/>
      <c r="AD55" s="23"/>
      <c r="AE55" s="23"/>
    </row>
    <row r="56" spans="1:47" s="2" customFormat="1" ht="12" customHeight="1">
      <c r="A56" s="662"/>
      <c r="B56" s="270"/>
      <c r="C56" s="663" t="s">
        <v>19</v>
      </c>
      <c r="D56" s="662"/>
      <c r="E56" s="662"/>
      <c r="F56" s="651" t="str">
        <f>F14</f>
        <v xml:space="preserve"> </v>
      </c>
      <c r="G56" s="662"/>
      <c r="H56" s="662"/>
      <c r="I56" s="663" t="s">
        <v>21</v>
      </c>
      <c r="J56" s="660">
        <f>IF(J14="","",J14)</f>
        <v>44077</v>
      </c>
      <c r="K56" s="662"/>
      <c r="L56" s="64"/>
      <c r="S56" s="23"/>
      <c r="T56" s="23"/>
      <c r="U56" s="23"/>
      <c r="V56" s="23"/>
      <c r="W56" s="23"/>
      <c r="X56" s="23"/>
      <c r="Y56" s="23"/>
      <c r="Z56" s="23"/>
      <c r="AA56" s="23"/>
      <c r="AB56" s="23"/>
      <c r="AC56" s="23"/>
      <c r="AD56" s="23"/>
      <c r="AE56" s="23"/>
    </row>
    <row r="57" spans="1:47" s="2" customFormat="1" ht="6.95" customHeight="1">
      <c r="A57" s="662"/>
      <c r="B57" s="270"/>
      <c r="C57" s="662"/>
      <c r="D57" s="662"/>
      <c r="E57" s="662"/>
      <c r="F57" s="662"/>
      <c r="G57" s="662"/>
      <c r="H57" s="662"/>
      <c r="I57" s="662"/>
      <c r="J57" s="662"/>
      <c r="K57" s="662"/>
      <c r="L57" s="64"/>
      <c r="S57" s="23"/>
      <c r="T57" s="23"/>
      <c r="U57" s="23"/>
      <c r="V57" s="23"/>
      <c r="W57" s="23"/>
      <c r="X57" s="23"/>
      <c r="Y57" s="23"/>
      <c r="Z57" s="23"/>
      <c r="AA57" s="23"/>
      <c r="AB57" s="23"/>
      <c r="AC57" s="23"/>
      <c r="AD57" s="23"/>
      <c r="AE57" s="23"/>
    </row>
    <row r="58" spans="1:47" s="2" customFormat="1" ht="26.45" customHeight="1">
      <c r="A58" s="662"/>
      <c r="B58" s="270"/>
      <c r="C58" s="663" t="s">
        <v>22</v>
      </c>
      <c r="D58" s="662"/>
      <c r="E58" s="662"/>
      <c r="F58" s="651" t="str">
        <f>E17</f>
        <v xml:space="preserve">Úřad vlády České republiky </v>
      </c>
      <c r="G58" s="662"/>
      <c r="H58" s="662"/>
      <c r="I58" s="663" t="s">
        <v>28</v>
      </c>
      <c r="J58" s="655" t="str">
        <f>E23</f>
        <v>Ateliér Simona Group</v>
      </c>
      <c r="K58" s="662"/>
      <c r="L58" s="64"/>
      <c r="S58" s="23"/>
      <c r="T58" s="23"/>
      <c r="U58" s="23"/>
      <c r="V58" s="23"/>
      <c r="W58" s="23"/>
      <c r="X58" s="23"/>
      <c r="Y58" s="23"/>
      <c r="Z58" s="23"/>
      <c r="AA58" s="23"/>
      <c r="AB58" s="23"/>
      <c r="AC58" s="23"/>
      <c r="AD58" s="23"/>
      <c r="AE58" s="23"/>
    </row>
    <row r="59" spans="1:47" s="2" customFormat="1" ht="26.45" customHeight="1">
      <c r="A59" s="662"/>
      <c r="B59" s="270"/>
      <c r="C59" s="663" t="s">
        <v>26</v>
      </c>
      <c r="D59" s="662"/>
      <c r="E59" s="662"/>
      <c r="F59" s="651" t="str">
        <f>IF(E20="","",E20)</f>
        <v xml:space="preserve"> </v>
      </c>
      <c r="G59" s="662"/>
      <c r="H59" s="662"/>
      <c r="I59" s="663" t="s">
        <v>31</v>
      </c>
      <c r="J59" s="655" t="str">
        <f>E26</f>
        <v>Ateliér Simona Group</v>
      </c>
      <c r="K59" s="662"/>
      <c r="L59" s="64"/>
      <c r="S59" s="23"/>
      <c r="T59" s="23"/>
      <c r="U59" s="23"/>
      <c r="V59" s="23"/>
      <c r="W59" s="23"/>
      <c r="X59" s="23"/>
      <c r="Y59" s="23"/>
      <c r="Z59" s="23"/>
      <c r="AA59" s="23"/>
      <c r="AB59" s="23"/>
      <c r="AC59" s="23"/>
      <c r="AD59" s="23"/>
      <c r="AE59" s="23"/>
    </row>
    <row r="60" spans="1:47" s="2" customFormat="1" ht="10.35" customHeight="1">
      <c r="A60" s="662"/>
      <c r="B60" s="270"/>
      <c r="C60" s="662"/>
      <c r="D60" s="662"/>
      <c r="E60" s="662"/>
      <c r="F60" s="662"/>
      <c r="G60" s="662"/>
      <c r="H60" s="662"/>
      <c r="I60" s="662"/>
      <c r="J60" s="662"/>
      <c r="K60" s="662"/>
      <c r="L60" s="64"/>
      <c r="S60" s="23"/>
      <c r="T60" s="23"/>
      <c r="U60" s="23"/>
      <c r="V60" s="23"/>
      <c r="W60" s="23"/>
      <c r="X60" s="23"/>
      <c r="Y60" s="23"/>
      <c r="Z60" s="23"/>
      <c r="AA60" s="23"/>
      <c r="AB60" s="23"/>
      <c r="AC60" s="23"/>
      <c r="AD60" s="23"/>
      <c r="AE60" s="23"/>
    </row>
    <row r="61" spans="1:47" s="2" customFormat="1" ht="29.25" customHeight="1">
      <c r="A61" s="662"/>
      <c r="B61" s="270"/>
      <c r="C61" s="290" t="s">
        <v>168</v>
      </c>
      <c r="D61" s="281"/>
      <c r="E61" s="281"/>
      <c r="F61" s="281"/>
      <c r="G61" s="281"/>
      <c r="H61" s="281"/>
      <c r="I61" s="281"/>
      <c r="J61" s="392" t="s">
        <v>169</v>
      </c>
      <c r="K61" s="281"/>
      <c r="L61" s="64"/>
      <c r="S61" s="23"/>
      <c r="T61" s="23"/>
      <c r="U61" s="23"/>
      <c r="V61" s="23"/>
      <c r="W61" s="23"/>
      <c r="X61" s="23"/>
      <c r="Y61" s="23"/>
      <c r="Z61" s="23"/>
      <c r="AA61" s="23"/>
      <c r="AB61" s="23"/>
      <c r="AC61" s="23"/>
      <c r="AD61" s="23"/>
      <c r="AE61" s="23"/>
    </row>
    <row r="62" spans="1:47" s="2" customFormat="1" ht="10.35" customHeight="1">
      <c r="A62" s="662"/>
      <c r="B62" s="270"/>
      <c r="C62" s="662"/>
      <c r="D62" s="662"/>
      <c r="E62" s="662"/>
      <c r="F62" s="662"/>
      <c r="G62" s="662"/>
      <c r="H62" s="662"/>
      <c r="I62" s="662"/>
      <c r="J62" s="662"/>
      <c r="K62" s="662"/>
      <c r="L62" s="64"/>
      <c r="S62" s="23"/>
      <c r="T62" s="23"/>
      <c r="U62" s="23"/>
      <c r="V62" s="23"/>
      <c r="W62" s="23"/>
      <c r="X62" s="23"/>
      <c r="Y62" s="23"/>
      <c r="Z62" s="23"/>
      <c r="AA62" s="23"/>
      <c r="AB62" s="23"/>
      <c r="AC62" s="23"/>
      <c r="AD62" s="23"/>
      <c r="AE62" s="23"/>
    </row>
    <row r="63" spans="1:47" s="2" customFormat="1" ht="22.9" customHeight="1">
      <c r="A63" s="662"/>
      <c r="B63" s="270"/>
      <c r="C63" s="291" t="s">
        <v>66</v>
      </c>
      <c r="D63" s="662"/>
      <c r="E63" s="662"/>
      <c r="F63" s="662"/>
      <c r="G63" s="662"/>
      <c r="H63" s="662"/>
      <c r="I63" s="662"/>
      <c r="J63" s="661">
        <f>J87</f>
        <v>0</v>
      </c>
      <c r="K63" s="662"/>
      <c r="L63" s="64"/>
      <c r="S63" s="23"/>
      <c r="T63" s="23"/>
      <c r="U63" s="23"/>
      <c r="V63" s="23"/>
      <c r="W63" s="23"/>
      <c r="X63" s="23"/>
      <c r="Y63" s="23"/>
      <c r="Z63" s="23"/>
      <c r="AA63" s="23"/>
      <c r="AB63" s="23"/>
      <c r="AC63" s="23"/>
      <c r="AD63" s="23"/>
      <c r="AE63" s="23"/>
      <c r="AU63" s="19" t="s">
        <v>170</v>
      </c>
    </row>
    <row r="64" spans="1:47" s="9" customFormat="1" ht="24.95" customHeight="1">
      <c r="A64" s="292"/>
      <c r="B64" s="293"/>
      <c r="C64" s="292"/>
      <c r="D64" s="294" t="s">
        <v>1761</v>
      </c>
      <c r="E64" s="295"/>
      <c r="F64" s="295"/>
      <c r="G64" s="295"/>
      <c r="H64" s="295"/>
      <c r="I64" s="295"/>
      <c r="J64" s="393">
        <f>J88</f>
        <v>0</v>
      </c>
      <c r="K64" s="292"/>
      <c r="L64" s="67"/>
    </row>
    <row r="65" spans="1:31" s="10" customFormat="1" ht="19.899999999999999" customHeight="1">
      <c r="A65" s="649"/>
      <c r="B65" s="296"/>
      <c r="C65" s="649"/>
      <c r="D65" s="297" t="s">
        <v>3473</v>
      </c>
      <c r="E65" s="298"/>
      <c r="F65" s="298"/>
      <c r="G65" s="298"/>
      <c r="H65" s="298"/>
      <c r="I65" s="298"/>
      <c r="J65" s="394">
        <f>J89</f>
        <v>0</v>
      </c>
      <c r="K65" s="649"/>
      <c r="L65" s="68"/>
    </row>
    <row r="66" spans="1:31" s="2" customFormat="1" ht="21.75" customHeight="1">
      <c r="A66" s="662"/>
      <c r="B66" s="270"/>
      <c r="C66" s="662"/>
      <c r="D66" s="662"/>
      <c r="E66" s="662"/>
      <c r="F66" s="662"/>
      <c r="G66" s="662"/>
      <c r="H66" s="662"/>
      <c r="I66" s="662"/>
      <c r="J66" s="662"/>
      <c r="K66" s="662"/>
      <c r="L66" s="64"/>
      <c r="S66" s="23"/>
      <c r="T66" s="23"/>
      <c r="U66" s="23"/>
      <c r="V66" s="23"/>
      <c r="W66" s="23"/>
      <c r="X66" s="23"/>
      <c r="Y66" s="23"/>
      <c r="Z66" s="23"/>
      <c r="AA66" s="23"/>
      <c r="AB66" s="23"/>
      <c r="AC66" s="23"/>
      <c r="AD66" s="23"/>
      <c r="AE66" s="23"/>
    </row>
    <row r="67" spans="1:31" s="2" customFormat="1" ht="6.95" customHeight="1">
      <c r="A67" s="662"/>
      <c r="B67" s="286"/>
      <c r="C67" s="287"/>
      <c r="D67" s="287"/>
      <c r="E67" s="287"/>
      <c r="F67" s="287"/>
      <c r="G67" s="287"/>
      <c r="H67" s="287"/>
      <c r="I67" s="287"/>
      <c r="J67" s="287"/>
      <c r="K67" s="287"/>
      <c r="L67" s="64"/>
      <c r="S67" s="23"/>
      <c r="T67" s="23"/>
      <c r="U67" s="23"/>
      <c r="V67" s="23"/>
      <c r="W67" s="23"/>
      <c r="X67" s="23"/>
      <c r="Y67" s="23"/>
      <c r="Z67" s="23"/>
      <c r="AA67" s="23"/>
      <c r="AB67" s="23"/>
      <c r="AC67" s="23"/>
      <c r="AD67" s="23"/>
      <c r="AE67" s="23"/>
    </row>
    <row r="68" spans="1:31">
      <c r="A68" s="652"/>
      <c r="B68" s="652"/>
      <c r="C68" s="652"/>
      <c r="D68" s="652"/>
      <c r="E68" s="652"/>
      <c r="F68" s="652"/>
      <c r="G68" s="652"/>
      <c r="H68" s="652"/>
      <c r="I68" s="652"/>
      <c r="J68" s="652"/>
      <c r="K68" s="652"/>
    </row>
    <row r="69" spans="1:31">
      <c r="A69" s="652"/>
      <c r="B69" s="652"/>
      <c r="C69" s="652"/>
      <c r="D69" s="652"/>
      <c r="E69" s="652"/>
      <c r="F69" s="652"/>
      <c r="G69" s="652"/>
      <c r="H69" s="652"/>
      <c r="I69" s="652"/>
      <c r="J69" s="652"/>
      <c r="K69" s="652"/>
    </row>
    <row r="70" spans="1:31">
      <c r="A70" s="652"/>
      <c r="B70" s="652"/>
      <c r="C70" s="652"/>
      <c r="D70" s="652"/>
      <c r="E70" s="652"/>
      <c r="F70" s="652"/>
      <c r="G70" s="652"/>
      <c r="H70" s="652"/>
      <c r="I70" s="652"/>
      <c r="J70" s="652"/>
      <c r="K70" s="652"/>
    </row>
    <row r="71" spans="1:31" s="2" customFormat="1" ht="6.95" customHeight="1">
      <c r="A71" s="662"/>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31" s="2" customFormat="1" ht="24.95" customHeight="1">
      <c r="A72" s="662"/>
      <c r="B72" s="270"/>
      <c r="C72" s="266" t="s">
        <v>201</v>
      </c>
      <c r="D72" s="662"/>
      <c r="E72" s="662"/>
      <c r="F72" s="662"/>
      <c r="G72" s="662"/>
      <c r="H72" s="662"/>
      <c r="I72" s="662"/>
      <c r="J72" s="662"/>
      <c r="K72" s="662"/>
      <c r="L72" s="64"/>
      <c r="S72" s="23"/>
      <c r="T72" s="23"/>
      <c r="U72" s="23"/>
      <c r="V72" s="23"/>
      <c r="W72" s="23"/>
      <c r="X72" s="23"/>
      <c r="Y72" s="23"/>
      <c r="Z72" s="23"/>
      <c r="AA72" s="23"/>
      <c r="AB72" s="23"/>
      <c r="AC72" s="23"/>
      <c r="AD72" s="23"/>
      <c r="AE72" s="23"/>
    </row>
    <row r="73" spans="1:31" s="2" customFormat="1" ht="6.95" customHeight="1">
      <c r="A73" s="662"/>
      <c r="B73" s="270"/>
      <c r="C73" s="662"/>
      <c r="D73" s="662"/>
      <c r="E73" s="662"/>
      <c r="F73" s="662"/>
      <c r="G73" s="662"/>
      <c r="H73" s="662"/>
      <c r="I73" s="662"/>
      <c r="J73" s="662"/>
      <c r="K73" s="662"/>
      <c r="L73" s="64"/>
      <c r="S73" s="23"/>
      <c r="T73" s="23"/>
      <c r="U73" s="23"/>
      <c r="V73" s="23"/>
      <c r="W73" s="23"/>
      <c r="X73" s="23"/>
      <c r="Y73" s="23"/>
      <c r="Z73" s="23"/>
      <c r="AA73" s="23"/>
      <c r="AB73" s="23"/>
      <c r="AC73" s="23"/>
      <c r="AD73" s="23"/>
      <c r="AE73" s="23"/>
    </row>
    <row r="74" spans="1:31" s="2" customFormat="1" ht="12" customHeight="1">
      <c r="A74" s="662"/>
      <c r="B74" s="270"/>
      <c r="C74" s="663" t="s">
        <v>15</v>
      </c>
      <c r="D74" s="662"/>
      <c r="E74" s="662"/>
      <c r="F74" s="662"/>
      <c r="G74" s="662"/>
      <c r="H74" s="662"/>
      <c r="I74" s="662"/>
      <c r="J74" s="662"/>
      <c r="K74" s="662"/>
      <c r="L74" s="64"/>
      <c r="S74" s="23"/>
      <c r="T74" s="23"/>
      <c r="U74" s="23"/>
      <c r="V74" s="23"/>
      <c r="W74" s="23"/>
      <c r="X74" s="23"/>
      <c r="Y74" s="23"/>
      <c r="Z74" s="23"/>
      <c r="AA74" s="23"/>
      <c r="AB74" s="23"/>
      <c r="AC74" s="23"/>
      <c r="AD74" s="23"/>
      <c r="AE74" s="23"/>
    </row>
    <row r="75" spans="1:31" s="2" customFormat="1" ht="14.45" customHeight="1">
      <c r="A75" s="662"/>
      <c r="B75" s="270"/>
      <c r="C75" s="662"/>
      <c r="D75" s="662"/>
      <c r="E75" s="722" t="str">
        <f>E7</f>
        <v>Úpravy gastroprovozu Úřadu vlády ČR v 1.pp Strakovy akademie</v>
      </c>
      <c r="F75" s="723"/>
      <c r="G75" s="723"/>
      <c r="H75" s="723"/>
      <c r="I75" s="662"/>
      <c r="J75" s="662"/>
      <c r="K75" s="662"/>
      <c r="L75" s="64"/>
      <c r="S75" s="23"/>
      <c r="T75" s="23"/>
      <c r="U75" s="23"/>
      <c r="V75" s="23"/>
      <c r="W75" s="23"/>
      <c r="X75" s="23"/>
      <c r="Y75" s="23"/>
      <c r="Z75" s="23"/>
      <c r="AA75" s="23"/>
      <c r="AB75" s="23"/>
      <c r="AC75" s="23"/>
      <c r="AD75" s="23"/>
      <c r="AE75" s="23"/>
    </row>
    <row r="76" spans="1:31" s="1" customFormat="1" ht="12" customHeight="1">
      <c r="A76" s="652"/>
      <c r="B76" s="265"/>
      <c r="C76" s="663" t="s">
        <v>151</v>
      </c>
      <c r="D76" s="652"/>
      <c r="E76" s="652"/>
      <c r="F76" s="652"/>
      <c r="G76" s="652"/>
      <c r="H76" s="652"/>
      <c r="I76" s="652"/>
      <c r="J76" s="652"/>
      <c r="K76" s="652"/>
      <c r="L76" s="20"/>
    </row>
    <row r="77" spans="1:31" s="2" customFormat="1" ht="14.45" customHeight="1">
      <c r="A77" s="662"/>
      <c r="B77" s="270"/>
      <c r="C77" s="662"/>
      <c r="D77" s="662"/>
      <c r="E77" s="722" t="s">
        <v>1759</v>
      </c>
      <c r="F77" s="721"/>
      <c r="G77" s="721"/>
      <c r="H77" s="721"/>
      <c r="I77" s="662"/>
      <c r="J77" s="662"/>
      <c r="K77" s="662"/>
      <c r="L77" s="64"/>
      <c r="S77" s="23"/>
      <c r="T77" s="23"/>
      <c r="U77" s="23"/>
      <c r="V77" s="23"/>
      <c r="W77" s="23"/>
      <c r="X77" s="23"/>
      <c r="Y77" s="23"/>
      <c r="Z77" s="23"/>
      <c r="AA77" s="23"/>
      <c r="AB77" s="23"/>
      <c r="AC77" s="23"/>
      <c r="AD77" s="23"/>
      <c r="AE77" s="23"/>
    </row>
    <row r="78" spans="1:31" s="2" customFormat="1" ht="12" customHeight="1">
      <c r="A78" s="662"/>
      <c r="B78" s="270"/>
      <c r="C78" s="663" t="s">
        <v>157</v>
      </c>
      <c r="D78" s="662"/>
      <c r="E78" s="662"/>
      <c r="F78" s="662"/>
      <c r="G78" s="662"/>
      <c r="H78" s="662"/>
      <c r="I78" s="662"/>
      <c r="J78" s="662"/>
      <c r="K78" s="662"/>
      <c r="L78" s="64"/>
      <c r="S78" s="23"/>
      <c r="T78" s="23"/>
      <c r="U78" s="23"/>
      <c r="V78" s="23"/>
      <c r="W78" s="23"/>
      <c r="X78" s="23"/>
      <c r="Y78" s="23"/>
      <c r="Z78" s="23"/>
      <c r="AA78" s="23"/>
      <c r="AB78" s="23"/>
      <c r="AC78" s="23"/>
      <c r="AD78" s="23"/>
      <c r="AE78" s="23"/>
    </row>
    <row r="79" spans="1:31" s="2" customFormat="1" ht="14.45" customHeight="1">
      <c r="A79" s="662"/>
      <c r="B79" s="270"/>
      <c r="C79" s="662"/>
      <c r="D79" s="662"/>
      <c r="E79" s="689" t="str">
        <f>E11</f>
        <v>D.1.4.07 - Soupis prací - Servis</v>
      </c>
      <c r="F79" s="721"/>
      <c r="G79" s="721"/>
      <c r="H79" s="721"/>
      <c r="I79" s="662"/>
      <c r="J79" s="662"/>
      <c r="K79" s="662"/>
      <c r="L79" s="64"/>
      <c r="S79" s="23"/>
      <c r="T79" s="23"/>
      <c r="U79" s="23"/>
      <c r="V79" s="23"/>
      <c r="W79" s="23"/>
      <c r="X79" s="23"/>
      <c r="Y79" s="23"/>
      <c r="Z79" s="23"/>
      <c r="AA79" s="23"/>
      <c r="AB79" s="23"/>
      <c r="AC79" s="23"/>
      <c r="AD79" s="23"/>
      <c r="AE79" s="23"/>
    </row>
    <row r="80" spans="1:31" s="2" customFormat="1" ht="6.95" customHeight="1">
      <c r="A80" s="662"/>
      <c r="B80" s="270"/>
      <c r="C80" s="662"/>
      <c r="D80" s="662"/>
      <c r="E80" s="662"/>
      <c r="F80" s="662"/>
      <c r="G80" s="662"/>
      <c r="H80" s="662"/>
      <c r="I80" s="662"/>
      <c r="J80" s="662"/>
      <c r="K80" s="662"/>
      <c r="L80" s="64"/>
      <c r="S80" s="23"/>
      <c r="T80" s="23"/>
      <c r="U80" s="23"/>
      <c r="V80" s="23"/>
      <c r="W80" s="23"/>
      <c r="X80" s="23"/>
      <c r="Y80" s="23"/>
      <c r="Z80" s="23"/>
      <c r="AA80" s="23"/>
      <c r="AB80" s="23"/>
      <c r="AC80" s="23"/>
      <c r="AD80" s="23"/>
      <c r="AE80" s="23"/>
    </row>
    <row r="81" spans="1:65" s="2" customFormat="1" ht="12" customHeight="1">
      <c r="A81" s="662"/>
      <c r="B81" s="270"/>
      <c r="C81" s="663" t="s">
        <v>19</v>
      </c>
      <c r="D81" s="662"/>
      <c r="E81" s="662"/>
      <c r="F81" s="651" t="str">
        <f>F14</f>
        <v xml:space="preserve"> </v>
      </c>
      <c r="G81" s="662"/>
      <c r="H81" s="662"/>
      <c r="I81" s="663" t="s">
        <v>21</v>
      </c>
      <c r="J81" s="660">
        <f>IF(J14="","",J14)</f>
        <v>44077</v>
      </c>
      <c r="K81" s="662"/>
      <c r="L81" s="64"/>
      <c r="S81" s="23"/>
      <c r="T81" s="23"/>
      <c r="U81" s="23"/>
      <c r="V81" s="23"/>
      <c r="W81" s="23"/>
      <c r="X81" s="23"/>
      <c r="Y81" s="23"/>
      <c r="Z81" s="23"/>
      <c r="AA81" s="23"/>
      <c r="AB81" s="23"/>
      <c r="AC81" s="23"/>
      <c r="AD81" s="23"/>
      <c r="AE81" s="23"/>
    </row>
    <row r="82" spans="1:65" s="2" customFormat="1" ht="6.95" customHeight="1">
      <c r="A82" s="662"/>
      <c r="B82" s="270"/>
      <c r="C82" s="662"/>
      <c r="D82" s="662"/>
      <c r="E82" s="662"/>
      <c r="F82" s="662"/>
      <c r="G82" s="662"/>
      <c r="H82" s="662"/>
      <c r="I82" s="662"/>
      <c r="J82" s="662"/>
      <c r="K82" s="662"/>
      <c r="L82" s="64"/>
      <c r="S82" s="23"/>
      <c r="T82" s="23"/>
      <c r="U82" s="23"/>
      <c r="V82" s="23"/>
      <c r="W82" s="23"/>
      <c r="X82" s="23"/>
      <c r="Y82" s="23"/>
      <c r="Z82" s="23"/>
      <c r="AA82" s="23"/>
      <c r="AB82" s="23"/>
      <c r="AC82" s="23"/>
      <c r="AD82" s="23"/>
      <c r="AE82" s="23"/>
    </row>
    <row r="83" spans="1:65" s="2" customFormat="1" ht="26.45" customHeight="1">
      <c r="A83" s="662"/>
      <c r="B83" s="270"/>
      <c r="C83" s="663" t="s">
        <v>22</v>
      </c>
      <c r="D83" s="662"/>
      <c r="E83" s="662"/>
      <c r="F83" s="651" t="str">
        <f>E17</f>
        <v xml:space="preserve">Úřad vlády České republiky </v>
      </c>
      <c r="G83" s="662"/>
      <c r="H83" s="662"/>
      <c r="I83" s="663" t="s">
        <v>28</v>
      </c>
      <c r="J83" s="655" t="str">
        <f>E23</f>
        <v>Ateliér Simona Group</v>
      </c>
      <c r="K83" s="662"/>
      <c r="L83" s="64"/>
      <c r="S83" s="23"/>
      <c r="T83" s="23"/>
      <c r="U83" s="23"/>
      <c r="V83" s="23"/>
      <c r="W83" s="23"/>
      <c r="X83" s="23"/>
      <c r="Y83" s="23"/>
      <c r="Z83" s="23"/>
      <c r="AA83" s="23"/>
      <c r="AB83" s="23"/>
      <c r="AC83" s="23"/>
      <c r="AD83" s="23"/>
      <c r="AE83" s="23"/>
    </row>
    <row r="84" spans="1:65" s="2" customFormat="1" ht="26.45" customHeight="1">
      <c r="A84" s="662"/>
      <c r="B84" s="270"/>
      <c r="C84" s="663" t="s">
        <v>26</v>
      </c>
      <c r="D84" s="662"/>
      <c r="E84" s="662"/>
      <c r="F84" s="651" t="str">
        <f>IF(E20="","",E20)</f>
        <v xml:space="preserve"> </v>
      </c>
      <c r="G84" s="662"/>
      <c r="H84" s="662"/>
      <c r="I84" s="663" t="s">
        <v>31</v>
      </c>
      <c r="J84" s="655" t="str">
        <f>E26</f>
        <v>Ateliér Simona Group</v>
      </c>
      <c r="K84" s="662"/>
      <c r="L84" s="64"/>
      <c r="S84" s="23"/>
      <c r="T84" s="23"/>
      <c r="U84" s="23"/>
      <c r="V84" s="23"/>
      <c r="W84" s="23"/>
      <c r="X84" s="23"/>
      <c r="Y84" s="23"/>
      <c r="Z84" s="23"/>
      <c r="AA84" s="23"/>
      <c r="AB84" s="23"/>
      <c r="AC84" s="23"/>
      <c r="AD84" s="23"/>
      <c r="AE84" s="23"/>
    </row>
    <row r="85" spans="1:65" s="2" customFormat="1" ht="10.35" customHeight="1">
      <c r="A85" s="662"/>
      <c r="B85" s="270"/>
      <c r="C85" s="662"/>
      <c r="D85" s="662"/>
      <c r="E85" s="662"/>
      <c r="F85" s="662"/>
      <c r="G85" s="662"/>
      <c r="H85" s="662"/>
      <c r="I85" s="662"/>
      <c r="J85" s="662"/>
      <c r="K85" s="662"/>
      <c r="L85" s="64"/>
      <c r="S85" s="23"/>
      <c r="T85" s="23"/>
      <c r="U85" s="23"/>
      <c r="V85" s="23"/>
      <c r="W85" s="23"/>
      <c r="X85" s="23"/>
      <c r="Y85" s="23"/>
      <c r="Z85" s="23"/>
      <c r="AA85" s="23"/>
      <c r="AB85" s="23"/>
      <c r="AC85" s="23"/>
      <c r="AD85" s="23"/>
      <c r="AE85" s="23"/>
    </row>
    <row r="86" spans="1:65" s="11" customFormat="1" ht="29.25" customHeight="1">
      <c r="A86" s="299"/>
      <c r="B86" s="300"/>
      <c r="C86" s="301" t="s">
        <v>202</v>
      </c>
      <c r="D86" s="302" t="s">
        <v>53</v>
      </c>
      <c r="E86" s="302" t="s">
        <v>49</v>
      </c>
      <c r="F86" s="302" t="s">
        <v>50</v>
      </c>
      <c r="G86" s="302" t="s">
        <v>203</v>
      </c>
      <c r="H86" s="302" t="s">
        <v>204</v>
      </c>
      <c r="I86" s="302" t="s">
        <v>205</v>
      </c>
      <c r="J86" s="302" t="s">
        <v>169</v>
      </c>
      <c r="K86" s="340" t="s">
        <v>206</v>
      </c>
      <c r="L86" s="70"/>
      <c r="M86" s="34" t="s">
        <v>3</v>
      </c>
      <c r="N86" s="35" t="s">
        <v>38</v>
      </c>
      <c r="O86" s="35" t="s">
        <v>207</v>
      </c>
      <c r="P86" s="35" t="s">
        <v>208</v>
      </c>
      <c r="Q86" s="35" t="s">
        <v>209</v>
      </c>
      <c r="R86" s="35" t="s">
        <v>210</v>
      </c>
      <c r="S86" s="35" t="s">
        <v>211</v>
      </c>
      <c r="T86" s="36" t="s">
        <v>212</v>
      </c>
      <c r="U86" s="69"/>
      <c r="V86" s="69"/>
      <c r="W86" s="69"/>
      <c r="X86" s="69"/>
      <c r="Y86" s="69"/>
      <c r="Z86" s="69"/>
      <c r="AA86" s="69"/>
      <c r="AB86" s="69"/>
      <c r="AC86" s="69"/>
      <c r="AD86" s="69"/>
      <c r="AE86" s="69"/>
    </row>
    <row r="87" spans="1:65" s="2" customFormat="1" ht="22.9" customHeight="1">
      <c r="A87" s="662"/>
      <c r="B87" s="270"/>
      <c r="C87" s="243" t="s">
        <v>213</v>
      </c>
      <c r="D87" s="662"/>
      <c r="E87" s="662"/>
      <c r="F87" s="662"/>
      <c r="G87" s="662"/>
      <c r="H87" s="662"/>
      <c r="I87" s="662"/>
      <c r="J87" s="410">
        <f>BK87</f>
        <v>0</v>
      </c>
      <c r="K87" s="662"/>
      <c r="L87" s="24"/>
      <c r="M87" s="37"/>
      <c r="N87" s="30"/>
      <c r="O87" s="38"/>
      <c r="P87" s="71">
        <f>P88</f>
        <v>0</v>
      </c>
      <c r="Q87" s="38"/>
      <c r="R87" s="71">
        <f>R88</f>
        <v>0</v>
      </c>
      <c r="S87" s="38"/>
      <c r="T87" s="72">
        <f>T88</f>
        <v>0</v>
      </c>
      <c r="U87" s="23"/>
      <c r="V87" s="23"/>
      <c r="W87" s="23"/>
      <c r="X87" s="23"/>
      <c r="Y87" s="23"/>
      <c r="Z87" s="23"/>
      <c r="AA87" s="23"/>
      <c r="AB87" s="23"/>
      <c r="AC87" s="23"/>
      <c r="AD87" s="23"/>
      <c r="AE87" s="23"/>
      <c r="AT87" s="19" t="s">
        <v>67</v>
      </c>
      <c r="AU87" s="19" t="s">
        <v>170</v>
      </c>
      <c r="BK87" s="73">
        <f>BK88</f>
        <v>0</v>
      </c>
    </row>
    <row r="88" spans="1:65" s="12" customFormat="1" ht="25.9" customHeight="1">
      <c r="A88" s="303"/>
      <c r="B88" s="304"/>
      <c r="C88" s="303"/>
      <c r="D88" s="305" t="s">
        <v>67</v>
      </c>
      <c r="E88" s="306" t="s">
        <v>895</v>
      </c>
      <c r="F88" s="306" t="s">
        <v>895</v>
      </c>
      <c r="G88" s="303"/>
      <c r="H88" s="303"/>
      <c r="I88" s="303"/>
      <c r="J88" s="411">
        <f>BK88</f>
        <v>0</v>
      </c>
      <c r="K88" s="303"/>
      <c r="L88" s="74"/>
      <c r="M88" s="76"/>
      <c r="N88" s="77"/>
      <c r="O88" s="77"/>
      <c r="P88" s="78">
        <f>P89</f>
        <v>0</v>
      </c>
      <c r="Q88" s="77"/>
      <c r="R88" s="78">
        <f>R89</f>
        <v>0</v>
      </c>
      <c r="S88" s="77"/>
      <c r="T88" s="79">
        <f>T89</f>
        <v>0</v>
      </c>
      <c r="AR88" s="75" t="s">
        <v>77</v>
      </c>
      <c r="AT88" s="80" t="s">
        <v>67</v>
      </c>
      <c r="AU88" s="80" t="s">
        <v>68</v>
      </c>
      <c r="AY88" s="75" t="s">
        <v>216</v>
      </c>
      <c r="BK88" s="81">
        <f>BK89</f>
        <v>0</v>
      </c>
    </row>
    <row r="89" spans="1:65" s="12" customFormat="1" ht="22.9" customHeight="1">
      <c r="A89" s="303"/>
      <c r="B89" s="304"/>
      <c r="C89" s="303"/>
      <c r="D89" s="305" t="s">
        <v>67</v>
      </c>
      <c r="E89" s="307" t="s">
        <v>3474</v>
      </c>
      <c r="F89" s="307" t="s">
        <v>3470</v>
      </c>
      <c r="G89" s="303"/>
      <c r="H89" s="303"/>
      <c r="I89" s="303"/>
      <c r="J89" s="412">
        <f>BK89</f>
        <v>0</v>
      </c>
      <c r="K89" s="303"/>
      <c r="L89" s="74"/>
      <c r="M89" s="76"/>
      <c r="N89" s="77"/>
      <c r="O89" s="77"/>
      <c r="P89" s="78">
        <f>P90</f>
        <v>0</v>
      </c>
      <c r="Q89" s="77"/>
      <c r="R89" s="78">
        <f>R90</f>
        <v>0</v>
      </c>
      <c r="S89" s="77"/>
      <c r="T89" s="79">
        <f>T90</f>
        <v>0</v>
      </c>
      <c r="AR89" s="75" t="s">
        <v>77</v>
      </c>
      <c r="AT89" s="80" t="s">
        <v>67</v>
      </c>
      <c r="AU89" s="80" t="s">
        <v>75</v>
      </c>
      <c r="AY89" s="75" t="s">
        <v>216</v>
      </c>
      <c r="BK89" s="81">
        <f>BK90</f>
        <v>0</v>
      </c>
    </row>
    <row r="90" spans="1:65" s="2" customFormat="1" ht="14.45" customHeight="1">
      <c r="A90" s="662"/>
      <c r="B90" s="270"/>
      <c r="C90" s="308" t="s">
        <v>75</v>
      </c>
      <c r="D90" s="308" t="s">
        <v>218</v>
      </c>
      <c r="E90" s="309" t="s">
        <v>3474</v>
      </c>
      <c r="F90" s="310" t="s">
        <v>3470</v>
      </c>
      <c r="G90" s="311" t="s">
        <v>1766</v>
      </c>
      <c r="H90" s="312">
        <v>1</v>
      </c>
      <c r="I90" s="413">
        <f>Servis!E4</f>
        <v>0</v>
      </c>
      <c r="J90" s="413">
        <f>ROUND(I90*H90,2)</f>
        <v>0</v>
      </c>
      <c r="K90" s="310" t="s">
        <v>3</v>
      </c>
      <c r="L90" s="24"/>
      <c r="M90" s="115" t="s">
        <v>3</v>
      </c>
      <c r="N90" s="116" t="s">
        <v>39</v>
      </c>
      <c r="O90" s="117">
        <v>0</v>
      </c>
      <c r="P90" s="117">
        <f>O90*H90</f>
        <v>0</v>
      </c>
      <c r="Q90" s="117">
        <v>0</v>
      </c>
      <c r="R90" s="117">
        <f>Q90*H90</f>
        <v>0</v>
      </c>
      <c r="S90" s="117">
        <v>0</v>
      </c>
      <c r="T90" s="118">
        <f>S90*H90</f>
        <v>0</v>
      </c>
      <c r="U90" s="23"/>
      <c r="V90" s="23"/>
      <c r="W90" s="23"/>
      <c r="X90" s="23"/>
      <c r="Y90" s="23"/>
      <c r="Z90" s="23"/>
      <c r="AA90" s="23"/>
      <c r="AB90" s="23"/>
      <c r="AC90" s="23"/>
      <c r="AD90" s="23"/>
      <c r="AE90" s="23"/>
      <c r="AR90" s="87" t="s">
        <v>305</v>
      </c>
      <c r="AT90" s="87" t="s">
        <v>218</v>
      </c>
      <c r="AU90" s="87" t="s">
        <v>77</v>
      </c>
      <c r="AY90" s="19" t="s">
        <v>216</v>
      </c>
      <c r="BE90" s="88">
        <f>IF(N90="základní",J90,0)</f>
        <v>0</v>
      </c>
      <c r="BF90" s="88">
        <f>IF(N90="snížená",J90,0)</f>
        <v>0</v>
      </c>
      <c r="BG90" s="88">
        <f>IF(N90="zákl. přenesená",J90,0)</f>
        <v>0</v>
      </c>
      <c r="BH90" s="88">
        <f>IF(N90="sníž. přenesená",J90,0)</f>
        <v>0</v>
      </c>
      <c r="BI90" s="88">
        <f>IF(N90="nulová",J90,0)</f>
        <v>0</v>
      </c>
      <c r="BJ90" s="19" t="s">
        <v>75</v>
      </c>
      <c r="BK90" s="88">
        <f>ROUND(I90*H90,2)</f>
        <v>0</v>
      </c>
      <c r="BL90" s="19" t="s">
        <v>305</v>
      </c>
      <c r="BM90" s="87" t="s">
        <v>1812</v>
      </c>
    </row>
    <row r="91" spans="1:65" s="2" customFormat="1" ht="6.95" customHeight="1">
      <c r="A91" s="662"/>
      <c r="B91" s="286"/>
      <c r="C91" s="287"/>
      <c r="D91" s="287"/>
      <c r="E91" s="287"/>
      <c r="F91" s="287"/>
      <c r="G91" s="287"/>
      <c r="H91" s="287"/>
      <c r="I91" s="287"/>
      <c r="J91" s="287"/>
      <c r="K91" s="287"/>
      <c r="L91" s="24"/>
      <c r="M91" s="23"/>
      <c r="O91" s="23"/>
      <c r="P91" s="23"/>
      <c r="Q91" s="23"/>
      <c r="R91" s="23"/>
      <c r="S91" s="23"/>
      <c r="T91" s="23"/>
      <c r="U91" s="23"/>
      <c r="V91" s="23"/>
      <c r="W91" s="23"/>
      <c r="X91" s="23"/>
      <c r="Y91" s="23"/>
      <c r="Z91" s="23"/>
      <c r="AA91" s="23"/>
      <c r="AB91" s="23"/>
      <c r="AC91" s="23"/>
      <c r="AD91" s="23"/>
      <c r="AE91" s="23"/>
    </row>
  </sheetData>
  <sheetProtection password="C971" sheet="1" objects="1" scenarios="1"/>
  <autoFilter ref="C86:K9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G16"/>
  <sheetViews>
    <sheetView view="pageBreakPreview" zoomScale="75" zoomScaleSheetLayoutView="75" workbookViewId="0">
      <selection activeCell="B3" sqref="B3"/>
    </sheetView>
  </sheetViews>
  <sheetFormatPr defaultRowHeight="15"/>
  <cols>
    <col min="1" max="1" width="9.33203125" style="234"/>
    <col min="2" max="2" width="127.83203125" style="233" customWidth="1"/>
    <col min="3" max="3" width="17.6640625" style="233" bestFit="1" customWidth="1"/>
    <col min="4" max="4" width="6.6640625" style="234" bestFit="1" customWidth="1"/>
    <col min="5" max="5" width="19.6640625" style="233" bestFit="1" customWidth="1"/>
    <col min="6" max="6" width="6.1640625" style="233" bestFit="1" customWidth="1"/>
    <col min="7" max="7" width="20.83203125" style="233" bestFit="1" customWidth="1"/>
    <col min="8" max="16384" width="9.33203125" style="233"/>
  </cols>
  <sheetData>
    <row r="1" spans="1:7" ht="30">
      <c r="A1" s="573" t="s">
        <v>2939</v>
      </c>
      <c r="B1" s="544" t="s">
        <v>2938</v>
      </c>
      <c r="C1" s="624" t="s">
        <v>2930</v>
      </c>
      <c r="D1" s="622" t="s">
        <v>2929</v>
      </c>
      <c r="E1" s="623" t="s">
        <v>2928</v>
      </c>
      <c r="F1" s="623" t="s">
        <v>38</v>
      </c>
      <c r="G1" s="623" t="s">
        <v>2927</v>
      </c>
    </row>
    <row r="2" spans="1:7">
      <c r="A2" s="675"/>
      <c r="B2" s="544" t="s">
        <v>3470</v>
      </c>
      <c r="C2" s="672">
        <v>0</v>
      </c>
      <c r="D2" s="675"/>
      <c r="E2" s="667">
        <f t="shared" ref="E2:E3" si="0">D2*C2</f>
        <v>0</v>
      </c>
      <c r="F2" s="577">
        <v>21</v>
      </c>
      <c r="G2" s="667">
        <f t="shared" ref="G2:G3" si="1">E2*(1+(F2/100))</f>
        <v>0</v>
      </c>
    </row>
    <row r="3" spans="1:7" ht="30">
      <c r="A3" s="673"/>
      <c r="B3" s="676" t="s">
        <v>3471</v>
      </c>
      <c r="C3" s="238">
        <v>0</v>
      </c>
      <c r="D3" s="677">
        <v>12</v>
      </c>
      <c r="E3" s="667">
        <f t="shared" si="0"/>
        <v>0</v>
      </c>
      <c r="F3" s="577">
        <v>21</v>
      </c>
      <c r="G3" s="667">
        <f t="shared" si="1"/>
        <v>0</v>
      </c>
    </row>
    <row r="4" spans="1:7" ht="16.5" customHeight="1">
      <c r="A4" s="678"/>
      <c r="B4" s="562" t="s">
        <v>2264</v>
      </c>
      <c r="C4" s="674"/>
      <c r="D4" s="678"/>
      <c r="E4" s="582">
        <f>SUM(E2:E3)</f>
        <v>0</v>
      </c>
      <c r="F4" s="679"/>
      <c r="G4" s="582">
        <f>SUM(G2:G3)</f>
        <v>0</v>
      </c>
    </row>
    <row r="5" spans="1:7" ht="16.5" customHeight="1">
      <c r="A5" s="678"/>
      <c r="B5" s="620"/>
      <c r="C5" s="242"/>
      <c r="D5" s="678"/>
      <c r="E5" s="583"/>
      <c r="F5" s="584"/>
      <c r="G5" s="583"/>
    </row>
    <row r="6" spans="1:7" ht="16.5" customHeight="1">
      <c r="A6" s="678"/>
      <c r="B6" s="620"/>
      <c r="C6" s="242"/>
      <c r="D6" s="678"/>
      <c r="E6" s="583"/>
      <c r="F6" s="584"/>
      <c r="G6" s="583"/>
    </row>
    <row r="7" spans="1:7" ht="16.5" customHeight="1">
      <c r="A7" s="561"/>
      <c r="B7" s="621"/>
      <c r="C7" s="618"/>
      <c r="D7" s="561"/>
      <c r="E7" s="582"/>
      <c r="F7" s="565"/>
      <c r="G7" s="582"/>
    </row>
    <row r="8" spans="1:7">
      <c r="A8" s="561"/>
      <c r="B8" s="565"/>
      <c r="C8" s="538"/>
      <c r="D8" s="561"/>
      <c r="E8" s="565"/>
      <c r="F8" s="565"/>
      <c r="G8" s="565"/>
    </row>
    <row r="9" spans="1:7">
      <c r="A9" s="561"/>
      <c r="B9" s="565"/>
      <c r="C9" s="538"/>
      <c r="D9" s="561"/>
      <c r="E9" s="565"/>
      <c r="F9" s="565"/>
      <c r="G9" s="565"/>
    </row>
    <row r="10" spans="1:7">
      <c r="A10" s="561"/>
      <c r="B10" s="565"/>
      <c r="C10" s="538"/>
      <c r="D10" s="561"/>
      <c r="E10" s="565"/>
      <c r="F10" s="565"/>
      <c r="G10" s="565"/>
    </row>
    <row r="11" spans="1:7">
      <c r="A11" s="561"/>
      <c r="B11" s="565"/>
      <c r="C11" s="538"/>
      <c r="D11" s="561"/>
      <c r="E11" s="565"/>
      <c r="F11" s="565"/>
      <c r="G11" s="565"/>
    </row>
    <row r="12" spans="1:7">
      <c r="A12" s="561"/>
      <c r="B12" s="565"/>
      <c r="C12" s="538"/>
      <c r="D12" s="561"/>
      <c r="E12" s="565"/>
      <c r="F12" s="565"/>
      <c r="G12" s="565"/>
    </row>
    <row r="13" spans="1:7">
      <c r="A13" s="561"/>
      <c r="B13" s="565"/>
      <c r="C13" s="538"/>
      <c r="D13" s="561"/>
      <c r="E13" s="565"/>
      <c r="F13" s="565"/>
      <c r="G13" s="565"/>
    </row>
    <row r="14" spans="1:7">
      <c r="A14" s="561"/>
      <c r="B14" s="565"/>
      <c r="C14" s="538"/>
      <c r="D14" s="561"/>
      <c r="E14" s="565"/>
      <c r="F14" s="565"/>
      <c r="G14" s="565"/>
    </row>
    <row r="15" spans="1:7">
      <c r="A15" s="561"/>
      <c r="B15" s="565"/>
      <c r="C15" s="538"/>
      <c r="D15" s="561"/>
      <c r="E15" s="565"/>
      <c r="F15" s="565"/>
      <c r="G15" s="565"/>
    </row>
    <row r="16" spans="1:7">
      <c r="A16" s="561"/>
      <c r="B16" s="565"/>
      <c r="C16" s="538"/>
      <c r="D16" s="561"/>
      <c r="E16" s="565"/>
      <c r="F16" s="565"/>
      <c r="G16" s="565"/>
    </row>
  </sheetData>
  <sheetProtection password="CAB1" sheet="1" objects="1" scenarios="1"/>
  <printOptions horizontalCentered="1"/>
  <pageMargins left="0.51181102362204722" right="0.51181102362204722" top="0.78740157480314965" bottom="0.78740157480314965" header="0.31496062992125984" footer="0.31496062992125984"/>
  <pageSetup paperSize="9" scale="83" orientation="landscape" r:id="rId1"/>
  <headerFooter>
    <oddHeader>&amp;LČeská republika - Úřad vlády ČRGastroprovoz Úřadu vlády ČR v 1.PP Strakovy akademie&amp;CPoložkový rozpočet servis&amp;R11/2019</oddHeader>
    <oddFooter>&amp;C&amp;P/&amp;N&amp;RI.3</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14"/>
  <sheetViews>
    <sheetView showGridLines="0" workbookViewId="0">
      <selection activeCell="K94" sqref="K94"/>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705" t="s">
        <v>6</v>
      </c>
      <c r="M2" s="706"/>
      <c r="N2" s="706"/>
      <c r="O2" s="706"/>
      <c r="P2" s="706"/>
      <c r="Q2" s="706"/>
      <c r="R2" s="706"/>
      <c r="S2" s="706"/>
      <c r="T2" s="706"/>
      <c r="U2" s="706"/>
      <c r="V2" s="706"/>
      <c r="AT2" s="19" t="s">
        <v>137</v>
      </c>
    </row>
    <row r="3" spans="1:46" s="1" customFormat="1" ht="6.95" customHeight="1">
      <c r="A3" s="61"/>
      <c r="B3" s="263"/>
      <c r="C3" s="264"/>
      <c r="D3" s="264"/>
      <c r="E3" s="264"/>
      <c r="F3" s="264"/>
      <c r="G3" s="264"/>
      <c r="H3" s="264"/>
      <c r="I3" s="264"/>
      <c r="J3" s="264"/>
      <c r="K3" s="264"/>
      <c r="L3" s="20"/>
      <c r="AT3" s="19" t="s">
        <v>77</v>
      </c>
    </row>
    <row r="4" spans="1:46" s="1" customFormat="1" ht="24.95" customHeight="1">
      <c r="A4" s="61"/>
      <c r="B4" s="265"/>
      <c r="C4" s="61"/>
      <c r="D4" s="266" t="s">
        <v>142</v>
      </c>
      <c r="E4" s="61"/>
      <c r="F4" s="61"/>
      <c r="G4" s="61"/>
      <c r="H4" s="61"/>
      <c r="I4" s="61"/>
      <c r="J4" s="61"/>
      <c r="K4" s="61"/>
      <c r="L4" s="20"/>
      <c r="M4" s="63" t="s">
        <v>11</v>
      </c>
      <c r="AT4" s="19" t="s">
        <v>4</v>
      </c>
    </row>
    <row r="5" spans="1:46" s="1" customFormat="1" ht="6.95" customHeight="1">
      <c r="A5" s="61"/>
      <c r="B5" s="265"/>
      <c r="C5" s="61"/>
      <c r="D5" s="61"/>
      <c r="E5" s="61"/>
      <c r="F5" s="61"/>
      <c r="G5" s="61"/>
      <c r="H5" s="61"/>
      <c r="I5" s="61"/>
      <c r="J5" s="61"/>
      <c r="K5" s="61"/>
      <c r="L5" s="20"/>
    </row>
    <row r="6" spans="1:46" s="1" customFormat="1" ht="12" customHeight="1">
      <c r="A6" s="61"/>
      <c r="B6" s="265"/>
      <c r="C6" s="61"/>
      <c r="D6" s="268" t="s">
        <v>15</v>
      </c>
      <c r="E6" s="61"/>
      <c r="F6" s="61"/>
      <c r="G6" s="61"/>
      <c r="H6" s="61"/>
      <c r="I6" s="61"/>
      <c r="J6" s="61"/>
      <c r="K6" s="61"/>
      <c r="L6" s="20"/>
    </row>
    <row r="7" spans="1:46" s="1" customFormat="1" ht="14.45" customHeight="1">
      <c r="A7" s="61"/>
      <c r="B7" s="265"/>
      <c r="C7" s="61"/>
      <c r="D7" s="61"/>
      <c r="E7" s="722" t="str">
        <f>'Rekapitulace stavby'!K6</f>
        <v>Úpravy gastroprovozu Úřadu vlády ČR v 1.pp Strakovy akademie</v>
      </c>
      <c r="F7" s="723"/>
      <c r="G7" s="723"/>
      <c r="H7" s="723"/>
      <c r="I7" s="61"/>
      <c r="J7" s="61"/>
      <c r="K7" s="61"/>
      <c r="L7" s="20"/>
    </row>
    <row r="8" spans="1:46" s="1" customFormat="1" ht="12" customHeight="1">
      <c r="A8" s="61"/>
      <c r="B8" s="265"/>
      <c r="C8" s="61"/>
      <c r="D8" s="268" t="s">
        <v>151</v>
      </c>
      <c r="E8" s="61"/>
      <c r="F8" s="61"/>
      <c r="G8" s="61"/>
      <c r="H8" s="61"/>
      <c r="I8" s="61"/>
      <c r="J8" s="61"/>
      <c r="K8" s="61"/>
      <c r="L8" s="20"/>
    </row>
    <row r="9" spans="1:46" s="2" customFormat="1" ht="14.45" customHeight="1">
      <c r="A9" s="271"/>
      <c r="B9" s="270"/>
      <c r="C9" s="271"/>
      <c r="D9" s="271"/>
      <c r="E9" s="722" t="s">
        <v>1813</v>
      </c>
      <c r="F9" s="721"/>
      <c r="G9" s="721"/>
      <c r="H9" s="721"/>
      <c r="I9" s="271"/>
      <c r="J9" s="271"/>
      <c r="K9" s="271"/>
      <c r="L9" s="64"/>
      <c r="S9" s="23"/>
      <c r="T9" s="23"/>
      <c r="U9" s="23"/>
      <c r="V9" s="23"/>
      <c r="W9" s="23"/>
      <c r="X9" s="23"/>
      <c r="Y9" s="23"/>
      <c r="Z9" s="23"/>
      <c r="AA9" s="23"/>
      <c r="AB9" s="23"/>
      <c r="AC9" s="23"/>
      <c r="AD9" s="23"/>
      <c r="AE9" s="23"/>
    </row>
    <row r="10" spans="1:46" s="2" customFormat="1" ht="12" customHeight="1">
      <c r="A10" s="271"/>
      <c r="B10" s="270"/>
      <c r="C10" s="271"/>
      <c r="D10" s="268" t="s">
        <v>157</v>
      </c>
      <c r="E10" s="271"/>
      <c r="F10" s="271"/>
      <c r="G10" s="271"/>
      <c r="H10" s="271"/>
      <c r="I10" s="271"/>
      <c r="J10" s="271"/>
      <c r="K10" s="271"/>
      <c r="L10" s="64"/>
      <c r="S10" s="23"/>
      <c r="T10" s="23"/>
      <c r="U10" s="23"/>
      <c r="V10" s="23"/>
      <c r="W10" s="23"/>
      <c r="X10" s="23"/>
      <c r="Y10" s="23"/>
      <c r="Z10" s="23"/>
      <c r="AA10" s="23"/>
      <c r="AB10" s="23"/>
      <c r="AC10" s="23"/>
      <c r="AD10" s="23"/>
      <c r="AE10" s="23"/>
    </row>
    <row r="11" spans="1:46" s="2" customFormat="1" ht="14.45" customHeight="1">
      <c r="A11" s="271"/>
      <c r="B11" s="270"/>
      <c r="C11" s="271"/>
      <c r="D11" s="271"/>
      <c r="E11" s="689" t="s">
        <v>1814</v>
      </c>
      <c r="F11" s="721"/>
      <c r="G11" s="721"/>
      <c r="H11" s="721"/>
      <c r="I11" s="271"/>
      <c r="J11" s="271"/>
      <c r="K11" s="271"/>
      <c r="L11" s="64"/>
      <c r="S11" s="23"/>
      <c r="T11" s="23"/>
      <c r="U11" s="23"/>
      <c r="V11" s="23"/>
      <c r="W11" s="23"/>
      <c r="X11" s="23"/>
      <c r="Y11" s="23"/>
      <c r="Z11" s="23"/>
      <c r="AA11" s="23"/>
      <c r="AB11" s="23"/>
      <c r="AC11" s="23"/>
      <c r="AD11" s="23"/>
      <c r="AE11" s="23"/>
    </row>
    <row r="12" spans="1:46" s="2" customFormat="1">
      <c r="A12" s="271"/>
      <c r="B12" s="270"/>
      <c r="C12" s="271"/>
      <c r="D12" s="271"/>
      <c r="E12" s="271"/>
      <c r="F12" s="271"/>
      <c r="G12" s="271"/>
      <c r="H12" s="271"/>
      <c r="I12" s="271"/>
      <c r="J12" s="271"/>
      <c r="K12" s="271"/>
      <c r="L12" s="64"/>
      <c r="S12" s="23"/>
      <c r="T12" s="23"/>
      <c r="U12" s="23"/>
      <c r="V12" s="23"/>
      <c r="W12" s="23"/>
      <c r="X12" s="23"/>
      <c r="Y12" s="23"/>
      <c r="Z12" s="23"/>
      <c r="AA12" s="23"/>
      <c r="AB12" s="23"/>
      <c r="AC12" s="23"/>
      <c r="AD12" s="23"/>
      <c r="AE12" s="23"/>
    </row>
    <row r="13" spans="1:46" s="2" customFormat="1" ht="12" customHeight="1">
      <c r="A13" s="271"/>
      <c r="B13" s="270"/>
      <c r="C13" s="271"/>
      <c r="D13" s="268" t="s">
        <v>17</v>
      </c>
      <c r="E13" s="271"/>
      <c r="F13" s="273" t="s">
        <v>3</v>
      </c>
      <c r="G13" s="271"/>
      <c r="H13" s="271"/>
      <c r="I13" s="268" t="s">
        <v>18</v>
      </c>
      <c r="J13" s="273" t="s">
        <v>3</v>
      </c>
      <c r="K13" s="271"/>
      <c r="L13" s="64"/>
      <c r="S13" s="23"/>
      <c r="T13" s="23"/>
      <c r="U13" s="23"/>
      <c r="V13" s="23"/>
      <c r="W13" s="23"/>
      <c r="X13" s="23"/>
      <c r="Y13" s="23"/>
      <c r="Z13" s="23"/>
      <c r="AA13" s="23"/>
      <c r="AB13" s="23"/>
      <c r="AC13" s="23"/>
      <c r="AD13" s="23"/>
      <c r="AE13" s="23"/>
    </row>
    <row r="14" spans="1:46" s="2" customFormat="1" ht="12" customHeight="1">
      <c r="A14" s="271"/>
      <c r="B14" s="270"/>
      <c r="C14" s="271"/>
      <c r="D14" s="268" t="s">
        <v>19</v>
      </c>
      <c r="E14" s="271"/>
      <c r="F14" s="273" t="s">
        <v>27</v>
      </c>
      <c r="G14" s="271"/>
      <c r="H14" s="271"/>
      <c r="I14" s="268" t="s">
        <v>21</v>
      </c>
      <c r="J14" s="387">
        <f>'Rekapitulace stavby'!AN8</f>
        <v>44077</v>
      </c>
      <c r="K14" s="271"/>
      <c r="L14" s="64"/>
      <c r="S14" s="23"/>
      <c r="T14" s="23"/>
      <c r="U14" s="23"/>
      <c r="V14" s="23"/>
      <c r="W14" s="23"/>
      <c r="X14" s="23"/>
      <c r="Y14" s="23"/>
      <c r="Z14" s="23"/>
      <c r="AA14" s="23"/>
      <c r="AB14" s="23"/>
      <c r="AC14" s="23"/>
      <c r="AD14" s="23"/>
      <c r="AE14" s="23"/>
    </row>
    <row r="15" spans="1:46" s="2" customFormat="1" ht="10.9" customHeight="1">
      <c r="A15" s="271"/>
      <c r="B15" s="270"/>
      <c r="C15" s="271"/>
      <c r="D15" s="271"/>
      <c r="E15" s="271"/>
      <c r="F15" s="271"/>
      <c r="G15" s="271"/>
      <c r="H15" s="271"/>
      <c r="I15" s="271"/>
      <c r="J15" s="271"/>
      <c r="K15" s="271"/>
      <c r="L15" s="64"/>
      <c r="S15" s="23"/>
      <c r="T15" s="23"/>
      <c r="U15" s="23"/>
      <c r="V15" s="23"/>
      <c r="W15" s="23"/>
      <c r="X15" s="23"/>
      <c r="Y15" s="23"/>
      <c r="Z15" s="23"/>
      <c r="AA15" s="23"/>
      <c r="AB15" s="23"/>
      <c r="AC15" s="23"/>
      <c r="AD15" s="23"/>
      <c r="AE15" s="23"/>
    </row>
    <row r="16" spans="1:46" s="2" customFormat="1" ht="12" customHeight="1">
      <c r="A16" s="271"/>
      <c r="B16" s="270"/>
      <c r="C16" s="271"/>
      <c r="D16" s="268" t="s">
        <v>22</v>
      </c>
      <c r="E16" s="271"/>
      <c r="F16" s="271"/>
      <c r="G16" s="271"/>
      <c r="H16" s="271"/>
      <c r="I16" s="268" t="s">
        <v>23</v>
      </c>
      <c r="J16" s="273" t="s">
        <v>3</v>
      </c>
      <c r="K16" s="271"/>
      <c r="L16" s="64"/>
      <c r="S16" s="23"/>
      <c r="T16" s="23"/>
      <c r="U16" s="23"/>
      <c r="V16" s="23"/>
      <c r="W16" s="23"/>
      <c r="X16" s="23"/>
      <c r="Y16" s="23"/>
      <c r="Z16" s="23"/>
      <c r="AA16" s="23"/>
      <c r="AB16" s="23"/>
      <c r="AC16" s="23"/>
      <c r="AD16" s="23"/>
      <c r="AE16" s="23"/>
    </row>
    <row r="17" spans="1:31" s="2" customFormat="1" ht="18" customHeight="1">
      <c r="A17" s="271"/>
      <c r="B17" s="270"/>
      <c r="C17" s="271"/>
      <c r="D17" s="271"/>
      <c r="E17" s="273" t="s">
        <v>24</v>
      </c>
      <c r="F17" s="271"/>
      <c r="G17" s="271"/>
      <c r="H17" s="271"/>
      <c r="I17" s="268" t="s">
        <v>25</v>
      </c>
      <c r="J17" s="273" t="s">
        <v>3</v>
      </c>
      <c r="K17" s="271"/>
      <c r="L17" s="64"/>
      <c r="S17" s="23"/>
      <c r="T17" s="23"/>
      <c r="U17" s="23"/>
      <c r="V17" s="23"/>
      <c r="W17" s="23"/>
      <c r="X17" s="23"/>
      <c r="Y17" s="23"/>
      <c r="Z17" s="23"/>
      <c r="AA17" s="23"/>
      <c r="AB17" s="23"/>
      <c r="AC17" s="23"/>
      <c r="AD17" s="23"/>
      <c r="AE17" s="23"/>
    </row>
    <row r="18" spans="1:31" s="2" customFormat="1" ht="6.95" customHeight="1">
      <c r="A18" s="271"/>
      <c r="B18" s="270"/>
      <c r="C18" s="271"/>
      <c r="D18" s="271"/>
      <c r="E18" s="271"/>
      <c r="F18" s="271"/>
      <c r="G18" s="271"/>
      <c r="H18" s="271"/>
      <c r="I18" s="271"/>
      <c r="J18" s="271"/>
      <c r="K18" s="271"/>
      <c r="L18" s="64"/>
      <c r="S18" s="23"/>
      <c r="T18" s="23"/>
      <c r="U18" s="23"/>
      <c r="V18" s="23"/>
      <c r="W18" s="23"/>
      <c r="X18" s="23"/>
      <c r="Y18" s="23"/>
      <c r="Z18" s="23"/>
      <c r="AA18" s="23"/>
      <c r="AB18" s="23"/>
      <c r="AC18" s="23"/>
      <c r="AD18" s="23"/>
      <c r="AE18" s="23"/>
    </row>
    <row r="19" spans="1:31" s="2" customFormat="1" ht="12" customHeight="1">
      <c r="A19" s="271"/>
      <c r="B19" s="270"/>
      <c r="C19" s="271"/>
      <c r="D19" s="268" t="s">
        <v>26</v>
      </c>
      <c r="E19" s="271"/>
      <c r="F19" s="271"/>
      <c r="G19" s="271"/>
      <c r="H19" s="271"/>
      <c r="I19" s="268" t="s">
        <v>23</v>
      </c>
      <c r="J19" s="273" t="str">
        <f>'Rekapitulace stavby'!AN13</f>
        <v/>
      </c>
      <c r="K19" s="271"/>
      <c r="L19" s="64"/>
      <c r="S19" s="23"/>
      <c r="T19" s="23"/>
      <c r="U19" s="23"/>
      <c r="V19" s="23"/>
      <c r="W19" s="23"/>
      <c r="X19" s="23"/>
      <c r="Y19" s="23"/>
      <c r="Z19" s="23"/>
      <c r="AA19" s="23"/>
      <c r="AB19" s="23"/>
      <c r="AC19" s="23"/>
      <c r="AD19" s="23"/>
      <c r="AE19" s="23"/>
    </row>
    <row r="20" spans="1:31" s="2" customFormat="1" ht="18" customHeight="1">
      <c r="A20" s="271"/>
      <c r="B20" s="270"/>
      <c r="C20" s="271"/>
      <c r="D20" s="271"/>
      <c r="E20" s="714" t="str">
        <f>'Rekapitulace stavby'!E14</f>
        <v xml:space="preserve"> </v>
      </c>
      <c r="F20" s="714"/>
      <c r="G20" s="714"/>
      <c r="H20" s="714"/>
      <c r="I20" s="268" t="s">
        <v>25</v>
      </c>
      <c r="J20" s="273" t="str">
        <f>'Rekapitulace stavby'!AN14</f>
        <v/>
      </c>
      <c r="K20" s="271"/>
      <c r="L20" s="64"/>
      <c r="S20" s="23"/>
      <c r="T20" s="23"/>
      <c r="U20" s="23"/>
      <c r="V20" s="23"/>
      <c r="W20" s="23"/>
      <c r="X20" s="23"/>
      <c r="Y20" s="23"/>
      <c r="Z20" s="23"/>
      <c r="AA20" s="23"/>
      <c r="AB20" s="23"/>
      <c r="AC20" s="23"/>
      <c r="AD20" s="23"/>
      <c r="AE20" s="23"/>
    </row>
    <row r="21" spans="1:31" s="2" customFormat="1" ht="6.95" customHeight="1">
      <c r="A21" s="271"/>
      <c r="B21" s="270"/>
      <c r="C21" s="271"/>
      <c r="D21" s="271"/>
      <c r="E21" s="271"/>
      <c r="F21" s="271"/>
      <c r="G21" s="271"/>
      <c r="H21" s="271"/>
      <c r="I21" s="271"/>
      <c r="J21" s="271"/>
      <c r="K21" s="271"/>
      <c r="L21" s="64"/>
      <c r="S21" s="23"/>
      <c r="T21" s="23"/>
      <c r="U21" s="23"/>
      <c r="V21" s="23"/>
      <c r="W21" s="23"/>
      <c r="X21" s="23"/>
      <c r="Y21" s="23"/>
      <c r="Z21" s="23"/>
      <c r="AA21" s="23"/>
      <c r="AB21" s="23"/>
      <c r="AC21" s="23"/>
      <c r="AD21" s="23"/>
      <c r="AE21" s="23"/>
    </row>
    <row r="22" spans="1:31" s="2" customFormat="1" ht="12" customHeight="1">
      <c r="A22" s="271"/>
      <c r="B22" s="270"/>
      <c r="C22" s="271"/>
      <c r="D22" s="268" t="s">
        <v>28</v>
      </c>
      <c r="E22" s="271"/>
      <c r="F22" s="271"/>
      <c r="G22" s="271"/>
      <c r="H22" s="271"/>
      <c r="I22" s="268" t="s">
        <v>23</v>
      </c>
      <c r="J22" s="273" t="s">
        <v>3</v>
      </c>
      <c r="K22" s="271"/>
      <c r="L22" s="64"/>
      <c r="S22" s="23"/>
      <c r="T22" s="23"/>
      <c r="U22" s="23"/>
      <c r="V22" s="23"/>
      <c r="W22" s="23"/>
      <c r="X22" s="23"/>
      <c r="Y22" s="23"/>
      <c r="Z22" s="23"/>
      <c r="AA22" s="23"/>
      <c r="AB22" s="23"/>
      <c r="AC22" s="23"/>
      <c r="AD22" s="23"/>
      <c r="AE22" s="23"/>
    </row>
    <row r="23" spans="1:31" s="2" customFormat="1" ht="18" customHeight="1">
      <c r="A23" s="271"/>
      <c r="B23" s="270"/>
      <c r="C23" s="271"/>
      <c r="D23" s="271"/>
      <c r="E23" s="273" t="s">
        <v>29</v>
      </c>
      <c r="F23" s="271"/>
      <c r="G23" s="271"/>
      <c r="H23" s="271"/>
      <c r="I23" s="268" t="s">
        <v>25</v>
      </c>
      <c r="J23" s="273" t="s">
        <v>3</v>
      </c>
      <c r="K23" s="271"/>
      <c r="L23" s="64"/>
      <c r="S23" s="23"/>
      <c r="T23" s="23"/>
      <c r="U23" s="23"/>
      <c r="V23" s="23"/>
      <c r="W23" s="23"/>
      <c r="X23" s="23"/>
      <c r="Y23" s="23"/>
      <c r="Z23" s="23"/>
      <c r="AA23" s="23"/>
      <c r="AB23" s="23"/>
      <c r="AC23" s="23"/>
      <c r="AD23" s="23"/>
      <c r="AE23" s="23"/>
    </row>
    <row r="24" spans="1:31" s="2" customFormat="1" ht="6.95" customHeight="1">
      <c r="A24" s="271"/>
      <c r="B24" s="270"/>
      <c r="C24" s="271"/>
      <c r="D24" s="271"/>
      <c r="E24" s="271"/>
      <c r="F24" s="271"/>
      <c r="G24" s="271"/>
      <c r="H24" s="271"/>
      <c r="I24" s="271"/>
      <c r="J24" s="271"/>
      <c r="K24" s="271"/>
      <c r="L24" s="64"/>
      <c r="S24" s="23"/>
      <c r="T24" s="23"/>
      <c r="U24" s="23"/>
      <c r="V24" s="23"/>
      <c r="W24" s="23"/>
      <c r="X24" s="23"/>
      <c r="Y24" s="23"/>
      <c r="Z24" s="23"/>
      <c r="AA24" s="23"/>
      <c r="AB24" s="23"/>
      <c r="AC24" s="23"/>
      <c r="AD24" s="23"/>
      <c r="AE24" s="23"/>
    </row>
    <row r="25" spans="1:31" s="2" customFormat="1" ht="12" customHeight="1">
      <c r="A25" s="271"/>
      <c r="B25" s="270"/>
      <c r="C25" s="271"/>
      <c r="D25" s="268" t="s">
        <v>31</v>
      </c>
      <c r="E25" s="271"/>
      <c r="F25" s="271"/>
      <c r="G25" s="271"/>
      <c r="H25" s="271"/>
      <c r="I25" s="268" t="s">
        <v>23</v>
      </c>
      <c r="J25" s="273" t="s">
        <v>3</v>
      </c>
      <c r="K25" s="271"/>
      <c r="L25" s="64"/>
      <c r="S25" s="23"/>
      <c r="T25" s="23"/>
      <c r="U25" s="23"/>
      <c r="V25" s="23"/>
      <c r="W25" s="23"/>
      <c r="X25" s="23"/>
      <c r="Y25" s="23"/>
      <c r="Z25" s="23"/>
      <c r="AA25" s="23"/>
      <c r="AB25" s="23"/>
      <c r="AC25" s="23"/>
      <c r="AD25" s="23"/>
      <c r="AE25" s="23"/>
    </row>
    <row r="26" spans="1:31" s="2" customFormat="1" ht="18" customHeight="1">
      <c r="A26" s="271"/>
      <c r="B26" s="270"/>
      <c r="C26" s="271"/>
      <c r="D26" s="271"/>
      <c r="E26" s="273" t="s">
        <v>29</v>
      </c>
      <c r="F26" s="271"/>
      <c r="G26" s="271"/>
      <c r="H26" s="271"/>
      <c r="I26" s="268" t="s">
        <v>25</v>
      </c>
      <c r="J26" s="273" t="s">
        <v>3</v>
      </c>
      <c r="K26" s="271"/>
      <c r="L26" s="64"/>
      <c r="S26" s="23"/>
      <c r="T26" s="23"/>
      <c r="U26" s="23"/>
      <c r="V26" s="23"/>
      <c r="W26" s="23"/>
      <c r="X26" s="23"/>
      <c r="Y26" s="23"/>
      <c r="Z26" s="23"/>
      <c r="AA26" s="23"/>
      <c r="AB26" s="23"/>
      <c r="AC26" s="23"/>
      <c r="AD26" s="23"/>
      <c r="AE26" s="23"/>
    </row>
    <row r="27" spans="1:31" s="2" customFormat="1" ht="6.95" customHeight="1">
      <c r="A27" s="271"/>
      <c r="B27" s="270"/>
      <c r="C27" s="271"/>
      <c r="D27" s="271"/>
      <c r="E27" s="271"/>
      <c r="F27" s="271"/>
      <c r="G27" s="271"/>
      <c r="H27" s="271"/>
      <c r="I27" s="271"/>
      <c r="J27" s="271"/>
      <c r="K27" s="271"/>
      <c r="L27" s="64"/>
      <c r="S27" s="23"/>
      <c r="T27" s="23"/>
      <c r="U27" s="23"/>
      <c r="V27" s="23"/>
      <c r="W27" s="23"/>
      <c r="X27" s="23"/>
      <c r="Y27" s="23"/>
      <c r="Z27" s="23"/>
      <c r="AA27" s="23"/>
      <c r="AB27" s="23"/>
      <c r="AC27" s="23"/>
      <c r="AD27" s="23"/>
      <c r="AE27" s="23"/>
    </row>
    <row r="28" spans="1:31" s="2" customFormat="1" ht="12" customHeight="1">
      <c r="A28" s="271"/>
      <c r="B28" s="270"/>
      <c r="C28" s="271"/>
      <c r="D28" s="268" t="s">
        <v>32</v>
      </c>
      <c r="E28" s="271"/>
      <c r="F28" s="271"/>
      <c r="G28" s="271"/>
      <c r="H28" s="271"/>
      <c r="I28" s="271"/>
      <c r="J28" s="271"/>
      <c r="K28" s="271"/>
      <c r="L28" s="64"/>
      <c r="S28" s="23"/>
      <c r="T28" s="23"/>
      <c r="U28" s="23"/>
      <c r="V28" s="23"/>
      <c r="W28" s="23"/>
      <c r="X28" s="23"/>
      <c r="Y28" s="23"/>
      <c r="Z28" s="23"/>
      <c r="AA28" s="23"/>
      <c r="AB28" s="23"/>
      <c r="AC28" s="23"/>
      <c r="AD28" s="23"/>
      <c r="AE28" s="23"/>
    </row>
    <row r="29" spans="1:31" s="8" customFormat="1" ht="14.45" customHeight="1">
      <c r="A29" s="274"/>
      <c r="B29" s="275"/>
      <c r="C29" s="274"/>
      <c r="D29" s="274"/>
      <c r="E29" s="707" t="s">
        <v>3</v>
      </c>
      <c r="F29" s="707"/>
      <c r="G29" s="707"/>
      <c r="H29" s="707"/>
      <c r="I29" s="274"/>
      <c r="J29" s="274"/>
      <c r="K29" s="274"/>
      <c r="L29" s="66"/>
      <c r="S29" s="65"/>
      <c r="T29" s="65"/>
      <c r="U29" s="65"/>
      <c r="V29" s="65"/>
      <c r="W29" s="65"/>
      <c r="X29" s="65"/>
      <c r="Y29" s="65"/>
      <c r="Z29" s="65"/>
      <c r="AA29" s="65"/>
      <c r="AB29" s="65"/>
      <c r="AC29" s="65"/>
      <c r="AD29" s="65"/>
      <c r="AE29" s="65"/>
    </row>
    <row r="30" spans="1:31" s="2" customFormat="1" ht="6.95" customHeight="1">
      <c r="A30" s="271"/>
      <c r="B30" s="270"/>
      <c r="C30" s="271"/>
      <c r="D30" s="271"/>
      <c r="E30" s="271"/>
      <c r="F30" s="271"/>
      <c r="G30" s="271"/>
      <c r="H30" s="271"/>
      <c r="I30" s="271"/>
      <c r="J30" s="271"/>
      <c r="K30" s="271"/>
      <c r="L30" s="64"/>
      <c r="S30" s="23"/>
      <c r="T30" s="23"/>
      <c r="U30" s="23"/>
      <c r="V30" s="23"/>
      <c r="W30" s="23"/>
      <c r="X30" s="23"/>
      <c r="Y30" s="23"/>
      <c r="Z30" s="23"/>
      <c r="AA30" s="23"/>
      <c r="AB30" s="23"/>
      <c r="AC30" s="23"/>
      <c r="AD30" s="23"/>
      <c r="AE30" s="23"/>
    </row>
    <row r="31" spans="1:31" s="2" customFormat="1" ht="6.95" customHeight="1">
      <c r="A31" s="271"/>
      <c r="B31" s="270"/>
      <c r="C31" s="271"/>
      <c r="D31" s="276"/>
      <c r="E31" s="276"/>
      <c r="F31" s="276"/>
      <c r="G31" s="276"/>
      <c r="H31" s="276"/>
      <c r="I31" s="276"/>
      <c r="J31" s="276"/>
      <c r="K31" s="276"/>
      <c r="L31" s="64"/>
      <c r="S31" s="23"/>
      <c r="T31" s="23"/>
      <c r="U31" s="23"/>
      <c r="V31" s="23"/>
      <c r="W31" s="23"/>
      <c r="X31" s="23"/>
      <c r="Y31" s="23"/>
      <c r="Z31" s="23"/>
      <c r="AA31" s="23"/>
      <c r="AB31" s="23"/>
      <c r="AC31" s="23"/>
      <c r="AD31" s="23"/>
      <c r="AE31" s="23"/>
    </row>
    <row r="32" spans="1:31" s="2" customFormat="1" ht="25.35" customHeight="1">
      <c r="A32" s="271"/>
      <c r="B32" s="270"/>
      <c r="C32" s="271"/>
      <c r="D32" s="277" t="s">
        <v>34</v>
      </c>
      <c r="E32" s="271"/>
      <c r="F32" s="271"/>
      <c r="G32" s="271"/>
      <c r="H32" s="271"/>
      <c r="I32" s="271"/>
      <c r="J32" s="388">
        <f>ROUND(J91, 2)</f>
        <v>0</v>
      </c>
      <c r="K32" s="271"/>
      <c r="L32" s="64"/>
      <c r="S32" s="23"/>
      <c r="T32" s="23"/>
      <c r="U32" s="23"/>
      <c r="V32" s="23"/>
      <c r="W32" s="23"/>
      <c r="X32" s="23"/>
      <c r="Y32" s="23"/>
      <c r="Z32" s="23"/>
      <c r="AA32" s="23"/>
      <c r="AB32" s="23"/>
      <c r="AC32" s="23"/>
      <c r="AD32" s="23"/>
      <c r="AE32" s="23"/>
    </row>
    <row r="33" spans="1:31" s="2" customFormat="1" ht="6.95" customHeight="1">
      <c r="A33" s="271"/>
      <c r="B33" s="270"/>
      <c r="C33" s="271"/>
      <c r="D33" s="276"/>
      <c r="E33" s="276"/>
      <c r="F33" s="276"/>
      <c r="G33" s="276"/>
      <c r="H33" s="276"/>
      <c r="I33" s="276"/>
      <c r="J33" s="276"/>
      <c r="K33" s="276"/>
      <c r="L33" s="64"/>
      <c r="S33" s="23"/>
      <c r="T33" s="23"/>
      <c r="U33" s="23"/>
      <c r="V33" s="23"/>
      <c r="W33" s="23"/>
      <c r="X33" s="23"/>
      <c r="Y33" s="23"/>
      <c r="Z33" s="23"/>
      <c r="AA33" s="23"/>
      <c r="AB33" s="23"/>
      <c r="AC33" s="23"/>
      <c r="AD33" s="23"/>
      <c r="AE33" s="23"/>
    </row>
    <row r="34" spans="1:31" s="2" customFormat="1" ht="14.45" customHeight="1">
      <c r="A34" s="271"/>
      <c r="B34" s="270"/>
      <c r="C34" s="271"/>
      <c r="D34" s="271"/>
      <c r="E34" s="271"/>
      <c r="F34" s="278" t="s">
        <v>36</v>
      </c>
      <c r="G34" s="271"/>
      <c r="H34" s="271"/>
      <c r="I34" s="278" t="s">
        <v>35</v>
      </c>
      <c r="J34" s="278" t="s">
        <v>37</v>
      </c>
      <c r="K34" s="271"/>
      <c r="L34" s="64"/>
      <c r="S34" s="23"/>
      <c r="T34" s="23"/>
      <c r="U34" s="23"/>
      <c r="V34" s="23"/>
      <c r="W34" s="23"/>
      <c r="X34" s="23"/>
      <c r="Y34" s="23"/>
      <c r="Z34" s="23"/>
      <c r="AA34" s="23"/>
      <c r="AB34" s="23"/>
      <c r="AC34" s="23"/>
      <c r="AD34" s="23"/>
      <c r="AE34" s="23"/>
    </row>
    <row r="35" spans="1:31" s="2" customFormat="1" ht="14.45" customHeight="1">
      <c r="A35" s="271"/>
      <c r="B35" s="270"/>
      <c r="C35" s="271"/>
      <c r="D35" s="279" t="s">
        <v>38</v>
      </c>
      <c r="E35" s="268" t="s">
        <v>39</v>
      </c>
      <c r="F35" s="280">
        <f>ROUND((SUM(BE91:BE113)),  2)</f>
        <v>0</v>
      </c>
      <c r="G35" s="271"/>
      <c r="H35" s="271"/>
      <c r="I35" s="389">
        <v>0.21</v>
      </c>
      <c r="J35" s="280">
        <f>ROUND(((SUM(BE91:BE113))*I35),  2)</f>
        <v>0</v>
      </c>
      <c r="K35" s="271"/>
      <c r="L35" s="64"/>
      <c r="S35" s="23"/>
      <c r="T35" s="23"/>
      <c r="U35" s="23"/>
      <c r="V35" s="23"/>
      <c r="W35" s="23"/>
      <c r="X35" s="23"/>
      <c r="Y35" s="23"/>
      <c r="Z35" s="23"/>
      <c r="AA35" s="23"/>
      <c r="AB35" s="23"/>
      <c r="AC35" s="23"/>
      <c r="AD35" s="23"/>
      <c r="AE35" s="23"/>
    </row>
    <row r="36" spans="1:31" s="2" customFormat="1" ht="14.45" customHeight="1">
      <c r="A36" s="271"/>
      <c r="B36" s="270"/>
      <c r="C36" s="271"/>
      <c r="D36" s="271"/>
      <c r="E36" s="268" t="s">
        <v>40</v>
      </c>
      <c r="F36" s="280">
        <f>ROUND((SUM(BF91:BF113)),  2)</f>
        <v>0</v>
      </c>
      <c r="G36" s="271"/>
      <c r="H36" s="271"/>
      <c r="I36" s="389">
        <v>0.15</v>
      </c>
      <c r="J36" s="280">
        <f>ROUND(((SUM(BF91:BF113))*I36),  2)</f>
        <v>0</v>
      </c>
      <c r="K36" s="271"/>
      <c r="L36" s="64"/>
      <c r="S36" s="23"/>
      <c r="T36" s="23"/>
      <c r="U36" s="23"/>
      <c r="V36" s="23"/>
      <c r="W36" s="23"/>
      <c r="X36" s="23"/>
      <c r="Y36" s="23"/>
      <c r="Z36" s="23"/>
      <c r="AA36" s="23"/>
      <c r="AB36" s="23"/>
      <c r="AC36" s="23"/>
      <c r="AD36" s="23"/>
      <c r="AE36" s="23"/>
    </row>
    <row r="37" spans="1:31" s="2" customFormat="1" ht="14.45" hidden="1" customHeight="1">
      <c r="A37" s="271"/>
      <c r="B37" s="270"/>
      <c r="C37" s="271"/>
      <c r="D37" s="271"/>
      <c r="E37" s="268" t="s">
        <v>41</v>
      </c>
      <c r="F37" s="280">
        <f>ROUND((SUM(BG91:BG113)),  2)</f>
        <v>0</v>
      </c>
      <c r="G37" s="271"/>
      <c r="H37" s="271"/>
      <c r="I37" s="389">
        <v>0.21</v>
      </c>
      <c r="J37" s="280">
        <f>0</f>
        <v>0</v>
      </c>
      <c r="K37" s="271"/>
      <c r="L37" s="64"/>
      <c r="S37" s="23"/>
      <c r="T37" s="23"/>
      <c r="U37" s="23"/>
      <c r="V37" s="23"/>
      <c r="W37" s="23"/>
      <c r="X37" s="23"/>
      <c r="Y37" s="23"/>
      <c r="Z37" s="23"/>
      <c r="AA37" s="23"/>
      <c r="AB37" s="23"/>
      <c r="AC37" s="23"/>
      <c r="AD37" s="23"/>
      <c r="AE37" s="23"/>
    </row>
    <row r="38" spans="1:31" s="2" customFormat="1" ht="14.45" hidden="1" customHeight="1">
      <c r="A38" s="271"/>
      <c r="B38" s="270"/>
      <c r="C38" s="271"/>
      <c r="D38" s="271"/>
      <c r="E38" s="268" t="s">
        <v>42</v>
      </c>
      <c r="F38" s="280">
        <f>ROUND((SUM(BH91:BH113)),  2)</f>
        <v>0</v>
      </c>
      <c r="G38" s="271"/>
      <c r="H38" s="271"/>
      <c r="I38" s="389">
        <v>0.15</v>
      </c>
      <c r="J38" s="280">
        <f>0</f>
        <v>0</v>
      </c>
      <c r="K38" s="271"/>
      <c r="L38" s="64"/>
      <c r="S38" s="23"/>
      <c r="T38" s="23"/>
      <c r="U38" s="23"/>
      <c r="V38" s="23"/>
      <c r="W38" s="23"/>
      <c r="X38" s="23"/>
      <c r="Y38" s="23"/>
      <c r="Z38" s="23"/>
      <c r="AA38" s="23"/>
      <c r="AB38" s="23"/>
      <c r="AC38" s="23"/>
      <c r="AD38" s="23"/>
      <c r="AE38" s="23"/>
    </row>
    <row r="39" spans="1:31" s="2" customFormat="1" ht="14.45" hidden="1" customHeight="1">
      <c r="A39" s="271"/>
      <c r="B39" s="270"/>
      <c r="C39" s="271"/>
      <c r="D39" s="271"/>
      <c r="E39" s="268" t="s">
        <v>43</v>
      </c>
      <c r="F39" s="280">
        <f>ROUND((SUM(BI91:BI113)),  2)</f>
        <v>0</v>
      </c>
      <c r="G39" s="271"/>
      <c r="H39" s="271"/>
      <c r="I39" s="389">
        <v>0</v>
      </c>
      <c r="J39" s="280">
        <f>0</f>
        <v>0</v>
      </c>
      <c r="K39" s="271"/>
      <c r="L39" s="64"/>
      <c r="S39" s="23"/>
      <c r="T39" s="23"/>
      <c r="U39" s="23"/>
      <c r="V39" s="23"/>
      <c r="W39" s="23"/>
      <c r="X39" s="23"/>
      <c r="Y39" s="23"/>
      <c r="Z39" s="23"/>
      <c r="AA39" s="23"/>
      <c r="AB39" s="23"/>
      <c r="AC39" s="23"/>
      <c r="AD39" s="23"/>
      <c r="AE39" s="23"/>
    </row>
    <row r="40" spans="1:31" s="2" customFormat="1" ht="6.95" customHeight="1">
      <c r="A40" s="271"/>
      <c r="B40" s="270"/>
      <c r="C40" s="271"/>
      <c r="D40" s="271"/>
      <c r="E40" s="271"/>
      <c r="F40" s="271"/>
      <c r="G40" s="271"/>
      <c r="H40" s="271"/>
      <c r="I40" s="271"/>
      <c r="J40" s="271"/>
      <c r="K40" s="271"/>
      <c r="L40" s="64"/>
      <c r="S40" s="23"/>
      <c r="T40" s="23"/>
      <c r="U40" s="23"/>
      <c r="V40" s="23"/>
      <c r="W40" s="23"/>
      <c r="X40" s="23"/>
      <c r="Y40" s="23"/>
      <c r="Z40" s="23"/>
      <c r="AA40" s="23"/>
      <c r="AB40" s="23"/>
      <c r="AC40" s="23"/>
      <c r="AD40" s="23"/>
      <c r="AE40" s="23"/>
    </row>
    <row r="41" spans="1:31" s="2" customFormat="1" ht="25.35" customHeight="1">
      <c r="A41" s="271"/>
      <c r="B41" s="270"/>
      <c r="C41" s="281"/>
      <c r="D41" s="282" t="s">
        <v>44</v>
      </c>
      <c r="E41" s="283"/>
      <c r="F41" s="283"/>
      <c r="G41" s="284" t="s">
        <v>45</v>
      </c>
      <c r="H41" s="285" t="s">
        <v>46</v>
      </c>
      <c r="I41" s="283"/>
      <c r="J41" s="390">
        <f>SUM(J32:J39)</f>
        <v>0</v>
      </c>
      <c r="K41" s="339"/>
      <c r="L41" s="64"/>
      <c r="S41" s="23"/>
      <c r="T41" s="23"/>
      <c r="U41" s="23"/>
      <c r="V41" s="23"/>
      <c r="W41" s="23"/>
      <c r="X41" s="23"/>
      <c r="Y41" s="23"/>
      <c r="Z41" s="23"/>
      <c r="AA41" s="23"/>
      <c r="AB41" s="23"/>
      <c r="AC41" s="23"/>
      <c r="AD41" s="23"/>
      <c r="AE41" s="23"/>
    </row>
    <row r="42" spans="1:31" s="2" customFormat="1" ht="14.45" customHeight="1">
      <c r="A42" s="271"/>
      <c r="B42" s="286"/>
      <c r="C42" s="287"/>
      <c r="D42" s="287"/>
      <c r="E42" s="287"/>
      <c r="F42" s="287"/>
      <c r="G42" s="287"/>
      <c r="H42" s="287"/>
      <c r="I42" s="287"/>
      <c r="J42" s="287"/>
      <c r="K42" s="287"/>
      <c r="L42" s="64"/>
      <c r="S42" s="23"/>
      <c r="T42" s="23"/>
      <c r="U42" s="23"/>
      <c r="V42" s="23"/>
      <c r="W42" s="23"/>
      <c r="X42" s="23"/>
      <c r="Y42" s="23"/>
      <c r="Z42" s="23"/>
      <c r="AA42" s="23"/>
      <c r="AB42" s="23"/>
      <c r="AC42" s="23"/>
      <c r="AD42" s="23"/>
      <c r="AE42" s="23"/>
    </row>
    <row r="43" spans="1:31">
      <c r="A43" s="61"/>
      <c r="B43" s="61"/>
      <c r="C43" s="61"/>
      <c r="D43" s="61"/>
      <c r="E43" s="61"/>
      <c r="F43" s="61"/>
      <c r="G43" s="61"/>
      <c r="H43" s="61"/>
      <c r="I43" s="61"/>
      <c r="J43" s="61"/>
      <c r="K43" s="61"/>
    </row>
    <row r="44" spans="1:31">
      <c r="A44" s="61"/>
      <c r="B44" s="61"/>
      <c r="C44" s="61"/>
      <c r="D44" s="61"/>
      <c r="E44" s="61"/>
      <c r="F44" s="61"/>
      <c r="G44" s="61"/>
      <c r="H44" s="61"/>
      <c r="I44" s="61"/>
      <c r="J44" s="61"/>
      <c r="K44" s="61"/>
    </row>
    <row r="45" spans="1:31">
      <c r="A45" s="61"/>
      <c r="B45" s="61"/>
      <c r="C45" s="61"/>
      <c r="D45" s="61"/>
      <c r="E45" s="61"/>
      <c r="F45" s="61"/>
      <c r="G45" s="61"/>
      <c r="H45" s="61"/>
      <c r="I45" s="61"/>
      <c r="J45" s="61"/>
      <c r="K45" s="61"/>
    </row>
    <row r="46" spans="1:31" s="2" customFormat="1" ht="6.95" customHeight="1">
      <c r="A46" s="271"/>
      <c r="B46" s="288"/>
      <c r="C46" s="289"/>
      <c r="D46" s="289"/>
      <c r="E46" s="289"/>
      <c r="F46" s="289"/>
      <c r="G46" s="289"/>
      <c r="H46" s="289"/>
      <c r="I46" s="289"/>
      <c r="J46" s="289"/>
      <c r="K46" s="289"/>
      <c r="L46" s="64"/>
      <c r="S46" s="23"/>
      <c r="T46" s="23"/>
      <c r="U46" s="23"/>
      <c r="V46" s="23"/>
      <c r="W46" s="23"/>
      <c r="X46" s="23"/>
      <c r="Y46" s="23"/>
      <c r="Z46" s="23"/>
      <c r="AA46" s="23"/>
      <c r="AB46" s="23"/>
      <c r="AC46" s="23"/>
      <c r="AD46" s="23"/>
      <c r="AE46" s="23"/>
    </row>
    <row r="47" spans="1:31" s="2" customFormat="1" ht="24.95" customHeight="1">
      <c r="A47" s="271"/>
      <c r="B47" s="270"/>
      <c r="C47" s="266" t="s">
        <v>167</v>
      </c>
      <c r="D47" s="271"/>
      <c r="E47" s="271"/>
      <c r="F47" s="271"/>
      <c r="G47" s="271"/>
      <c r="H47" s="271"/>
      <c r="I47" s="271"/>
      <c r="J47" s="271"/>
      <c r="K47" s="271"/>
      <c r="L47" s="64"/>
      <c r="S47" s="23"/>
      <c r="T47" s="23"/>
      <c r="U47" s="23"/>
      <c r="V47" s="23"/>
      <c r="W47" s="23"/>
      <c r="X47" s="23"/>
      <c r="Y47" s="23"/>
      <c r="Z47" s="23"/>
      <c r="AA47" s="23"/>
      <c r="AB47" s="23"/>
      <c r="AC47" s="23"/>
      <c r="AD47" s="23"/>
      <c r="AE47" s="23"/>
    </row>
    <row r="48" spans="1:31" s="2" customFormat="1" ht="6.95" customHeight="1">
      <c r="A48" s="271"/>
      <c r="B48" s="270"/>
      <c r="C48" s="271"/>
      <c r="D48" s="271"/>
      <c r="E48" s="271"/>
      <c r="F48" s="271"/>
      <c r="G48" s="271"/>
      <c r="H48" s="271"/>
      <c r="I48" s="271"/>
      <c r="J48" s="271"/>
      <c r="K48" s="271"/>
      <c r="L48" s="64"/>
      <c r="S48" s="23"/>
      <c r="T48" s="23"/>
      <c r="U48" s="23"/>
      <c r="V48" s="23"/>
      <c r="W48" s="23"/>
      <c r="X48" s="23"/>
      <c r="Y48" s="23"/>
      <c r="Z48" s="23"/>
      <c r="AA48" s="23"/>
      <c r="AB48" s="23"/>
      <c r="AC48" s="23"/>
      <c r="AD48" s="23"/>
      <c r="AE48" s="23"/>
    </row>
    <row r="49" spans="1:47" s="2" customFormat="1" ht="12" customHeight="1">
      <c r="A49" s="271"/>
      <c r="B49" s="270"/>
      <c r="C49" s="268" t="s">
        <v>15</v>
      </c>
      <c r="D49" s="271"/>
      <c r="E49" s="271"/>
      <c r="F49" s="271"/>
      <c r="G49" s="271"/>
      <c r="H49" s="271"/>
      <c r="I49" s="271"/>
      <c r="J49" s="271"/>
      <c r="K49" s="271"/>
      <c r="L49" s="64"/>
      <c r="S49" s="23"/>
      <c r="T49" s="23"/>
      <c r="U49" s="23"/>
      <c r="V49" s="23"/>
      <c r="W49" s="23"/>
      <c r="X49" s="23"/>
      <c r="Y49" s="23"/>
      <c r="Z49" s="23"/>
      <c r="AA49" s="23"/>
      <c r="AB49" s="23"/>
      <c r="AC49" s="23"/>
      <c r="AD49" s="23"/>
      <c r="AE49" s="23"/>
    </row>
    <row r="50" spans="1:47" s="2" customFormat="1" ht="14.45" customHeight="1">
      <c r="A50" s="271"/>
      <c r="B50" s="270"/>
      <c r="C50" s="271"/>
      <c r="D50" s="271"/>
      <c r="E50" s="722" t="str">
        <f>E7</f>
        <v>Úpravy gastroprovozu Úřadu vlády ČR v 1.pp Strakovy akademie</v>
      </c>
      <c r="F50" s="723"/>
      <c r="G50" s="723"/>
      <c r="H50" s="723"/>
      <c r="I50" s="271"/>
      <c r="J50" s="271"/>
      <c r="K50" s="271"/>
      <c r="L50" s="64"/>
      <c r="S50" s="23"/>
      <c r="T50" s="23"/>
      <c r="U50" s="23"/>
      <c r="V50" s="23"/>
      <c r="W50" s="23"/>
      <c r="X50" s="23"/>
      <c r="Y50" s="23"/>
      <c r="Z50" s="23"/>
      <c r="AA50" s="23"/>
      <c r="AB50" s="23"/>
      <c r="AC50" s="23"/>
      <c r="AD50" s="23"/>
      <c r="AE50" s="23"/>
    </row>
    <row r="51" spans="1:47" s="1" customFormat="1" ht="12" customHeight="1">
      <c r="A51" s="61"/>
      <c r="B51" s="265"/>
      <c r="C51" s="268" t="s">
        <v>151</v>
      </c>
      <c r="D51" s="61"/>
      <c r="E51" s="61"/>
      <c r="F51" s="61"/>
      <c r="G51" s="61"/>
      <c r="H51" s="61"/>
      <c r="I51" s="61"/>
      <c r="J51" s="61"/>
      <c r="K51" s="61"/>
      <c r="L51" s="20"/>
    </row>
    <row r="52" spans="1:47" s="2" customFormat="1" ht="14.45" customHeight="1">
      <c r="A52" s="271"/>
      <c r="B52" s="270"/>
      <c r="C52" s="271"/>
      <c r="D52" s="271"/>
      <c r="E52" s="722" t="s">
        <v>1813</v>
      </c>
      <c r="F52" s="721"/>
      <c r="G52" s="721"/>
      <c r="H52" s="721"/>
      <c r="I52" s="271"/>
      <c r="J52" s="271"/>
      <c r="K52" s="271"/>
      <c r="L52" s="64"/>
      <c r="S52" s="23"/>
      <c r="T52" s="23"/>
      <c r="U52" s="23"/>
      <c r="V52" s="23"/>
      <c r="W52" s="23"/>
      <c r="X52" s="23"/>
      <c r="Y52" s="23"/>
      <c r="Z52" s="23"/>
      <c r="AA52" s="23"/>
      <c r="AB52" s="23"/>
      <c r="AC52" s="23"/>
      <c r="AD52" s="23"/>
      <c r="AE52" s="23"/>
    </row>
    <row r="53" spans="1:47" s="2" customFormat="1" ht="12" customHeight="1">
      <c r="A53" s="271"/>
      <c r="B53" s="270"/>
      <c r="C53" s="268" t="s">
        <v>157</v>
      </c>
      <c r="D53" s="271"/>
      <c r="E53" s="271"/>
      <c r="F53" s="271"/>
      <c r="G53" s="271"/>
      <c r="H53" s="271"/>
      <c r="I53" s="271"/>
      <c r="J53" s="271"/>
      <c r="K53" s="271"/>
      <c r="L53" s="64"/>
      <c r="S53" s="23"/>
      <c r="T53" s="23"/>
      <c r="U53" s="23"/>
      <c r="V53" s="23"/>
      <c r="W53" s="23"/>
      <c r="X53" s="23"/>
      <c r="Y53" s="23"/>
      <c r="Z53" s="23"/>
      <c r="AA53" s="23"/>
      <c r="AB53" s="23"/>
      <c r="AC53" s="23"/>
      <c r="AD53" s="23"/>
      <c r="AE53" s="23"/>
    </row>
    <row r="54" spans="1:47" s="2" customFormat="1" ht="14.45" customHeight="1">
      <c r="A54" s="271"/>
      <c r="B54" s="270"/>
      <c r="C54" s="271"/>
      <c r="D54" s="271"/>
      <c r="E54" s="689" t="str">
        <f>E11</f>
        <v xml:space="preserve">VON - Soupis prací - Vedlejší a ostatní náklady </v>
      </c>
      <c r="F54" s="721"/>
      <c r="G54" s="721"/>
      <c r="H54" s="721"/>
      <c r="I54" s="271"/>
      <c r="J54" s="271"/>
      <c r="K54" s="271"/>
      <c r="L54" s="64"/>
      <c r="S54" s="23"/>
      <c r="T54" s="23"/>
      <c r="U54" s="23"/>
      <c r="V54" s="23"/>
      <c r="W54" s="23"/>
      <c r="X54" s="23"/>
      <c r="Y54" s="23"/>
      <c r="Z54" s="23"/>
      <c r="AA54" s="23"/>
      <c r="AB54" s="23"/>
      <c r="AC54" s="23"/>
      <c r="AD54" s="23"/>
      <c r="AE54" s="23"/>
    </row>
    <row r="55" spans="1:47" s="2" customFormat="1" ht="6.95" customHeight="1">
      <c r="A55" s="271"/>
      <c r="B55" s="270"/>
      <c r="C55" s="271"/>
      <c r="D55" s="271"/>
      <c r="E55" s="271"/>
      <c r="F55" s="271"/>
      <c r="G55" s="271"/>
      <c r="H55" s="271"/>
      <c r="I55" s="271"/>
      <c r="J55" s="271"/>
      <c r="K55" s="271"/>
      <c r="L55" s="64"/>
      <c r="S55" s="23"/>
      <c r="T55" s="23"/>
      <c r="U55" s="23"/>
      <c r="V55" s="23"/>
      <c r="W55" s="23"/>
      <c r="X55" s="23"/>
      <c r="Y55" s="23"/>
      <c r="Z55" s="23"/>
      <c r="AA55" s="23"/>
      <c r="AB55" s="23"/>
      <c r="AC55" s="23"/>
      <c r="AD55" s="23"/>
      <c r="AE55" s="23"/>
    </row>
    <row r="56" spans="1:47" s="2" customFormat="1" ht="12" customHeight="1">
      <c r="A56" s="271"/>
      <c r="B56" s="270"/>
      <c r="C56" s="268" t="s">
        <v>19</v>
      </c>
      <c r="D56" s="271"/>
      <c r="E56" s="271"/>
      <c r="F56" s="273" t="str">
        <f>F14</f>
        <v xml:space="preserve"> </v>
      </c>
      <c r="G56" s="271"/>
      <c r="H56" s="271"/>
      <c r="I56" s="268" t="s">
        <v>21</v>
      </c>
      <c r="J56" s="387">
        <f>IF(J14="","",J14)</f>
        <v>44077</v>
      </c>
      <c r="K56" s="271"/>
      <c r="L56" s="64"/>
      <c r="S56" s="23"/>
      <c r="T56" s="23"/>
      <c r="U56" s="23"/>
      <c r="V56" s="23"/>
      <c r="W56" s="23"/>
      <c r="X56" s="23"/>
      <c r="Y56" s="23"/>
      <c r="Z56" s="23"/>
      <c r="AA56" s="23"/>
      <c r="AB56" s="23"/>
      <c r="AC56" s="23"/>
      <c r="AD56" s="23"/>
      <c r="AE56" s="23"/>
    </row>
    <row r="57" spans="1:47" s="2" customFormat="1" ht="6.95" customHeight="1">
      <c r="A57" s="271"/>
      <c r="B57" s="270"/>
      <c r="C57" s="271"/>
      <c r="D57" s="271"/>
      <c r="E57" s="271"/>
      <c r="F57" s="271"/>
      <c r="G57" s="271"/>
      <c r="H57" s="271"/>
      <c r="I57" s="271"/>
      <c r="J57" s="271"/>
      <c r="K57" s="271"/>
      <c r="L57" s="64"/>
      <c r="S57" s="23"/>
      <c r="T57" s="23"/>
      <c r="U57" s="23"/>
      <c r="V57" s="23"/>
      <c r="W57" s="23"/>
      <c r="X57" s="23"/>
      <c r="Y57" s="23"/>
      <c r="Z57" s="23"/>
      <c r="AA57" s="23"/>
      <c r="AB57" s="23"/>
      <c r="AC57" s="23"/>
      <c r="AD57" s="23"/>
      <c r="AE57" s="23"/>
    </row>
    <row r="58" spans="1:47" s="2" customFormat="1" ht="26.45" customHeight="1">
      <c r="A58" s="271"/>
      <c r="B58" s="270"/>
      <c r="C58" s="268" t="s">
        <v>22</v>
      </c>
      <c r="D58" s="271"/>
      <c r="E58" s="271"/>
      <c r="F58" s="273" t="str">
        <f>E17</f>
        <v xml:space="preserve">Úřad vlády České republiky </v>
      </c>
      <c r="G58" s="271"/>
      <c r="H58" s="271"/>
      <c r="I58" s="268" t="s">
        <v>28</v>
      </c>
      <c r="J58" s="391" t="str">
        <f>E23</f>
        <v>Ateliér Simona Group</v>
      </c>
      <c r="K58" s="271"/>
      <c r="L58" s="64"/>
      <c r="S58" s="23"/>
      <c r="T58" s="23"/>
      <c r="U58" s="23"/>
      <c r="V58" s="23"/>
      <c r="W58" s="23"/>
      <c r="X58" s="23"/>
      <c r="Y58" s="23"/>
      <c r="Z58" s="23"/>
      <c r="AA58" s="23"/>
      <c r="AB58" s="23"/>
      <c r="AC58" s="23"/>
      <c r="AD58" s="23"/>
      <c r="AE58" s="23"/>
    </row>
    <row r="59" spans="1:47" s="2" customFormat="1" ht="26.45" customHeight="1">
      <c r="A59" s="271"/>
      <c r="B59" s="270"/>
      <c r="C59" s="268" t="s">
        <v>26</v>
      </c>
      <c r="D59" s="271"/>
      <c r="E59" s="271"/>
      <c r="F59" s="273" t="str">
        <f>IF(E20="","",E20)</f>
        <v xml:space="preserve"> </v>
      </c>
      <c r="G59" s="271"/>
      <c r="H59" s="271"/>
      <c r="I59" s="268" t="s">
        <v>31</v>
      </c>
      <c r="J59" s="391" t="str">
        <f>E26</f>
        <v>Ateliér Simona Group</v>
      </c>
      <c r="K59" s="271"/>
      <c r="L59" s="64"/>
      <c r="S59" s="23"/>
      <c r="T59" s="23"/>
      <c r="U59" s="23"/>
      <c r="V59" s="23"/>
      <c r="W59" s="23"/>
      <c r="X59" s="23"/>
      <c r="Y59" s="23"/>
      <c r="Z59" s="23"/>
      <c r="AA59" s="23"/>
      <c r="AB59" s="23"/>
      <c r="AC59" s="23"/>
      <c r="AD59" s="23"/>
      <c r="AE59" s="23"/>
    </row>
    <row r="60" spans="1:47" s="2" customFormat="1" ht="10.35" customHeight="1">
      <c r="A60" s="271"/>
      <c r="B60" s="270"/>
      <c r="C60" s="271"/>
      <c r="D60" s="271"/>
      <c r="E60" s="271"/>
      <c r="F60" s="271"/>
      <c r="G60" s="271"/>
      <c r="H60" s="271"/>
      <c r="I60" s="271"/>
      <c r="J60" s="271"/>
      <c r="K60" s="271"/>
      <c r="L60" s="64"/>
      <c r="S60" s="23"/>
      <c r="T60" s="23"/>
      <c r="U60" s="23"/>
      <c r="V60" s="23"/>
      <c r="W60" s="23"/>
      <c r="X60" s="23"/>
      <c r="Y60" s="23"/>
      <c r="Z60" s="23"/>
      <c r="AA60" s="23"/>
      <c r="AB60" s="23"/>
      <c r="AC60" s="23"/>
      <c r="AD60" s="23"/>
      <c r="AE60" s="23"/>
    </row>
    <row r="61" spans="1:47" s="2" customFormat="1" ht="29.25" customHeight="1">
      <c r="A61" s="271"/>
      <c r="B61" s="270"/>
      <c r="C61" s="290" t="s">
        <v>168</v>
      </c>
      <c r="D61" s="281"/>
      <c r="E61" s="281"/>
      <c r="F61" s="281"/>
      <c r="G61" s="281"/>
      <c r="H61" s="281"/>
      <c r="I61" s="281"/>
      <c r="J61" s="392" t="s">
        <v>169</v>
      </c>
      <c r="K61" s="281"/>
      <c r="L61" s="64"/>
      <c r="S61" s="23"/>
      <c r="T61" s="23"/>
      <c r="U61" s="23"/>
      <c r="V61" s="23"/>
      <c r="W61" s="23"/>
      <c r="X61" s="23"/>
      <c r="Y61" s="23"/>
      <c r="Z61" s="23"/>
      <c r="AA61" s="23"/>
      <c r="AB61" s="23"/>
      <c r="AC61" s="23"/>
      <c r="AD61" s="23"/>
      <c r="AE61" s="23"/>
    </row>
    <row r="62" spans="1:47" s="2" customFormat="1" ht="10.35" customHeight="1">
      <c r="A62" s="271"/>
      <c r="B62" s="270"/>
      <c r="C62" s="271"/>
      <c r="D62" s="271"/>
      <c r="E62" s="271"/>
      <c r="F62" s="271"/>
      <c r="G62" s="271"/>
      <c r="H62" s="271"/>
      <c r="I62" s="271"/>
      <c r="J62" s="271"/>
      <c r="K62" s="271"/>
      <c r="L62" s="64"/>
      <c r="S62" s="23"/>
      <c r="T62" s="23"/>
      <c r="U62" s="23"/>
      <c r="V62" s="23"/>
      <c r="W62" s="23"/>
      <c r="X62" s="23"/>
      <c r="Y62" s="23"/>
      <c r="Z62" s="23"/>
      <c r="AA62" s="23"/>
      <c r="AB62" s="23"/>
      <c r="AC62" s="23"/>
      <c r="AD62" s="23"/>
      <c r="AE62" s="23"/>
    </row>
    <row r="63" spans="1:47" s="2" customFormat="1" ht="22.9" customHeight="1">
      <c r="A63" s="271"/>
      <c r="B63" s="270"/>
      <c r="C63" s="291" t="s">
        <v>66</v>
      </c>
      <c r="D63" s="271"/>
      <c r="E63" s="271"/>
      <c r="F63" s="271"/>
      <c r="G63" s="271"/>
      <c r="H63" s="271"/>
      <c r="I63" s="271"/>
      <c r="J63" s="388">
        <f>J91</f>
        <v>0</v>
      </c>
      <c r="K63" s="271"/>
      <c r="L63" s="64"/>
      <c r="S63" s="23"/>
      <c r="T63" s="23"/>
      <c r="U63" s="23"/>
      <c r="V63" s="23"/>
      <c r="W63" s="23"/>
      <c r="X63" s="23"/>
      <c r="Y63" s="23"/>
      <c r="Z63" s="23"/>
      <c r="AA63" s="23"/>
      <c r="AB63" s="23"/>
      <c r="AC63" s="23"/>
      <c r="AD63" s="23"/>
      <c r="AE63" s="23"/>
      <c r="AU63" s="19" t="s">
        <v>170</v>
      </c>
    </row>
    <row r="64" spans="1:47" s="9" customFormat="1" ht="24.95" customHeight="1">
      <c r="A64" s="292"/>
      <c r="B64" s="293"/>
      <c r="C64" s="292"/>
      <c r="D64" s="294" t="s">
        <v>1815</v>
      </c>
      <c r="E64" s="295"/>
      <c r="F64" s="295"/>
      <c r="G64" s="295"/>
      <c r="H64" s="295"/>
      <c r="I64" s="295"/>
      <c r="J64" s="393">
        <f>J92</f>
        <v>0</v>
      </c>
      <c r="K64" s="292"/>
      <c r="L64" s="67"/>
    </row>
    <row r="65" spans="1:31" s="10" customFormat="1" ht="19.899999999999999" customHeight="1">
      <c r="A65" s="246"/>
      <c r="B65" s="296"/>
      <c r="C65" s="246"/>
      <c r="D65" s="297" t="s">
        <v>1816</v>
      </c>
      <c r="E65" s="298"/>
      <c r="F65" s="298"/>
      <c r="G65" s="298"/>
      <c r="H65" s="298"/>
      <c r="I65" s="298"/>
      <c r="J65" s="394">
        <f>J93</f>
        <v>0</v>
      </c>
      <c r="K65" s="246"/>
      <c r="L65" s="68"/>
    </row>
    <row r="66" spans="1:31" s="10" customFormat="1" ht="19.899999999999999" customHeight="1">
      <c r="A66" s="246"/>
      <c r="B66" s="296"/>
      <c r="C66" s="246"/>
      <c r="D66" s="297" t="s">
        <v>1817</v>
      </c>
      <c r="E66" s="298"/>
      <c r="F66" s="298"/>
      <c r="G66" s="298"/>
      <c r="H66" s="298"/>
      <c r="I66" s="298"/>
      <c r="J66" s="394">
        <f>J95</f>
        <v>0</v>
      </c>
      <c r="K66" s="246"/>
      <c r="L66" s="68"/>
    </row>
    <row r="67" spans="1:31" s="10" customFormat="1" ht="19.899999999999999" customHeight="1">
      <c r="A67" s="246"/>
      <c r="B67" s="296"/>
      <c r="C67" s="246"/>
      <c r="D67" s="297" t="s">
        <v>1818</v>
      </c>
      <c r="E67" s="298"/>
      <c r="F67" s="298"/>
      <c r="G67" s="298"/>
      <c r="H67" s="298"/>
      <c r="I67" s="298"/>
      <c r="J67" s="394">
        <f>J102</f>
        <v>0</v>
      </c>
      <c r="K67" s="246"/>
      <c r="L67" s="68"/>
    </row>
    <row r="68" spans="1:31" s="10" customFormat="1" ht="19.899999999999999" customHeight="1">
      <c r="A68" s="246"/>
      <c r="B68" s="296"/>
      <c r="C68" s="246"/>
      <c r="D68" s="297" t="s">
        <v>1819</v>
      </c>
      <c r="E68" s="298"/>
      <c r="F68" s="298"/>
      <c r="G68" s="298"/>
      <c r="H68" s="298"/>
      <c r="I68" s="298"/>
      <c r="J68" s="394">
        <f>J107</f>
        <v>0</v>
      </c>
      <c r="K68" s="246"/>
      <c r="L68" s="68"/>
    </row>
    <row r="69" spans="1:31" s="10" customFormat="1" ht="19.899999999999999" customHeight="1">
      <c r="A69" s="246"/>
      <c r="B69" s="296"/>
      <c r="C69" s="246"/>
      <c r="D69" s="297" t="s">
        <v>1820</v>
      </c>
      <c r="E69" s="298"/>
      <c r="F69" s="298"/>
      <c r="G69" s="298"/>
      <c r="H69" s="298"/>
      <c r="I69" s="298"/>
      <c r="J69" s="394">
        <f>J111</f>
        <v>0</v>
      </c>
      <c r="K69" s="246"/>
      <c r="L69" s="68"/>
    </row>
    <row r="70" spans="1:31" s="2" customFormat="1" ht="21.75" customHeight="1">
      <c r="A70" s="271"/>
      <c r="B70" s="270"/>
      <c r="C70" s="271"/>
      <c r="D70" s="271"/>
      <c r="E70" s="271"/>
      <c r="F70" s="271"/>
      <c r="G70" s="271"/>
      <c r="H70" s="271"/>
      <c r="I70" s="271"/>
      <c r="J70" s="271"/>
      <c r="K70" s="271"/>
      <c r="L70" s="64"/>
      <c r="S70" s="23"/>
      <c r="T70" s="23"/>
      <c r="U70" s="23"/>
      <c r="V70" s="23"/>
      <c r="W70" s="23"/>
      <c r="X70" s="23"/>
      <c r="Y70" s="23"/>
      <c r="Z70" s="23"/>
      <c r="AA70" s="23"/>
      <c r="AB70" s="23"/>
      <c r="AC70" s="23"/>
      <c r="AD70" s="23"/>
      <c r="AE70" s="23"/>
    </row>
    <row r="71" spans="1:31" s="2" customFormat="1" ht="6.95" customHeight="1">
      <c r="A71" s="271"/>
      <c r="B71" s="286"/>
      <c r="C71" s="287"/>
      <c r="D71" s="287"/>
      <c r="E71" s="287"/>
      <c r="F71" s="287"/>
      <c r="G71" s="287"/>
      <c r="H71" s="287"/>
      <c r="I71" s="287"/>
      <c r="J71" s="287"/>
      <c r="K71" s="287"/>
      <c r="L71" s="64"/>
      <c r="S71" s="23"/>
      <c r="T71" s="23"/>
      <c r="U71" s="23"/>
      <c r="V71" s="23"/>
      <c r="W71" s="23"/>
      <c r="X71" s="23"/>
      <c r="Y71" s="23"/>
      <c r="Z71" s="23"/>
      <c r="AA71" s="23"/>
      <c r="AB71" s="23"/>
      <c r="AC71" s="23"/>
      <c r="AD71" s="23"/>
      <c r="AE71" s="23"/>
    </row>
    <row r="72" spans="1:31">
      <c r="A72" s="61"/>
      <c r="B72" s="61"/>
      <c r="C72" s="61"/>
      <c r="D72" s="61"/>
      <c r="E72" s="61"/>
      <c r="F72" s="61"/>
      <c r="G72" s="61"/>
      <c r="H72" s="61"/>
      <c r="I72" s="61"/>
      <c r="J72" s="61"/>
      <c r="K72" s="61"/>
    </row>
    <row r="73" spans="1:31">
      <c r="A73" s="61"/>
      <c r="B73" s="61"/>
      <c r="C73" s="61"/>
      <c r="D73" s="61"/>
      <c r="E73" s="61"/>
      <c r="F73" s="61"/>
      <c r="G73" s="61"/>
      <c r="H73" s="61"/>
      <c r="I73" s="61"/>
      <c r="J73" s="61"/>
      <c r="K73" s="61"/>
    </row>
    <row r="74" spans="1:31">
      <c r="A74" s="61"/>
      <c r="B74" s="61"/>
      <c r="C74" s="61"/>
      <c r="D74" s="61"/>
      <c r="E74" s="61"/>
      <c r="F74" s="61"/>
      <c r="G74" s="61"/>
      <c r="H74" s="61"/>
      <c r="I74" s="61"/>
      <c r="J74" s="61"/>
      <c r="K74" s="61"/>
    </row>
    <row r="75" spans="1:31" s="2" customFormat="1" ht="6.95" customHeight="1">
      <c r="A75" s="271"/>
      <c r="B75" s="288"/>
      <c r="C75" s="289"/>
      <c r="D75" s="289"/>
      <c r="E75" s="289"/>
      <c r="F75" s="289"/>
      <c r="G75" s="289"/>
      <c r="H75" s="289"/>
      <c r="I75" s="289"/>
      <c r="J75" s="289"/>
      <c r="K75" s="289"/>
      <c r="L75" s="64"/>
      <c r="S75" s="23"/>
      <c r="T75" s="23"/>
      <c r="U75" s="23"/>
      <c r="V75" s="23"/>
      <c r="W75" s="23"/>
      <c r="X75" s="23"/>
      <c r="Y75" s="23"/>
      <c r="Z75" s="23"/>
      <c r="AA75" s="23"/>
      <c r="AB75" s="23"/>
      <c r="AC75" s="23"/>
      <c r="AD75" s="23"/>
      <c r="AE75" s="23"/>
    </row>
    <row r="76" spans="1:31" s="2" customFormat="1" ht="24.95" customHeight="1">
      <c r="A76" s="271"/>
      <c r="B76" s="270"/>
      <c r="C76" s="266" t="s">
        <v>201</v>
      </c>
      <c r="D76" s="271"/>
      <c r="E76" s="271"/>
      <c r="F76" s="271"/>
      <c r="G76" s="271"/>
      <c r="H76" s="271"/>
      <c r="I76" s="271"/>
      <c r="J76" s="271"/>
      <c r="K76" s="271"/>
      <c r="L76" s="64"/>
      <c r="S76" s="23"/>
      <c r="T76" s="23"/>
      <c r="U76" s="23"/>
      <c r="V76" s="23"/>
      <c r="W76" s="23"/>
      <c r="X76" s="23"/>
      <c r="Y76" s="23"/>
      <c r="Z76" s="23"/>
      <c r="AA76" s="23"/>
      <c r="AB76" s="23"/>
      <c r="AC76" s="23"/>
      <c r="AD76" s="23"/>
      <c r="AE76" s="23"/>
    </row>
    <row r="77" spans="1:31" s="2" customFormat="1" ht="6.95" customHeight="1">
      <c r="A77" s="271"/>
      <c r="B77" s="270"/>
      <c r="C77" s="271"/>
      <c r="D77" s="271"/>
      <c r="E77" s="271"/>
      <c r="F77" s="271"/>
      <c r="G77" s="271"/>
      <c r="H77" s="271"/>
      <c r="I77" s="271"/>
      <c r="J77" s="271"/>
      <c r="K77" s="271"/>
      <c r="L77" s="64"/>
      <c r="S77" s="23"/>
      <c r="T77" s="23"/>
      <c r="U77" s="23"/>
      <c r="V77" s="23"/>
      <c r="W77" s="23"/>
      <c r="X77" s="23"/>
      <c r="Y77" s="23"/>
      <c r="Z77" s="23"/>
      <c r="AA77" s="23"/>
      <c r="AB77" s="23"/>
      <c r="AC77" s="23"/>
      <c r="AD77" s="23"/>
      <c r="AE77" s="23"/>
    </row>
    <row r="78" spans="1:31" s="2" customFormat="1" ht="12" customHeight="1">
      <c r="A78" s="271"/>
      <c r="B78" s="270"/>
      <c r="C78" s="268" t="s">
        <v>15</v>
      </c>
      <c r="D78" s="271"/>
      <c r="E78" s="271"/>
      <c r="F78" s="271"/>
      <c r="G78" s="271"/>
      <c r="H78" s="271"/>
      <c r="I78" s="271"/>
      <c r="J78" s="271"/>
      <c r="K78" s="271"/>
      <c r="L78" s="64"/>
      <c r="S78" s="23"/>
      <c r="T78" s="23"/>
      <c r="U78" s="23"/>
      <c r="V78" s="23"/>
      <c r="W78" s="23"/>
      <c r="X78" s="23"/>
      <c r="Y78" s="23"/>
      <c r="Z78" s="23"/>
      <c r="AA78" s="23"/>
      <c r="AB78" s="23"/>
      <c r="AC78" s="23"/>
      <c r="AD78" s="23"/>
      <c r="AE78" s="23"/>
    </row>
    <row r="79" spans="1:31" s="2" customFormat="1" ht="14.45" customHeight="1">
      <c r="A79" s="271"/>
      <c r="B79" s="270"/>
      <c r="C79" s="271"/>
      <c r="D79" s="271"/>
      <c r="E79" s="722" t="str">
        <f>E7</f>
        <v>Úpravy gastroprovozu Úřadu vlády ČR v 1.pp Strakovy akademie</v>
      </c>
      <c r="F79" s="723"/>
      <c r="G79" s="723"/>
      <c r="H79" s="723"/>
      <c r="I79" s="271"/>
      <c r="J79" s="271"/>
      <c r="K79" s="271"/>
      <c r="L79" s="64"/>
      <c r="S79" s="23"/>
      <c r="T79" s="23"/>
      <c r="U79" s="23"/>
      <c r="V79" s="23"/>
      <c r="W79" s="23"/>
      <c r="X79" s="23"/>
      <c r="Y79" s="23"/>
      <c r="Z79" s="23"/>
      <c r="AA79" s="23"/>
      <c r="AB79" s="23"/>
      <c r="AC79" s="23"/>
      <c r="AD79" s="23"/>
      <c r="AE79" s="23"/>
    </row>
    <row r="80" spans="1:31" s="1" customFormat="1" ht="12" customHeight="1">
      <c r="A80" s="61"/>
      <c r="B80" s="265"/>
      <c r="C80" s="268" t="s">
        <v>151</v>
      </c>
      <c r="D80" s="61"/>
      <c r="E80" s="61"/>
      <c r="F80" s="61"/>
      <c r="G80" s="61"/>
      <c r="H80" s="61"/>
      <c r="I80" s="61"/>
      <c r="J80" s="61"/>
      <c r="K80" s="61"/>
      <c r="L80" s="20"/>
    </row>
    <row r="81" spans="1:65" s="2" customFormat="1" ht="14.45" customHeight="1">
      <c r="A81" s="271"/>
      <c r="B81" s="270"/>
      <c r="C81" s="271"/>
      <c r="D81" s="271"/>
      <c r="E81" s="722" t="s">
        <v>1813</v>
      </c>
      <c r="F81" s="721"/>
      <c r="G81" s="721"/>
      <c r="H81" s="721"/>
      <c r="I81" s="271"/>
      <c r="J81" s="271"/>
      <c r="K81" s="271"/>
      <c r="L81" s="64"/>
      <c r="S81" s="23"/>
      <c r="T81" s="23"/>
      <c r="U81" s="23"/>
      <c r="V81" s="23"/>
      <c r="W81" s="23"/>
      <c r="X81" s="23"/>
      <c r="Y81" s="23"/>
      <c r="Z81" s="23"/>
      <c r="AA81" s="23"/>
      <c r="AB81" s="23"/>
      <c r="AC81" s="23"/>
      <c r="AD81" s="23"/>
      <c r="AE81" s="23"/>
    </row>
    <row r="82" spans="1:65" s="2" customFormat="1" ht="12" customHeight="1">
      <c r="A82" s="271"/>
      <c r="B82" s="270"/>
      <c r="C82" s="268" t="s">
        <v>157</v>
      </c>
      <c r="D82" s="271"/>
      <c r="E82" s="271"/>
      <c r="F82" s="271"/>
      <c r="G82" s="271"/>
      <c r="H82" s="271"/>
      <c r="I82" s="271"/>
      <c r="J82" s="271"/>
      <c r="K82" s="271"/>
      <c r="L82" s="64"/>
      <c r="S82" s="23"/>
      <c r="T82" s="23"/>
      <c r="U82" s="23"/>
      <c r="V82" s="23"/>
      <c r="W82" s="23"/>
      <c r="X82" s="23"/>
      <c r="Y82" s="23"/>
      <c r="Z82" s="23"/>
      <c r="AA82" s="23"/>
      <c r="AB82" s="23"/>
      <c r="AC82" s="23"/>
      <c r="AD82" s="23"/>
      <c r="AE82" s="23"/>
    </row>
    <row r="83" spans="1:65" s="2" customFormat="1" ht="14.45" customHeight="1">
      <c r="A83" s="271"/>
      <c r="B83" s="270"/>
      <c r="C83" s="271"/>
      <c r="D83" s="271"/>
      <c r="E83" s="689" t="str">
        <f>E11</f>
        <v xml:space="preserve">VON - Soupis prací - Vedlejší a ostatní náklady </v>
      </c>
      <c r="F83" s="721"/>
      <c r="G83" s="721"/>
      <c r="H83" s="721"/>
      <c r="I83" s="271"/>
      <c r="J83" s="271"/>
      <c r="K83" s="271"/>
      <c r="L83" s="64"/>
      <c r="S83" s="23"/>
      <c r="T83" s="23"/>
      <c r="U83" s="23"/>
      <c r="V83" s="23"/>
      <c r="W83" s="23"/>
      <c r="X83" s="23"/>
      <c r="Y83" s="23"/>
      <c r="Z83" s="23"/>
      <c r="AA83" s="23"/>
      <c r="AB83" s="23"/>
      <c r="AC83" s="23"/>
      <c r="AD83" s="23"/>
      <c r="AE83" s="23"/>
    </row>
    <row r="84" spans="1:65" s="2" customFormat="1" ht="6.95" customHeight="1">
      <c r="A84" s="271"/>
      <c r="B84" s="270"/>
      <c r="C84" s="271"/>
      <c r="D84" s="271"/>
      <c r="E84" s="271"/>
      <c r="F84" s="271"/>
      <c r="G84" s="271"/>
      <c r="H84" s="271"/>
      <c r="I84" s="271"/>
      <c r="J84" s="271"/>
      <c r="K84" s="271"/>
      <c r="L84" s="64"/>
      <c r="S84" s="23"/>
      <c r="T84" s="23"/>
      <c r="U84" s="23"/>
      <c r="V84" s="23"/>
      <c r="W84" s="23"/>
      <c r="X84" s="23"/>
      <c r="Y84" s="23"/>
      <c r="Z84" s="23"/>
      <c r="AA84" s="23"/>
      <c r="AB84" s="23"/>
      <c r="AC84" s="23"/>
      <c r="AD84" s="23"/>
      <c r="AE84" s="23"/>
    </row>
    <row r="85" spans="1:65" s="2" customFormat="1" ht="12" customHeight="1">
      <c r="A85" s="271"/>
      <c r="B85" s="270"/>
      <c r="C85" s="268" t="s">
        <v>19</v>
      </c>
      <c r="D85" s="271"/>
      <c r="E85" s="271"/>
      <c r="F85" s="273" t="str">
        <f>F14</f>
        <v xml:space="preserve"> </v>
      </c>
      <c r="G85" s="271"/>
      <c r="H85" s="271"/>
      <c r="I85" s="268" t="s">
        <v>21</v>
      </c>
      <c r="J85" s="387">
        <f>IF(J14="","",J14)</f>
        <v>44077</v>
      </c>
      <c r="K85" s="271"/>
      <c r="L85" s="64"/>
      <c r="S85" s="23"/>
      <c r="T85" s="23"/>
      <c r="U85" s="23"/>
      <c r="V85" s="23"/>
      <c r="W85" s="23"/>
      <c r="X85" s="23"/>
      <c r="Y85" s="23"/>
      <c r="Z85" s="23"/>
      <c r="AA85" s="23"/>
      <c r="AB85" s="23"/>
      <c r="AC85" s="23"/>
      <c r="AD85" s="23"/>
      <c r="AE85" s="23"/>
    </row>
    <row r="86" spans="1:65" s="2" customFormat="1" ht="6.95" customHeight="1">
      <c r="A86" s="271"/>
      <c r="B86" s="270"/>
      <c r="C86" s="271"/>
      <c r="D86" s="271"/>
      <c r="E86" s="271"/>
      <c r="F86" s="271"/>
      <c r="G86" s="271"/>
      <c r="H86" s="271"/>
      <c r="I86" s="271"/>
      <c r="J86" s="271"/>
      <c r="K86" s="271"/>
      <c r="L86" s="64"/>
      <c r="S86" s="23"/>
      <c r="T86" s="23"/>
      <c r="U86" s="23"/>
      <c r="V86" s="23"/>
      <c r="W86" s="23"/>
      <c r="X86" s="23"/>
      <c r="Y86" s="23"/>
      <c r="Z86" s="23"/>
      <c r="AA86" s="23"/>
      <c r="AB86" s="23"/>
      <c r="AC86" s="23"/>
      <c r="AD86" s="23"/>
      <c r="AE86" s="23"/>
    </row>
    <row r="87" spans="1:65" s="2" customFormat="1" ht="26.45" customHeight="1">
      <c r="A87" s="271"/>
      <c r="B87" s="270"/>
      <c r="C87" s="268" t="s">
        <v>22</v>
      </c>
      <c r="D87" s="271"/>
      <c r="E87" s="271"/>
      <c r="F87" s="273" t="str">
        <f>E17</f>
        <v xml:space="preserve">Úřad vlády České republiky </v>
      </c>
      <c r="G87" s="271"/>
      <c r="H87" s="271"/>
      <c r="I87" s="268" t="s">
        <v>28</v>
      </c>
      <c r="J87" s="391" t="str">
        <f>E23</f>
        <v>Ateliér Simona Group</v>
      </c>
      <c r="K87" s="271"/>
      <c r="L87" s="64"/>
      <c r="S87" s="23"/>
      <c r="T87" s="23"/>
      <c r="U87" s="23"/>
      <c r="V87" s="23"/>
      <c r="W87" s="23"/>
      <c r="X87" s="23"/>
      <c r="Y87" s="23"/>
      <c r="Z87" s="23"/>
      <c r="AA87" s="23"/>
      <c r="AB87" s="23"/>
      <c r="AC87" s="23"/>
      <c r="AD87" s="23"/>
      <c r="AE87" s="23"/>
    </row>
    <row r="88" spans="1:65" s="2" customFormat="1" ht="26.45" customHeight="1">
      <c r="A88" s="271"/>
      <c r="B88" s="270"/>
      <c r="C88" s="268" t="s">
        <v>26</v>
      </c>
      <c r="D88" s="271"/>
      <c r="E88" s="271"/>
      <c r="F88" s="273" t="str">
        <f>IF(E20="","",E20)</f>
        <v xml:space="preserve"> </v>
      </c>
      <c r="G88" s="271"/>
      <c r="H88" s="271"/>
      <c r="I88" s="268" t="s">
        <v>31</v>
      </c>
      <c r="J88" s="391" t="str">
        <f>E26</f>
        <v>Ateliér Simona Group</v>
      </c>
      <c r="K88" s="271"/>
      <c r="L88" s="64"/>
      <c r="S88" s="23"/>
      <c r="T88" s="23"/>
      <c r="U88" s="23"/>
      <c r="V88" s="23"/>
      <c r="W88" s="23"/>
      <c r="X88" s="23"/>
      <c r="Y88" s="23"/>
      <c r="Z88" s="23"/>
      <c r="AA88" s="23"/>
      <c r="AB88" s="23"/>
      <c r="AC88" s="23"/>
      <c r="AD88" s="23"/>
      <c r="AE88" s="23"/>
    </row>
    <row r="89" spans="1:65" s="2" customFormat="1" ht="10.35" customHeight="1">
      <c r="A89" s="271"/>
      <c r="B89" s="270"/>
      <c r="C89" s="271"/>
      <c r="D89" s="271"/>
      <c r="E89" s="271"/>
      <c r="F89" s="271"/>
      <c r="G89" s="271"/>
      <c r="H89" s="271"/>
      <c r="I89" s="271"/>
      <c r="J89" s="271"/>
      <c r="K89" s="271"/>
      <c r="L89" s="64"/>
      <c r="S89" s="23"/>
      <c r="T89" s="23"/>
      <c r="U89" s="23"/>
      <c r="V89" s="23"/>
      <c r="W89" s="23"/>
      <c r="X89" s="23"/>
      <c r="Y89" s="23"/>
      <c r="Z89" s="23"/>
      <c r="AA89" s="23"/>
      <c r="AB89" s="23"/>
      <c r="AC89" s="23"/>
      <c r="AD89" s="23"/>
      <c r="AE89" s="23"/>
    </row>
    <row r="90" spans="1:65" s="11" customFormat="1" ht="29.25" customHeight="1">
      <c r="A90" s="299"/>
      <c r="B90" s="300"/>
      <c r="C90" s="301" t="s">
        <v>202</v>
      </c>
      <c r="D90" s="302" t="s">
        <v>53</v>
      </c>
      <c r="E90" s="302" t="s">
        <v>49</v>
      </c>
      <c r="F90" s="302" t="s">
        <v>50</v>
      </c>
      <c r="G90" s="302" t="s">
        <v>203</v>
      </c>
      <c r="H90" s="302" t="s">
        <v>204</v>
      </c>
      <c r="I90" s="302" t="s">
        <v>205</v>
      </c>
      <c r="J90" s="302" t="s">
        <v>169</v>
      </c>
      <c r="K90" s="340" t="s">
        <v>206</v>
      </c>
      <c r="L90" s="70"/>
      <c r="M90" s="34" t="s">
        <v>3</v>
      </c>
      <c r="N90" s="35" t="s">
        <v>38</v>
      </c>
      <c r="O90" s="35" t="s">
        <v>207</v>
      </c>
      <c r="P90" s="35" t="s">
        <v>208</v>
      </c>
      <c r="Q90" s="35" t="s">
        <v>209</v>
      </c>
      <c r="R90" s="35" t="s">
        <v>210</v>
      </c>
      <c r="S90" s="35" t="s">
        <v>211</v>
      </c>
      <c r="T90" s="36" t="s">
        <v>212</v>
      </c>
      <c r="U90" s="69"/>
      <c r="V90" s="69"/>
      <c r="W90" s="69"/>
      <c r="X90" s="69"/>
      <c r="Y90" s="69"/>
      <c r="Z90" s="69"/>
      <c r="AA90" s="69"/>
      <c r="AB90" s="69"/>
      <c r="AC90" s="69"/>
      <c r="AD90" s="69"/>
      <c r="AE90" s="69"/>
    </row>
    <row r="91" spans="1:65" s="2" customFormat="1" ht="22.9" customHeight="1">
      <c r="A91" s="271"/>
      <c r="B91" s="270"/>
      <c r="C91" s="243" t="s">
        <v>213</v>
      </c>
      <c r="D91" s="271"/>
      <c r="E91" s="271"/>
      <c r="F91" s="271"/>
      <c r="G91" s="271"/>
      <c r="H91" s="271"/>
      <c r="I91" s="271"/>
      <c r="J91" s="410">
        <f>BK91</f>
        <v>0</v>
      </c>
      <c r="K91" s="271"/>
      <c r="L91" s="24"/>
      <c r="M91" s="37"/>
      <c r="N91" s="30"/>
      <c r="O91" s="38"/>
      <c r="P91" s="71">
        <f>P92</f>
        <v>0</v>
      </c>
      <c r="Q91" s="38"/>
      <c r="R91" s="71">
        <f>R92</f>
        <v>0</v>
      </c>
      <c r="S91" s="38"/>
      <c r="T91" s="72">
        <f>T92</f>
        <v>0</v>
      </c>
      <c r="U91" s="23"/>
      <c r="V91" s="23"/>
      <c r="W91" s="23"/>
      <c r="X91" s="23"/>
      <c r="Y91" s="23"/>
      <c r="Z91" s="23"/>
      <c r="AA91" s="23"/>
      <c r="AB91" s="23"/>
      <c r="AC91" s="23"/>
      <c r="AD91" s="23"/>
      <c r="AE91" s="23"/>
      <c r="AT91" s="19" t="s">
        <v>67</v>
      </c>
      <c r="AU91" s="19" t="s">
        <v>170</v>
      </c>
      <c r="BK91" s="73">
        <f>BK92</f>
        <v>0</v>
      </c>
    </row>
    <row r="92" spans="1:65" s="12" customFormat="1" ht="25.9" customHeight="1">
      <c r="A92" s="303"/>
      <c r="B92" s="304"/>
      <c r="C92" s="303"/>
      <c r="D92" s="305" t="s">
        <v>67</v>
      </c>
      <c r="E92" s="306" t="s">
        <v>1821</v>
      </c>
      <c r="F92" s="306" t="s">
        <v>1822</v>
      </c>
      <c r="G92" s="303"/>
      <c r="H92" s="303"/>
      <c r="I92" s="303"/>
      <c r="J92" s="411">
        <f>BK92</f>
        <v>0</v>
      </c>
      <c r="K92" s="303"/>
      <c r="L92" s="74"/>
      <c r="M92" s="76"/>
      <c r="N92" s="77"/>
      <c r="O92" s="77"/>
      <c r="P92" s="78">
        <f>P93+P95+P102+P107+P111</f>
        <v>0</v>
      </c>
      <c r="Q92" s="77"/>
      <c r="R92" s="78">
        <f>R93+R95+R102+R107+R111</f>
        <v>0</v>
      </c>
      <c r="S92" s="77"/>
      <c r="T92" s="79">
        <f>T93+T95+T102+T107+T111</f>
        <v>0</v>
      </c>
      <c r="AR92" s="75" t="s">
        <v>244</v>
      </c>
      <c r="AT92" s="80" t="s">
        <v>67</v>
      </c>
      <c r="AU92" s="80" t="s">
        <v>68</v>
      </c>
      <c r="AY92" s="75" t="s">
        <v>216</v>
      </c>
      <c r="BK92" s="81">
        <f>BK93+BK95+BK102+BK107+BK111</f>
        <v>0</v>
      </c>
    </row>
    <row r="93" spans="1:65" s="12" customFormat="1" ht="22.9" customHeight="1">
      <c r="A93" s="303"/>
      <c r="B93" s="304"/>
      <c r="C93" s="303"/>
      <c r="D93" s="305" t="s">
        <v>67</v>
      </c>
      <c r="E93" s="307" t="s">
        <v>1823</v>
      </c>
      <c r="F93" s="307" t="s">
        <v>1824</v>
      </c>
      <c r="G93" s="303"/>
      <c r="H93" s="303"/>
      <c r="I93" s="303"/>
      <c r="J93" s="412">
        <f>BK93</f>
        <v>0</v>
      </c>
      <c r="K93" s="303"/>
      <c r="L93" s="74"/>
      <c r="M93" s="76"/>
      <c r="N93" s="77"/>
      <c r="O93" s="77"/>
      <c r="P93" s="78">
        <f>P94</f>
        <v>0</v>
      </c>
      <c r="Q93" s="77"/>
      <c r="R93" s="78">
        <f>R94</f>
        <v>0</v>
      </c>
      <c r="S93" s="77"/>
      <c r="T93" s="79">
        <f>T94</f>
        <v>0</v>
      </c>
      <c r="AR93" s="75" t="s">
        <v>244</v>
      </c>
      <c r="AT93" s="80" t="s">
        <v>67</v>
      </c>
      <c r="AU93" s="80" t="s">
        <v>75</v>
      </c>
      <c r="AY93" s="75" t="s">
        <v>216</v>
      </c>
      <c r="BK93" s="81">
        <f>BK94</f>
        <v>0</v>
      </c>
    </row>
    <row r="94" spans="1:65" s="2" customFormat="1" ht="14.45" customHeight="1">
      <c r="A94" s="271"/>
      <c r="B94" s="270"/>
      <c r="C94" s="308" t="s">
        <v>75</v>
      </c>
      <c r="D94" s="308" t="s">
        <v>218</v>
      </c>
      <c r="E94" s="309" t="s">
        <v>1825</v>
      </c>
      <c r="F94" s="310" t="s">
        <v>1824</v>
      </c>
      <c r="G94" s="311" t="s">
        <v>1826</v>
      </c>
      <c r="H94" s="312">
        <v>1</v>
      </c>
      <c r="I94" s="82">
        <v>0</v>
      </c>
      <c r="J94" s="413">
        <f>ROUND(I94*H94,2)</f>
        <v>0</v>
      </c>
      <c r="K94" s="310" t="s">
        <v>222</v>
      </c>
      <c r="L94" s="24"/>
      <c r="M94" s="83" t="s">
        <v>3</v>
      </c>
      <c r="N94" s="84" t="s">
        <v>39</v>
      </c>
      <c r="O94" s="85">
        <v>0</v>
      </c>
      <c r="P94" s="85">
        <f>O94*H94</f>
        <v>0</v>
      </c>
      <c r="Q94" s="85">
        <v>0</v>
      </c>
      <c r="R94" s="85">
        <f>Q94*H94</f>
        <v>0</v>
      </c>
      <c r="S94" s="85">
        <v>0</v>
      </c>
      <c r="T94" s="86">
        <f>S94*H94</f>
        <v>0</v>
      </c>
      <c r="U94" s="23"/>
      <c r="V94" s="23"/>
      <c r="W94" s="23"/>
      <c r="X94" s="23"/>
      <c r="Y94" s="23"/>
      <c r="Z94" s="23"/>
      <c r="AA94" s="23"/>
      <c r="AB94" s="23"/>
      <c r="AC94" s="23"/>
      <c r="AD94" s="23"/>
      <c r="AE94" s="23"/>
      <c r="AR94" s="87" t="s">
        <v>1827</v>
      </c>
      <c r="AT94" s="87" t="s">
        <v>218</v>
      </c>
      <c r="AU94" s="87" t="s">
        <v>77</v>
      </c>
      <c r="AY94" s="19" t="s">
        <v>216</v>
      </c>
      <c r="BE94" s="88">
        <f>IF(N94="základní",J94,0)</f>
        <v>0</v>
      </c>
      <c r="BF94" s="88">
        <f>IF(N94="snížená",J94,0)</f>
        <v>0</v>
      </c>
      <c r="BG94" s="88">
        <f>IF(N94="zákl. přenesená",J94,0)</f>
        <v>0</v>
      </c>
      <c r="BH94" s="88">
        <f>IF(N94="sníž. přenesená",J94,0)</f>
        <v>0</v>
      </c>
      <c r="BI94" s="88">
        <f>IF(N94="nulová",J94,0)</f>
        <v>0</v>
      </c>
      <c r="BJ94" s="19" t="s">
        <v>75</v>
      </c>
      <c r="BK94" s="88">
        <f>ROUND(I94*H94,2)</f>
        <v>0</v>
      </c>
      <c r="BL94" s="19" t="s">
        <v>1827</v>
      </c>
      <c r="BM94" s="87" t="s">
        <v>1828</v>
      </c>
    </row>
    <row r="95" spans="1:65" s="12" customFormat="1" ht="22.9" customHeight="1">
      <c r="A95" s="303"/>
      <c r="B95" s="304"/>
      <c r="C95" s="303"/>
      <c r="D95" s="305" t="s">
        <v>67</v>
      </c>
      <c r="E95" s="307" t="s">
        <v>1829</v>
      </c>
      <c r="F95" s="307" t="s">
        <v>1830</v>
      </c>
      <c r="G95" s="303"/>
      <c r="H95" s="303"/>
      <c r="I95" s="256"/>
      <c r="J95" s="412">
        <f>BK95</f>
        <v>0</v>
      </c>
      <c r="K95" s="303"/>
      <c r="L95" s="74"/>
      <c r="M95" s="76"/>
      <c r="N95" s="77"/>
      <c r="O95" s="77"/>
      <c r="P95" s="78">
        <f>SUM(P96:P101)</f>
        <v>0</v>
      </c>
      <c r="Q95" s="77"/>
      <c r="R95" s="78">
        <f>SUM(R96:R101)</f>
        <v>0</v>
      </c>
      <c r="S95" s="77"/>
      <c r="T95" s="79">
        <f>SUM(T96:T101)</f>
        <v>0</v>
      </c>
      <c r="AR95" s="75" t="s">
        <v>244</v>
      </c>
      <c r="AT95" s="80" t="s">
        <v>67</v>
      </c>
      <c r="AU95" s="80" t="s">
        <v>75</v>
      </c>
      <c r="AY95" s="75" t="s">
        <v>216</v>
      </c>
      <c r="BK95" s="81">
        <f>SUM(BK96:BK101)</f>
        <v>0</v>
      </c>
    </row>
    <row r="96" spans="1:65" s="2" customFormat="1" ht="14.45" customHeight="1">
      <c r="A96" s="271"/>
      <c r="B96" s="270"/>
      <c r="C96" s="308" t="s">
        <v>77</v>
      </c>
      <c r="D96" s="308" t="s">
        <v>218</v>
      </c>
      <c r="E96" s="309" t="s">
        <v>1831</v>
      </c>
      <c r="F96" s="310" t="s">
        <v>1832</v>
      </c>
      <c r="G96" s="311" t="s">
        <v>1826</v>
      </c>
      <c r="H96" s="312">
        <v>1</v>
      </c>
      <c r="I96" s="82">
        <v>0</v>
      </c>
      <c r="J96" s="413">
        <f t="shared" ref="J96:J101" si="0">ROUND(I96*H96,2)</f>
        <v>0</v>
      </c>
      <c r="K96" s="310" t="s">
        <v>222</v>
      </c>
      <c r="L96" s="24"/>
      <c r="M96" s="83" t="s">
        <v>3</v>
      </c>
      <c r="N96" s="84" t="s">
        <v>39</v>
      </c>
      <c r="O96" s="85">
        <v>0</v>
      </c>
      <c r="P96" s="85">
        <f t="shared" ref="P96:P101" si="1">O96*H96</f>
        <v>0</v>
      </c>
      <c r="Q96" s="85">
        <v>0</v>
      </c>
      <c r="R96" s="85">
        <f t="shared" ref="R96:R101" si="2">Q96*H96</f>
        <v>0</v>
      </c>
      <c r="S96" s="85">
        <v>0</v>
      </c>
      <c r="T96" s="86">
        <f t="shared" ref="T96:T101" si="3">S96*H96</f>
        <v>0</v>
      </c>
      <c r="U96" s="23"/>
      <c r="V96" s="23"/>
      <c r="W96" s="23"/>
      <c r="X96" s="23"/>
      <c r="Y96" s="23"/>
      <c r="Z96" s="23"/>
      <c r="AA96" s="23"/>
      <c r="AB96" s="23"/>
      <c r="AC96" s="23"/>
      <c r="AD96" s="23"/>
      <c r="AE96" s="23"/>
      <c r="AR96" s="87" t="s">
        <v>1827</v>
      </c>
      <c r="AT96" s="87" t="s">
        <v>218</v>
      </c>
      <c r="AU96" s="87" t="s">
        <v>77</v>
      </c>
      <c r="AY96" s="19" t="s">
        <v>216</v>
      </c>
      <c r="BE96" s="88">
        <f t="shared" ref="BE96:BE101" si="4">IF(N96="základní",J96,0)</f>
        <v>0</v>
      </c>
      <c r="BF96" s="88">
        <f t="shared" ref="BF96:BF101" si="5">IF(N96="snížená",J96,0)</f>
        <v>0</v>
      </c>
      <c r="BG96" s="88">
        <f t="shared" ref="BG96:BG101" si="6">IF(N96="zákl. přenesená",J96,0)</f>
        <v>0</v>
      </c>
      <c r="BH96" s="88">
        <f t="shared" ref="BH96:BH101" si="7">IF(N96="sníž. přenesená",J96,0)</f>
        <v>0</v>
      </c>
      <c r="BI96" s="88">
        <f t="shared" ref="BI96:BI101" si="8">IF(N96="nulová",J96,0)</f>
        <v>0</v>
      </c>
      <c r="BJ96" s="19" t="s">
        <v>75</v>
      </c>
      <c r="BK96" s="88">
        <f t="shared" ref="BK96:BK101" si="9">ROUND(I96*H96,2)</f>
        <v>0</v>
      </c>
      <c r="BL96" s="19" t="s">
        <v>1827</v>
      </c>
      <c r="BM96" s="87" t="s">
        <v>1833</v>
      </c>
    </row>
    <row r="97" spans="1:65" s="2" customFormat="1" ht="14.45" customHeight="1">
      <c r="A97" s="271"/>
      <c r="B97" s="270"/>
      <c r="C97" s="308" t="s">
        <v>100</v>
      </c>
      <c r="D97" s="308" t="s">
        <v>218</v>
      </c>
      <c r="E97" s="309" t="s">
        <v>1834</v>
      </c>
      <c r="F97" s="310" t="s">
        <v>1835</v>
      </c>
      <c r="G97" s="311" t="s">
        <v>1826</v>
      </c>
      <c r="H97" s="312">
        <v>1</v>
      </c>
      <c r="I97" s="82">
        <v>0</v>
      </c>
      <c r="J97" s="413">
        <f t="shared" si="0"/>
        <v>0</v>
      </c>
      <c r="K97" s="310" t="s">
        <v>222</v>
      </c>
      <c r="L97" s="24"/>
      <c r="M97" s="83" t="s">
        <v>3</v>
      </c>
      <c r="N97" s="84" t="s">
        <v>39</v>
      </c>
      <c r="O97" s="85">
        <v>0</v>
      </c>
      <c r="P97" s="85">
        <f t="shared" si="1"/>
        <v>0</v>
      </c>
      <c r="Q97" s="85">
        <v>0</v>
      </c>
      <c r="R97" s="85">
        <f t="shared" si="2"/>
        <v>0</v>
      </c>
      <c r="S97" s="85">
        <v>0</v>
      </c>
      <c r="T97" s="86">
        <f t="shared" si="3"/>
        <v>0</v>
      </c>
      <c r="U97" s="23"/>
      <c r="V97" s="23"/>
      <c r="W97" s="23"/>
      <c r="X97" s="23"/>
      <c r="Y97" s="23"/>
      <c r="Z97" s="23"/>
      <c r="AA97" s="23"/>
      <c r="AB97" s="23"/>
      <c r="AC97" s="23"/>
      <c r="AD97" s="23"/>
      <c r="AE97" s="23"/>
      <c r="AR97" s="87" t="s">
        <v>1827</v>
      </c>
      <c r="AT97" s="87" t="s">
        <v>218</v>
      </c>
      <c r="AU97" s="87" t="s">
        <v>77</v>
      </c>
      <c r="AY97" s="19" t="s">
        <v>216</v>
      </c>
      <c r="BE97" s="88">
        <f t="shared" si="4"/>
        <v>0</v>
      </c>
      <c r="BF97" s="88">
        <f t="shared" si="5"/>
        <v>0</v>
      </c>
      <c r="BG97" s="88">
        <f t="shared" si="6"/>
        <v>0</v>
      </c>
      <c r="BH97" s="88">
        <f t="shared" si="7"/>
        <v>0</v>
      </c>
      <c r="BI97" s="88">
        <f t="shared" si="8"/>
        <v>0</v>
      </c>
      <c r="BJ97" s="19" t="s">
        <v>75</v>
      </c>
      <c r="BK97" s="88">
        <f t="shared" si="9"/>
        <v>0</v>
      </c>
      <c r="BL97" s="19" t="s">
        <v>1827</v>
      </c>
      <c r="BM97" s="87" t="s">
        <v>1836</v>
      </c>
    </row>
    <row r="98" spans="1:65" s="2" customFormat="1" ht="14.45" customHeight="1">
      <c r="A98" s="271"/>
      <c r="B98" s="270"/>
      <c r="C98" s="308" t="s">
        <v>223</v>
      </c>
      <c r="D98" s="308" t="s">
        <v>218</v>
      </c>
      <c r="E98" s="309" t="s">
        <v>1837</v>
      </c>
      <c r="F98" s="310" t="s">
        <v>1838</v>
      </c>
      <c r="G98" s="311" t="s">
        <v>1826</v>
      </c>
      <c r="H98" s="312">
        <v>1</v>
      </c>
      <c r="I98" s="82">
        <v>0</v>
      </c>
      <c r="J98" s="413">
        <f t="shared" si="0"/>
        <v>0</v>
      </c>
      <c r="K98" s="310" t="s">
        <v>222</v>
      </c>
      <c r="L98" s="24"/>
      <c r="M98" s="83" t="s">
        <v>3</v>
      </c>
      <c r="N98" s="84" t="s">
        <v>39</v>
      </c>
      <c r="O98" s="85">
        <v>0</v>
      </c>
      <c r="P98" s="85">
        <f t="shared" si="1"/>
        <v>0</v>
      </c>
      <c r="Q98" s="85">
        <v>0</v>
      </c>
      <c r="R98" s="85">
        <f t="shared" si="2"/>
        <v>0</v>
      </c>
      <c r="S98" s="85">
        <v>0</v>
      </c>
      <c r="T98" s="86">
        <f t="shared" si="3"/>
        <v>0</v>
      </c>
      <c r="U98" s="23"/>
      <c r="V98" s="23"/>
      <c r="W98" s="23"/>
      <c r="X98" s="23"/>
      <c r="Y98" s="23"/>
      <c r="Z98" s="23"/>
      <c r="AA98" s="23"/>
      <c r="AB98" s="23"/>
      <c r="AC98" s="23"/>
      <c r="AD98" s="23"/>
      <c r="AE98" s="23"/>
      <c r="AR98" s="87" t="s">
        <v>1827</v>
      </c>
      <c r="AT98" s="87" t="s">
        <v>218</v>
      </c>
      <c r="AU98" s="87" t="s">
        <v>77</v>
      </c>
      <c r="AY98" s="19" t="s">
        <v>216</v>
      </c>
      <c r="BE98" s="88">
        <f t="shared" si="4"/>
        <v>0</v>
      </c>
      <c r="BF98" s="88">
        <f t="shared" si="5"/>
        <v>0</v>
      </c>
      <c r="BG98" s="88">
        <f t="shared" si="6"/>
        <v>0</v>
      </c>
      <c r="BH98" s="88">
        <f t="shared" si="7"/>
        <v>0</v>
      </c>
      <c r="BI98" s="88">
        <f t="shared" si="8"/>
        <v>0</v>
      </c>
      <c r="BJ98" s="19" t="s">
        <v>75</v>
      </c>
      <c r="BK98" s="88">
        <f t="shared" si="9"/>
        <v>0</v>
      </c>
      <c r="BL98" s="19" t="s">
        <v>1827</v>
      </c>
      <c r="BM98" s="87" t="s">
        <v>1839</v>
      </c>
    </row>
    <row r="99" spans="1:65" s="2" customFormat="1" ht="14.45" customHeight="1">
      <c r="A99" s="271"/>
      <c r="B99" s="270"/>
      <c r="C99" s="308" t="s">
        <v>244</v>
      </c>
      <c r="D99" s="308" t="s">
        <v>218</v>
      </c>
      <c r="E99" s="309" t="s">
        <v>1840</v>
      </c>
      <c r="F99" s="310" t="s">
        <v>1841</v>
      </c>
      <c r="G99" s="311" t="s">
        <v>1826</v>
      </c>
      <c r="H99" s="312">
        <v>1</v>
      </c>
      <c r="I99" s="82">
        <v>0</v>
      </c>
      <c r="J99" s="413">
        <f t="shared" si="0"/>
        <v>0</v>
      </c>
      <c r="K99" s="310" t="s">
        <v>222</v>
      </c>
      <c r="L99" s="24"/>
      <c r="M99" s="83" t="s">
        <v>3</v>
      </c>
      <c r="N99" s="84" t="s">
        <v>39</v>
      </c>
      <c r="O99" s="85">
        <v>0</v>
      </c>
      <c r="P99" s="85">
        <f t="shared" si="1"/>
        <v>0</v>
      </c>
      <c r="Q99" s="85">
        <v>0</v>
      </c>
      <c r="R99" s="85">
        <f t="shared" si="2"/>
        <v>0</v>
      </c>
      <c r="S99" s="85">
        <v>0</v>
      </c>
      <c r="T99" s="86">
        <f t="shared" si="3"/>
        <v>0</v>
      </c>
      <c r="U99" s="23"/>
      <c r="V99" s="23"/>
      <c r="W99" s="23"/>
      <c r="X99" s="23"/>
      <c r="Y99" s="23"/>
      <c r="Z99" s="23"/>
      <c r="AA99" s="23"/>
      <c r="AB99" s="23"/>
      <c r="AC99" s="23"/>
      <c r="AD99" s="23"/>
      <c r="AE99" s="23"/>
      <c r="AR99" s="87" t="s">
        <v>1827</v>
      </c>
      <c r="AT99" s="87" t="s">
        <v>218</v>
      </c>
      <c r="AU99" s="87" t="s">
        <v>77</v>
      </c>
      <c r="AY99" s="19" t="s">
        <v>216</v>
      </c>
      <c r="BE99" s="88">
        <f t="shared" si="4"/>
        <v>0</v>
      </c>
      <c r="BF99" s="88">
        <f t="shared" si="5"/>
        <v>0</v>
      </c>
      <c r="BG99" s="88">
        <f t="shared" si="6"/>
        <v>0</v>
      </c>
      <c r="BH99" s="88">
        <f t="shared" si="7"/>
        <v>0</v>
      </c>
      <c r="BI99" s="88">
        <f t="shared" si="8"/>
        <v>0</v>
      </c>
      <c r="BJ99" s="19" t="s">
        <v>75</v>
      </c>
      <c r="BK99" s="88">
        <f t="shared" si="9"/>
        <v>0</v>
      </c>
      <c r="BL99" s="19" t="s">
        <v>1827</v>
      </c>
      <c r="BM99" s="87" t="s">
        <v>1842</v>
      </c>
    </row>
    <row r="100" spans="1:65" s="2" customFormat="1" ht="14.45" customHeight="1">
      <c r="A100" s="271"/>
      <c r="B100" s="270"/>
      <c r="C100" s="308" t="s">
        <v>248</v>
      </c>
      <c r="D100" s="308" t="s">
        <v>218</v>
      </c>
      <c r="E100" s="309" t="s">
        <v>1843</v>
      </c>
      <c r="F100" s="310" t="s">
        <v>1844</v>
      </c>
      <c r="G100" s="311" t="s">
        <v>1826</v>
      </c>
      <c r="H100" s="312">
        <v>1</v>
      </c>
      <c r="I100" s="82">
        <v>0</v>
      </c>
      <c r="J100" s="413">
        <f t="shared" si="0"/>
        <v>0</v>
      </c>
      <c r="K100" s="310" t="s">
        <v>222</v>
      </c>
      <c r="L100" s="24"/>
      <c r="M100" s="83" t="s">
        <v>3</v>
      </c>
      <c r="N100" s="84" t="s">
        <v>39</v>
      </c>
      <c r="O100" s="85">
        <v>0</v>
      </c>
      <c r="P100" s="85">
        <f t="shared" si="1"/>
        <v>0</v>
      </c>
      <c r="Q100" s="85">
        <v>0</v>
      </c>
      <c r="R100" s="85">
        <f t="shared" si="2"/>
        <v>0</v>
      </c>
      <c r="S100" s="85">
        <v>0</v>
      </c>
      <c r="T100" s="86">
        <f t="shared" si="3"/>
        <v>0</v>
      </c>
      <c r="U100" s="23"/>
      <c r="V100" s="23"/>
      <c r="W100" s="23"/>
      <c r="X100" s="23"/>
      <c r="Y100" s="23"/>
      <c r="Z100" s="23"/>
      <c r="AA100" s="23"/>
      <c r="AB100" s="23"/>
      <c r="AC100" s="23"/>
      <c r="AD100" s="23"/>
      <c r="AE100" s="23"/>
      <c r="AR100" s="87" t="s">
        <v>1827</v>
      </c>
      <c r="AT100" s="87" t="s">
        <v>218</v>
      </c>
      <c r="AU100" s="87" t="s">
        <v>77</v>
      </c>
      <c r="AY100" s="19" t="s">
        <v>216</v>
      </c>
      <c r="BE100" s="88">
        <f t="shared" si="4"/>
        <v>0</v>
      </c>
      <c r="BF100" s="88">
        <f t="shared" si="5"/>
        <v>0</v>
      </c>
      <c r="BG100" s="88">
        <f t="shared" si="6"/>
        <v>0</v>
      </c>
      <c r="BH100" s="88">
        <f t="shared" si="7"/>
        <v>0</v>
      </c>
      <c r="BI100" s="88">
        <f t="shared" si="8"/>
        <v>0</v>
      </c>
      <c r="BJ100" s="19" t="s">
        <v>75</v>
      </c>
      <c r="BK100" s="88">
        <f t="shared" si="9"/>
        <v>0</v>
      </c>
      <c r="BL100" s="19" t="s">
        <v>1827</v>
      </c>
      <c r="BM100" s="87" t="s">
        <v>1845</v>
      </c>
    </row>
    <row r="101" spans="1:65" s="2" customFormat="1" ht="14.45" customHeight="1">
      <c r="A101" s="271"/>
      <c r="B101" s="270"/>
      <c r="C101" s="308" t="s">
        <v>255</v>
      </c>
      <c r="D101" s="308" t="s">
        <v>218</v>
      </c>
      <c r="E101" s="309" t="s">
        <v>1846</v>
      </c>
      <c r="F101" s="310" t="s">
        <v>1847</v>
      </c>
      <c r="G101" s="311" t="s">
        <v>1826</v>
      </c>
      <c r="H101" s="312">
        <v>1</v>
      </c>
      <c r="I101" s="82">
        <v>0</v>
      </c>
      <c r="J101" s="413">
        <f t="shared" si="0"/>
        <v>0</v>
      </c>
      <c r="K101" s="310" t="s">
        <v>222</v>
      </c>
      <c r="L101" s="24"/>
      <c r="M101" s="83" t="s">
        <v>3</v>
      </c>
      <c r="N101" s="84" t="s">
        <v>39</v>
      </c>
      <c r="O101" s="85">
        <v>0</v>
      </c>
      <c r="P101" s="85">
        <f t="shared" si="1"/>
        <v>0</v>
      </c>
      <c r="Q101" s="85">
        <v>0</v>
      </c>
      <c r="R101" s="85">
        <f t="shared" si="2"/>
        <v>0</v>
      </c>
      <c r="S101" s="85">
        <v>0</v>
      </c>
      <c r="T101" s="86">
        <f t="shared" si="3"/>
        <v>0</v>
      </c>
      <c r="U101" s="23"/>
      <c r="V101" s="23"/>
      <c r="W101" s="23"/>
      <c r="X101" s="23"/>
      <c r="Y101" s="23"/>
      <c r="Z101" s="23"/>
      <c r="AA101" s="23"/>
      <c r="AB101" s="23"/>
      <c r="AC101" s="23"/>
      <c r="AD101" s="23"/>
      <c r="AE101" s="23"/>
      <c r="AR101" s="87" t="s">
        <v>1827</v>
      </c>
      <c r="AT101" s="87" t="s">
        <v>218</v>
      </c>
      <c r="AU101" s="87" t="s">
        <v>77</v>
      </c>
      <c r="AY101" s="19" t="s">
        <v>216</v>
      </c>
      <c r="BE101" s="88">
        <f t="shared" si="4"/>
        <v>0</v>
      </c>
      <c r="BF101" s="88">
        <f t="shared" si="5"/>
        <v>0</v>
      </c>
      <c r="BG101" s="88">
        <f t="shared" si="6"/>
        <v>0</v>
      </c>
      <c r="BH101" s="88">
        <f t="shared" si="7"/>
        <v>0</v>
      </c>
      <c r="BI101" s="88">
        <f t="shared" si="8"/>
        <v>0</v>
      </c>
      <c r="BJ101" s="19" t="s">
        <v>75</v>
      </c>
      <c r="BK101" s="88">
        <f t="shared" si="9"/>
        <v>0</v>
      </c>
      <c r="BL101" s="19" t="s">
        <v>1827</v>
      </c>
      <c r="BM101" s="87" t="s">
        <v>1848</v>
      </c>
    </row>
    <row r="102" spans="1:65" s="12" customFormat="1" ht="22.9" customHeight="1">
      <c r="A102" s="303"/>
      <c r="B102" s="304"/>
      <c r="C102" s="303"/>
      <c r="D102" s="305" t="s">
        <v>67</v>
      </c>
      <c r="E102" s="307" t="s">
        <v>1849</v>
      </c>
      <c r="F102" s="307" t="s">
        <v>1850</v>
      </c>
      <c r="G102" s="303"/>
      <c r="H102" s="303"/>
      <c r="I102" s="256"/>
      <c r="J102" s="412">
        <f>BK102</f>
        <v>0</v>
      </c>
      <c r="K102" s="303"/>
      <c r="L102" s="74"/>
      <c r="M102" s="76"/>
      <c r="N102" s="77"/>
      <c r="O102" s="77"/>
      <c r="P102" s="78">
        <f>SUM(P103:P106)</f>
        <v>0</v>
      </c>
      <c r="Q102" s="77"/>
      <c r="R102" s="78">
        <f>SUM(R103:R106)</f>
        <v>0</v>
      </c>
      <c r="S102" s="77"/>
      <c r="T102" s="79">
        <f>SUM(T103:T106)</f>
        <v>0</v>
      </c>
      <c r="AR102" s="75" t="s">
        <v>244</v>
      </c>
      <c r="AT102" s="80" t="s">
        <v>67</v>
      </c>
      <c r="AU102" s="80" t="s">
        <v>75</v>
      </c>
      <c r="AY102" s="75" t="s">
        <v>216</v>
      </c>
      <c r="BK102" s="81">
        <f>SUM(BK103:BK106)</f>
        <v>0</v>
      </c>
    </row>
    <row r="103" spans="1:65" s="2" customFormat="1" ht="14.45" customHeight="1">
      <c r="A103" s="271"/>
      <c r="B103" s="270"/>
      <c r="C103" s="308" t="s">
        <v>260</v>
      </c>
      <c r="D103" s="308" t="s">
        <v>218</v>
      </c>
      <c r="E103" s="309" t="s">
        <v>1851</v>
      </c>
      <c r="F103" s="310" t="s">
        <v>1852</v>
      </c>
      <c r="G103" s="311" t="s">
        <v>1826</v>
      </c>
      <c r="H103" s="312">
        <v>1</v>
      </c>
      <c r="I103" s="82">
        <v>0</v>
      </c>
      <c r="J103" s="413">
        <f>ROUND(I103*H103,2)</f>
        <v>0</v>
      </c>
      <c r="K103" s="310" t="s">
        <v>222</v>
      </c>
      <c r="L103" s="24"/>
      <c r="M103" s="83" t="s">
        <v>3</v>
      </c>
      <c r="N103" s="84" t="s">
        <v>39</v>
      </c>
      <c r="O103" s="85">
        <v>0</v>
      </c>
      <c r="P103" s="85">
        <f>O103*H103</f>
        <v>0</v>
      </c>
      <c r="Q103" s="85">
        <v>0</v>
      </c>
      <c r="R103" s="85">
        <f>Q103*H103</f>
        <v>0</v>
      </c>
      <c r="S103" s="85">
        <v>0</v>
      </c>
      <c r="T103" s="86">
        <f>S103*H103</f>
        <v>0</v>
      </c>
      <c r="U103" s="23"/>
      <c r="V103" s="23"/>
      <c r="W103" s="23"/>
      <c r="X103" s="23"/>
      <c r="Y103" s="23"/>
      <c r="Z103" s="23"/>
      <c r="AA103" s="23"/>
      <c r="AB103" s="23"/>
      <c r="AC103" s="23"/>
      <c r="AD103" s="23"/>
      <c r="AE103" s="23"/>
      <c r="AR103" s="87" t="s">
        <v>1827</v>
      </c>
      <c r="AT103" s="87" t="s">
        <v>218</v>
      </c>
      <c r="AU103" s="87" t="s">
        <v>77</v>
      </c>
      <c r="AY103" s="19" t="s">
        <v>216</v>
      </c>
      <c r="BE103" s="88">
        <f>IF(N103="základní",J103,0)</f>
        <v>0</v>
      </c>
      <c r="BF103" s="88">
        <f>IF(N103="snížená",J103,0)</f>
        <v>0</v>
      </c>
      <c r="BG103" s="88">
        <f>IF(N103="zákl. přenesená",J103,0)</f>
        <v>0</v>
      </c>
      <c r="BH103" s="88">
        <f>IF(N103="sníž. přenesená",J103,0)</f>
        <v>0</v>
      </c>
      <c r="BI103" s="88">
        <f>IF(N103="nulová",J103,0)</f>
        <v>0</v>
      </c>
      <c r="BJ103" s="19" t="s">
        <v>75</v>
      </c>
      <c r="BK103" s="88">
        <f>ROUND(I103*H103,2)</f>
        <v>0</v>
      </c>
      <c r="BL103" s="19" t="s">
        <v>1827</v>
      </c>
      <c r="BM103" s="87" t="s">
        <v>1853</v>
      </c>
    </row>
    <row r="104" spans="1:65" s="2" customFormat="1" ht="14.45" customHeight="1">
      <c r="A104" s="271"/>
      <c r="B104" s="270"/>
      <c r="C104" s="308" t="s">
        <v>265</v>
      </c>
      <c r="D104" s="308" t="s">
        <v>218</v>
      </c>
      <c r="E104" s="309" t="s">
        <v>1854</v>
      </c>
      <c r="F104" s="310" t="s">
        <v>1855</v>
      </c>
      <c r="G104" s="311" t="s">
        <v>1826</v>
      </c>
      <c r="H104" s="312">
        <v>1</v>
      </c>
      <c r="I104" s="82">
        <v>0</v>
      </c>
      <c r="J104" s="413">
        <f>ROUND(I104*H104,2)</f>
        <v>0</v>
      </c>
      <c r="K104" s="310" t="s">
        <v>222</v>
      </c>
      <c r="L104" s="24"/>
      <c r="M104" s="83" t="s">
        <v>3</v>
      </c>
      <c r="N104" s="84" t="s">
        <v>39</v>
      </c>
      <c r="O104" s="85">
        <v>0</v>
      </c>
      <c r="P104" s="85">
        <f>O104*H104</f>
        <v>0</v>
      </c>
      <c r="Q104" s="85">
        <v>0</v>
      </c>
      <c r="R104" s="85">
        <f>Q104*H104</f>
        <v>0</v>
      </c>
      <c r="S104" s="85">
        <v>0</v>
      </c>
      <c r="T104" s="86">
        <f>S104*H104</f>
        <v>0</v>
      </c>
      <c r="U104" s="23"/>
      <c r="V104" s="23"/>
      <c r="W104" s="23"/>
      <c r="X104" s="23"/>
      <c r="Y104" s="23"/>
      <c r="Z104" s="23"/>
      <c r="AA104" s="23"/>
      <c r="AB104" s="23"/>
      <c r="AC104" s="23"/>
      <c r="AD104" s="23"/>
      <c r="AE104" s="23"/>
      <c r="AR104" s="87" t="s">
        <v>1827</v>
      </c>
      <c r="AT104" s="87" t="s">
        <v>218</v>
      </c>
      <c r="AU104" s="87" t="s">
        <v>77</v>
      </c>
      <c r="AY104" s="19" t="s">
        <v>216</v>
      </c>
      <c r="BE104" s="88">
        <f>IF(N104="základní",J104,0)</f>
        <v>0</v>
      </c>
      <c r="BF104" s="88">
        <f>IF(N104="snížená",J104,0)</f>
        <v>0</v>
      </c>
      <c r="BG104" s="88">
        <f>IF(N104="zákl. přenesená",J104,0)</f>
        <v>0</v>
      </c>
      <c r="BH104" s="88">
        <f>IF(N104="sníž. přenesená",J104,0)</f>
        <v>0</v>
      </c>
      <c r="BI104" s="88">
        <f>IF(N104="nulová",J104,0)</f>
        <v>0</v>
      </c>
      <c r="BJ104" s="19" t="s">
        <v>75</v>
      </c>
      <c r="BK104" s="88">
        <f>ROUND(I104*H104,2)</f>
        <v>0</v>
      </c>
      <c r="BL104" s="19" t="s">
        <v>1827</v>
      </c>
      <c r="BM104" s="87" t="s">
        <v>1856</v>
      </c>
    </row>
    <row r="105" spans="1:65" s="2" customFormat="1" ht="14.45" customHeight="1">
      <c r="A105" s="271"/>
      <c r="B105" s="270"/>
      <c r="C105" s="308" t="s">
        <v>270</v>
      </c>
      <c r="D105" s="308" t="s">
        <v>218</v>
      </c>
      <c r="E105" s="309" t="s">
        <v>1857</v>
      </c>
      <c r="F105" s="310" t="s">
        <v>1858</v>
      </c>
      <c r="G105" s="311" t="s">
        <v>1826</v>
      </c>
      <c r="H105" s="312">
        <v>1</v>
      </c>
      <c r="I105" s="82">
        <v>0</v>
      </c>
      <c r="J105" s="413">
        <f>ROUND(I105*H105,2)</f>
        <v>0</v>
      </c>
      <c r="K105" s="310" t="s">
        <v>222</v>
      </c>
      <c r="L105" s="24"/>
      <c r="M105" s="83" t="s">
        <v>3</v>
      </c>
      <c r="N105" s="84" t="s">
        <v>39</v>
      </c>
      <c r="O105" s="85">
        <v>0</v>
      </c>
      <c r="P105" s="85">
        <f>O105*H105</f>
        <v>0</v>
      </c>
      <c r="Q105" s="85">
        <v>0</v>
      </c>
      <c r="R105" s="85">
        <f>Q105*H105</f>
        <v>0</v>
      </c>
      <c r="S105" s="85">
        <v>0</v>
      </c>
      <c r="T105" s="86">
        <f>S105*H105</f>
        <v>0</v>
      </c>
      <c r="U105" s="23"/>
      <c r="V105" s="23"/>
      <c r="W105" s="23"/>
      <c r="X105" s="23"/>
      <c r="Y105" s="23"/>
      <c r="Z105" s="23"/>
      <c r="AA105" s="23"/>
      <c r="AB105" s="23"/>
      <c r="AC105" s="23"/>
      <c r="AD105" s="23"/>
      <c r="AE105" s="23"/>
      <c r="AR105" s="87" t="s">
        <v>1827</v>
      </c>
      <c r="AT105" s="87" t="s">
        <v>218</v>
      </c>
      <c r="AU105" s="87" t="s">
        <v>77</v>
      </c>
      <c r="AY105" s="19" t="s">
        <v>216</v>
      </c>
      <c r="BE105" s="88">
        <f>IF(N105="základní",J105,0)</f>
        <v>0</v>
      </c>
      <c r="BF105" s="88">
        <f>IF(N105="snížená",J105,0)</f>
        <v>0</v>
      </c>
      <c r="BG105" s="88">
        <f>IF(N105="zákl. přenesená",J105,0)</f>
        <v>0</v>
      </c>
      <c r="BH105" s="88">
        <f>IF(N105="sníž. přenesená",J105,0)</f>
        <v>0</v>
      </c>
      <c r="BI105" s="88">
        <f>IF(N105="nulová",J105,0)</f>
        <v>0</v>
      </c>
      <c r="BJ105" s="19" t="s">
        <v>75</v>
      </c>
      <c r="BK105" s="88">
        <f>ROUND(I105*H105,2)</f>
        <v>0</v>
      </c>
      <c r="BL105" s="19" t="s">
        <v>1827</v>
      </c>
      <c r="BM105" s="87" t="s">
        <v>1859</v>
      </c>
    </row>
    <row r="106" spans="1:65" s="2" customFormat="1" ht="14.45" customHeight="1">
      <c r="A106" s="271"/>
      <c r="B106" s="270"/>
      <c r="C106" s="308" t="s">
        <v>277</v>
      </c>
      <c r="D106" s="308" t="s">
        <v>218</v>
      </c>
      <c r="E106" s="309" t="s">
        <v>1860</v>
      </c>
      <c r="F106" s="310" t="s">
        <v>1861</v>
      </c>
      <c r="G106" s="311" t="s">
        <v>1826</v>
      </c>
      <c r="H106" s="312">
        <v>1</v>
      </c>
      <c r="I106" s="82">
        <v>0</v>
      </c>
      <c r="J106" s="413">
        <f>ROUND(I106*H106,2)</f>
        <v>0</v>
      </c>
      <c r="K106" s="310" t="s">
        <v>222</v>
      </c>
      <c r="L106" s="24"/>
      <c r="M106" s="83" t="s">
        <v>3</v>
      </c>
      <c r="N106" s="84" t="s">
        <v>39</v>
      </c>
      <c r="O106" s="85">
        <v>0</v>
      </c>
      <c r="P106" s="85">
        <f>O106*H106</f>
        <v>0</v>
      </c>
      <c r="Q106" s="85">
        <v>0</v>
      </c>
      <c r="R106" s="85">
        <f>Q106*H106</f>
        <v>0</v>
      </c>
      <c r="S106" s="85">
        <v>0</v>
      </c>
      <c r="T106" s="86">
        <f>S106*H106</f>
        <v>0</v>
      </c>
      <c r="U106" s="23"/>
      <c r="V106" s="23"/>
      <c r="W106" s="23"/>
      <c r="X106" s="23"/>
      <c r="Y106" s="23"/>
      <c r="Z106" s="23"/>
      <c r="AA106" s="23"/>
      <c r="AB106" s="23"/>
      <c r="AC106" s="23"/>
      <c r="AD106" s="23"/>
      <c r="AE106" s="23"/>
      <c r="AR106" s="87" t="s">
        <v>1827</v>
      </c>
      <c r="AT106" s="87" t="s">
        <v>218</v>
      </c>
      <c r="AU106" s="87" t="s">
        <v>77</v>
      </c>
      <c r="AY106" s="19" t="s">
        <v>216</v>
      </c>
      <c r="BE106" s="88">
        <f>IF(N106="základní",J106,0)</f>
        <v>0</v>
      </c>
      <c r="BF106" s="88">
        <f>IF(N106="snížená",J106,0)</f>
        <v>0</v>
      </c>
      <c r="BG106" s="88">
        <f>IF(N106="zákl. přenesená",J106,0)</f>
        <v>0</v>
      </c>
      <c r="BH106" s="88">
        <f>IF(N106="sníž. přenesená",J106,0)</f>
        <v>0</v>
      </c>
      <c r="BI106" s="88">
        <f>IF(N106="nulová",J106,0)</f>
        <v>0</v>
      </c>
      <c r="BJ106" s="19" t="s">
        <v>75</v>
      </c>
      <c r="BK106" s="88">
        <f>ROUND(I106*H106,2)</f>
        <v>0</v>
      </c>
      <c r="BL106" s="19" t="s">
        <v>1827</v>
      </c>
      <c r="BM106" s="87" t="s">
        <v>1862</v>
      </c>
    </row>
    <row r="107" spans="1:65" s="12" customFormat="1" ht="22.9" customHeight="1">
      <c r="A107" s="303"/>
      <c r="B107" s="304"/>
      <c r="C107" s="303"/>
      <c r="D107" s="305" t="s">
        <v>67</v>
      </c>
      <c r="E107" s="307" t="s">
        <v>1863</v>
      </c>
      <c r="F107" s="307" t="s">
        <v>1864</v>
      </c>
      <c r="G107" s="303"/>
      <c r="H107" s="303"/>
      <c r="I107" s="256"/>
      <c r="J107" s="412">
        <f>BK107</f>
        <v>0</v>
      </c>
      <c r="K107" s="303"/>
      <c r="L107" s="74"/>
      <c r="M107" s="76"/>
      <c r="N107" s="77"/>
      <c r="O107" s="77"/>
      <c r="P107" s="78">
        <f>SUM(P108:P110)</f>
        <v>0</v>
      </c>
      <c r="Q107" s="77"/>
      <c r="R107" s="78">
        <f>SUM(R108:R110)</f>
        <v>0</v>
      </c>
      <c r="S107" s="77"/>
      <c r="T107" s="79">
        <f>SUM(T108:T110)</f>
        <v>0</v>
      </c>
      <c r="AR107" s="75" t="s">
        <v>244</v>
      </c>
      <c r="AT107" s="80" t="s">
        <v>67</v>
      </c>
      <c r="AU107" s="80" t="s">
        <v>75</v>
      </c>
      <c r="AY107" s="75" t="s">
        <v>216</v>
      </c>
      <c r="BK107" s="81">
        <f>SUM(BK108:BK110)</f>
        <v>0</v>
      </c>
    </row>
    <row r="108" spans="1:65" s="2" customFormat="1" ht="14.45" customHeight="1">
      <c r="A108" s="271"/>
      <c r="B108" s="270"/>
      <c r="C108" s="308" t="s">
        <v>283</v>
      </c>
      <c r="D108" s="308" t="s">
        <v>218</v>
      </c>
      <c r="E108" s="309" t="s">
        <v>1865</v>
      </c>
      <c r="F108" s="310" t="s">
        <v>1866</v>
      </c>
      <c r="G108" s="311" t="s">
        <v>1826</v>
      </c>
      <c r="H108" s="312">
        <v>1</v>
      </c>
      <c r="I108" s="82">
        <v>0</v>
      </c>
      <c r="J108" s="413">
        <f>ROUND(I108*H108,2)</f>
        <v>0</v>
      </c>
      <c r="K108" s="310" t="s">
        <v>222</v>
      </c>
      <c r="L108" s="24"/>
      <c r="M108" s="83" t="s">
        <v>3</v>
      </c>
      <c r="N108" s="84" t="s">
        <v>39</v>
      </c>
      <c r="O108" s="85">
        <v>0</v>
      </c>
      <c r="P108" s="85">
        <f>O108*H108</f>
        <v>0</v>
      </c>
      <c r="Q108" s="85">
        <v>0</v>
      </c>
      <c r="R108" s="85">
        <f>Q108*H108</f>
        <v>0</v>
      </c>
      <c r="S108" s="85">
        <v>0</v>
      </c>
      <c r="T108" s="86">
        <f>S108*H108</f>
        <v>0</v>
      </c>
      <c r="U108" s="23"/>
      <c r="V108" s="23"/>
      <c r="W108" s="23"/>
      <c r="X108" s="23"/>
      <c r="Y108" s="23"/>
      <c r="Z108" s="23"/>
      <c r="AA108" s="23"/>
      <c r="AB108" s="23"/>
      <c r="AC108" s="23"/>
      <c r="AD108" s="23"/>
      <c r="AE108" s="23"/>
      <c r="AR108" s="87" t="s">
        <v>1827</v>
      </c>
      <c r="AT108" s="87" t="s">
        <v>218</v>
      </c>
      <c r="AU108" s="87" t="s">
        <v>77</v>
      </c>
      <c r="AY108" s="19" t="s">
        <v>216</v>
      </c>
      <c r="BE108" s="88">
        <f>IF(N108="základní",J108,0)</f>
        <v>0</v>
      </c>
      <c r="BF108" s="88">
        <f>IF(N108="snížená",J108,0)</f>
        <v>0</v>
      </c>
      <c r="BG108" s="88">
        <f>IF(N108="zákl. přenesená",J108,0)</f>
        <v>0</v>
      </c>
      <c r="BH108" s="88">
        <f>IF(N108="sníž. přenesená",J108,0)</f>
        <v>0</v>
      </c>
      <c r="BI108" s="88">
        <f>IF(N108="nulová",J108,0)</f>
        <v>0</v>
      </c>
      <c r="BJ108" s="19" t="s">
        <v>75</v>
      </c>
      <c r="BK108" s="88">
        <f>ROUND(I108*H108,2)</f>
        <v>0</v>
      </c>
      <c r="BL108" s="19" t="s">
        <v>1827</v>
      </c>
      <c r="BM108" s="87" t="s">
        <v>1867</v>
      </c>
    </row>
    <row r="109" spans="1:65" s="2" customFormat="1" ht="14.45" customHeight="1">
      <c r="A109" s="271"/>
      <c r="B109" s="270"/>
      <c r="C109" s="308" t="s">
        <v>288</v>
      </c>
      <c r="D109" s="308" t="s">
        <v>218</v>
      </c>
      <c r="E109" s="309" t="s">
        <v>1868</v>
      </c>
      <c r="F109" s="310" t="s">
        <v>1869</v>
      </c>
      <c r="G109" s="311" t="s">
        <v>1826</v>
      </c>
      <c r="H109" s="312">
        <v>1</v>
      </c>
      <c r="I109" s="82">
        <v>0</v>
      </c>
      <c r="J109" s="413">
        <f>ROUND(I109*H109,2)</f>
        <v>0</v>
      </c>
      <c r="K109" s="310" t="s">
        <v>222</v>
      </c>
      <c r="L109" s="24"/>
      <c r="M109" s="83" t="s">
        <v>3</v>
      </c>
      <c r="N109" s="84" t="s">
        <v>39</v>
      </c>
      <c r="O109" s="85">
        <v>0</v>
      </c>
      <c r="P109" s="85">
        <f>O109*H109</f>
        <v>0</v>
      </c>
      <c r="Q109" s="85">
        <v>0</v>
      </c>
      <c r="R109" s="85">
        <f>Q109*H109</f>
        <v>0</v>
      </c>
      <c r="S109" s="85">
        <v>0</v>
      </c>
      <c r="T109" s="86">
        <f>S109*H109</f>
        <v>0</v>
      </c>
      <c r="U109" s="23"/>
      <c r="V109" s="23"/>
      <c r="W109" s="23"/>
      <c r="X109" s="23"/>
      <c r="Y109" s="23"/>
      <c r="Z109" s="23"/>
      <c r="AA109" s="23"/>
      <c r="AB109" s="23"/>
      <c r="AC109" s="23"/>
      <c r="AD109" s="23"/>
      <c r="AE109" s="23"/>
      <c r="AR109" s="87" t="s">
        <v>1827</v>
      </c>
      <c r="AT109" s="87" t="s">
        <v>218</v>
      </c>
      <c r="AU109" s="87" t="s">
        <v>77</v>
      </c>
      <c r="AY109" s="19" t="s">
        <v>216</v>
      </c>
      <c r="BE109" s="88">
        <f>IF(N109="základní",J109,0)</f>
        <v>0</v>
      </c>
      <c r="BF109" s="88">
        <f>IF(N109="snížená",J109,0)</f>
        <v>0</v>
      </c>
      <c r="BG109" s="88">
        <f>IF(N109="zákl. přenesená",J109,0)</f>
        <v>0</v>
      </c>
      <c r="BH109" s="88">
        <f>IF(N109="sníž. přenesená",J109,0)</f>
        <v>0</v>
      </c>
      <c r="BI109" s="88">
        <f>IF(N109="nulová",J109,0)</f>
        <v>0</v>
      </c>
      <c r="BJ109" s="19" t="s">
        <v>75</v>
      </c>
      <c r="BK109" s="88">
        <f>ROUND(I109*H109,2)</f>
        <v>0</v>
      </c>
      <c r="BL109" s="19" t="s">
        <v>1827</v>
      </c>
      <c r="BM109" s="87" t="s">
        <v>1870</v>
      </c>
    </row>
    <row r="110" spans="1:65" s="2" customFormat="1" ht="14.45" customHeight="1">
      <c r="A110" s="271"/>
      <c r="B110" s="270"/>
      <c r="C110" s="308" t="s">
        <v>294</v>
      </c>
      <c r="D110" s="308" t="s">
        <v>218</v>
      </c>
      <c r="E110" s="309" t="s">
        <v>1871</v>
      </c>
      <c r="F110" s="310" t="s">
        <v>1872</v>
      </c>
      <c r="G110" s="311" t="s">
        <v>1826</v>
      </c>
      <c r="H110" s="312">
        <v>1</v>
      </c>
      <c r="I110" s="82">
        <v>0</v>
      </c>
      <c r="J110" s="413">
        <f>ROUND(I110*H110,2)</f>
        <v>0</v>
      </c>
      <c r="K110" s="310" t="s">
        <v>222</v>
      </c>
      <c r="L110" s="24"/>
      <c r="M110" s="83" t="s">
        <v>3</v>
      </c>
      <c r="N110" s="84" t="s">
        <v>39</v>
      </c>
      <c r="O110" s="85">
        <v>0</v>
      </c>
      <c r="P110" s="85">
        <f>O110*H110</f>
        <v>0</v>
      </c>
      <c r="Q110" s="85">
        <v>0</v>
      </c>
      <c r="R110" s="85">
        <f>Q110*H110</f>
        <v>0</v>
      </c>
      <c r="S110" s="85">
        <v>0</v>
      </c>
      <c r="T110" s="86">
        <f>S110*H110</f>
        <v>0</v>
      </c>
      <c r="U110" s="23"/>
      <c r="V110" s="23"/>
      <c r="W110" s="23"/>
      <c r="X110" s="23"/>
      <c r="Y110" s="23"/>
      <c r="Z110" s="23"/>
      <c r="AA110" s="23"/>
      <c r="AB110" s="23"/>
      <c r="AC110" s="23"/>
      <c r="AD110" s="23"/>
      <c r="AE110" s="23"/>
      <c r="AR110" s="87" t="s">
        <v>1827</v>
      </c>
      <c r="AT110" s="87" t="s">
        <v>218</v>
      </c>
      <c r="AU110" s="87" t="s">
        <v>77</v>
      </c>
      <c r="AY110" s="19" t="s">
        <v>216</v>
      </c>
      <c r="BE110" s="88">
        <f>IF(N110="základní",J110,0)</f>
        <v>0</v>
      </c>
      <c r="BF110" s="88">
        <f>IF(N110="snížená",J110,0)</f>
        <v>0</v>
      </c>
      <c r="BG110" s="88">
        <f>IF(N110="zákl. přenesená",J110,0)</f>
        <v>0</v>
      </c>
      <c r="BH110" s="88">
        <f>IF(N110="sníž. přenesená",J110,0)</f>
        <v>0</v>
      </c>
      <c r="BI110" s="88">
        <f>IF(N110="nulová",J110,0)</f>
        <v>0</v>
      </c>
      <c r="BJ110" s="19" t="s">
        <v>75</v>
      </c>
      <c r="BK110" s="88">
        <f>ROUND(I110*H110,2)</f>
        <v>0</v>
      </c>
      <c r="BL110" s="19" t="s">
        <v>1827</v>
      </c>
      <c r="BM110" s="87" t="s">
        <v>1873</v>
      </c>
    </row>
    <row r="111" spans="1:65" s="12" customFormat="1" ht="22.9" customHeight="1">
      <c r="A111" s="303"/>
      <c r="B111" s="304"/>
      <c r="C111" s="303"/>
      <c r="D111" s="305" t="s">
        <v>67</v>
      </c>
      <c r="E111" s="307" t="s">
        <v>1874</v>
      </c>
      <c r="F111" s="307" t="s">
        <v>1875</v>
      </c>
      <c r="G111" s="303"/>
      <c r="H111" s="303"/>
      <c r="I111" s="256"/>
      <c r="J111" s="412">
        <f>BK111</f>
        <v>0</v>
      </c>
      <c r="K111" s="303"/>
      <c r="L111" s="74"/>
      <c r="M111" s="76"/>
      <c r="N111" s="77"/>
      <c r="O111" s="77"/>
      <c r="P111" s="78">
        <f>SUM(P112:P113)</f>
        <v>0</v>
      </c>
      <c r="Q111" s="77"/>
      <c r="R111" s="78">
        <f>SUM(R112:R113)</f>
        <v>0</v>
      </c>
      <c r="S111" s="77"/>
      <c r="T111" s="79">
        <f>SUM(T112:T113)</f>
        <v>0</v>
      </c>
      <c r="AR111" s="75" t="s">
        <v>244</v>
      </c>
      <c r="AT111" s="80" t="s">
        <v>67</v>
      </c>
      <c r="AU111" s="80" t="s">
        <v>75</v>
      </c>
      <c r="AY111" s="75" t="s">
        <v>216</v>
      </c>
      <c r="BK111" s="81">
        <f>SUM(BK112:BK113)</f>
        <v>0</v>
      </c>
    </row>
    <row r="112" spans="1:65" s="2" customFormat="1" ht="14.45" customHeight="1">
      <c r="A112" s="271"/>
      <c r="B112" s="270"/>
      <c r="C112" s="308" t="s">
        <v>9</v>
      </c>
      <c r="D112" s="308" t="s">
        <v>218</v>
      </c>
      <c r="E112" s="309" t="s">
        <v>1876</v>
      </c>
      <c r="F112" s="310" t="s">
        <v>1877</v>
      </c>
      <c r="G112" s="311" t="s">
        <v>1826</v>
      </c>
      <c r="H112" s="312">
        <v>1</v>
      </c>
      <c r="I112" s="82">
        <v>0</v>
      </c>
      <c r="J112" s="413">
        <f>ROUND(I112*H112,2)</f>
        <v>0</v>
      </c>
      <c r="K112" s="310" t="s">
        <v>222</v>
      </c>
      <c r="L112" s="24"/>
      <c r="M112" s="83" t="s">
        <v>3</v>
      </c>
      <c r="N112" s="84" t="s">
        <v>39</v>
      </c>
      <c r="O112" s="85">
        <v>0</v>
      </c>
      <c r="P112" s="85">
        <f>O112*H112</f>
        <v>0</v>
      </c>
      <c r="Q112" s="85">
        <v>0</v>
      </c>
      <c r="R112" s="85">
        <f>Q112*H112</f>
        <v>0</v>
      </c>
      <c r="S112" s="85">
        <v>0</v>
      </c>
      <c r="T112" s="86">
        <f>S112*H112</f>
        <v>0</v>
      </c>
      <c r="U112" s="23"/>
      <c r="V112" s="23"/>
      <c r="W112" s="23"/>
      <c r="X112" s="23"/>
      <c r="Y112" s="23"/>
      <c r="Z112" s="23"/>
      <c r="AA112" s="23"/>
      <c r="AB112" s="23"/>
      <c r="AC112" s="23"/>
      <c r="AD112" s="23"/>
      <c r="AE112" s="23"/>
      <c r="AR112" s="87" t="s">
        <v>1827</v>
      </c>
      <c r="AT112" s="87" t="s">
        <v>218</v>
      </c>
      <c r="AU112" s="87" t="s">
        <v>77</v>
      </c>
      <c r="AY112" s="19" t="s">
        <v>216</v>
      </c>
      <c r="BE112" s="88">
        <f>IF(N112="základní",J112,0)</f>
        <v>0</v>
      </c>
      <c r="BF112" s="88">
        <f>IF(N112="snížená",J112,0)</f>
        <v>0</v>
      </c>
      <c r="BG112" s="88">
        <f>IF(N112="zákl. přenesená",J112,0)</f>
        <v>0</v>
      </c>
      <c r="BH112" s="88">
        <f>IF(N112="sníž. přenesená",J112,0)</f>
        <v>0</v>
      </c>
      <c r="BI112" s="88">
        <f>IF(N112="nulová",J112,0)</f>
        <v>0</v>
      </c>
      <c r="BJ112" s="19" t="s">
        <v>75</v>
      </c>
      <c r="BK112" s="88">
        <f>ROUND(I112*H112,2)</f>
        <v>0</v>
      </c>
      <c r="BL112" s="19" t="s">
        <v>1827</v>
      </c>
      <c r="BM112" s="87" t="s">
        <v>1878</v>
      </c>
    </row>
    <row r="113" spans="1:65" s="2" customFormat="1" ht="14.45" customHeight="1">
      <c r="A113" s="271"/>
      <c r="B113" s="270"/>
      <c r="C113" s="308" t="s">
        <v>305</v>
      </c>
      <c r="D113" s="308" t="s">
        <v>218</v>
      </c>
      <c r="E113" s="309" t="s">
        <v>1879</v>
      </c>
      <c r="F113" s="310" t="s">
        <v>1880</v>
      </c>
      <c r="G113" s="311" t="s">
        <v>1826</v>
      </c>
      <c r="H113" s="312">
        <v>1</v>
      </c>
      <c r="I113" s="82">
        <v>0</v>
      </c>
      <c r="J113" s="413">
        <f>ROUND(I113*H113,2)</f>
        <v>0</v>
      </c>
      <c r="K113" s="310" t="s">
        <v>222</v>
      </c>
      <c r="L113" s="24"/>
      <c r="M113" s="115" t="s">
        <v>3</v>
      </c>
      <c r="N113" s="116" t="s">
        <v>39</v>
      </c>
      <c r="O113" s="117">
        <v>0</v>
      </c>
      <c r="P113" s="117">
        <f>O113*H113</f>
        <v>0</v>
      </c>
      <c r="Q113" s="117">
        <v>0</v>
      </c>
      <c r="R113" s="117">
        <f>Q113*H113</f>
        <v>0</v>
      </c>
      <c r="S113" s="117">
        <v>0</v>
      </c>
      <c r="T113" s="118">
        <f>S113*H113</f>
        <v>0</v>
      </c>
      <c r="U113" s="23"/>
      <c r="V113" s="23"/>
      <c r="W113" s="23"/>
      <c r="X113" s="23"/>
      <c r="Y113" s="23"/>
      <c r="Z113" s="23"/>
      <c r="AA113" s="23"/>
      <c r="AB113" s="23"/>
      <c r="AC113" s="23"/>
      <c r="AD113" s="23"/>
      <c r="AE113" s="23"/>
      <c r="AR113" s="87" t="s">
        <v>1827</v>
      </c>
      <c r="AT113" s="87" t="s">
        <v>218</v>
      </c>
      <c r="AU113" s="87" t="s">
        <v>77</v>
      </c>
      <c r="AY113" s="19" t="s">
        <v>216</v>
      </c>
      <c r="BE113" s="88">
        <f>IF(N113="základní",J113,0)</f>
        <v>0</v>
      </c>
      <c r="BF113" s="88">
        <f>IF(N113="snížená",J113,0)</f>
        <v>0</v>
      </c>
      <c r="BG113" s="88">
        <f>IF(N113="zákl. přenesená",J113,0)</f>
        <v>0</v>
      </c>
      <c r="BH113" s="88">
        <f>IF(N113="sníž. přenesená",J113,0)</f>
        <v>0</v>
      </c>
      <c r="BI113" s="88">
        <f>IF(N113="nulová",J113,0)</f>
        <v>0</v>
      </c>
      <c r="BJ113" s="19" t="s">
        <v>75</v>
      </c>
      <c r="BK113" s="88">
        <f>ROUND(I113*H113,2)</f>
        <v>0</v>
      </c>
      <c r="BL113" s="19" t="s">
        <v>1827</v>
      </c>
      <c r="BM113" s="87" t="s">
        <v>1881</v>
      </c>
    </row>
    <row r="114" spans="1:65" s="2" customFormat="1" ht="6.95" customHeight="1">
      <c r="A114" s="271"/>
      <c r="B114" s="286"/>
      <c r="C114" s="287"/>
      <c r="D114" s="287"/>
      <c r="E114" s="287"/>
      <c r="F114" s="287"/>
      <c r="G114" s="287"/>
      <c r="H114" s="287"/>
      <c r="I114" s="251"/>
      <c r="J114" s="287"/>
      <c r="K114" s="287"/>
      <c r="L114" s="24"/>
      <c r="M114" s="23"/>
      <c r="O114" s="23"/>
      <c r="P114" s="23"/>
      <c r="Q114" s="23"/>
      <c r="R114" s="23"/>
      <c r="S114" s="23"/>
      <c r="T114" s="23"/>
      <c r="U114" s="23"/>
      <c r="V114" s="23"/>
      <c r="W114" s="23"/>
      <c r="X114" s="23"/>
      <c r="Y114" s="23"/>
      <c r="Z114" s="23"/>
      <c r="AA114" s="23"/>
      <c r="AB114" s="23"/>
      <c r="AC114" s="23"/>
      <c r="AD114" s="23"/>
      <c r="AE114" s="23"/>
    </row>
  </sheetData>
  <sheetProtection password="CAB1" sheet="1" objects="1" scenarios="1"/>
  <autoFilter ref="C90:K113"/>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topLeftCell="A196" zoomScale="110" zoomScaleNormal="110" workbookViewId="0">
      <selection activeCell="H206" sqref="H206:J206"/>
    </sheetView>
  </sheetViews>
  <sheetFormatPr defaultRowHeight="11.25"/>
  <cols>
    <col min="1" max="1" width="8.33203125" style="119" customWidth="1"/>
    <col min="2" max="2" width="1.6640625" style="119" customWidth="1"/>
    <col min="3" max="4" width="5" style="119" customWidth="1"/>
    <col min="5" max="5" width="11.6640625" style="119" customWidth="1"/>
    <col min="6" max="6" width="9.1640625" style="119" customWidth="1"/>
    <col min="7" max="7" width="5" style="119" customWidth="1"/>
    <col min="8" max="8" width="77.83203125" style="119" customWidth="1"/>
    <col min="9" max="10" width="20" style="119" customWidth="1"/>
    <col min="11" max="11" width="1.6640625" style="119" customWidth="1"/>
  </cols>
  <sheetData>
    <row r="1" spans="2:11" s="1" customFormat="1" ht="37.5" customHeight="1"/>
    <row r="2" spans="2:11" s="1" customFormat="1" ht="7.5" customHeight="1">
      <c r="B2" s="120"/>
      <c r="C2" s="121"/>
      <c r="D2" s="121"/>
      <c r="E2" s="121"/>
      <c r="F2" s="121"/>
      <c r="G2" s="121"/>
      <c r="H2" s="121"/>
      <c r="I2" s="121"/>
      <c r="J2" s="121"/>
      <c r="K2" s="122"/>
    </row>
    <row r="3" spans="2:11" s="17" customFormat="1" ht="45" customHeight="1">
      <c r="B3" s="123"/>
      <c r="C3" s="774" t="s">
        <v>1882</v>
      </c>
      <c r="D3" s="774"/>
      <c r="E3" s="774"/>
      <c r="F3" s="774"/>
      <c r="G3" s="774"/>
      <c r="H3" s="774"/>
      <c r="I3" s="774"/>
      <c r="J3" s="774"/>
      <c r="K3" s="124"/>
    </row>
    <row r="4" spans="2:11" s="1" customFormat="1" ht="25.5" customHeight="1">
      <c r="B4" s="125"/>
      <c r="C4" s="776" t="s">
        <v>1883</v>
      </c>
      <c r="D4" s="776"/>
      <c r="E4" s="776"/>
      <c r="F4" s="776"/>
      <c r="G4" s="776"/>
      <c r="H4" s="776"/>
      <c r="I4" s="776"/>
      <c r="J4" s="776"/>
      <c r="K4" s="126"/>
    </row>
    <row r="5" spans="2:11" s="1" customFormat="1" ht="5.25" customHeight="1">
      <c r="B5" s="125"/>
      <c r="C5" s="127"/>
      <c r="D5" s="127"/>
      <c r="E5" s="127"/>
      <c r="F5" s="127"/>
      <c r="G5" s="127"/>
      <c r="H5" s="127"/>
      <c r="I5" s="127"/>
      <c r="J5" s="127"/>
      <c r="K5" s="126"/>
    </row>
    <row r="6" spans="2:11" s="1" customFormat="1" ht="15" customHeight="1">
      <c r="B6" s="125"/>
      <c r="C6" s="775" t="s">
        <v>1884</v>
      </c>
      <c r="D6" s="775"/>
      <c r="E6" s="775"/>
      <c r="F6" s="775"/>
      <c r="G6" s="775"/>
      <c r="H6" s="775"/>
      <c r="I6" s="775"/>
      <c r="J6" s="775"/>
      <c r="K6" s="126"/>
    </row>
    <row r="7" spans="2:11" s="1" customFormat="1" ht="15" customHeight="1">
      <c r="B7" s="129"/>
      <c r="C7" s="775" t="s">
        <v>1885</v>
      </c>
      <c r="D7" s="775"/>
      <c r="E7" s="775"/>
      <c r="F7" s="775"/>
      <c r="G7" s="775"/>
      <c r="H7" s="775"/>
      <c r="I7" s="775"/>
      <c r="J7" s="775"/>
      <c r="K7" s="126"/>
    </row>
    <row r="8" spans="2:11" s="1" customFormat="1" ht="12.75" customHeight="1">
      <c r="B8" s="129"/>
      <c r="C8" s="128"/>
      <c r="D8" s="128"/>
      <c r="E8" s="128"/>
      <c r="F8" s="128"/>
      <c r="G8" s="128"/>
      <c r="H8" s="128"/>
      <c r="I8" s="128"/>
      <c r="J8" s="128"/>
      <c r="K8" s="126"/>
    </row>
    <row r="9" spans="2:11" s="1" customFormat="1" ht="15" customHeight="1">
      <c r="B9" s="129"/>
      <c r="C9" s="775" t="s">
        <v>1886</v>
      </c>
      <c r="D9" s="775"/>
      <c r="E9" s="775"/>
      <c r="F9" s="775"/>
      <c r="G9" s="775"/>
      <c r="H9" s="775"/>
      <c r="I9" s="775"/>
      <c r="J9" s="775"/>
      <c r="K9" s="126"/>
    </row>
    <row r="10" spans="2:11" s="1" customFormat="1" ht="15" customHeight="1">
      <c r="B10" s="129"/>
      <c r="C10" s="128"/>
      <c r="D10" s="775" t="s">
        <v>1887</v>
      </c>
      <c r="E10" s="775"/>
      <c r="F10" s="775"/>
      <c r="G10" s="775"/>
      <c r="H10" s="775"/>
      <c r="I10" s="775"/>
      <c r="J10" s="775"/>
      <c r="K10" s="126"/>
    </row>
    <row r="11" spans="2:11" s="1" customFormat="1" ht="15" customHeight="1">
      <c r="B11" s="129"/>
      <c r="C11" s="130"/>
      <c r="D11" s="775" t="s">
        <v>1888</v>
      </c>
      <c r="E11" s="775"/>
      <c r="F11" s="775"/>
      <c r="G11" s="775"/>
      <c r="H11" s="775"/>
      <c r="I11" s="775"/>
      <c r="J11" s="775"/>
      <c r="K11" s="126"/>
    </row>
    <row r="12" spans="2:11" s="1" customFormat="1" ht="15" customHeight="1">
      <c r="B12" s="129"/>
      <c r="C12" s="130"/>
      <c r="D12" s="128"/>
      <c r="E12" s="128"/>
      <c r="F12" s="128"/>
      <c r="G12" s="128"/>
      <c r="H12" s="128"/>
      <c r="I12" s="128"/>
      <c r="J12" s="128"/>
      <c r="K12" s="126"/>
    </row>
    <row r="13" spans="2:11" s="1" customFormat="1" ht="15" customHeight="1">
      <c r="B13" s="129"/>
      <c r="C13" s="130"/>
      <c r="D13" s="131" t="s">
        <v>1889</v>
      </c>
      <c r="E13" s="128"/>
      <c r="F13" s="128"/>
      <c r="G13" s="128"/>
      <c r="H13" s="128"/>
      <c r="I13" s="128"/>
      <c r="J13" s="128"/>
      <c r="K13" s="126"/>
    </row>
    <row r="14" spans="2:11" s="1" customFormat="1" ht="12.75" customHeight="1">
      <c r="B14" s="129"/>
      <c r="C14" s="130"/>
      <c r="D14" s="130"/>
      <c r="E14" s="130"/>
      <c r="F14" s="130"/>
      <c r="G14" s="130"/>
      <c r="H14" s="130"/>
      <c r="I14" s="130"/>
      <c r="J14" s="130"/>
      <c r="K14" s="126"/>
    </row>
    <row r="15" spans="2:11" s="1" customFormat="1" ht="15" customHeight="1">
      <c r="B15" s="129"/>
      <c r="C15" s="130"/>
      <c r="D15" s="775" t="s">
        <v>1890</v>
      </c>
      <c r="E15" s="775"/>
      <c r="F15" s="775"/>
      <c r="G15" s="775"/>
      <c r="H15" s="775"/>
      <c r="I15" s="775"/>
      <c r="J15" s="775"/>
      <c r="K15" s="126"/>
    </row>
    <row r="16" spans="2:11" s="1" customFormat="1" ht="15" customHeight="1">
      <c r="B16" s="129"/>
      <c r="C16" s="130"/>
      <c r="D16" s="775" t="s">
        <v>1891</v>
      </c>
      <c r="E16" s="775"/>
      <c r="F16" s="775"/>
      <c r="G16" s="775"/>
      <c r="H16" s="775"/>
      <c r="I16" s="775"/>
      <c r="J16" s="775"/>
      <c r="K16" s="126"/>
    </row>
    <row r="17" spans="2:11" s="1" customFormat="1" ht="15" customHeight="1">
      <c r="B17" s="129"/>
      <c r="C17" s="130"/>
      <c r="D17" s="775" t="s">
        <v>1892</v>
      </c>
      <c r="E17" s="775"/>
      <c r="F17" s="775"/>
      <c r="G17" s="775"/>
      <c r="H17" s="775"/>
      <c r="I17" s="775"/>
      <c r="J17" s="775"/>
      <c r="K17" s="126"/>
    </row>
    <row r="18" spans="2:11" s="1" customFormat="1" ht="15" customHeight="1">
      <c r="B18" s="129"/>
      <c r="C18" s="130"/>
      <c r="D18" s="130"/>
      <c r="E18" s="132" t="s">
        <v>74</v>
      </c>
      <c r="F18" s="775" t="s">
        <v>1893</v>
      </c>
      <c r="G18" s="775"/>
      <c r="H18" s="775"/>
      <c r="I18" s="775"/>
      <c r="J18" s="775"/>
      <c r="K18" s="126"/>
    </row>
    <row r="19" spans="2:11" s="1" customFormat="1" ht="15" customHeight="1">
      <c r="B19" s="129"/>
      <c r="C19" s="130"/>
      <c r="D19" s="130"/>
      <c r="E19" s="132" t="s">
        <v>1894</v>
      </c>
      <c r="F19" s="775" t="s">
        <v>1895</v>
      </c>
      <c r="G19" s="775"/>
      <c r="H19" s="775"/>
      <c r="I19" s="775"/>
      <c r="J19" s="775"/>
      <c r="K19" s="126"/>
    </row>
    <row r="20" spans="2:11" s="1" customFormat="1" ht="15" customHeight="1">
      <c r="B20" s="129"/>
      <c r="C20" s="130"/>
      <c r="D20" s="130"/>
      <c r="E20" s="132" t="s">
        <v>1896</v>
      </c>
      <c r="F20" s="775" t="s">
        <v>1897</v>
      </c>
      <c r="G20" s="775"/>
      <c r="H20" s="775"/>
      <c r="I20" s="775"/>
      <c r="J20" s="775"/>
      <c r="K20" s="126"/>
    </row>
    <row r="21" spans="2:11" s="1" customFormat="1" ht="15" customHeight="1">
      <c r="B21" s="129"/>
      <c r="C21" s="130"/>
      <c r="D21" s="130"/>
      <c r="E21" s="132" t="s">
        <v>133</v>
      </c>
      <c r="F21" s="775" t="s">
        <v>1898</v>
      </c>
      <c r="G21" s="775"/>
      <c r="H21" s="775"/>
      <c r="I21" s="775"/>
      <c r="J21" s="775"/>
      <c r="K21" s="126"/>
    </row>
    <row r="22" spans="2:11" s="1" customFormat="1" ht="15" customHeight="1">
      <c r="B22" s="129"/>
      <c r="C22" s="130"/>
      <c r="D22" s="130"/>
      <c r="E22" s="132" t="s">
        <v>1899</v>
      </c>
      <c r="F22" s="775" t="s">
        <v>1900</v>
      </c>
      <c r="G22" s="775"/>
      <c r="H22" s="775"/>
      <c r="I22" s="775"/>
      <c r="J22" s="775"/>
      <c r="K22" s="126"/>
    </row>
    <row r="23" spans="2:11" s="1" customFormat="1" ht="15" customHeight="1">
      <c r="B23" s="129"/>
      <c r="C23" s="130"/>
      <c r="D23" s="130"/>
      <c r="E23" s="132" t="s">
        <v>81</v>
      </c>
      <c r="F23" s="775" t="s">
        <v>1901</v>
      </c>
      <c r="G23" s="775"/>
      <c r="H23" s="775"/>
      <c r="I23" s="775"/>
      <c r="J23" s="775"/>
      <c r="K23" s="126"/>
    </row>
    <row r="24" spans="2:11" s="1" customFormat="1" ht="12.75" customHeight="1">
      <c r="B24" s="129"/>
      <c r="C24" s="130"/>
      <c r="D24" s="130"/>
      <c r="E24" s="130"/>
      <c r="F24" s="130"/>
      <c r="G24" s="130"/>
      <c r="H24" s="130"/>
      <c r="I24" s="130"/>
      <c r="J24" s="130"/>
      <c r="K24" s="126"/>
    </row>
    <row r="25" spans="2:11" s="1" customFormat="1" ht="15" customHeight="1">
      <c r="B25" s="129"/>
      <c r="C25" s="775" t="s">
        <v>1902</v>
      </c>
      <c r="D25" s="775"/>
      <c r="E25" s="775"/>
      <c r="F25" s="775"/>
      <c r="G25" s="775"/>
      <c r="H25" s="775"/>
      <c r="I25" s="775"/>
      <c r="J25" s="775"/>
      <c r="K25" s="126"/>
    </row>
    <row r="26" spans="2:11" s="1" customFormat="1" ht="15" customHeight="1">
      <c r="B26" s="129"/>
      <c r="C26" s="775" t="s">
        <v>1903</v>
      </c>
      <c r="D26" s="775"/>
      <c r="E26" s="775"/>
      <c r="F26" s="775"/>
      <c r="G26" s="775"/>
      <c r="H26" s="775"/>
      <c r="I26" s="775"/>
      <c r="J26" s="775"/>
      <c r="K26" s="126"/>
    </row>
    <row r="27" spans="2:11" s="1" customFormat="1" ht="15" customHeight="1">
      <c r="B27" s="129"/>
      <c r="C27" s="128"/>
      <c r="D27" s="775" t="s">
        <v>1904</v>
      </c>
      <c r="E27" s="775"/>
      <c r="F27" s="775"/>
      <c r="G27" s="775"/>
      <c r="H27" s="775"/>
      <c r="I27" s="775"/>
      <c r="J27" s="775"/>
      <c r="K27" s="126"/>
    </row>
    <row r="28" spans="2:11" s="1" customFormat="1" ht="15" customHeight="1">
      <c r="B28" s="129"/>
      <c r="C28" s="130"/>
      <c r="D28" s="775" t="s">
        <v>1905</v>
      </c>
      <c r="E28" s="775"/>
      <c r="F28" s="775"/>
      <c r="G28" s="775"/>
      <c r="H28" s="775"/>
      <c r="I28" s="775"/>
      <c r="J28" s="775"/>
      <c r="K28" s="126"/>
    </row>
    <row r="29" spans="2:11" s="1" customFormat="1" ht="12.75" customHeight="1">
      <c r="B29" s="129"/>
      <c r="C29" s="130"/>
      <c r="D29" s="130"/>
      <c r="E29" s="130"/>
      <c r="F29" s="130"/>
      <c r="G29" s="130"/>
      <c r="H29" s="130"/>
      <c r="I29" s="130"/>
      <c r="J29" s="130"/>
      <c r="K29" s="126"/>
    </row>
    <row r="30" spans="2:11" s="1" customFormat="1" ht="15" customHeight="1">
      <c r="B30" s="129"/>
      <c r="C30" s="130"/>
      <c r="D30" s="775" t="s">
        <v>1906</v>
      </c>
      <c r="E30" s="775"/>
      <c r="F30" s="775"/>
      <c r="G30" s="775"/>
      <c r="H30" s="775"/>
      <c r="I30" s="775"/>
      <c r="J30" s="775"/>
      <c r="K30" s="126"/>
    </row>
    <row r="31" spans="2:11" s="1" customFormat="1" ht="15" customHeight="1">
      <c r="B31" s="129"/>
      <c r="C31" s="130"/>
      <c r="D31" s="775" t="s">
        <v>1907</v>
      </c>
      <c r="E31" s="775"/>
      <c r="F31" s="775"/>
      <c r="G31" s="775"/>
      <c r="H31" s="775"/>
      <c r="I31" s="775"/>
      <c r="J31" s="775"/>
      <c r="K31" s="126"/>
    </row>
    <row r="32" spans="2:11" s="1" customFormat="1" ht="12.75" customHeight="1">
      <c r="B32" s="129"/>
      <c r="C32" s="130"/>
      <c r="D32" s="130"/>
      <c r="E32" s="130"/>
      <c r="F32" s="130"/>
      <c r="G32" s="130"/>
      <c r="H32" s="130"/>
      <c r="I32" s="130"/>
      <c r="J32" s="130"/>
      <c r="K32" s="126"/>
    </row>
    <row r="33" spans="2:11" s="1" customFormat="1" ht="15" customHeight="1">
      <c r="B33" s="129"/>
      <c r="C33" s="130"/>
      <c r="D33" s="775" t="s">
        <v>1908</v>
      </c>
      <c r="E33" s="775"/>
      <c r="F33" s="775"/>
      <c r="G33" s="775"/>
      <c r="H33" s="775"/>
      <c r="I33" s="775"/>
      <c r="J33" s="775"/>
      <c r="K33" s="126"/>
    </row>
    <row r="34" spans="2:11" s="1" customFormat="1" ht="15" customHeight="1">
      <c r="B34" s="129"/>
      <c r="C34" s="130"/>
      <c r="D34" s="775" t="s">
        <v>1909</v>
      </c>
      <c r="E34" s="775"/>
      <c r="F34" s="775"/>
      <c r="G34" s="775"/>
      <c r="H34" s="775"/>
      <c r="I34" s="775"/>
      <c r="J34" s="775"/>
      <c r="K34" s="126"/>
    </row>
    <row r="35" spans="2:11" s="1" customFormat="1" ht="15" customHeight="1">
      <c r="B35" s="129"/>
      <c r="C35" s="130"/>
      <c r="D35" s="775" t="s">
        <v>1910</v>
      </c>
      <c r="E35" s="775"/>
      <c r="F35" s="775"/>
      <c r="G35" s="775"/>
      <c r="H35" s="775"/>
      <c r="I35" s="775"/>
      <c r="J35" s="775"/>
      <c r="K35" s="126"/>
    </row>
    <row r="36" spans="2:11" s="1" customFormat="1" ht="15" customHeight="1">
      <c r="B36" s="129"/>
      <c r="C36" s="130"/>
      <c r="D36" s="128"/>
      <c r="E36" s="131" t="s">
        <v>202</v>
      </c>
      <c r="F36" s="128"/>
      <c r="G36" s="775" t="s">
        <v>1911</v>
      </c>
      <c r="H36" s="775"/>
      <c r="I36" s="775"/>
      <c r="J36" s="775"/>
      <c r="K36" s="126"/>
    </row>
    <row r="37" spans="2:11" s="1" customFormat="1" ht="30.75" customHeight="1">
      <c r="B37" s="129"/>
      <c r="C37" s="130"/>
      <c r="D37" s="128"/>
      <c r="E37" s="131" t="s">
        <v>1912</v>
      </c>
      <c r="F37" s="128"/>
      <c r="G37" s="775" t="s">
        <v>1913</v>
      </c>
      <c r="H37" s="775"/>
      <c r="I37" s="775"/>
      <c r="J37" s="775"/>
      <c r="K37" s="126"/>
    </row>
    <row r="38" spans="2:11" s="1" customFormat="1" ht="15" customHeight="1">
      <c r="B38" s="129"/>
      <c r="C38" s="130"/>
      <c r="D38" s="128"/>
      <c r="E38" s="131" t="s">
        <v>49</v>
      </c>
      <c r="F38" s="128"/>
      <c r="G38" s="775" t="s">
        <v>1914</v>
      </c>
      <c r="H38" s="775"/>
      <c r="I38" s="775"/>
      <c r="J38" s="775"/>
      <c r="K38" s="126"/>
    </row>
    <row r="39" spans="2:11" s="1" customFormat="1" ht="15" customHeight="1">
      <c r="B39" s="129"/>
      <c r="C39" s="130"/>
      <c r="D39" s="128"/>
      <c r="E39" s="131" t="s">
        <v>50</v>
      </c>
      <c r="F39" s="128"/>
      <c r="G39" s="775" t="s">
        <v>1915</v>
      </c>
      <c r="H39" s="775"/>
      <c r="I39" s="775"/>
      <c r="J39" s="775"/>
      <c r="K39" s="126"/>
    </row>
    <row r="40" spans="2:11" s="1" customFormat="1" ht="15" customHeight="1">
      <c r="B40" s="129"/>
      <c r="C40" s="130"/>
      <c r="D40" s="128"/>
      <c r="E40" s="131" t="s">
        <v>203</v>
      </c>
      <c r="F40" s="128"/>
      <c r="G40" s="775" t="s">
        <v>1916</v>
      </c>
      <c r="H40" s="775"/>
      <c r="I40" s="775"/>
      <c r="J40" s="775"/>
      <c r="K40" s="126"/>
    </row>
    <row r="41" spans="2:11" s="1" customFormat="1" ht="15" customHeight="1">
      <c r="B41" s="129"/>
      <c r="C41" s="130"/>
      <c r="D41" s="128"/>
      <c r="E41" s="131" t="s">
        <v>204</v>
      </c>
      <c r="F41" s="128"/>
      <c r="G41" s="775" t="s">
        <v>1917</v>
      </c>
      <c r="H41" s="775"/>
      <c r="I41" s="775"/>
      <c r="J41" s="775"/>
      <c r="K41" s="126"/>
    </row>
    <row r="42" spans="2:11" s="1" customFormat="1" ht="15" customHeight="1">
      <c r="B42" s="129"/>
      <c r="C42" s="130"/>
      <c r="D42" s="128"/>
      <c r="E42" s="131" t="s">
        <v>1918</v>
      </c>
      <c r="F42" s="128"/>
      <c r="G42" s="775" t="s">
        <v>1919</v>
      </c>
      <c r="H42" s="775"/>
      <c r="I42" s="775"/>
      <c r="J42" s="775"/>
      <c r="K42" s="126"/>
    </row>
    <row r="43" spans="2:11" s="1" customFormat="1" ht="15" customHeight="1">
      <c r="B43" s="129"/>
      <c r="C43" s="130"/>
      <c r="D43" s="128"/>
      <c r="E43" s="131"/>
      <c r="F43" s="128"/>
      <c r="G43" s="775" t="s">
        <v>1920</v>
      </c>
      <c r="H43" s="775"/>
      <c r="I43" s="775"/>
      <c r="J43" s="775"/>
      <c r="K43" s="126"/>
    </row>
    <row r="44" spans="2:11" s="1" customFormat="1" ht="15" customHeight="1">
      <c r="B44" s="129"/>
      <c r="C44" s="130"/>
      <c r="D44" s="128"/>
      <c r="E44" s="131" t="s">
        <v>1921</v>
      </c>
      <c r="F44" s="128"/>
      <c r="G44" s="775" t="s">
        <v>1922</v>
      </c>
      <c r="H44" s="775"/>
      <c r="I44" s="775"/>
      <c r="J44" s="775"/>
      <c r="K44" s="126"/>
    </row>
    <row r="45" spans="2:11" s="1" customFormat="1" ht="15" customHeight="1">
      <c r="B45" s="129"/>
      <c r="C45" s="130"/>
      <c r="D45" s="128"/>
      <c r="E45" s="131" t="s">
        <v>206</v>
      </c>
      <c r="F45" s="128"/>
      <c r="G45" s="775" t="s">
        <v>1923</v>
      </c>
      <c r="H45" s="775"/>
      <c r="I45" s="775"/>
      <c r="J45" s="775"/>
      <c r="K45" s="126"/>
    </row>
    <row r="46" spans="2:11" s="1" customFormat="1" ht="12.75" customHeight="1">
      <c r="B46" s="129"/>
      <c r="C46" s="130"/>
      <c r="D46" s="128"/>
      <c r="E46" s="128"/>
      <c r="F46" s="128"/>
      <c r="G46" s="128"/>
      <c r="H46" s="128"/>
      <c r="I46" s="128"/>
      <c r="J46" s="128"/>
      <c r="K46" s="126"/>
    </row>
    <row r="47" spans="2:11" s="1" customFormat="1" ht="15" customHeight="1">
      <c r="B47" s="129"/>
      <c r="C47" s="130"/>
      <c r="D47" s="775" t="s">
        <v>1924</v>
      </c>
      <c r="E47" s="775"/>
      <c r="F47" s="775"/>
      <c r="G47" s="775"/>
      <c r="H47" s="775"/>
      <c r="I47" s="775"/>
      <c r="J47" s="775"/>
      <c r="K47" s="126"/>
    </row>
    <row r="48" spans="2:11" s="1" customFormat="1" ht="15" customHeight="1">
      <c r="B48" s="129"/>
      <c r="C48" s="130"/>
      <c r="D48" s="130"/>
      <c r="E48" s="775" t="s">
        <v>1925</v>
      </c>
      <c r="F48" s="775"/>
      <c r="G48" s="775"/>
      <c r="H48" s="775"/>
      <c r="I48" s="775"/>
      <c r="J48" s="775"/>
      <c r="K48" s="126"/>
    </row>
    <row r="49" spans="2:11" s="1" customFormat="1" ht="15" customHeight="1">
      <c r="B49" s="129"/>
      <c r="C49" s="130"/>
      <c r="D49" s="130"/>
      <c r="E49" s="775" t="s">
        <v>1926</v>
      </c>
      <c r="F49" s="775"/>
      <c r="G49" s="775"/>
      <c r="H49" s="775"/>
      <c r="I49" s="775"/>
      <c r="J49" s="775"/>
      <c r="K49" s="126"/>
    </row>
    <row r="50" spans="2:11" s="1" customFormat="1" ht="15" customHeight="1">
      <c r="B50" s="129"/>
      <c r="C50" s="130"/>
      <c r="D50" s="130"/>
      <c r="E50" s="775" t="s">
        <v>1927</v>
      </c>
      <c r="F50" s="775"/>
      <c r="G50" s="775"/>
      <c r="H50" s="775"/>
      <c r="I50" s="775"/>
      <c r="J50" s="775"/>
      <c r="K50" s="126"/>
    </row>
    <row r="51" spans="2:11" s="1" customFormat="1" ht="15" customHeight="1">
      <c r="B51" s="129"/>
      <c r="C51" s="130"/>
      <c r="D51" s="775" t="s">
        <v>1928</v>
      </c>
      <c r="E51" s="775"/>
      <c r="F51" s="775"/>
      <c r="G51" s="775"/>
      <c r="H51" s="775"/>
      <c r="I51" s="775"/>
      <c r="J51" s="775"/>
      <c r="K51" s="126"/>
    </row>
    <row r="52" spans="2:11" s="1" customFormat="1" ht="25.5" customHeight="1">
      <c r="B52" s="125"/>
      <c r="C52" s="776" t="s">
        <v>1929</v>
      </c>
      <c r="D52" s="776"/>
      <c r="E52" s="776"/>
      <c r="F52" s="776"/>
      <c r="G52" s="776"/>
      <c r="H52" s="776"/>
      <c r="I52" s="776"/>
      <c r="J52" s="776"/>
      <c r="K52" s="126"/>
    </row>
    <row r="53" spans="2:11" s="1" customFormat="1" ht="5.25" customHeight="1">
      <c r="B53" s="125"/>
      <c r="C53" s="127"/>
      <c r="D53" s="127"/>
      <c r="E53" s="127"/>
      <c r="F53" s="127"/>
      <c r="G53" s="127"/>
      <c r="H53" s="127"/>
      <c r="I53" s="127"/>
      <c r="J53" s="127"/>
      <c r="K53" s="126"/>
    </row>
    <row r="54" spans="2:11" s="1" customFormat="1" ht="15" customHeight="1">
      <c r="B54" s="125"/>
      <c r="C54" s="775" t="s">
        <v>1930</v>
      </c>
      <c r="D54" s="775"/>
      <c r="E54" s="775"/>
      <c r="F54" s="775"/>
      <c r="G54" s="775"/>
      <c r="H54" s="775"/>
      <c r="I54" s="775"/>
      <c r="J54" s="775"/>
      <c r="K54" s="126"/>
    </row>
    <row r="55" spans="2:11" s="1" customFormat="1" ht="15" customHeight="1">
      <c r="B55" s="125"/>
      <c r="C55" s="775" t="s">
        <v>1931</v>
      </c>
      <c r="D55" s="775"/>
      <c r="E55" s="775"/>
      <c r="F55" s="775"/>
      <c r="G55" s="775"/>
      <c r="H55" s="775"/>
      <c r="I55" s="775"/>
      <c r="J55" s="775"/>
      <c r="K55" s="126"/>
    </row>
    <row r="56" spans="2:11" s="1" customFormat="1" ht="12.75" customHeight="1">
      <c r="B56" s="125"/>
      <c r="C56" s="128"/>
      <c r="D56" s="128"/>
      <c r="E56" s="128"/>
      <c r="F56" s="128"/>
      <c r="G56" s="128"/>
      <c r="H56" s="128"/>
      <c r="I56" s="128"/>
      <c r="J56" s="128"/>
      <c r="K56" s="126"/>
    </row>
    <row r="57" spans="2:11" s="1" customFormat="1" ht="15" customHeight="1">
      <c r="B57" s="125"/>
      <c r="C57" s="775" t="s">
        <v>1932</v>
      </c>
      <c r="D57" s="775"/>
      <c r="E57" s="775"/>
      <c r="F57" s="775"/>
      <c r="G57" s="775"/>
      <c r="H57" s="775"/>
      <c r="I57" s="775"/>
      <c r="J57" s="775"/>
      <c r="K57" s="126"/>
    </row>
    <row r="58" spans="2:11" s="1" customFormat="1" ht="15" customHeight="1">
      <c r="B58" s="125"/>
      <c r="C58" s="130"/>
      <c r="D58" s="775" t="s">
        <v>1933</v>
      </c>
      <c r="E58" s="775"/>
      <c r="F58" s="775"/>
      <c r="G58" s="775"/>
      <c r="H58" s="775"/>
      <c r="I58" s="775"/>
      <c r="J58" s="775"/>
      <c r="K58" s="126"/>
    </row>
    <row r="59" spans="2:11" s="1" customFormat="1" ht="15" customHeight="1">
      <c r="B59" s="125"/>
      <c r="C59" s="130"/>
      <c r="D59" s="775" t="s">
        <v>1934</v>
      </c>
      <c r="E59" s="775"/>
      <c r="F59" s="775"/>
      <c r="G59" s="775"/>
      <c r="H59" s="775"/>
      <c r="I59" s="775"/>
      <c r="J59" s="775"/>
      <c r="K59" s="126"/>
    </row>
    <row r="60" spans="2:11" s="1" customFormat="1" ht="15" customHeight="1">
      <c r="B60" s="125"/>
      <c r="C60" s="130"/>
      <c r="D60" s="775" t="s">
        <v>1935</v>
      </c>
      <c r="E60" s="775"/>
      <c r="F60" s="775"/>
      <c r="G60" s="775"/>
      <c r="H60" s="775"/>
      <c r="I60" s="775"/>
      <c r="J60" s="775"/>
      <c r="K60" s="126"/>
    </row>
    <row r="61" spans="2:11" s="1" customFormat="1" ht="15" customHeight="1">
      <c r="B61" s="125"/>
      <c r="C61" s="130"/>
      <c r="D61" s="775" t="s">
        <v>1936</v>
      </c>
      <c r="E61" s="775"/>
      <c r="F61" s="775"/>
      <c r="G61" s="775"/>
      <c r="H61" s="775"/>
      <c r="I61" s="775"/>
      <c r="J61" s="775"/>
      <c r="K61" s="126"/>
    </row>
    <row r="62" spans="2:11" s="1" customFormat="1" ht="15" customHeight="1">
      <c r="B62" s="125"/>
      <c r="C62" s="130"/>
      <c r="D62" s="777" t="s">
        <v>1937</v>
      </c>
      <c r="E62" s="777"/>
      <c r="F62" s="777"/>
      <c r="G62" s="777"/>
      <c r="H62" s="777"/>
      <c r="I62" s="777"/>
      <c r="J62" s="777"/>
      <c r="K62" s="126"/>
    </row>
    <row r="63" spans="2:11" s="1" customFormat="1" ht="15" customHeight="1">
      <c r="B63" s="125"/>
      <c r="C63" s="130"/>
      <c r="D63" s="775" t="s">
        <v>1938</v>
      </c>
      <c r="E63" s="775"/>
      <c r="F63" s="775"/>
      <c r="G63" s="775"/>
      <c r="H63" s="775"/>
      <c r="I63" s="775"/>
      <c r="J63" s="775"/>
      <c r="K63" s="126"/>
    </row>
    <row r="64" spans="2:11" s="1" customFormat="1" ht="12.75" customHeight="1">
      <c r="B64" s="125"/>
      <c r="C64" s="130"/>
      <c r="D64" s="130"/>
      <c r="E64" s="133"/>
      <c r="F64" s="130"/>
      <c r="G64" s="130"/>
      <c r="H64" s="130"/>
      <c r="I64" s="130"/>
      <c r="J64" s="130"/>
      <c r="K64" s="126"/>
    </row>
    <row r="65" spans="2:11" s="1" customFormat="1" ht="15" customHeight="1">
      <c r="B65" s="125"/>
      <c r="C65" s="130"/>
      <c r="D65" s="775" t="s">
        <v>1939</v>
      </c>
      <c r="E65" s="775"/>
      <c r="F65" s="775"/>
      <c r="G65" s="775"/>
      <c r="H65" s="775"/>
      <c r="I65" s="775"/>
      <c r="J65" s="775"/>
      <c r="K65" s="126"/>
    </row>
    <row r="66" spans="2:11" s="1" customFormat="1" ht="15" customHeight="1">
      <c r="B66" s="125"/>
      <c r="C66" s="130"/>
      <c r="D66" s="777" t="s">
        <v>1940</v>
      </c>
      <c r="E66" s="777"/>
      <c r="F66" s="777"/>
      <c r="G66" s="777"/>
      <c r="H66" s="777"/>
      <c r="I66" s="777"/>
      <c r="J66" s="777"/>
      <c r="K66" s="126"/>
    </row>
    <row r="67" spans="2:11" s="1" customFormat="1" ht="15" customHeight="1">
      <c r="B67" s="125"/>
      <c r="C67" s="130"/>
      <c r="D67" s="775" t="s">
        <v>1941</v>
      </c>
      <c r="E67" s="775"/>
      <c r="F67" s="775"/>
      <c r="G67" s="775"/>
      <c r="H67" s="775"/>
      <c r="I67" s="775"/>
      <c r="J67" s="775"/>
      <c r="K67" s="126"/>
    </row>
    <row r="68" spans="2:11" s="1" customFormat="1" ht="15" customHeight="1">
      <c r="B68" s="125"/>
      <c r="C68" s="130"/>
      <c r="D68" s="775" t="s">
        <v>1942</v>
      </c>
      <c r="E68" s="775"/>
      <c r="F68" s="775"/>
      <c r="G68" s="775"/>
      <c r="H68" s="775"/>
      <c r="I68" s="775"/>
      <c r="J68" s="775"/>
      <c r="K68" s="126"/>
    </row>
    <row r="69" spans="2:11" s="1" customFormat="1" ht="15" customHeight="1">
      <c r="B69" s="125"/>
      <c r="C69" s="130"/>
      <c r="D69" s="775" t="s">
        <v>1943</v>
      </c>
      <c r="E69" s="775"/>
      <c r="F69" s="775"/>
      <c r="G69" s="775"/>
      <c r="H69" s="775"/>
      <c r="I69" s="775"/>
      <c r="J69" s="775"/>
      <c r="K69" s="126"/>
    </row>
    <row r="70" spans="2:11" s="1" customFormat="1" ht="15" customHeight="1">
      <c r="B70" s="125"/>
      <c r="C70" s="130"/>
      <c r="D70" s="775" t="s">
        <v>1944</v>
      </c>
      <c r="E70" s="775"/>
      <c r="F70" s="775"/>
      <c r="G70" s="775"/>
      <c r="H70" s="775"/>
      <c r="I70" s="775"/>
      <c r="J70" s="775"/>
      <c r="K70" s="126"/>
    </row>
    <row r="71" spans="2:11" s="1" customFormat="1" ht="12.75" customHeight="1">
      <c r="B71" s="134"/>
      <c r="C71" s="135"/>
      <c r="D71" s="135"/>
      <c r="E71" s="135"/>
      <c r="F71" s="135"/>
      <c r="G71" s="135"/>
      <c r="H71" s="135"/>
      <c r="I71" s="135"/>
      <c r="J71" s="135"/>
      <c r="K71" s="136"/>
    </row>
    <row r="72" spans="2:11" s="1" customFormat="1" ht="18.75" customHeight="1">
      <c r="B72" s="137"/>
      <c r="C72" s="137"/>
      <c r="D72" s="137"/>
      <c r="E72" s="137"/>
      <c r="F72" s="137"/>
      <c r="G72" s="137"/>
      <c r="H72" s="137"/>
      <c r="I72" s="137"/>
      <c r="J72" s="137"/>
      <c r="K72" s="138"/>
    </row>
    <row r="73" spans="2:11" s="1" customFormat="1" ht="18.75" customHeight="1">
      <c r="B73" s="138"/>
      <c r="C73" s="138"/>
      <c r="D73" s="138"/>
      <c r="E73" s="138"/>
      <c r="F73" s="138"/>
      <c r="G73" s="138"/>
      <c r="H73" s="138"/>
      <c r="I73" s="138"/>
      <c r="J73" s="138"/>
      <c r="K73" s="138"/>
    </row>
    <row r="74" spans="2:11" s="1" customFormat="1" ht="7.5" customHeight="1">
      <c r="B74" s="139"/>
      <c r="C74" s="140"/>
      <c r="D74" s="140"/>
      <c r="E74" s="140"/>
      <c r="F74" s="140"/>
      <c r="G74" s="140"/>
      <c r="H74" s="140"/>
      <c r="I74" s="140"/>
      <c r="J74" s="140"/>
      <c r="K74" s="141"/>
    </row>
    <row r="75" spans="2:11" s="1" customFormat="1" ht="45" customHeight="1">
      <c r="B75" s="142"/>
      <c r="C75" s="778" t="s">
        <v>1945</v>
      </c>
      <c r="D75" s="778"/>
      <c r="E75" s="778"/>
      <c r="F75" s="778"/>
      <c r="G75" s="778"/>
      <c r="H75" s="778"/>
      <c r="I75" s="778"/>
      <c r="J75" s="778"/>
      <c r="K75" s="143"/>
    </row>
    <row r="76" spans="2:11" s="1" customFormat="1" ht="17.25" customHeight="1">
      <c r="B76" s="142"/>
      <c r="C76" s="144" t="s">
        <v>1946</v>
      </c>
      <c r="D76" s="144"/>
      <c r="E76" s="144"/>
      <c r="F76" s="144" t="s">
        <v>1947</v>
      </c>
      <c r="G76" s="145"/>
      <c r="H76" s="144" t="s">
        <v>50</v>
      </c>
      <c r="I76" s="144" t="s">
        <v>53</v>
      </c>
      <c r="J76" s="144" t="s">
        <v>1948</v>
      </c>
      <c r="K76" s="143"/>
    </row>
    <row r="77" spans="2:11" s="1" customFormat="1" ht="17.25" customHeight="1">
      <c r="B77" s="142"/>
      <c r="C77" s="146" t="s">
        <v>1949</v>
      </c>
      <c r="D77" s="146"/>
      <c r="E77" s="146"/>
      <c r="F77" s="147" t="s">
        <v>1950</v>
      </c>
      <c r="G77" s="148"/>
      <c r="H77" s="146"/>
      <c r="I77" s="146"/>
      <c r="J77" s="146" t="s">
        <v>1951</v>
      </c>
      <c r="K77" s="143"/>
    </row>
    <row r="78" spans="2:11" s="1" customFormat="1" ht="5.25" customHeight="1">
      <c r="B78" s="142"/>
      <c r="C78" s="149"/>
      <c r="D78" s="149"/>
      <c r="E78" s="149"/>
      <c r="F78" s="149"/>
      <c r="G78" s="150"/>
      <c r="H78" s="149"/>
      <c r="I78" s="149"/>
      <c r="J78" s="149"/>
      <c r="K78" s="143"/>
    </row>
    <row r="79" spans="2:11" s="1" customFormat="1" ht="15" customHeight="1">
      <c r="B79" s="142"/>
      <c r="C79" s="131" t="s">
        <v>49</v>
      </c>
      <c r="D79" s="149"/>
      <c r="E79" s="149"/>
      <c r="F79" s="151" t="s">
        <v>1952</v>
      </c>
      <c r="G79" s="150"/>
      <c r="H79" s="131" t="s">
        <v>1953</v>
      </c>
      <c r="I79" s="131" t="s">
        <v>1954</v>
      </c>
      <c r="J79" s="131">
        <v>20</v>
      </c>
      <c r="K79" s="143"/>
    </row>
    <row r="80" spans="2:11" s="1" customFormat="1" ht="15" customHeight="1">
      <c r="B80" s="142"/>
      <c r="C80" s="131" t="s">
        <v>1955</v>
      </c>
      <c r="D80" s="131"/>
      <c r="E80" s="131"/>
      <c r="F80" s="151" t="s">
        <v>1952</v>
      </c>
      <c r="G80" s="150"/>
      <c r="H80" s="131" t="s">
        <v>1956</v>
      </c>
      <c r="I80" s="131" t="s">
        <v>1954</v>
      </c>
      <c r="J80" s="131">
        <v>120</v>
      </c>
      <c r="K80" s="143"/>
    </row>
    <row r="81" spans="2:11" s="1" customFormat="1" ht="15" customHeight="1">
      <c r="B81" s="152"/>
      <c r="C81" s="131" t="s">
        <v>1957</v>
      </c>
      <c r="D81" s="131"/>
      <c r="E81" s="131"/>
      <c r="F81" s="151" t="s">
        <v>1958</v>
      </c>
      <c r="G81" s="150"/>
      <c r="H81" s="131" t="s">
        <v>1959</v>
      </c>
      <c r="I81" s="131" t="s">
        <v>1954</v>
      </c>
      <c r="J81" s="131">
        <v>50</v>
      </c>
      <c r="K81" s="143"/>
    </row>
    <row r="82" spans="2:11" s="1" customFormat="1" ht="15" customHeight="1">
      <c r="B82" s="152"/>
      <c r="C82" s="131" t="s">
        <v>1960</v>
      </c>
      <c r="D82" s="131"/>
      <c r="E82" s="131"/>
      <c r="F82" s="151" t="s">
        <v>1952</v>
      </c>
      <c r="G82" s="150"/>
      <c r="H82" s="131" t="s">
        <v>1961</v>
      </c>
      <c r="I82" s="131" t="s">
        <v>1962</v>
      </c>
      <c r="J82" s="131"/>
      <c r="K82" s="143"/>
    </row>
    <row r="83" spans="2:11" s="1" customFormat="1" ht="15" customHeight="1">
      <c r="B83" s="152"/>
      <c r="C83" s="153" t="s">
        <v>1963</v>
      </c>
      <c r="D83" s="153"/>
      <c r="E83" s="153"/>
      <c r="F83" s="154" t="s">
        <v>1958</v>
      </c>
      <c r="G83" s="153"/>
      <c r="H83" s="153" t="s">
        <v>1964</v>
      </c>
      <c r="I83" s="153" t="s">
        <v>1954</v>
      </c>
      <c r="J83" s="153">
        <v>15</v>
      </c>
      <c r="K83" s="143"/>
    </row>
    <row r="84" spans="2:11" s="1" customFormat="1" ht="15" customHeight="1">
      <c r="B84" s="152"/>
      <c r="C84" s="153" t="s">
        <v>1965</v>
      </c>
      <c r="D84" s="153"/>
      <c r="E84" s="153"/>
      <c r="F84" s="154" t="s">
        <v>1958</v>
      </c>
      <c r="G84" s="153"/>
      <c r="H84" s="153" t="s">
        <v>1966</v>
      </c>
      <c r="I84" s="153" t="s">
        <v>1954</v>
      </c>
      <c r="J84" s="153">
        <v>15</v>
      </c>
      <c r="K84" s="143"/>
    </row>
    <row r="85" spans="2:11" s="1" customFormat="1" ht="15" customHeight="1">
      <c r="B85" s="152"/>
      <c r="C85" s="153" t="s">
        <v>1967</v>
      </c>
      <c r="D85" s="153"/>
      <c r="E85" s="153"/>
      <c r="F85" s="154" t="s">
        <v>1958</v>
      </c>
      <c r="G85" s="153"/>
      <c r="H85" s="153" t="s">
        <v>1968</v>
      </c>
      <c r="I85" s="153" t="s">
        <v>1954</v>
      </c>
      <c r="J85" s="153">
        <v>20</v>
      </c>
      <c r="K85" s="143"/>
    </row>
    <row r="86" spans="2:11" s="1" customFormat="1" ht="15" customHeight="1">
      <c r="B86" s="152"/>
      <c r="C86" s="153" t="s">
        <v>1969</v>
      </c>
      <c r="D86" s="153"/>
      <c r="E86" s="153"/>
      <c r="F86" s="154" t="s">
        <v>1958</v>
      </c>
      <c r="G86" s="153"/>
      <c r="H86" s="153" t="s">
        <v>1970</v>
      </c>
      <c r="I86" s="153" t="s">
        <v>1954</v>
      </c>
      <c r="J86" s="153">
        <v>20</v>
      </c>
      <c r="K86" s="143"/>
    </row>
    <row r="87" spans="2:11" s="1" customFormat="1" ht="15" customHeight="1">
      <c r="B87" s="152"/>
      <c r="C87" s="131" t="s">
        <v>1971</v>
      </c>
      <c r="D87" s="131"/>
      <c r="E87" s="131"/>
      <c r="F87" s="151" t="s">
        <v>1958</v>
      </c>
      <c r="G87" s="150"/>
      <c r="H87" s="131" t="s">
        <v>1972</v>
      </c>
      <c r="I87" s="131" t="s">
        <v>1954</v>
      </c>
      <c r="J87" s="131">
        <v>50</v>
      </c>
      <c r="K87" s="143"/>
    </row>
    <row r="88" spans="2:11" s="1" customFormat="1" ht="15" customHeight="1">
      <c r="B88" s="152"/>
      <c r="C88" s="131" t="s">
        <v>1973</v>
      </c>
      <c r="D88" s="131"/>
      <c r="E88" s="131"/>
      <c r="F88" s="151" t="s">
        <v>1958</v>
      </c>
      <c r="G88" s="150"/>
      <c r="H88" s="131" t="s">
        <v>1974</v>
      </c>
      <c r="I88" s="131" t="s">
        <v>1954</v>
      </c>
      <c r="J88" s="131">
        <v>20</v>
      </c>
      <c r="K88" s="143"/>
    </row>
    <row r="89" spans="2:11" s="1" customFormat="1" ht="15" customHeight="1">
      <c r="B89" s="152"/>
      <c r="C89" s="131" t="s">
        <v>1975</v>
      </c>
      <c r="D89" s="131"/>
      <c r="E89" s="131"/>
      <c r="F89" s="151" t="s">
        <v>1958</v>
      </c>
      <c r="G89" s="150"/>
      <c r="H89" s="131" t="s">
        <v>1976</v>
      </c>
      <c r="I89" s="131" t="s">
        <v>1954</v>
      </c>
      <c r="J89" s="131">
        <v>20</v>
      </c>
      <c r="K89" s="143"/>
    </row>
    <row r="90" spans="2:11" s="1" customFormat="1" ht="15" customHeight="1">
      <c r="B90" s="152"/>
      <c r="C90" s="131" t="s">
        <v>1977</v>
      </c>
      <c r="D90" s="131"/>
      <c r="E90" s="131"/>
      <c r="F90" s="151" t="s">
        <v>1958</v>
      </c>
      <c r="G90" s="150"/>
      <c r="H90" s="131" t="s">
        <v>1978</v>
      </c>
      <c r="I90" s="131" t="s">
        <v>1954</v>
      </c>
      <c r="J90" s="131">
        <v>50</v>
      </c>
      <c r="K90" s="143"/>
    </row>
    <row r="91" spans="2:11" s="1" customFormat="1" ht="15" customHeight="1">
      <c r="B91" s="152"/>
      <c r="C91" s="131" t="s">
        <v>1979</v>
      </c>
      <c r="D91" s="131"/>
      <c r="E91" s="131"/>
      <c r="F91" s="151" t="s">
        <v>1958</v>
      </c>
      <c r="G91" s="150"/>
      <c r="H91" s="131" t="s">
        <v>1979</v>
      </c>
      <c r="I91" s="131" t="s">
        <v>1954</v>
      </c>
      <c r="J91" s="131">
        <v>50</v>
      </c>
      <c r="K91" s="143"/>
    </row>
    <row r="92" spans="2:11" s="1" customFormat="1" ht="15" customHeight="1">
      <c r="B92" s="152"/>
      <c r="C92" s="131" t="s">
        <v>1980</v>
      </c>
      <c r="D92" s="131"/>
      <c r="E92" s="131"/>
      <c r="F92" s="151" t="s">
        <v>1958</v>
      </c>
      <c r="G92" s="150"/>
      <c r="H92" s="131" t="s">
        <v>1981</v>
      </c>
      <c r="I92" s="131" t="s">
        <v>1954</v>
      </c>
      <c r="J92" s="131">
        <v>255</v>
      </c>
      <c r="K92" s="143"/>
    </row>
    <row r="93" spans="2:11" s="1" customFormat="1" ht="15" customHeight="1">
      <c r="B93" s="152"/>
      <c r="C93" s="131" t="s">
        <v>1982</v>
      </c>
      <c r="D93" s="131"/>
      <c r="E93" s="131"/>
      <c r="F93" s="151" t="s">
        <v>1952</v>
      </c>
      <c r="G93" s="150"/>
      <c r="H93" s="131" t="s">
        <v>1983</v>
      </c>
      <c r="I93" s="131" t="s">
        <v>1984</v>
      </c>
      <c r="J93" s="131"/>
      <c r="K93" s="143"/>
    </row>
    <row r="94" spans="2:11" s="1" customFormat="1" ht="15" customHeight="1">
      <c r="B94" s="152"/>
      <c r="C94" s="131" t="s">
        <v>1985</v>
      </c>
      <c r="D94" s="131"/>
      <c r="E94" s="131"/>
      <c r="F94" s="151" t="s">
        <v>1952</v>
      </c>
      <c r="G94" s="150"/>
      <c r="H94" s="131" t="s">
        <v>1986</v>
      </c>
      <c r="I94" s="131" t="s">
        <v>1987</v>
      </c>
      <c r="J94" s="131"/>
      <c r="K94" s="143"/>
    </row>
    <row r="95" spans="2:11" s="1" customFormat="1" ht="15" customHeight="1">
      <c r="B95" s="152"/>
      <c r="C95" s="131" t="s">
        <v>1988</v>
      </c>
      <c r="D95" s="131"/>
      <c r="E95" s="131"/>
      <c r="F95" s="151" t="s">
        <v>1952</v>
      </c>
      <c r="G95" s="150"/>
      <c r="H95" s="131" t="s">
        <v>1988</v>
      </c>
      <c r="I95" s="131" t="s">
        <v>1987</v>
      </c>
      <c r="J95" s="131"/>
      <c r="K95" s="143"/>
    </row>
    <row r="96" spans="2:11" s="1" customFormat="1" ht="15" customHeight="1">
      <c r="B96" s="152"/>
      <c r="C96" s="131" t="s">
        <v>34</v>
      </c>
      <c r="D96" s="131"/>
      <c r="E96" s="131"/>
      <c r="F96" s="151" t="s">
        <v>1952</v>
      </c>
      <c r="G96" s="150"/>
      <c r="H96" s="131" t="s">
        <v>1989</v>
      </c>
      <c r="I96" s="131" t="s">
        <v>1987</v>
      </c>
      <c r="J96" s="131"/>
      <c r="K96" s="143"/>
    </row>
    <row r="97" spans="2:11" s="1" customFormat="1" ht="15" customHeight="1">
      <c r="B97" s="152"/>
      <c r="C97" s="131" t="s">
        <v>44</v>
      </c>
      <c r="D97" s="131"/>
      <c r="E97" s="131"/>
      <c r="F97" s="151" t="s">
        <v>1952</v>
      </c>
      <c r="G97" s="150"/>
      <c r="H97" s="131" t="s">
        <v>1990</v>
      </c>
      <c r="I97" s="131" t="s">
        <v>1987</v>
      </c>
      <c r="J97" s="131"/>
      <c r="K97" s="143"/>
    </row>
    <row r="98" spans="2:11" s="1" customFormat="1" ht="15" customHeight="1">
      <c r="B98" s="155"/>
      <c r="C98" s="156"/>
      <c r="D98" s="156"/>
      <c r="E98" s="156"/>
      <c r="F98" s="156"/>
      <c r="G98" s="156"/>
      <c r="H98" s="156"/>
      <c r="I98" s="156"/>
      <c r="J98" s="156"/>
      <c r="K98" s="157"/>
    </row>
    <row r="99" spans="2:11" s="1" customFormat="1" ht="18.75" customHeight="1">
      <c r="B99" s="158"/>
      <c r="C99" s="159"/>
      <c r="D99" s="159"/>
      <c r="E99" s="159"/>
      <c r="F99" s="159"/>
      <c r="G99" s="159"/>
      <c r="H99" s="159"/>
      <c r="I99" s="159"/>
      <c r="J99" s="159"/>
      <c r="K99" s="158"/>
    </row>
    <row r="100" spans="2:11" s="1" customFormat="1" ht="18.75" customHeight="1">
      <c r="B100" s="138"/>
      <c r="C100" s="138"/>
      <c r="D100" s="138"/>
      <c r="E100" s="138"/>
      <c r="F100" s="138"/>
      <c r="G100" s="138"/>
      <c r="H100" s="138"/>
      <c r="I100" s="138"/>
      <c r="J100" s="138"/>
      <c r="K100" s="138"/>
    </row>
    <row r="101" spans="2:11" s="1" customFormat="1" ht="7.5" customHeight="1">
      <c r="B101" s="139"/>
      <c r="C101" s="140"/>
      <c r="D101" s="140"/>
      <c r="E101" s="140"/>
      <c r="F101" s="140"/>
      <c r="G101" s="140"/>
      <c r="H101" s="140"/>
      <c r="I101" s="140"/>
      <c r="J101" s="140"/>
      <c r="K101" s="141"/>
    </row>
    <row r="102" spans="2:11" s="1" customFormat="1" ht="45" customHeight="1">
      <c r="B102" s="142"/>
      <c r="C102" s="778" t="s">
        <v>1991</v>
      </c>
      <c r="D102" s="778"/>
      <c r="E102" s="778"/>
      <c r="F102" s="778"/>
      <c r="G102" s="778"/>
      <c r="H102" s="778"/>
      <c r="I102" s="778"/>
      <c r="J102" s="778"/>
      <c r="K102" s="143"/>
    </row>
    <row r="103" spans="2:11" s="1" customFormat="1" ht="17.25" customHeight="1">
      <c r="B103" s="142"/>
      <c r="C103" s="144" t="s">
        <v>1946</v>
      </c>
      <c r="D103" s="144"/>
      <c r="E103" s="144"/>
      <c r="F103" s="144" t="s">
        <v>1947</v>
      </c>
      <c r="G103" s="145"/>
      <c r="H103" s="144" t="s">
        <v>50</v>
      </c>
      <c r="I103" s="144" t="s">
        <v>53</v>
      </c>
      <c r="J103" s="144" t="s">
        <v>1948</v>
      </c>
      <c r="K103" s="143"/>
    </row>
    <row r="104" spans="2:11" s="1" customFormat="1" ht="17.25" customHeight="1">
      <c r="B104" s="142"/>
      <c r="C104" s="146" t="s">
        <v>1949</v>
      </c>
      <c r="D104" s="146"/>
      <c r="E104" s="146"/>
      <c r="F104" s="147" t="s">
        <v>1950</v>
      </c>
      <c r="G104" s="148"/>
      <c r="H104" s="146"/>
      <c r="I104" s="146"/>
      <c r="J104" s="146" t="s">
        <v>1951</v>
      </c>
      <c r="K104" s="143"/>
    </row>
    <row r="105" spans="2:11" s="1" customFormat="1" ht="5.25" customHeight="1">
      <c r="B105" s="142"/>
      <c r="C105" s="144"/>
      <c r="D105" s="144"/>
      <c r="E105" s="144"/>
      <c r="F105" s="144"/>
      <c r="G105" s="160"/>
      <c r="H105" s="144"/>
      <c r="I105" s="144"/>
      <c r="J105" s="144"/>
      <c r="K105" s="143"/>
    </row>
    <row r="106" spans="2:11" s="1" customFormat="1" ht="15" customHeight="1">
      <c r="B106" s="142"/>
      <c r="C106" s="131" t="s">
        <v>49</v>
      </c>
      <c r="D106" s="149"/>
      <c r="E106" s="149"/>
      <c r="F106" s="151" t="s">
        <v>1952</v>
      </c>
      <c r="G106" s="160"/>
      <c r="H106" s="131" t="s">
        <v>1992</v>
      </c>
      <c r="I106" s="131" t="s">
        <v>1954</v>
      </c>
      <c r="J106" s="131">
        <v>20</v>
      </c>
      <c r="K106" s="143"/>
    </row>
    <row r="107" spans="2:11" s="1" customFormat="1" ht="15" customHeight="1">
      <c r="B107" s="142"/>
      <c r="C107" s="131" t="s">
        <v>1955</v>
      </c>
      <c r="D107" s="131"/>
      <c r="E107" s="131"/>
      <c r="F107" s="151" t="s">
        <v>1952</v>
      </c>
      <c r="G107" s="131"/>
      <c r="H107" s="131" t="s">
        <v>1992</v>
      </c>
      <c r="I107" s="131" t="s">
        <v>1954</v>
      </c>
      <c r="J107" s="131">
        <v>120</v>
      </c>
      <c r="K107" s="143"/>
    </row>
    <row r="108" spans="2:11" s="1" customFormat="1" ht="15" customHeight="1">
      <c r="B108" s="152"/>
      <c r="C108" s="131" t="s">
        <v>1957</v>
      </c>
      <c r="D108" s="131"/>
      <c r="E108" s="131"/>
      <c r="F108" s="151" t="s">
        <v>1958</v>
      </c>
      <c r="G108" s="131"/>
      <c r="H108" s="131" t="s">
        <v>1992</v>
      </c>
      <c r="I108" s="131" t="s">
        <v>1954</v>
      </c>
      <c r="J108" s="131">
        <v>50</v>
      </c>
      <c r="K108" s="143"/>
    </row>
    <row r="109" spans="2:11" s="1" customFormat="1" ht="15" customHeight="1">
      <c r="B109" s="152"/>
      <c r="C109" s="131" t="s">
        <v>1960</v>
      </c>
      <c r="D109" s="131"/>
      <c r="E109" s="131"/>
      <c r="F109" s="151" t="s">
        <v>1952</v>
      </c>
      <c r="G109" s="131"/>
      <c r="H109" s="131" t="s">
        <v>1992</v>
      </c>
      <c r="I109" s="131" t="s">
        <v>1962</v>
      </c>
      <c r="J109" s="131"/>
      <c r="K109" s="143"/>
    </row>
    <row r="110" spans="2:11" s="1" customFormat="1" ht="15" customHeight="1">
      <c r="B110" s="152"/>
      <c r="C110" s="131" t="s">
        <v>1971</v>
      </c>
      <c r="D110" s="131"/>
      <c r="E110" s="131"/>
      <c r="F110" s="151" t="s">
        <v>1958</v>
      </c>
      <c r="G110" s="131"/>
      <c r="H110" s="131" t="s">
        <v>1992</v>
      </c>
      <c r="I110" s="131" t="s">
        <v>1954</v>
      </c>
      <c r="J110" s="131">
        <v>50</v>
      </c>
      <c r="K110" s="143"/>
    </row>
    <row r="111" spans="2:11" s="1" customFormat="1" ht="15" customHeight="1">
      <c r="B111" s="152"/>
      <c r="C111" s="131" t="s">
        <v>1979</v>
      </c>
      <c r="D111" s="131"/>
      <c r="E111" s="131"/>
      <c r="F111" s="151" t="s">
        <v>1958</v>
      </c>
      <c r="G111" s="131"/>
      <c r="H111" s="131" t="s">
        <v>1992</v>
      </c>
      <c r="I111" s="131" t="s">
        <v>1954</v>
      </c>
      <c r="J111" s="131">
        <v>50</v>
      </c>
      <c r="K111" s="143"/>
    </row>
    <row r="112" spans="2:11" s="1" customFormat="1" ht="15" customHeight="1">
      <c r="B112" s="152"/>
      <c r="C112" s="131" t="s">
        <v>1977</v>
      </c>
      <c r="D112" s="131"/>
      <c r="E112" s="131"/>
      <c r="F112" s="151" t="s">
        <v>1958</v>
      </c>
      <c r="G112" s="131"/>
      <c r="H112" s="131" t="s">
        <v>1992</v>
      </c>
      <c r="I112" s="131" t="s">
        <v>1954</v>
      </c>
      <c r="J112" s="131">
        <v>50</v>
      </c>
      <c r="K112" s="143"/>
    </row>
    <row r="113" spans="2:11" s="1" customFormat="1" ht="15" customHeight="1">
      <c r="B113" s="152"/>
      <c r="C113" s="131" t="s">
        <v>49</v>
      </c>
      <c r="D113" s="131"/>
      <c r="E113" s="131"/>
      <c r="F113" s="151" t="s">
        <v>1952</v>
      </c>
      <c r="G113" s="131"/>
      <c r="H113" s="131" t="s">
        <v>1993</v>
      </c>
      <c r="I113" s="131" t="s">
        <v>1954</v>
      </c>
      <c r="J113" s="131">
        <v>20</v>
      </c>
      <c r="K113" s="143"/>
    </row>
    <row r="114" spans="2:11" s="1" customFormat="1" ht="15" customHeight="1">
      <c r="B114" s="152"/>
      <c r="C114" s="131" t="s">
        <v>1994</v>
      </c>
      <c r="D114" s="131"/>
      <c r="E114" s="131"/>
      <c r="F114" s="151" t="s">
        <v>1952</v>
      </c>
      <c r="G114" s="131"/>
      <c r="H114" s="131" t="s">
        <v>1995</v>
      </c>
      <c r="I114" s="131" t="s">
        <v>1954</v>
      </c>
      <c r="J114" s="131">
        <v>120</v>
      </c>
      <c r="K114" s="143"/>
    </row>
    <row r="115" spans="2:11" s="1" customFormat="1" ht="15" customHeight="1">
      <c r="B115" s="152"/>
      <c r="C115" s="131" t="s">
        <v>34</v>
      </c>
      <c r="D115" s="131"/>
      <c r="E115" s="131"/>
      <c r="F115" s="151" t="s">
        <v>1952</v>
      </c>
      <c r="G115" s="131"/>
      <c r="H115" s="131" t="s">
        <v>1996</v>
      </c>
      <c r="I115" s="131" t="s">
        <v>1987</v>
      </c>
      <c r="J115" s="131"/>
      <c r="K115" s="143"/>
    </row>
    <row r="116" spans="2:11" s="1" customFormat="1" ht="15" customHeight="1">
      <c r="B116" s="152"/>
      <c r="C116" s="131" t="s">
        <v>44</v>
      </c>
      <c r="D116" s="131"/>
      <c r="E116" s="131"/>
      <c r="F116" s="151" t="s">
        <v>1952</v>
      </c>
      <c r="G116" s="131"/>
      <c r="H116" s="131" t="s">
        <v>1997</v>
      </c>
      <c r="I116" s="131" t="s">
        <v>1987</v>
      </c>
      <c r="J116" s="131"/>
      <c r="K116" s="143"/>
    </row>
    <row r="117" spans="2:11" s="1" customFormat="1" ht="15" customHeight="1">
      <c r="B117" s="152"/>
      <c r="C117" s="131" t="s">
        <v>53</v>
      </c>
      <c r="D117" s="131"/>
      <c r="E117" s="131"/>
      <c r="F117" s="151" t="s">
        <v>1952</v>
      </c>
      <c r="G117" s="131"/>
      <c r="H117" s="131" t="s">
        <v>1998</v>
      </c>
      <c r="I117" s="131" t="s">
        <v>1999</v>
      </c>
      <c r="J117" s="131"/>
      <c r="K117" s="143"/>
    </row>
    <row r="118" spans="2:11" s="1" customFormat="1" ht="15" customHeight="1">
      <c r="B118" s="155"/>
      <c r="C118" s="161"/>
      <c r="D118" s="161"/>
      <c r="E118" s="161"/>
      <c r="F118" s="161"/>
      <c r="G118" s="161"/>
      <c r="H118" s="161"/>
      <c r="I118" s="161"/>
      <c r="J118" s="161"/>
      <c r="K118" s="157"/>
    </row>
    <row r="119" spans="2:11" s="1" customFormat="1" ht="18.75" customHeight="1">
      <c r="B119" s="162"/>
      <c r="C119" s="128"/>
      <c r="D119" s="128"/>
      <c r="E119" s="128"/>
      <c r="F119" s="163"/>
      <c r="G119" s="128"/>
      <c r="H119" s="128"/>
      <c r="I119" s="128"/>
      <c r="J119" s="128"/>
      <c r="K119" s="162"/>
    </row>
    <row r="120" spans="2:11" s="1" customFormat="1" ht="18.75" customHeight="1">
      <c r="B120" s="138"/>
      <c r="C120" s="138"/>
      <c r="D120" s="138"/>
      <c r="E120" s="138"/>
      <c r="F120" s="138"/>
      <c r="G120" s="138"/>
      <c r="H120" s="138"/>
      <c r="I120" s="138"/>
      <c r="J120" s="138"/>
      <c r="K120" s="138"/>
    </row>
    <row r="121" spans="2:11" s="1" customFormat="1" ht="7.5" customHeight="1">
      <c r="B121" s="164"/>
      <c r="C121" s="165"/>
      <c r="D121" s="165"/>
      <c r="E121" s="165"/>
      <c r="F121" s="165"/>
      <c r="G121" s="165"/>
      <c r="H121" s="165"/>
      <c r="I121" s="165"/>
      <c r="J121" s="165"/>
      <c r="K121" s="166"/>
    </row>
    <row r="122" spans="2:11" s="1" customFormat="1" ht="45" customHeight="1">
      <c r="B122" s="167"/>
      <c r="C122" s="774" t="s">
        <v>2000</v>
      </c>
      <c r="D122" s="774"/>
      <c r="E122" s="774"/>
      <c r="F122" s="774"/>
      <c r="G122" s="774"/>
      <c r="H122" s="774"/>
      <c r="I122" s="774"/>
      <c r="J122" s="774"/>
      <c r="K122" s="168"/>
    </row>
    <row r="123" spans="2:11" s="1" customFormat="1" ht="17.25" customHeight="1">
      <c r="B123" s="169"/>
      <c r="C123" s="144" t="s">
        <v>1946</v>
      </c>
      <c r="D123" s="144"/>
      <c r="E123" s="144"/>
      <c r="F123" s="144" t="s">
        <v>1947</v>
      </c>
      <c r="G123" s="145"/>
      <c r="H123" s="144" t="s">
        <v>50</v>
      </c>
      <c r="I123" s="144" t="s">
        <v>53</v>
      </c>
      <c r="J123" s="144" t="s">
        <v>1948</v>
      </c>
      <c r="K123" s="170"/>
    </row>
    <row r="124" spans="2:11" s="1" customFormat="1" ht="17.25" customHeight="1">
      <c r="B124" s="169"/>
      <c r="C124" s="146" t="s">
        <v>1949</v>
      </c>
      <c r="D124" s="146"/>
      <c r="E124" s="146"/>
      <c r="F124" s="147" t="s">
        <v>1950</v>
      </c>
      <c r="G124" s="148"/>
      <c r="H124" s="146"/>
      <c r="I124" s="146"/>
      <c r="J124" s="146" t="s">
        <v>1951</v>
      </c>
      <c r="K124" s="170"/>
    </row>
    <row r="125" spans="2:11" s="1" customFormat="1" ht="5.25" customHeight="1">
      <c r="B125" s="171"/>
      <c r="C125" s="149"/>
      <c r="D125" s="149"/>
      <c r="E125" s="149"/>
      <c r="F125" s="149"/>
      <c r="G125" s="131"/>
      <c r="H125" s="149"/>
      <c r="I125" s="149"/>
      <c r="J125" s="149"/>
      <c r="K125" s="172"/>
    </row>
    <row r="126" spans="2:11" s="1" customFormat="1" ht="15" customHeight="1">
      <c r="B126" s="171"/>
      <c r="C126" s="131" t="s">
        <v>1955</v>
      </c>
      <c r="D126" s="149"/>
      <c r="E126" s="149"/>
      <c r="F126" s="151" t="s">
        <v>1952</v>
      </c>
      <c r="G126" s="131"/>
      <c r="H126" s="131" t="s">
        <v>1992</v>
      </c>
      <c r="I126" s="131" t="s">
        <v>1954</v>
      </c>
      <c r="J126" s="131">
        <v>120</v>
      </c>
      <c r="K126" s="173"/>
    </row>
    <row r="127" spans="2:11" s="1" customFormat="1" ht="15" customHeight="1">
      <c r="B127" s="171"/>
      <c r="C127" s="131" t="s">
        <v>2001</v>
      </c>
      <c r="D127" s="131"/>
      <c r="E127" s="131"/>
      <c r="F127" s="151" t="s">
        <v>1952</v>
      </c>
      <c r="G127" s="131"/>
      <c r="H127" s="131" t="s">
        <v>2002</v>
      </c>
      <c r="I127" s="131" t="s">
        <v>1954</v>
      </c>
      <c r="J127" s="131" t="s">
        <v>2003</v>
      </c>
      <c r="K127" s="173"/>
    </row>
    <row r="128" spans="2:11" s="1" customFormat="1" ht="15" customHeight="1">
      <c r="B128" s="171"/>
      <c r="C128" s="131" t="s">
        <v>81</v>
      </c>
      <c r="D128" s="131"/>
      <c r="E128" s="131"/>
      <c r="F128" s="151" t="s">
        <v>1952</v>
      </c>
      <c r="G128" s="131"/>
      <c r="H128" s="131" t="s">
        <v>2004</v>
      </c>
      <c r="I128" s="131" t="s">
        <v>1954</v>
      </c>
      <c r="J128" s="131" t="s">
        <v>2003</v>
      </c>
      <c r="K128" s="173"/>
    </row>
    <row r="129" spans="2:11" s="1" customFormat="1" ht="15" customHeight="1">
      <c r="B129" s="171"/>
      <c r="C129" s="131" t="s">
        <v>1963</v>
      </c>
      <c r="D129" s="131"/>
      <c r="E129" s="131"/>
      <c r="F129" s="151" t="s">
        <v>1958</v>
      </c>
      <c r="G129" s="131"/>
      <c r="H129" s="131" t="s">
        <v>1964</v>
      </c>
      <c r="I129" s="131" t="s">
        <v>1954</v>
      </c>
      <c r="J129" s="131">
        <v>15</v>
      </c>
      <c r="K129" s="173"/>
    </row>
    <row r="130" spans="2:11" s="1" customFormat="1" ht="15" customHeight="1">
      <c r="B130" s="171"/>
      <c r="C130" s="153" t="s">
        <v>1965</v>
      </c>
      <c r="D130" s="153"/>
      <c r="E130" s="153"/>
      <c r="F130" s="154" t="s">
        <v>1958</v>
      </c>
      <c r="G130" s="153"/>
      <c r="H130" s="153" t="s">
        <v>1966</v>
      </c>
      <c r="I130" s="153" t="s">
        <v>1954</v>
      </c>
      <c r="J130" s="153">
        <v>15</v>
      </c>
      <c r="K130" s="173"/>
    </row>
    <row r="131" spans="2:11" s="1" customFormat="1" ht="15" customHeight="1">
      <c r="B131" s="171"/>
      <c r="C131" s="153" t="s">
        <v>1967</v>
      </c>
      <c r="D131" s="153"/>
      <c r="E131" s="153"/>
      <c r="F131" s="154" t="s">
        <v>1958</v>
      </c>
      <c r="G131" s="153"/>
      <c r="H131" s="153" t="s">
        <v>1968</v>
      </c>
      <c r="I131" s="153" t="s">
        <v>1954</v>
      </c>
      <c r="J131" s="153">
        <v>20</v>
      </c>
      <c r="K131" s="173"/>
    </row>
    <row r="132" spans="2:11" s="1" customFormat="1" ht="15" customHeight="1">
      <c r="B132" s="171"/>
      <c r="C132" s="153" t="s">
        <v>1969</v>
      </c>
      <c r="D132" s="153"/>
      <c r="E132" s="153"/>
      <c r="F132" s="154" t="s">
        <v>1958</v>
      </c>
      <c r="G132" s="153"/>
      <c r="H132" s="153" t="s">
        <v>1970</v>
      </c>
      <c r="I132" s="153" t="s">
        <v>1954</v>
      </c>
      <c r="J132" s="153">
        <v>20</v>
      </c>
      <c r="K132" s="173"/>
    </row>
    <row r="133" spans="2:11" s="1" customFormat="1" ht="15" customHeight="1">
      <c r="B133" s="171"/>
      <c r="C133" s="131" t="s">
        <v>1957</v>
      </c>
      <c r="D133" s="131"/>
      <c r="E133" s="131"/>
      <c r="F133" s="151" t="s">
        <v>1958</v>
      </c>
      <c r="G133" s="131"/>
      <c r="H133" s="131" t="s">
        <v>1992</v>
      </c>
      <c r="I133" s="131" t="s">
        <v>1954</v>
      </c>
      <c r="J133" s="131">
        <v>50</v>
      </c>
      <c r="K133" s="173"/>
    </row>
    <row r="134" spans="2:11" s="1" customFormat="1" ht="15" customHeight="1">
      <c r="B134" s="171"/>
      <c r="C134" s="131" t="s">
        <v>1971</v>
      </c>
      <c r="D134" s="131"/>
      <c r="E134" s="131"/>
      <c r="F134" s="151" t="s">
        <v>1958</v>
      </c>
      <c r="G134" s="131"/>
      <c r="H134" s="131" t="s">
        <v>1992</v>
      </c>
      <c r="I134" s="131" t="s">
        <v>1954</v>
      </c>
      <c r="J134" s="131">
        <v>50</v>
      </c>
      <c r="K134" s="173"/>
    </row>
    <row r="135" spans="2:11" s="1" customFormat="1" ht="15" customHeight="1">
      <c r="B135" s="171"/>
      <c r="C135" s="131" t="s">
        <v>1977</v>
      </c>
      <c r="D135" s="131"/>
      <c r="E135" s="131"/>
      <c r="F135" s="151" t="s">
        <v>1958</v>
      </c>
      <c r="G135" s="131"/>
      <c r="H135" s="131" t="s">
        <v>1992</v>
      </c>
      <c r="I135" s="131" t="s">
        <v>1954</v>
      </c>
      <c r="J135" s="131">
        <v>50</v>
      </c>
      <c r="K135" s="173"/>
    </row>
    <row r="136" spans="2:11" s="1" customFormat="1" ht="15" customHeight="1">
      <c r="B136" s="171"/>
      <c r="C136" s="131" t="s">
        <v>1979</v>
      </c>
      <c r="D136" s="131"/>
      <c r="E136" s="131"/>
      <c r="F136" s="151" t="s">
        <v>1958</v>
      </c>
      <c r="G136" s="131"/>
      <c r="H136" s="131" t="s">
        <v>1992</v>
      </c>
      <c r="I136" s="131" t="s">
        <v>1954</v>
      </c>
      <c r="J136" s="131">
        <v>50</v>
      </c>
      <c r="K136" s="173"/>
    </row>
    <row r="137" spans="2:11" s="1" customFormat="1" ht="15" customHeight="1">
      <c r="B137" s="171"/>
      <c r="C137" s="131" t="s">
        <v>1980</v>
      </c>
      <c r="D137" s="131"/>
      <c r="E137" s="131"/>
      <c r="F137" s="151" t="s">
        <v>1958</v>
      </c>
      <c r="G137" s="131"/>
      <c r="H137" s="131" t="s">
        <v>2005</v>
      </c>
      <c r="I137" s="131" t="s">
        <v>1954</v>
      </c>
      <c r="J137" s="131">
        <v>255</v>
      </c>
      <c r="K137" s="173"/>
    </row>
    <row r="138" spans="2:11" s="1" customFormat="1" ht="15" customHeight="1">
      <c r="B138" s="171"/>
      <c r="C138" s="131" t="s">
        <v>1982</v>
      </c>
      <c r="D138" s="131"/>
      <c r="E138" s="131"/>
      <c r="F138" s="151" t="s">
        <v>1952</v>
      </c>
      <c r="G138" s="131"/>
      <c r="H138" s="131" t="s">
        <v>2006</v>
      </c>
      <c r="I138" s="131" t="s">
        <v>1984</v>
      </c>
      <c r="J138" s="131"/>
      <c r="K138" s="173"/>
    </row>
    <row r="139" spans="2:11" s="1" customFormat="1" ht="15" customHeight="1">
      <c r="B139" s="171"/>
      <c r="C139" s="131" t="s">
        <v>1985</v>
      </c>
      <c r="D139" s="131"/>
      <c r="E139" s="131"/>
      <c r="F139" s="151" t="s">
        <v>1952</v>
      </c>
      <c r="G139" s="131"/>
      <c r="H139" s="131" t="s">
        <v>2007</v>
      </c>
      <c r="I139" s="131" t="s">
        <v>1987</v>
      </c>
      <c r="J139" s="131"/>
      <c r="K139" s="173"/>
    </row>
    <row r="140" spans="2:11" s="1" customFormat="1" ht="15" customHeight="1">
      <c r="B140" s="171"/>
      <c r="C140" s="131" t="s">
        <v>1988</v>
      </c>
      <c r="D140" s="131"/>
      <c r="E140" s="131"/>
      <c r="F140" s="151" t="s">
        <v>1952</v>
      </c>
      <c r="G140" s="131"/>
      <c r="H140" s="131" t="s">
        <v>1988</v>
      </c>
      <c r="I140" s="131" t="s">
        <v>1987</v>
      </c>
      <c r="J140" s="131"/>
      <c r="K140" s="173"/>
    </row>
    <row r="141" spans="2:11" s="1" customFormat="1" ht="15" customHeight="1">
      <c r="B141" s="171"/>
      <c r="C141" s="131" t="s">
        <v>34</v>
      </c>
      <c r="D141" s="131"/>
      <c r="E141" s="131"/>
      <c r="F141" s="151" t="s">
        <v>1952</v>
      </c>
      <c r="G141" s="131"/>
      <c r="H141" s="131" t="s">
        <v>2008</v>
      </c>
      <c r="I141" s="131" t="s">
        <v>1987</v>
      </c>
      <c r="J141" s="131"/>
      <c r="K141" s="173"/>
    </row>
    <row r="142" spans="2:11" s="1" customFormat="1" ht="15" customHeight="1">
      <c r="B142" s="171"/>
      <c r="C142" s="131" t="s">
        <v>2009</v>
      </c>
      <c r="D142" s="131"/>
      <c r="E142" s="131"/>
      <c r="F142" s="151" t="s">
        <v>1952</v>
      </c>
      <c r="G142" s="131"/>
      <c r="H142" s="131" t="s">
        <v>2010</v>
      </c>
      <c r="I142" s="131" t="s">
        <v>1987</v>
      </c>
      <c r="J142" s="131"/>
      <c r="K142" s="173"/>
    </row>
    <row r="143" spans="2:11" s="1" customFormat="1" ht="15" customHeight="1">
      <c r="B143" s="174"/>
      <c r="C143" s="175"/>
      <c r="D143" s="175"/>
      <c r="E143" s="175"/>
      <c r="F143" s="175"/>
      <c r="G143" s="175"/>
      <c r="H143" s="175"/>
      <c r="I143" s="175"/>
      <c r="J143" s="175"/>
      <c r="K143" s="176"/>
    </row>
    <row r="144" spans="2:11" s="1" customFormat="1" ht="18.75" customHeight="1">
      <c r="B144" s="128"/>
      <c r="C144" s="128"/>
      <c r="D144" s="128"/>
      <c r="E144" s="128"/>
      <c r="F144" s="163"/>
      <c r="G144" s="128"/>
      <c r="H144" s="128"/>
      <c r="I144" s="128"/>
      <c r="J144" s="128"/>
      <c r="K144" s="128"/>
    </row>
    <row r="145" spans="2:11" s="1" customFormat="1" ht="18.75" customHeight="1">
      <c r="B145" s="138"/>
      <c r="C145" s="138"/>
      <c r="D145" s="138"/>
      <c r="E145" s="138"/>
      <c r="F145" s="138"/>
      <c r="G145" s="138"/>
      <c r="H145" s="138"/>
      <c r="I145" s="138"/>
      <c r="J145" s="138"/>
      <c r="K145" s="138"/>
    </row>
    <row r="146" spans="2:11" s="1" customFormat="1" ht="7.5" customHeight="1">
      <c r="B146" s="139"/>
      <c r="C146" s="140"/>
      <c r="D146" s="140"/>
      <c r="E146" s="140"/>
      <c r="F146" s="140"/>
      <c r="G146" s="140"/>
      <c r="H146" s="140"/>
      <c r="I146" s="140"/>
      <c r="J146" s="140"/>
      <c r="K146" s="141"/>
    </row>
    <row r="147" spans="2:11" s="1" customFormat="1" ht="45" customHeight="1">
      <c r="B147" s="142"/>
      <c r="C147" s="778" t="s">
        <v>2011</v>
      </c>
      <c r="D147" s="778"/>
      <c r="E147" s="778"/>
      <c r="F147" s="778"/>
      <c r="G147" s="778"/>
      <c r="H147" s="778"/>
      <c r="I147" s="778"/>
      <c r="J147" s="778"/>
      <c r="K147" s="143"/>
    </row>
    <row r="148" spans="2:11" s="1" customFormat="1" ht="17.25" customHeight="1">
      <c r="B148" s="142"/>
      <c r="C148" s="144" t="s">
        <v>1946</v>
      </c>
      <c r="D148" s="144"/>
      <c r="E148" s="144"/>
      <c r="F148" s="144" t="s">
        <v>1947</v>
      </c>
      <c r="G148" s="145"/>
      <c r="H148" s="144" t="s">
        <v>50</v>
      </c>
      <c r="I148" s="144" t="s">
        <v>53</v>
      </c>
      <c r="J148" s="144" t="s">
        <v>1948</v>
      </c>
      <c r="K148" s="143"/>
    </row>
    <row r="149" spans="2:11" s="1" customFormat="1" ht="17.25" customHeight="1">
      <c r="B149" s="142"/>
      <c r="C149" s="146" t="s">
        <v>1949</v>
      </c>
      <c r="D149" s="146"/>
      <c r="E149" s="146"/>
      <c r="F149" s="147" t="s">
        <v>1950</v>
      </c>
      <c r="G149" s="148"/>
      <c r="H149" s="146"/>
      <c r="I149" s="146"/>
      <c r="J149" s="146" t="s">
        <v>1951</v>
      </c>
      <c r="K149" s="143"/>
    </row>
    <row r="150" spans="2:11" s="1" customFormat="1" ht="5.25" customHeight="1">
      <c r="B150" s="152"/>
      <c r="C150" s="149"/>
      <c r="D150" s="149"/>
      <c r="E150" s="149"/>
      <c r="F150" s="149"/>
      <c r="G150" s="150"/>
      <c r="H150" s="149"/>
      <c r="I150" s="149"/>
      <c r="J150" s="149"/>
      <c r="K150" s="173"/>
    </row>
    <row r="151" spans="2:11" s="1" customFormat="1" ht="15" customHeight="1">
      <c r="B151" s="152"/>
      <c r="C151" s="177" t="s">
        <v>1955</v>
      </c>
      <c r="D151" s="131"/>
      <c r="E151" s="131"/>
      <c r="F151" s="178" t="s">
        <v>1952</v>
      </c>
      <c r="G151" s="131"/>
      <c r="H151" s="177" t="s">
        <v>1992</v>
      </c>
      <c r="I151" s="177" t="s">
        <v>1954</v>
      </c>
      <c r="J151" s="177">
        <v>120</v>
      </c>
      <c r="K151" s="173"/>
    </row>
    <row r="152" spans="2:11" s="1" customFormat="1" ht="15" customHeight="1">
      <c r="B152" s="152"/>
      <c r="C152" s="177" t="s">
        <v>2001</v>
      </c>
      <c r="D152" s="131"/>
      <c r="E152" s="131"/>
      <c r="F152" s="178" t="s">
        <v>1952</v>
      </c>
      <c r="G152" s="131"/>
      <c r="H152" s="177" t="s">
        <v>2012</v>
      </c>
      <c r="I152" s="177" t="s">
        <v>1954</v>
      </c>
      <c r="J152" s="177" t="s">
        <v>2003</v>
      </c>
      <c r="K152" s="173"/>
    </row>
    <row r="153" spans="2:11" s="1" customFormat="1" ht="15" customHeight="1">
      <c r="B153" s="152"/>
      <c r="C153" s="177" t="s">
        <v>81</v>
      </c>
      <c r="D153" s="131"/>
      <c r="E153" s="131"/>
      <c r="F153" s="178" t="s">
        <v>1952</v>
      </c>
      <c r="G153" s="131"/>
      <c r="H153" s="177" t="s">
        <v>2013</v>
      </c>
      <c r="I153" s="177" t="s">
        <v>1954</v>
      </c>
      <c r="J153" s="177" t="s">
        <v>2003</v>
      </c>
      <c r="K153" s="173"/>
    </row>
    <row r="154" spans="2:11" s="1" customFormat="1" ht="15" customHeight="1">
      <c r="B154" s="152"/>
      <c r="C154" s="177" t="s">
        <v>1957</v>
      </c>
      <c r="D154" s="131"/>
      <c r="E154" s="131"/>
      <c r="F154" s="178" t="s">
        <v>1958</v>
      </c>
      <c r="G154" s="131"/>
      <c r="H154" s="177" t="s">
        <v>1992</v>
      </c>
      <c r="I154" s="177" t="s">
        <v>1954</v>
      </c>
      <c r="J154" s="177">
        <v>50</v>
      </c>
      <c r="K154" s="173"/>
    </row>
    <row r="155" spans="2:11" s="1" customFormat="1" ht="15" customHeight="1">
      <c r="B155" s="152"/>
      <c r="C155" s="177" t="s">
        <v>1960</v>
      </c>
      <c r="D155" s="131"/>
      <c r="E155" s="131"/>
      <c r="F155" s="178" t="s">
        <v>1952</v>
      </c>
      <c r="G155" s="131"/>
      <c r="H155" s="177" t="s">
        <v>1992</v>
      </c>
      <c r="I155" s="177" t="s">
        <v>1962</v>
      </c>
      <c r="J155" s="177"/>
      <c r="K155" s="173"/>
    </row>
    <row r="156" spans="2:11" s="1" customFormat="1" ht="15" customHeight="1">
      <c r="B156" s="152"/>
      <c r="C156" s="177" t="s">
        <v>1971</v>
      </c>
      <c r="D156" s="131"/>
      <c r="E156" s="131"/>
      <c r="F156" s="178" t="s">
        <v>1958</v>
      </c>
      <c r="G156" s="131"/>
      <c r="H156" s="177" t="s">
        <v>1992</v>
      </c>
      <c r="I156" s="177" t="s">
        <v>1954</v>
      </c>
      <c r="J156" s="177">
        <v>50</v>
      </c>
      <c r="K156" s="173"/>
    </row>
    <row r="157" spans="2:11" s="1" customFormat="1" ht="15" customHeight="1">
      <c r="B157" s="152"/>
      <c r="C157" s="177" t="s">
        <v>1979</v>
      </c>
      <c r="D157" s="131"/>
      <c r="E157" s="131"/>
      <c r="F157" s="178" t="s">
        <v>1958</v>
      </c>
      <c r="G157" s="131"/>
      <c r="H157" s="177" t="s">
        <v>1992</v>
      </c>
      <c r="I157" s="177" t="s">
        <v>1954</v>
      </c>
      <c r="J157" s="177">
        <v>50</v>
      </c>
      <c r="K157" s="173"/>
    </row>
    <row r="158" spans="2:11" s="1" customFormat="1" ht="15" customHeight="1">
      <c r="B158" s="152"/>
      <c r="C158" s="177" t="s">
        <v>1977</v>
      </c>
      <c r="D158" s="131"/>
      <c r="E158" s="131"/>
      <c r="F158" s="178" t="s">
        <v>1958</v>
      </c>
      <c r="G158" s="131"/>
      <c r="H158" s="177" t="s">
        <v>1992</v>
      </c>
      <c r="I158" s="177" t="s">
        <v>1954</v>
      </c>
      <c r="J158" s="177">
        <v>50</v>
      </c>
      <c r="K158" s="173"/>
    </row>
    <row r="159" spans="2:11" s="1" customFormat="1" ht="15" customHeight="1">
      <c r="B159" s="152"/>
      <c r="C159" s="177" t="s">
        <v>168</v>
      </c>
      <c r="D159" s="131"/>
      <c r="E159" s="131"/>
      <c r="F159" s="178" t="s">
        <v>1952</v>
      </c>
      <c r="G159" s="131"/>
      <c r="H159" s="177" t="s">
        <v>2014</v>
      </c>
      <c r="I159" s="177" t="s">
        <v>1954</v>
      </c>
      <c r="J159" s="177" t="s">
        <v>2015</v>
      </c>
      <c r="K159" s="173"/>
    </row>
    <row r="160" spans="2:11" s="1" customFormat="1" ht="15" customHeight="1">
      <c r="B160" s="152"/>
      <c r="C160" s="177" t="s">
        <v>2016</v>
      </c>
      <c r="D160" s="131"/>
      <c r="E160" s="131"/>
      <c r="F160" s="178" t="s">
        <v>1952</v>
      </c>
      <c r="G160" s="131"/>
      <c r="H160" s="177" t="s">
        <v>2017</v>
      </c>
      <c r="I160" s="177" t="s">
        <v>1987</v>
      </c>
      <c r="J160" s="177"/>
      <c r="K160" s="173"/>
    </row>
    <row r="161" spans="2:11" s="1" customFormat="1" ht="15" customHeight="1">
      <c r="B161" s="179"/>
      <c r="C161" s="161"/>
      <c r="D161" s="161"/>
      <c r="E161" s="161"/>
      <c r="F161" s="161"/>
      <c r="G161" s="161"/>
      <c r="H161" s="161"/>
      <c r="I161" s="161"/>
      <c r="J161" s="161"/>
      <c r="K161" s="180"/>
    </row>
    <row r="162" spans="2:11" s="1" customFormat="1" ht="18.75" customHeight="1">
      <c r="B162" s="128"/>
      <c r="C162" s="131"/>
      <c r="D162" s="131"/>
      <c r="E162" s="131"/>
      <c r="F162" s="151"/>
      <c r="G162" s="131"/>
      <c r="H162" s="131"/>
      <c r="I162" s="131"/>
      <c r="J162" s="131"/>
      <c r="K162" s="128"/>
    </row>
    <row r="163" spans="2:11" s="1" customFormat="1" ht="18.75" customHeight="1">
      <c r="B163" s="138"/>
      <c r="C163" s="138"/>
      <c r="D163" s="138"/>
      <c r="E163" s="138"/>
      <c r="F163" s="138"/>
      <c r="G163" s="138"/>
      <c r="H163" s="138"/>
      <c r="I163" s="138"/>
      <c r="J163" s="138"/>
      <c r="K163" s="138"/>
    </row>
    <row r="164" spans="2:11" s="1" customFormat="1" ht="7.5" customHeight="1">
      <c r="B164" s="120"/>
      <c r="C164" s="121"/>
      <c r="D164" s="121"/>
      <c r="E164" s="121"/>
      <c r="F164" s="121"/>
      <c r="G164" s="121"/>
      <c r="H164" s="121"/>
      <c r="I164" s="121"/>
      <c r="J164" s="121"/>
      <c r="K164" s="122"/>
    </row>
    <row r="165" spans="2:11" s="1" customFormat="1" ht="45" customHeight="1">
      <c r="B165" s="123"/>
      <c r="C165" s="774" t="s">
        <v>2018</v>
      </c>
      <c r="D165" s="774"/>
      <c r="E165" s="774"/>
      <c r="F165" s="774"/>
      <c r="G165" s="774"/>
      <c r="H165" s="774"/>
      <c r="I165" s="774"/>
      <c r="J165" s="774"/>
      <c r="K165" s="124"/>
    </row>
    <row r="166" spans="2:11" s="1" customFormat="1" ht="17.25" customHeight="1">
      <c r="B166" s="123"/>
      <c r="C166" s="144" t="s">
        <v>1946</v>
      </c>
      <c r="D166" s="144"/>
      <c r="E166" s="144"/>
      <c r="F166" s="144" t="s">
        <v>1947</v>
      </c>
      <c r="G166" s="181"/>
      <c r="H166" s="182" t="s">
        <v>50</v>
      </c>
      <c r="I166" s="182" t="s">
        <v>53</v>
      </c>
      <c r="J166" s="144" t="s">
        <v>1948</v>
      </c>
      <c r="K166" s="124"/>
    </row>
    <row r="167" spans="2:11" s="1" customFormat="1" ht="17.25" customHeight="1">
      <c r="B167" s="125"/>
      <c r="C167" s="146" t="s">
        <v>1949</v>
      </c>
      <c r="D167" s="146"/>
      <c r="E167" s="146"/>
      <c r="F167" s="147" t="s">
        <v>1950</v>
      </c>
      <c r="G167" s="183"/>
      <c r="H167" s="184"/>
      <c r="I167" s="184"/>
      <c r="J167" s="146" t="s">
        <v>1951</v>
      </c>
      <c r="K167" s="126"/>
    </row>
    <row r="168" spans="2:11" s="1" customFormat="1" ht="5.25" customHeight="1">
      <c r="B168" s="152"/>
      <c r="C168" s="149"/>
      <c r="D168" s="149"/>
      <c r="E168" s="149"/>
      <c r="F168" s="149"/>
      <c r="G168" s="150"/>
      <c r="H168" s="149"/>
      <c r="I168" s="149"/>
      <c r="J168" s="149"/>
      <c r="K168" s="173"/>
    </row>
    <row r="169" spans="2:11" s="1" customFormat="1" ht="15" customHeight="1">
      <c r="B169" s="152"/>
      <c r="C169" s="131" t="s">
        <v>1955</v>
      </c>
      <c r="D169" s="131"/>
      <c r="E169" s="131"/>
      <c r="F169" s="151" t="s">
        <v>1952</v>
      </c>
      <c r="G169" s="131"/>
      <c r="H169" s="131" t="s">
        <v>1992</v>
      </c>
      <c r="I169" s="131" t="s">
        <v>1954</v>
      </c>
      <c r="J169" s="131">
        <v>120</v>
      </c>
      <c r="K169" s="173"/>
    </row>
    <row r="170" spans="2:11" s="1" customFormat="1" ht="15" customHeight="1">
      <c r="B170" s="152"/>
      <c r="C170" s="131" t="s">
        <v>2001</v>
      </c>
      <c r="D170" s="131"/>
      <c r="E170" s="131"/>
      <c r="F170" s="151" t="s">
        <v>1952</v>
      </c>
      <c r="G170" s="131"/>
      <c r="H170" s="131" t="s">
        <v>2002</v>
      </c>
      <c r="I170" s="131" t="s">
        <v>1954</v>
      </c>
      <c r="J170" s="131" t="s">
        <v>2003</v>
      </c>
      <c r="K170" s="173"/>
    </row>
    <row r="171" spans="2:11" s="1" customFormat="1" ht="15" customHeight="1">
      <c r="B171" s="152"/>
      <c r="C171" s="131" t="s">
        <v>81</v>
      </c>
      <c r="D171" s="131"/>
      <c r="E171" s="131"/>
      <c r="F171" s="151" t="s">
        <v>1952</v>
      </c>
      <c r="G171" s="131"/>
      <c r="H171" s="131" t="s">
        <v>2019</v>
      </c>
      <c r="I171" s="131" t="s">
        <v>1954</v>
      </c>
      <c r="J171" s="131" t="s">
        <v>2003</v>
      </c>
      <c r="K171" s="173"/>
    </row>
    <row r="172" spans="2:11" s="1" customFormat="1" ht="15" customHeight="1">
      <c r="B172" s="152"/>
      <c r="C172" s="131" t="s">
        <v>1957</v>
      </c>
      <c r="D172" s="131"/>
      <c r="E172" s="131"/>
      <c r="F172" s="151" t="s">
        <v>1958</v>
      </c>
      <c r="G172" s="131"/>
      <c r="H172" s="131" t="s">
        <v>2019</v>
      </c>
      <c r="I172" s="131" t="s">
        <v>1954</v>
      </c>
      <c r="J172" s="131">
        <v>50</v>
      </c>
      <c r="K172" s="173"/>
    </row>
    <row r="173" spans="2:11" s="1" customFormat="1" ht="15" customHeight="1">
      <c r="B173" s="152"/>
      <c r="C173" s="131" t="s">
        <v>1960</v>
      </c>
      <c r="D173" s="131"/>
      <c r="E173" s="131"/>
      <c r="F173" s="151" t="s">
        <v>1952</v>
      </c>
      <c r="G173" s="131"/>
      <c r="H173" s="131" t="s">
        <v>2019</v>
      </c>
      <c r="I173" s="131" t="s">
        <v>1962</v>
      </c>
      <c r="J173" s="131"/>
      <c r="K173" s="173"/>
    </row>
    <row r="174" spans="2:11" s="1" customFormat="1" ht="15" customHeight="1">
      <c r="B174" s="152"/>
      <c r="C174" s="131" t="s">
        <v>1971</v>
      </c>
      <c r="D174" s="131"/>
      <c r="E174" s="131"/>
      <c r="F174" s="151" t="s">
        <v>1958</v>
      </c>
      <c r="G174" s="131"/>
      <c r="H174" s="131" t="s">
        <v>2019</v>
      </c>
      <c r="I174" s="131" t="s">
        <v>1954</v>
      </c>
      <c r="J174" s="131">
        <v>50</v>
      </c>
      <c r="K174" s="173"/>
    </row>
    <row r="175" spans="2:11" s="1" customFormat="1" ht="15" customHeight="1">
      <c r="B175" s="152"/>
      <c r="C175" s="131" t="s">
        <v>1979</v>
      </c>
      <c r="D175" s="131"/>
      <c r="E175" s="131"/>
      <c r="F175" s="151" t="s">
        <v>1958</v>
      </c>
      <c r="G175" s="131"/>
      <c r="H175" s="131" t="s">
        <v>2019</v>
      </c>
      <c r="I175" s="131" t="s">
        <v>1954</v>
      </c>
      <c r="J175" s="131">
        <v>50</v>
      </c>
      <c r="K175" s="173"/>
    </row>
    <row r="176" spans="2:11" s="1" customFormat="1" ht="15" customHeight="1">
      <c r="B176" s="152"/>
      <c r="C176" s="131" t="s">
        <v>1977</v>
      </c>
      <c r="D176" s="131"/>
      <c r="E176" s="131"/>
      <c r="F176" s="151" t="s">
        <v>1958</v>
      </c>
      <c r="G176" s="131"/>
      <c r="H176" s="131" t="s">
        <v>2019</v>
      </c>
      <c r="I176" s="131" t="s">
        <v>1954</v>
      </c>
      <c r="J176" s="131">
        <v>50</v>
      </c>
      <c r="K176" s="173"/>
    </row>
    <row r="177" spans="2:11" s="1" customFormat="1" ht="15" customHeight="1">
      <c r="B177" s="152"/>
      <c r="C177" s="131" t="s">
        <v>202</v>
      </c>
      <c r="D177" s="131"/>
      <c r="E177" s="131"/>
      <c r="F177" s="151" t="s">
        <v>1952</v>
      </c>
      <c r="G177" s="131"/>
      <c r="H177" s="131" t="s">
        <v>2020</v>
      </c>
      <c r="I177" s="131" t="s">
        <v>2021</v>
      </c>
      <c r="J177" s="131"/>
      <c r="K177" s="173"/>
    </row>
    <row r="178" spans="2:11" s="1" customFormat="1" ht="15" customHeight="1">
      <c r="B178" s="152"/>
      <c r="C178" s="131" t="s">
        <v>53</v>
      </c>
      <c r="D178" s="131"/>
      <c r="E178" s="131"/>
      <c r="F178" s="151" t="s">
        <v>1952</v>
      </c>
      <c r="G178" s="131"/>
      <c r="H178" s="131" t="s">
        <v>2022</v>
      </c>
      <c r="I178" s="131" t="s">
        <v>2023</v>
      </c>
      <c r="J178" s="131">
        <v>1</v>
      </c>
      <c r="K178" s="173"/>
    </row>
    <row r="179" spans="2:11" s="1" customFormat="1" ht="15" customHeight="1">
      <c r="B179" s="152"/>
      <c r="C179" s="131" t="s">
        <v>49</v>
      </c>
      <c r="D179" s="131"/>
      <c r="E179" s="131"/>
      <c r="F179" s="151" t="s">
        <v>1952</v>
      </c>
      <c r="G179" s="131"/>
      <c r="H179" s="131" t="s">
        <v>2024</v>
      </c>
      <c r="I179" s="131" t="s">
        <v>1954</v>
      </c>
      <c r="J179" s="131">
        <v>20</v>
      </c>
      <c r="K179" s="173"/>
    </row>
    <row r="180" spans="2:11" s="1" customFormat="1" ht="15" customHeight="1">
      <c r="B180" s="152"/>
      <c r="C180" s="131" t="s">
        <v>50</v>
      </c>
      <c r="D180" s="131"/>
      <c r="E180" s="131"/>
      <c r="F180" s="151" t="s">
        <v>1952</v>
      </c>
      <c r="G180" s="131"/>
      <c r="H180" s="131" t="s">
        <v>2025</v>
      </c>
      <c r="I180" s="131" t="s">
        <v>1954</v>
      </c>
      <c r="J180" s="131">
        <v>255</v>
      </c>
      <c r="K180" s="173"/>
    </row>
    <row r="181" spans="2:11" s="1" customFormat="1" ht="15" customHeight="1">
      <c r="B181" s="152"/>
      <c r="C181" s="131" t="s">
        <v>203</v>
      </c>
      <c r="D181" s="131"/>
      <c r="E181" s="131"/>
      <c r="F181" s="151" t="s">
        <v>1952</v>
      </c>
      <c r="G181" s="131"/>
      <c r="H181" s="131" t="s">
        <v>1916</v>
      </c>
      <c r="I181" s="131" t="s">
        <v>1954</v>
      </c>
      <c r="J181" s="131">
        <v>10</v>
      </c>
      <c r="K181" s="173"/>
    </row>
    <row r="182" spans="2:11" s="1" customFormat="1" ht="15" customHeight="1">
      <c r="B182" s="152"/>
      <c r="C182" s="131" t="s">
        <v>204</v>
      </c>
      <c r="D182" s="131"/>
      <c r="E182" s="131"/>
      <c r="F182" s="151" t="s">
        <v>1952</v>
      </c>
      <c r="G182" s="131"/>
      <c r="H182" s="131" t="s">
        <v>2026</v>
      </c>
      <c r="I182" s="131" t="s">
        <v>1987</v>
      </c>
      <c r="J182" s="131"/>
      <c r="K182" s="173"/>
    </row>
    <row r="183" spans="2:11" s="1" customFormat="1" ht="15" customHeight="1">
      <c r="B183" s="152"/>
      <c r="C183" s="131" t="s">
        <v>2027</v>
      </c>
      <c r="D183" s="131"/>
      <c r="E183" s="131"/>
      <c r="F183" s="151" t="s">
        <v>1952</v>
      </c>
      <c r="G183" s="131"/>
      <c r="H183" s="131" t="s">
        <v>2028</v>
      </c>
      <c r="I183" s="131" t="s">
        <v>1987</v>
      </c>
      <c r="J183" s="131"/>
      <c r="K183" s="173"/>
    </row>
    <row r="184" spans="2:11" s="1" customFormat="1" ht="15" customHeight="1">
      <c r="B184" s="152"/>
      <c r="C184" s="131" t="s">
        <v>2016</v>
      </c>
      <c r="D184" s="131"/>
      <c r="E184" s="131"/>
      <c r="F184" s="151" t="s">
        <v>1952</v>
      </c>
      <c r="G184" s="131"/>
      <c r="H184" s="131" t="s">
        <v>2029</v>
      </c>
      <c r="I184" s="131" t="s">
        <v>1987</v>
      </c>
      <c r="J184" s="131"/>
      <c r="K184" s="173"/>
    </row>
    <row r="185" spans="2:11" s="1" customFormat="1" ht="15" customHeight="1">
      <c r="B185" s="152"/>
      <c r="C185" s="131" t="s">
        <v>206</v>
      </c>
      <c r="D185" s="131"/>
      <c r="E185" s="131"/>
      <c r="F185" s="151" t="s">
        <v>1958</v>
      </c>
      <c r="G185" s="131"/>
      <c r="H185" s="131" t="s">
        <v>2030</v>
      </c>
      <c r="I185" s="131" t="s">
        <v>1954</v>
      </c>
      <c r="J185" s="131">
        <v>50</v>
      </c>
      <c r="K185" s="173"/>
    </row>
    <row r="186" spans="2:11" s="1" customFormat="1" ht="15" customHeight="1">
      <c r="B186" s="152"/>
      <c r="C186" s="131" t="s">
        <v>2031</v>
      </c>
      <c r="D186" s="131"/>
      <c r="E186" s="131"/>
      <c r="F186" s="151" t="s">
        <v>1958</v>
      </c>
      <c r="G186" s="131"/>
      <c r="H186" s="131" t="s">
        <v>2032</v>
      </c>
      <c r="I186" s="131" t="s">
        <v>2033</v>
      </c>
      <c r="J186" s="131"/>
      <c r="K186" s="173"/>
    </row>
    <row r="187" spans="2:11" s="1" customFormat="1" ht="15" customHeight="1">
      <c r="B187" s="152"/>
      <c r="C187" s="131" t="s">
        <v>2034</v>
      </c>
      <c r="D187" s="131"/>
      <c r="E187" s="131"/>
      <c r="F187" s="151" t="s">
        <v>1958</v>
      </c>
      <c r="G187" s="131"/>
      <c r="H187" s="131" t="s">
        <v>2035</v>
      </c>
      <c r="I187" s="131" t="s">
        <v>2033</v>
      </c>
      <c r="J187" s="131"/>
      <c r="K187" s="173"/>
    </row>
    <row r="188" spans="2:11" s="1" customFormat="1" ht="15" customHeight="1">
      <c r="B188" s="152"/>
      <c r="C188" s="131" t="s">
        <v>2036</v>
      </c>
      <c r="D188" s="131"/>
      <c r="E188" s="131"/>
      <c r="F188" s="151" t="s">
        <v>1958</v>
      </c>
      <c r="G188" s="131"/>
      <c r="H188" s="131" t="s">
        <v>2037</v>
      </c>
      <c r="I188" s="131" t="s">
        <v>2033</v>
      </c>
      <c r="J188" s="131"/>
      <c r="K188" s="173"/>
    </row>
    <row r="189" spans="2:11" s="1" customFormat="1" ht="15" customHeight="1">
      <c r="B189" s="152"/>
      <c r="C189" s="185" t="s">
        <v>2038</v>
      </c>
      <c r="D189" s="131"/>
      <c r="E189" s="131"/>
      <c r="F189" s="151" t="s">
        <v>1958</v>
      </c>
      <c r="G189" s="131"/>
      <c r="H189" s="131" t="s">
        <v>2039</v>
      </c>
      <c r="I189" s="131" t="s">
        <v>2040</v>
      </c>
      <c r="J189" s="186" t="s">
        <v>2041</v>
      </c>
      <c r="K189" s="173"/>
    </row>
    <row r="190" spans="2:11" s="1" customFormat="1" ht="15" customHeight="1">
      <c r="B190" s="152"/>
      <c r="C190" s="137" t="s">
        <v>38</v>
      </c>
      <c r="D190" s="131"/>
      <c r="E190" s="131"/>
      <c r="F190" s="151" t="s">
        <v>1952</v>
      </c>
      <c r="G190" s="131"/>
      <c r="H190" s="128" t="s">
        <v>2042</v>
      </c>
      <c r="I190" s="131" t="s">
        <v>2043</v>
      </c>
      <c r="J190" s="131"/>
      <c r="K190" s="173"/>
    </row>
    <row r="191" spans="2:11" s="1" customFormat="1" ht="15" customHeight="1">
      <c r="B191" s="152"/>
      <c r="C191" s="137" t="s">
        <v>2044</v>
      </c>
      <c r="D191" s="131"/>
      <c r="E191" s="131"/>
      <c r="F191" s="151" t="s">
        <v>1952</v>
      </c>
      <c r="G191" s="131"/>
      <c r="H191" s="131" t="s">
        <v>2045</v>
      </c>
      <c r="I191" s="131" t="s">
        <v>1987</v>
      </c>
      <c r="J191" s="131"/>
      <c r="K191" s="173"/>
    </row>
    <row r="192" spans="2:11" s="1" customFormat="1" ht="15" customHeight="1">
      <c r="B192" s="152"/>
      <c r="C192" s="137" t="s">
        <v>2046</v>
      </c>
      <c r="D192" s="131"/>
      <c r="E192" s="131"/>
      <c r="F192" s="151" t="s">
        <v>1952</v>
      </c>
      <c r="G192" s="131"/>
      <c r="H192" s="131" t="s">
        <v>2047</v>
      </c>
      <c r="I192" s="131" t="s">
        <v>1987</v>
      </c>
      <c r="J192" s="131"/>
      <c r="K192" s="173"/>
    </row>
    <row r="193" spans="1:11" s="1" customFormat="1" ht="15" customHeight="1">
      <c r="B193" s="152"/>
      <c r="C193" s="137" t="s">
        <v>2048</v>
      </c>
      <c r="D193" s="131"/>
      <c r="E193" s="131"/>
      <c r="F193" s="151" t="s">
        <v>1958</v>
      </c>
      <c r="G193" s="131"/>
      <c r="H193" s="131" t="s">
        <v>2049</v>
      </c>
      <c r="I193" s="131" t="s">
        <v>1987</v>
      </c>
      <c r="J193" s="131"/>
      <c r="K193" s="173"/>
    </row>
    <row r="194" spans="1:11" s="1" customFormat="1" ht="15" customHeight="1">
      <c r="B194" s="179"/>
      <c r="C194" s="187"/>
      <c r="D194" s="161"/>
      <c r="E194" s="161"/>
      <c r="F194" s="161"/>
      <c r="G194" s="161"/>
      <c r="H194" s="161"/>
      <c r="I194" s="161"/>
      <c r="J194" s="161"/>
      <c r="K194" s="180"/>
    </row>
    <row r="195" spans="1:11" s="1" customFormat="1" ht="18.75" customHeight="1">
      <c r="B195" s="128"/>
      <c r="C195" s="131"/>
      <c r="D195" s="131"/>
      <c r="E195" s="131"/>
      <c r="F195" s="151"/>
      <c r="G195" s="131"/>
      <c r="H195" s="131"/>
      <c r="I195" s="131"/>
      <c r="J195" s="131"/>
      <c r="K195" s="128"/>
    </row>
    <row r="196" spans="1:11" s="1" customFormat="1" ht="18.75" customHeight="1">
      <c r="A196" s="61"/>
      <c r="B196" s="625"/>
      <c r="C196" s="626"/>
      <c r="D196" s="626"/>
      <c r="E196" s="626"/>
      <c r="F196" s="627"/>
      <c r="G196" s="626"/>
      <c r="H196" s="626"/>
      <c r="I196" s="626"/>
      <c r="J196" s="626"/>
      <c r="K196" s="128"/>
    </row>
    <row r="197" spans="1:11" s="1" customFormat="1" ht="18.75" customHeight="1">
      <c r="A197" s="61"/>
      <c r="B197" s="628"/>
      <c r="C197" s="628"/>
      <c r="D197" s="628"/>
      <c r="E197" s="628"/>
      <c r="F197" s="628"/>
      <c r="G197" s="628"/>
      <c r="H197" s="628"/>
      <c r="I197" s="628"/>
      <c r="J197" s="628"/>
      <c r="K197" s="138"/>
    </row>
    <row r="198" spans="1:11" s="1" customFormat="1" ht="13.5">
      <c r="A198" s="61"/>
      <c r="B198" s="629"/>
      <c r="C198" s="630"/>
      <c r="D198" s="630"/>
      <c r="E198" s="630"/>
      <c r="F198" s="630"/>
      <c r="G198" s="630"/>
      <c r="H198" s="630"/>
      <c r="I198" s="630"/>
      <c r="J198" s="630"/>
      <c r="K198" s="122"/>
    </row>
    <row r="199" spans="1:11" s="1" customFormat="1" ht="21">
      <c r="A199" s="61"/>
      <c r="B199" s="631"/>
      <c r="C199" s="780" t="s">
        <v>2050</v>
      </c>
      <c r="D199" s="780"/>
      <c r="E199" s="780"/>
      <c r="F199" s="780"/>
      <c r="G199" s="780"/>
      <c r="H199" s="780"/>
      <c r="I199" s="780"/>
      <c r="J199" s="780"/>
      <c r="K199" s="124"/>
    </row>
    <row r="200" spans="1:11" s="1" customFormat="1" ht="25.5" customHeight="1">
      <c r="A200" s="61"/>
      <c r="B200" s="631"/>
      <c r="C200" s="632" t="s">
        <v>2051</v>
      </c>
      <c r="D200" s="632"/>
      <c r="E200" s="632"/>
      <c r="F200" s="632" t="s">
        <v>2052</v>
      </c>
      <c r="G200" s="633"/>
      <c r="H200" s="779" t="s">
        <v>2053</v>
      </c>
      <c r="I200" s="779"/>
      <c r="J200" s="779"/>
      <c r="K200" s="124"/>
    </row>
    <row r="201" spans="1:11" s="1" customFormat="1" ht="5.25" customHeight="1">
      <c r="A201" s="61"/>
      <c r="B201" s="634"/>
      <c r="C201" s="635"/>
      <c r="D201" s="635"/>
      <c r="E201" s="635"/>
      <c r="F201" s="635"/>
      <c r="G201" s="626"/>
      <c r="H201" s="635"/>
      <c r="I201" s="635"/>
      <c r="J201" s="635"/>
      <c r="K201" s="173"/>
    </row>
    <row r="202" spans="1:11" s="1" customFormat="1" ht="15" customHeight="1">
      <c r="A202" s="61"/>
      <c r="B202" s="634"/>
      <c r="C202" s="626" t="s">
        <v>2043</v>
      </c>
      <c r="D202" s="626"/>
      <c r="E202" s="626"/>
      <c r="F202" s="627" t="s">
        <v>39</v>
      </c>
      <c r="G202" s="626"/>
      <c r="H202" s="781" t="s">
        <v>2054</v>
      </c>
      <c r="I202" s="781"/>
      <c r="J202" s="781"/>
      <c r="K202" s="173"/>
    </row>
    <row r="203" spans="1:11" s="1" customFormat="1" ht="15" customHeight="1">
      <c r="A203" s="61"/>
      <c r="B203" s="634"/>
      <c r="C203" s="636"/>
      <c r="D203" s="626"/>
      <c r="E203" s="626"/>
      <c r="F203" s="627" t="s">
        <v>40</v>
      </c>
      <c r="G203" s="626"/>
      <c r="H203" s="781" t="s">
        <v>2055</v>
      </c>
      <c r="I203" s="781"/>
      <c r="J203" s="781"/>
      <c r="K203" s="173"/>
    </row>
    <row r="204" spans="1:11" s="1" customFormat="1" ht="15" customHeight="1">
      <c r="A204" s="61"/>
      <c r="B204" s="634"/>
      <c r="C204" s="636"/>
      <c r="D204" s="626"/>
      <c r="E204" s="626"/>
      <c r="F204" s="627" t="s">
        <v>43</v>
      </c>
      <c r="G204" s="626"/>
      <c r="H204" s="781" t="s">
        <v>2056</v>
      </c>
      <c r="I204" s="781"/>
      <c r="J204" s="781"/>
      <c r="K204" s="173"/>
    </row>
    <row r="205" spans="1:11" s="1" customFormat="1" ht="15" customHeight="1">
      <c r="A205" s="61"/>
      <c r="B205" s="634"/>
      <c r="C205" s="626"/>
      <c r="D205" s="626"/>
      <c r="E205" s="626"/>
      <c r="F205" s="627" t="s">
        <v>41</v>
      </c>
      <c r="G205" s="626"/>
      <c r="H205" s="781" t="s">
        <v>2057</v>
      </c>
      <c r="I205" s="781"/>
      <c r="J205" s="781"/>
      <c r="K205" s="173"/>
    </row>
    <row r="206" spans="1:11" s="1" customFormat="1" ht="15" customHeight="1">
      <c r="A206" s="61"/>
      <c r="B206" s="634"/>
      <c r="C206" s="626"/>
      <c r="D206" s="626"/>
      <c r="E206" s="626"/>
      <c r="F206" s="627" t="s">
        <v>42</v>
      </c>
      <c r="G206" s="626"/>
      <c r="H206" s="781" t="s">
        <v>2058</v>
      </c>
      <c r="I206" s="781"/>
      <c r="J206" s="781"/>
      <c r="K206" s="173"/>
    </row>
    <row r="207" spans="1:11" s="1" customFormat="1" ht="15" customHeight="1">
      <c r="A207" s="61"/>
      <c r="B207" s="634"/>
      <c r="C207" s="626"/>
      <c r="D207" s="626"/>
      <c r="E207" s="626"/>
      <c r="F207" s="627"/>
      <c r="G207" s="626"/>
      <c r="H207" s="626"/>
      <c r="I207" s="626"/>
      <c r="J207" s="626"/>
      <c r="K207" s="173"/>
    </row>
    <row r="208" spans="1:11" s="1" customFormat="1" ht="15" customHeight="1">
      <c r="A208" s="61"/>
      <c r="B208" s="634"/>
      <c r="C208" s="626" t="s">
        <v>1999</v>
      </c>
      <c r="D208" s="626"/>
      <c r="E208" s="626"/>
      <c r="F208" s="627" t="s">
        <v>74</v>
      </c>
      <c r="G208" s="626"/>
      <c r="H208" s="781" t="s">
        <v>2059</v>
      </c>
      <c r="I208" s="781"/>
      <c r="J208" s="781"/>
      <c r="K208" s="173"/>
    </row>
    <row r="209" spans="1:11" s="1" customFormat="1" ht="15" customHeight="1">
      <c r="A209" s="61"/>
      <c r="B209" s="634"/>
      <c r="C209" s="636"/>
      <c r="D209" s="626"/>
      <c r="E209" s="626"/>
      <c r="F209" s="627" t="s">
        <v>1896</v>
      </c>
      <c r="G209" s="626"/>
      <c r="H209" s="781" t="s">
        <v>1897</v>
      </c>
      <c r="I209" s="781"/>
      <c r="J209" s="781"/>
      <c r="K209" s="173"/>
    </row>
    <row r="210" spans="1:11" s="1" customFormat="1" ht="15" customHeight="1">
      <c r="A210" s="61"/>
      <c r="B210" s="634"/>
      <c r="C210" s="626"/>
      <c r="D210" s="626"/>
      <c r="E210" s="626"/>
      <c r="F210" s="627" t="s">
        <v>1894</v>
      </c>
      <c r="G210" s="626"/>
      <c r="H210" s="781" t="s">
        <v>2060</v>
      </c>
      <c r="I210" s="781"/>
      <c r="J210" s="781"/>
      <c r="K210" s="173"/>
    </row>
    <row r="211" spans="1:11" s="1" customFormat="1" ht="15" customHeight="1">
      <c r="A211" s="61"/>
      <c r="B211" s="637"/>
      <c r="C211" s="636"/>
      <c r="D211" s="636"/>
      <c r="E211" s="636"/>
      <c r="F211" s="627" t="s">
        <v>133</v>
      </c>
      <c r="G211" s="638"/>
      <c r="H211" s="782" t="s">
        <v>1898</v>
      </c>
      <c r="I211" s="782"/>
      <c r="J211" s="782"/>
      <c r="K211" s="188"/>
    </row>
    <row r="212" spans="1:11" s="1" customFormat="1" ht="15" customHeight="1">
      <c r="A212" s="61"/>
      <c r="B212" s="637"/>
      <c r="C212" s="636"/>
      <c r="D212" s="636"/>
      <c r="E212" s="636"/>
      <c r="F212" s="627" t="s">
        <v>1899</v>
      </c>
      <c r="G212" s="638"/>
      <c r="H212" s="782" t="s">
        <v>1875</v>
      </c>
      <c r="I212" s="782"/>
      <c r="J212" s="782"/>
      <c r="K212" s="188"/>
    </row>
    <row r="213" spans="1:11" s="1" customFormat="1" ht="15" customHeight="1">
      <c r="A213" s="61"/>
      <c r="B213" s="637"/>
      <c r="C213" s="636"/>
      <c r="D213" s="636"/>
      <c r="E213" s="636"/>
      <c r="F213" s="639"/>
      <c r="G213" s="638"/>
      <c r="H213" s="640"/>
      <c r="I213" s="640"/>
      <c r="J213" s="640"/>
      <c r="K213" s="188"/>
    </row>
    <row r="214" spans="1:11" s="1" customFormat="1" ht="15" customHeight="1">
      <c r="A214" s="61"/>
      <c r="B214" s="637"/>
      <c r="C214" s="626" t="s">
        <v>2023</v>
      </c>
      <c r="D214" s="636"/>
      <c r="E214" s="636"/>
      <c r="F214" s="627">
        <v>1</v>
      </c>
      <c r="G214" s="638"/>
      <c r="H214" s="782" t="s">
        <v>2061</v>
      </c>
      <c r="I214" s="782"/>
      <c r="J214" s="782"/>
      <c r="K214" s="188"/>
    </row>
    <row r="215" spans="1:11" s="1" customFormat="1" ht="15" customHeight="1">
      <c r="A215" s="61"/>
      <c r="B215" s="637"/>
      <c r="C215" s="636"/>
      <c r="D215" s="636"/>
      <c r="E215" s="636"/>
      <c r="F215" s="627">
        <v>2</v>
      </c>
      <c r="G215" s="638"/>
      <c r="H215" s="782" t="s">
        <v>2062</v>
      </c>
      <c r="I215" s="782"/>
      <c r="J215" s="782"/>
      <c r="K215" s="188"/>
    </row>
    <row r="216" spans="1:11" s="1" customFormat="1" ht="15" customHeight="1">
      <c r="A216" s="61"/>
      <c r="B216" s="637"/>
      <c r="C216" s="636"/>
      <c r="D216" s="636"/>
      <c r="E216" s="636"/>
      <c r="F216" s="627">
        <v>3</v>
      </c>
      <c r="G216" s="638"/>
      <c r="H216" s="782" t="s">
        <v>2063</v>
      </c>
      <c r="I216" s="782"/>
      <c r="J216" s="782"/>
      <c r="K216" s="188"/>
    </row>
    <row r="217" spans="1:11" s="1" customFormat="1" ht="15" customHeight="1">
      <c r="A217" s="61"/>
      <c r="B217" s="637"/>
      <c r="C217" s="636"/>
      <c r="D217" s="636"/>
      <c r="E217" s="636"/>
      <c r="F217" s="627">
        <v>4</v>
      </c>
      <c r="G217" s="638"/>
      <c r="H217" s="782" t="s">
        <v>2064</v>
      </c>
      <c r="I217" s="782"/>
      <c r="J217" s="782"/>
      <c r="K217" s="188"/>
    </row>
    <row r="218" spans="1:11" s="1" customFormat="1" ht="12.75" customHeight="1">
      <c r="A218" s="61"/>
      <c r="B218" s="641"/>
      <c r="C218" s="642"/>
      <c r="D218" s="642"/>
      <c r="E218" s="642"/>
      <c r="F218" s="642"/>
      <c r="G218" s="642"/>
      <c r="H218" s="642"/>
      <c r="I218" s="642"/>
      <c r="J218" s="642"/>
      <c r="K218" s="189"/>
    </row>
  </sheetData>
  <sheetProtection password="CAB1" sheet="1" objects="1" scenarios="1"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43</vt:i4>
      </vt:variant>
    </vt:vector>
  </HeadingPairs>
  <TitlesOfParts>
    <vt:vector size="76" baseType="lpstr">
      <vt:lpstr>Rekapitulace stavby</vt:lpstr>
      <vt:lpstr>D.1.1 ASR</vt:lpstr>
      <vt:lpstr>D.1.4.01 ZTI</vt:lpstr>
      <vt:lpstr>ZTI</vt:lpstr>
      <vt:lpstr>D.1.4.02 UT</vt:lpstr>
      <vt:lpstr>UT</vt:lpstr>
      <vt:lpstr>D.1.4.03 ELEKTRO</vt:lpstr>
      <vt:lpstr>ELEKTRO</vt:lpstr>
      <vt:lpstr>D.1.4.04.1 EPS</vt:lpstr>
      <vt:lpstr>EPS</vt:lpstr>
      <vt:lpstr>D.1.4.04.2 NZS</vt:lpstr>
      <vt:lpstr>NZS</vt:lpstr>
      <vt:lpstr>D.1.4.04.3 PZTS</vt:lpstr>
      <vt:lpstr>PZTS</vt:lpstr>
      <vt:lpstr>D.1.4.04.4 SLB</vt:lpstr>
      <vt:lpstr>SLB</vt:lpstr>
      <vt:lpstr>D.1.4.05 VZT</vt:lpstr>
      <vt:lpstr>VZT</vt:lpstr>
      <vt:lpstr>D.1.4.06.1 GASTRO</vt:lpstr>
      <vt:lpstr>G-PS</vt:lpstr>
      <vt:lpstr>G-BPS</vt:lpstr>
      <vt:lpstr>D.1.4.06.2 GASTRO-OS</vt:lpstr>
      <vt:lpstr>G-OS</vt:lpstr>
      <vt:lpstr>D.1.4.06.3 HACCP</vt:lpstr>
      <vt:lpstr>HACCP</vt:lpstr>
      <vt:lpstr>D.1.4.06.4 G-DEM</vt:lpstr>
      <vt:lpstr>G-DEM</vt:lpstr>
      <vt:lpstr>D.1.4.06.5 G-DEM TG</vt:lpstr>
      <vt:lpstr>G-DEM TG</vt:lpstr>
      <vt:lpstr>D.1.4.07 Servis</vt:lpstr>
      <vt:lpstr>Servis</vt:lpstr>
      <vt:lpstr>VON - Soupis prací - Vedl...</vt:lpstr>
      <vt:lpstr>Pokyny pro vyplnění</vt:lpstr>
      <vt:lpstr>'D.1.1 ASR'!Názvy_tisku</vt:lpstr>
      <vt:lpstr>'D.1.4.01 ZTI'!Názvy_tisku</vt:lpstr>
      <vt:lpstr>'D.1.4.02 UT'!Názvy_tisku</vt:lpstr>
      <vt:lpstr>'D.1.4.03 ELEKTRO'!Názvy_tisku</vt:lpstr>
      <vt:lpstr>'D.1.4.04.1 EPS'!Názvy_tisku</vt:lpstr>
      <vt:lpstr>'D.1.4.04.2 NZS'!Názvy_tisku</vt:lpstr>
      <vt:lpstr>'D.1.4.04.3 PZTS'!Názvy_tisku</vt:lpstr>
      <vt:lpstr>'D.1.4.04.4 SLB'!Názvy_tisku</vt:lpstr>
      <vt:lpstr>'D.1.4.05 VZT'!Názvy_tisku</vt:lpstr>
      <vt:lpstr>'D.1.4.06.1 GASTRO'!Názvy_tisku</vt:lpstr>
      <vt:lpstr>'D.1.4.06.2 GASTRO-OS'!Názvy_tisku</vt:lpstr>
      <vt:lpstr>'D.1.4.06.3 HACCP'!Názvy_tisku</vt:lpstr>
      <vt:lpstr>'D.1.4.06.4 G-DEM'!Názvy_tisku</vt:lpstr>
      <vt:lpstr>'D.1.4.06.5 G-DEM TG'!Názvy_tisku</vt:lpstr>
      <vt:lpstr>'D.1.4.07 Servis'!Názvy_tisku</vt:lpstr>
      <vt:lpstr>ELEKTRO!Názvy_tisku</vt:lpstr>
      <vt:lpstr>'Rekapitulace stavby'!Názvy_tisku</vt:lpstr>
      <vt:lpstr>'VON - Soupis prací - Vedl...'!Názvy_tisku</vt:lpstr>
      <vt:lpstr>'D.1.1 ASR'!Oblast_tisku</vt:lpstr>
      <vt:lpstr>'D.1.4.01 ZTI'!Oblast_tisku</vt:lpstr>
      <vt:lpstr>'D.1.4.02 UT'!Oblast_tisku</vt:lpstr>
      <vt:lpstr>'D.1.4.03 ELEKTRO'!Oblast_tisku</vt:lpstr>
      <vt:lpstr>'D.1.4.04.1 EPS'!Oblast_tisku</vt:lpstr>
      <vt:lpstr>'D.1.4.04.2 NZS'!Oblast_tisku</vt:lpstr>
      <vt:lpstr>'D.1.4.04.3 PZTS'!Oblast_tisku</vt:lpstr>
      <vt:lpstr>'D.1.4.04.4 SLB'!Oblast_tisku</vt:lpstr>
      <vt:lpstr>'D.1.4.05 VZT'!Oblast_tisku</vt:lpstr>
      <vt:lpstr>'D.1.4.06.1 GASTRO'!Oblast_tisku</vt:lpstr>
      <vt:lpstr>'D.1.4.06.2 GASTRO-OS'!Oblast_tisku</vt:lpstr>
      <vt:lpstr>'D.1.4.06.3 HACCP'!Oblast_tisku</vt:lpstr>
      <vt:lpstr>'D.1.4.06.4 G-DEM'!Oblast_tisku</vt:lpstr>
      <vt:lpstr>'D.1.4.06.5 G-DEM TG'!Oblast_tisku</vt:lpstr>
      <vt:lpstr>'D.1.4.07 Servis'!Oblast_tisku</vt:lpstr>
      <vt:lpstr>ELEKTRO!Oblast_tisku</vt:lpstr>
      <vt:lpstr>'G-BPS'!Oblast_tisku</vt:lpstr>
      <vt:lpstr>'G-DEM TG'!Oblast_tisku</vt:lpstr>
      <vt:lpstr>'G-OS'!Oblast_tisku</vt:lpstr>
      <vt:lpstr>'G-PS'!Oblast_tisku</vt:lpstr>
      <vt:lpstr>HACCP!Oblast_tisku</vt:lpstr>
      <vt:lpstr>'Pokyny pro vyplnění'!Oblast_tisku</vt:lpstr>
      <vt:lpstr>'Rekapitulace stavby'!Oblast_tisku</vt:lpstr>
      <vt:lpstr>Servis!Oblast_tisku</vt:lpstr>
      <vt:lpstr>'VON - Soupis prací - Vedl...'!Oblast_tisku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Darja Kolkova</dc:creator>
  <cp:lastModifiedBy>Tučková Eva</cp:lastModifiedBy>
  <cp:lastPrinted>2020-11-23T08:20:09Z</cp:lastPrinted>
  <dcterms:created xsi:type="dcterms:W3CDTF">2019-12-17T09:33:51Z</dcterms:created>
  <dcterms:modified xsi:type="dcterms:W3CDTF">2020-11-24T09:58:31Z</dcterms:modified>
</cp:coreProperties>
</file>