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0.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11.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2.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drawings/drawing13.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drawings/drawing14.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drawings/drawing15.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drawings/drawing16.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drawings/drawing17.xml" ContentType="application/vnd.openxmlformats-officedocument.drawing+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3426"/>
  <workbookPr/>
  <bookViews>
    <workbookView xWindow="36616" yWindow="65416" windowWidth="29040" windowHeight="15840" tabRatio="897" activeTab="0"/>
  </bookViews>
  <sheets>
    <sheet name="Rekapitulace stavby" sheetId="1" r:id="rId1"/>
    <sheet name="D.1.1 ASR" sheetId="2" r:id="rId2"/>
    <sheet name="D.1.4.01 ZTI" sheetId="3" r:id="rId3"/>
    <sheet name="ZTI" sheetId="19" r:id="rId4"/>
    <sheet name="D.1.4.02 UT" sheetId="4" r:id="rId5"/>
    <sheet name="UT" sheetId="20" r:id="rId6"/>
    <sheet name="D.1.4.03 ELE" sheetId="5" r:id="rId7"/>
    <sheet name="ELE" sheetId="21" r:id="rId8"/>
    <sheet name="D.1.4.04 EPS" sheetId="6" r:id="rId9"/>
    <sheet name="EPS" sheetId="22" r:id="rId10"/>
    <sheet name="D.1.4.04 NZS" sheetId="7" r:id="rId11"/>
    <sheet name="NZS" sheetId="23" r:id="rId12"/>
    <sheet name="D.1.4.04 PZTS" sheetId="8" r:id="rId13"/>
    <sheet name="PZTS" sheetId="24" r:id="rId14"/>
    <sheet name="D.1.4.04 SLB" sheetId="9" r:id="rId15"/>
    <sheet name="SLB" sheetId="25" r:id="rId16"/>
    <sheet name="D.1.4.05 VZT" sheetId="10" r:id="rId17"/>
    <sheet name="VZT" sheetId="26" r:id="rId18"/>
    <sheet name="D.1.4.06 GASTRO" sheetId="11" r:id="rId19"/>
    <sheet name="G-PS" sheetId="27" r:id="rId20"/>
    <sheet name="G-BPS" sheetId="28" r:id="rId21"/>
    <sheet name="D.1.4.06 GASTRO OS" sheetId="12" r:id="rId22"/>
    <sheet name="G-OS" sheetId="29" r:id="rId23"/>
    <sheet name="D.1.4.06 HACCP" sheetId="13" r:id="rId24"/>
    <sheet name="HACCP" sheetId="30" r:id="rId25"/>
    <sheet name="D.1.4.06 G-DEM" sheetId="14" r:id="rId26"/>
    <sheet name="G-DEM" sheetId="31" r:id="rId27"/>
    <sheet name="D.1.4.06 G-DEM TG" sheetId="15" r:id="rId28"/>
    <sheet name="G-DEM TG" sheetId="32" r:id="rId29"/>
    <sheet name="D.1.4.07 SERVIS" sheetId="16" r:id="rId30"/>
    <sheet name="SERVIS" sheetId="33" r:id="rId31"/>
    <sheet name="VON - Soupis prací - Vedl..." sheetId="17" r:id="rId32"/>
    <sheet name="Pokyny pro vyplnění" sheetId="18" r:id="rId33"/>
  </sheets>
  <externalReferences>
    <externalReference r:id="rId36"/>
    <externalReference r:id="rId37"/>
    <externalReference r:id="rId38"/>
    <externalReference r:id="rId39"/>
    <externalReference r:id="rId40"/>
  </externalReferences>
  <definedNames>
    <definedName name="_xlnm._FilterDatabase" localSheetId="1" hidden="1">'D.1.1 ASR'!$C$114:$K$545</definedName>
    <definedName name="_xlnm._FilterDatabase" localSheetId="2" hidden="1">'D.1.4.01 ZTI'!$C$86:$K$90</definedName>
    <definedName name="_xlnm._FilterDatabase" localSheetId="4" hidden="1">'D.1.4.02 UT'!$C$86:$K$90</definedName>
    <definedName name="_xlnm._FilterDatabase" localSheetId="6" hidden="1">'D.1.4.03 ELE'!$C$86:$K$90</definedName>
    <definedName name="_xlnm._FilterDatabase" localSheetId="8" hidden="1">'D.1.4.04 EPS'!$C$92:$K$96</definedName>
    <definedName name="_xlnm._FilterDatabase" localSheetId="10" hidden="1">'D.1.4.04 NZS'!$C$92:$K$96</definedName>
    <definedName name="_xlnm._FilterDatabase" localSheetId="12" hidden="1">'D.1.4.04 PZTS'!$C$92:$K$96</definedName>
    <definedName name="_xlnm._FilterDatabase" localSheetId="14" hidden="1">'D.1.4.04 SLB'!$C$92:$K$96</definedName>
    <definedName name="_xlnm._FilterDatabase" localSheetId="16" hidden="1">'D.1.4.05 VZT'!$C$86:$K$90</definedName>
    <definedName name="_xlnm._FilterDatabase" localSheetId="18" hidden="1">'D.1.4.06 GASTRO'!$C$92:$K$97</definedName>
    <definedName name="_xlnm._FilterDatabase" localSheetId="21" hidden="1">'D.1.4.06 GASTRO OS'!$C$92:$K$96</definedName>
    <definedName name="_xlnm._FilterDatabase" localSheetId="25" hidden="1">'D.1.4.06 G-DEM'!$C$92:$K$96</definedName>
    <definedName name="_xlnm._FilterDatabase" localSheetId="27" hidden="1">'D.1.4.06 G-DEM TG'!$C$92:$K$96</definedName>
    <definedName name="_xlnm._FilterDatabase" localSheetId="23" hidden="1">'D.1.4.06 HACCP'!$C$92:$K$96</definedName>
    <definedName name="_xlnm._FilterDatabase" localSheetId="29" hidden="1">'D.1.4.07 SERVIS'!$C$86:$K$90</definedName>
    <definedName name="_xlnm._FilterDatabase" localSheetId="31" hidden="1">'VON - Soupis prací - Vedl...'!$C$90:$K$113</definedName>
    <definedName name="afterdetail_lua_rozpdph" localSheetId="11">#REF!</definedName>
    <definedName name="afterdetail_lua_rozpdph" localSheetId="13">#REF!</definedName>
    <definedName name="afterdetail_lua_rozpdph" localSheetId="15">#REF!</definedName>
    <definedName name="afterdetail_lua_rozpdph">#REF!</definedName>
    <definedName name="afterdetail_rozpocty_rkap" localSheetId="11">'NZS'!#REF!</definedName>
    <definedName name="afterdetail_rozpocty_rkap" localSheetId="13">'PZTS'!#REF!</definedName>
    <definedName name="afterdetail_rozpocty_rkap" localSheetId="15">'SLB'!#REF!</definedName>
    <definedName name="afterdetail_rozpocty_rkap">'EPS'!#REF!</definedName>
    <definedName name="afterdetail_rozpocty_rozpocty" localSheetId="11">'NZS'!#REF!</definedName>
    <definedName name="afterdetail_rozpocty_rozpocty" localSheetId="13">'PZTS'!#REF!</definedName>
    <definedName name="afterdetail_rozpocty_rozpocty" localSheetId="15">'SLB'!#REF!</definedName>
    <definedName name="afterdetail_rozpocty_rozpocty">'EPS'!#REF!</definedName>
    <definedName name="beforebody_rozpocty_rozpocty.Poznamka2" localSheetId="11">#REF!</definedName>
    <definedName name="beforebody_rozpocty_rozpocty.Poznamka2" localSheetId="13">#REF!</definedName>
    <definedName name="beforebody_rozpocty_rozpocty.Poznamka2" localSheetId="15">#REF!</definedName>
    <definedName name="beforebody_rozpocty_rozpocty.Poznamka2">#REF!</definedName>
    <definedName name="beforeend_lua_rozpdph.Poznamka2.1" localSheetId="11">#REF!</definedName>
    <definedName name="beforeend_lua_rozpdph.Poznamka2.1" localSheetId="13">#REF!</definedName>
    <definedName name="beforeend_lua_rozpdph.Poznamka2.1" localSheetId="15">#REF!</definedName>
    <definedName name="beforeend_lua_rozpdph.Poznamka2.1">#REF!</definedName>
    <definedName name="body_lua_dph" localSheetId="11">#REF!</definedName>
    <definedName name="body_lua_dph" localSheetId="13">#REF!</definedName>
    <definedName name="body_lua_dph" localSheetId="15">#REF!</definedName>
    <definedName name="body_lua_dph">#REF!</definedName>
    <definedName name="body_lua_hlavy" localSheetId="11">#REF!</definedName>
    <definedName name="body_lua_hlavy" localSheetId="13">#REF!</definedName>
    <definedName name="body_lua_hlavy" localSheetId="15">#REF!</definedName>
    <definedName name="body_lua_hlavy">#REF!</definedName>
    <definedName name="body_lua_rekap" localSheetId="11">#REF!</definedName>
    <definedName name="body_lua_rekap" localSheetId="13">#REF!</definedName>
    <definedName name="body_lua_rekap" localSheetId="15">#REF!</definedName>
    <definedName name="body_lua_rekap">#REF!</definedName>
    <definedName name="body_rozpocty_rkap" localSheetId="11">'NZS'!#REF!</definedName>
    <definedName name="body_rozpocty_rkap" localSheetId="13">'PZTS'!#REF!</definedName>
    <definedName name="body_rozpocty_rkap" localSheetId="15">'SLB'!#REF!</definedName>
    <definedName name="body_rozpocty_rkap">'EPS'!#REF!</definedName>
    <definedName name="body_rozpocty_rozpocty" localSheetId="11">#REF!</definedName>
    <definedName name="body_rozpocty_rozpocty" localSheetId="13">#REF!</definedName>
    <definedName name="body_rozpocty_rozpocty" localSheetId="15">#REF!</definedName>
    <definedName name="body_rozpocty_rozpocty">#REF!</definedName>
    <definedName name="body_rozpocty_rpolozky" localSheetId="11">'NZS'!#REF!</definedName>
    <definedName name="body_rozpocty_rpolozky" localSheetId="13">'PZTS'!#REF!</definedName>
    <definedName name="body_rozpocty_rpolozky" localSheetId="15">'SLB'!#REF!</definedName>
    <definedName name="body_rozpocty_rpolozky">'EPS'!#REF!</definedName>
    <definedName name="body_rozpocty_rpolozky.Poznamka2" localSheetId="13">'PZTS'!#REF!</definedName>
    <definedName name="body_rozpocty_rpolozky.Poznamka2">'NZS'!#REF!</definedName>
    <definedName name="CenaCelkem" localSheetId="7">#REF!</definedName>
    <definedName name="CenaCelkem">#REF!</definedName>
    <definedName name="CenaCelkemBezDPH" localSheetId="7">#REF!</definedName>
    <definedName name="CenaCelkemBezDPH">#REF!</definedName>
    <definedName name="cisloobjektu" localSheetId="7">#REF!</definedName>
    <definedName name="cisloobjektu">#REF!</definedName>
    <definedName name="CisloRozpoctu">'[5]Krycí list'!$C$2</definedName>
    <definedName name="cislostavby">'[5]Krycí list'!$A$7</definedName>
    <definedName name="CisloStavebnihoRozpoctu" localSheetId="7">#REF!</definedName>
    <definedName name="CisloStavebnihoRozpoctu">#REF!</definedName>
    <definedName name="dadresa" localSheetId="7">#REF!</definedName>
    <definedName name="dadresa">#REF!</definedName>
    <definedName name="dmisto" localSheetId="7">#REF!</definedName>
    <definedName name="dmisto">#REF!</definedName>
    <definedName name="DPHSni" localSheetId="7">#REF!</definedName>
    <definedName name="DPHSni">#REF!</definedName>
    <definedName name="DPHZakl" localSheetId="7">#REF!</definedName>
    <definedName name="DPHZakl">#REF!</definedName>
    <definedName name="end_lua_rozpdph" localSheetId="11">#REF!</definedName>
    <definedName name="end_lua_rozpdph" localSheetId="13">#REF!</definedName>
    <definedName name="end_lua_rozpdph" localSheetId="15">#REF!</definedName>
    <definedName name="end_lua_rozpdph">#REF!</definedName>
    <definedName name="end_rozpocty_rozpocty" localSheetId="11">'NZS'!#REF!</definedName>
    <definedName name="end_rozpocty_rozpocty" localSheetId="13">'PZTS'!#REF!</definedName>
    <definedName name="end_rozpocty_rozpocty" localSheetId="15">'SLB'!#REF!</definedName>
    <definedName name="end_rozpocty_rozpocty">'EPS'!#REF!</definedName>
    <definedName name="header_rozpocty_rozpocty" localSheetId="11">#REF!</definedName>
    <definedName name="header_rozpocty_rozpocty" localSheetId="13">#REF!</definedName>
    <definedName name="header_rozpocty_rozpocty" localSheetId="15">#REF!</definedName>
    <definedName name="header_rozpocty_rozpocty">#REF!</definedName>
    <definedName name="Mena" localSheetId="7">#REF!</definedName>
    <definedName name="Mena">#REF!</definedName>
    <definedName name="MistoStavby" localSheetId="7">#REF!</definedName>
    <definedName name="MistoStavby">#REF!</definedName>
    <definedName name="nazevobjektu" localSheetId="7">#REF!</definedName>
    <definedName name="nazevobjektu">#REF!</definedName>
    <definedName name="NazevRozpoctu">'[5]Krycí list'!$D$2</definedName>
    <definedName name="nazevstavby">'[5]Krycí list'!$C$7</definedName>
    <definedName name="NazevStavebnihoRozpoctu" localSheetId="7">#REF!</definedName>
    <definedName name="NazevStavebnihoRozpoctu">#REF!</definedName>
    <definedName name="oadresa" localSheetId="7">#REF!</definedName>
    <definedName name="oadresa">#REF!</definedName>
    <definedName name="_xlnm.Print_Area" localSheetId="1">'D.1.1 ASR'!$C$4:$J$41,'D.1.1 ASR'!$C$47:$J$94,'D.1.1 ASR'!$C$100:$K$545</definedName>
    <definedName name="_xlnm.Print_Area" localSheetId="2">'D.1.4.01 ZTI'!$C$4:$J$41,'D.1.4.01 ZTI'!$C$47:$J$66,'D.1.4.01 ZTI'!$C$72:$K$90</definedName>
    <definedName name="_xlnm.Print_Area" localSheetId="4">'D.1.4.02 UT'!$C$4:$J$41,'D.1.4.02 UT'!$C$47:$J$66,'D.1.4.02 UT'!$C$72:$K$90</definedName>
    <definedName name="_xlnm.Print_Area" localSheetId="6">'D.1.4.03 ELE'!$C$4:$J$41,'D.1.4.03 ELE'!$C$47:$J$66,'D.1.4.03 ELE'!$C$72:$K$90</definedName>
    <definedName name="_xlnm.Print_Area" localSheetId="8">'D.1.4.04 EPS'!$C$4:$J$43,'D.1.4.04 EPS'!$C$49:$J$70,'D.1.4.04 EPS'!$C$76:$K$96</definedName>
    <definedName name="_xlnm.Print_Area" localSheetId="10">'D.1.4.04 NZS'!$C$4:$J$43,'D.1.4.04 NZS'!$C$49:$J$70,'D.1.4.04 NZS'!$C$76:$K$96</definedName>
    <definedName name="_xlnm.Print_Area" localSheetId="12">'D.1.4.04 PZTS'!$C$4:$J$43,'D.1.4.04 PZTS'!$C$49:$J$70,'D.1.4.04 PZTS'!$C$76:$K$96</definedName>
    <definedName name="_xlnm.Print_Area" localSheetId="14">'D.1.4.04 SLB'!$C$4:$J$43,'D.1.4.04 SLB'!$C$49:$J$70,'D.1.4.04 SLB'!$C$76:$K$96</definedName>
    <definedName name="_xlnm.Print_Area" localSheetId="16">'D.1.4.05 VZT'!$C$4:$J$41,'D.1.4.05 VZT'!$C$47:$J$66,'D.1.4.05 VZT'!$C$72:$K$90</definedName>
    <definedName name="_xlnm.Print_Area" localSheetId="18">'D.1.4.06 GASTRO'!$C$4:$J$43,'D.1.4.06 GASTRO'!$C$49:$J$70,'D.1.4.06 GASTRO'!$C$76:$K$97</definedName>
    <definedName name="_xlnm.Print_Area" localSheetId="21">'D.1.4.06 GASTRO OS'!$C$4:$J$43,'D.1.4.06 GASTRO OS'!$C$49:$J$70,'D.1.4.06 GASTRO OS'!$C$76:$K$96</definedName>
    <definedName name="_xlnm.Print_Area" localSheetId="25">'D.1.4.06 G-DEM'!$C$4:$J$43,'D.1.4.06 G-DEM'!$C$49:$J$70,'D.1.4.06 G-DEM'!$C$76:$K$96</definedName>
    <definedName name="_xlnm.Print_Area" localSheetId="27">'D.1.4.06 G-DEM TG'!$C$4:$J$43,'D.1.4.06 G-DEM TG'!$C$49:$J$70,'D.1.4.06 G-DEM TG'!$C$76:$K$96</definedName>
    <definedName name="_xlnm.Print_Area" localSheetId="23">'D.1.4.06 HACCP'!$C$4:$J$43,'D.1.4.06 HACCP'!$C$49:$J$70,'D.1.4.06 HACCP'!$C$76:$K$96</definedName>
    <definedName name="_xlnm.Print_Area" localSheetId="29">'D.1.4.07 SERVIS'!$C$4:$J$41,'D.1.4.07 SERVIS'!$C$47:$J$66,'D.1.4.07 SERVIS'!$C$72:$K$90</definedName>
    <definedName name="_xlnm.Print_Area" localSheetId="7">'ELE'!$B$1:$I$99</definedName>
    <definedName name="_xlnm.Print_Area" localSheetId="20">'G-BPS'!$A$1:$N$103</definedName>
    <definedName name="_xlnm.Print_Area" localSheetId="28">'G-DEM TG'!$A$1:$I$44</definedName>
    <definedName name="_xlnm.Print_Area" localSheetId="22">'G-OS'!$A$1:$N$35</definedName>
    <definedName name="_xlnm.Print_Area" localSheetId="19">'G-PS'!$A$1:$N$79</definedName>
    <definedName name="_xlnm.Print_Area" localSheetId="24">'HACCP'!$A$1:$N$19</definedName>
    <definedName name="_xlnm.Print_Area" localSheetId="32">'Pokyny pro vyplnění'!$B$2:$K$71,'Pokyny pro vyplnění'!$B$74:$K$118,'Pokyny pro vyplnění'!$B$121:$K$161,'Pokyny pro vyplnění'!$B$164:$K$218</definedName>
    <definedName name="_xlnm.Print_Area" localSheetId="0">'Rekapitulace stavby'!$D$4:$AO$36,'Rekapitulace stavby'!$C$42:$AQ$76</definedName>
    <definedName name="_xlnm.Print_Area" localSheetId="31">'VON - Soupis prací - Vedl...'!$C$4:$J$41,'VON - Soupis prací - Vedl...'!$C$47:$J$70,'VON - Soupis prací - Vedl...'!$C$76:$K$113</definedName>
    <definedName name="padresa" localSheetId="7">#REF!</definedName>
    <definedName name="padresa">#REF!</definedName>
    <definedName name="partneri_partneri.0" localSheetId="11">#REF!</definedName>
    <definedName name="partneri_partneri.0" localSheetId="13">#REF!</definedName>
    <definedName name="partneri_partneri.0" localSheetId="15">#REF!</definedName>
    <definedName name="partneri_partneri.0">#REF!</definedName>
    <definedName name="partneri_partneri.1" localSheetId="11">#REF!</definedName>
    <definedName name="partneri_partneri.1" localSheetId="13">#REF!</definedName>
    <definedName name="partneri_partneri.1" localSheetId="15">#REF!</definedName>
    <definedName name="partneri_partneri.1">#REF!</definedName>
    <definedName name="pdic" localSheetId="7">#REF!</definedName>
    <definedName name="pdic">#REF!</definedName>
    <definedName name="pico" localSheetId="7">#REF!</definedName>
    <definedName name="pico">#REF!</definedName>
    <definedName name="pmisto" localSheetId="7">#REF!</definedName>
    <definedName name="pmisto">#REF!</definedName>
    <definedName name="PocetMJ" localSheetId="7">#REF!</definedName>
    <definedName name="PocetMJ">#REF!</definedName>
    <definedName name="PoptavkaID" localSheetId="7">#REF!</definedName>
    <definedName name="PoptavkaID">#REF!</definedName>
    <definedName name="pPSC" localSheetId="7">#REF!</definedName>
    <definedName name="pPSC">#REF!</definedName>
    <definedName name="Projektant" localSheetId="7">#REF!</definedName>
    <definedName name="Projektant">#REF!</definedName>
    <definedName name="SazbaDPH1">'[5]Krycí list'!$C$30</definedName>
    <definedName name="SazbaDPH2">'[5]Krycí list'!$C$32</definedName>
    <definedName name="SloupecCC" localSheetId="7">#REF!</definedName>
    <definedName name="SloupecCC">#REF!</definedName>
    <definedName name="SloupecCisloPol" localSheetId="7">#REF!</definedName>
    <definedName name="SloupecCisloPol">#REF!</definedName>
    <definedName name="SloupecJC" localSheetId="7">#REF!</definedName>
    <definedName name="SloupecJC">#REF!</definedName>
    <definedName name="SloupecMJ" localSheetId="7">#REF!</definedName>
    <definedName name="SloupecMJ">#REF!</definedName>
    <definedName name="SloupecMnozstvi" localSheetId="7">#REF!</definedName>
    <definedName name="SloupecMnozstvi">#REF!</definedName>
    <definedName name="SloupecNazPol" localSheetId="7">#REF!</definedName>
    <definedName name="SloupecNazPol">#REF!</definedName>
    <definedName name="SloupecPC" localSheetId="7">#REF!</definedName>
    <definedName name="SloupecPC">#REF!</definedName>
    <definedName name="sum_lua_hlavy" localSheetId="11">#REF!</definedName>
    <definedName name="sum_lua_hlavy" localSheetId="13">#REF!</definedName>
    <definedName name="sum_lua_hlavy" localSheetId="15">#REF!</definedName>
    <definedName name="sum_lua_hlavy">#REF!</definedName>
    <definedName name="top_lua_dph" localSheetId="11">#REF!</definedName>
    <definedName name="top_lua_dph" localSheetId="13">#REF!</definedName>
    <definedName name="top_lua_dph" localSheetId="15">#REF!</definedName>
    <definedName name="top_lua_dph">#REF!</definedName>
    <definedName name="top_lua_hlavy" localSheetId="11">#REF!</definedName>
    <definedName name="top_lua_hlavy" localSheetId="13">#REF!</definedName>
    <definedName name="top_lua_hlavy" localSheetId="15">#REF!</definedName>
    <definedName name="top_lua_hlavy">#REF!</definedName>
    <definedName name="top_rozpocty_rkap" localSheetId="11">'NZS'!#REF!</definedName>
    <definedName name="top_rozpocty_rkap" localSheetId="13">'PZTS'!#REF!</definedName>
    <definedName name="top_rozpocty_rkap" localSheetId="15">'SLB'!#REF!</definedName>
    <definedName name="top_rozpocty_rkap">'EPS'!#REF!</definedName>
    <definedName name="Vypracoval" localSheetId="7">#REF!</definedName>
    <definedName name="Vypracoval">#REF!</definedName>
    <definedName name="ZakladDPHSni" localSheetId="7">#REF!</definedName>
    <definedName name="ZakladDPHSni">#REF!</definedName>
    <definedName name="ZakladDPHZakl" localSheetId="7">#REF!</definedName>
    <definedName name="ZakladDPHZakl">#REF!</definedName>
    <definedName name="Zaokrouhleni" localSheetId="7">#REF!</definedName>
    <definedName name="Zaokrouhleni">#REF!</definedName>
    <definedName name="Zhotovitel" localSheetId="7">#REF!</definedName>
    <definedName name="Zhotovitel">#REF!</definedName>
    <definedName name="_xlnm.Print_Titles" localSheetId="0">'Rekapitulace stavby'!$52:$52</definedName>
    <definedName name="_xlnm.Print_Titles" localSheetId="1">'D.1.1 ASR'!$114:$114</definedName>
    <definedName name="_xlnm.Print_Titles" localSheetId="2">'D.1.4.01 ZTI'!$86:$86</definedName>
    <definedName name="_xlnm.Print_Titles" localSheetId="4">'D.1.4.02 UT'!$86:$86</definedName>
    <definedName name="_xlnm.Print_Titles" localSheetId="6">'D.1.4.03 ELE'!$86:$86</definedName>
    <definedName name="_xlnm.Print_Titles" localSheetId="7">'ELE'!$1:$7</definedName>
    <definedName name="_xlnm.Print_Titles" localSheetId="8">'D.1.4.04 EPS'!$92:$92</definedName>
    <definedName name="_xlnm.Print_Titles" localSheetId="10">'D.1.4.04 NZS'!$92:$92</definedName>
    <definedName name="_xlnm.Print_Titles" localSheetId="12">'D.1.4.04 PZTS'!$92:$92</definedName>
    <definedName name="_xlnm.Print_Titles" localSheetId="14">'D.1.4.04 SLB'!$92:$92</definedName>
    <definedName name="_xlnm.Print_Titles" localSheetId="16">'D.1.4.05 VZT'!$86:$86</definedName>
    <definedName name="_xlnm.Print_Titles" localSheetId="18">'D.1.4.06 GASTRO'!$92:$92</definedName>
    <definedName name="_xlnm.Print_Titles" localSheetId="21">'D.1.4.06 GASTRO OS'!$92:$92</definedName>
    <definedName name="_xlnm.Print_Titles" localSheetId="23">'D.1.4.06 HACCP'!$92:$92</definedName>
    <definedName name="_xlnm.Print_Titles" localSheetId="25">'D.1.4.06 G-DEM'!$92:$92</definedName>
    <definedName name="_xlnm.Print_Titles" localSheetId="27">'D.1.4.06 G-DEM TG'!$92:$92</definedName>
    <definedName name="_xlnm.Print_Titles" localSheetId="29">'D.1.4.07 SERVIS'!$86:$86</definedName>
    <definedName name="_xlnm.Print_Titles" localSheetId="31">'VON - Soupis prací - Vedl...'!$90:$90</definedName>
  </definedNames>
  <calcPr calcId="191029"/>
</workbook>
</file>

<file path=xl/sharedStrings.xml><?xml version="1.0" encoding="utf-8"?>
<sst xmlns="http://schemas.openxmlformats.org/spreadsheetml/2006/main" count="12014" uniqueCount="3189">
  <si>
    <t>Export Komplet</t>
  </si>
  <si>
    <t>VZ</t>
  </si>
  <si>
    <t>2.0</t>
  </si>
  <si>
    <t>ZAMOK</t>
  </si>
  <si>
    <t>False</t>
  </si>
  <si>
    <t>{6bbb93b0-52fb-48ca-9a75-2547a66605ef}</t>
  </si>
  <si>
    <t>0,01</t>
  </si>
  <si>
    <t>21</t>
  </si>
  <si>
    <t>15</t>
  </si>
  <si>
    <t>REKAPITULACE STAVBY</t>
  </si>
  <si>
    <t>v ---  níže se nacházejí doplnkové a pomocné údaje k sestavám  --- v</t>
  </si>
  <si>
    <t>Návod na vyplnění</t>
  </si>
  <si>
    <t>0,001</t>
  </si>
  <si>
    <t>Kód:</t>
  </si>
  <si>
    <t>S-19040</t>
  </si>
  <si>
    <t>Měnit lze pouze buňky se žlutým podbarvením!
1) v Rekapitulaci stavby vyplňte údaje o Uchazeči (přenesou se do ostatních sestav i v jiných listech)
2) na vybraných listech vyplňte v sestavě Soupis prací ceny u položek</t>
  </si>
  <si>
    <t>Stavba:</t>
  </si>
  <si>
    <t>Úpravy gastroprovozu Úřadu vlády ČR v 1.pp Strakovy akademie</t>
  </si>
  <si>
    <t>KSO:</t>
  </si>
  <si>
    <t/>
  </si>
  <si>
    <t>CC-CZ:</t>
  </si>
  <si>
    <t>Místo:</t>
  </si>
  <si>
    <t xml:space="preserve">Praha </t>
  </si>
  <si>
    <t>Datum:</t>
  </si>
  <si>
    <t>Zadavatel:</t>
  </si>
  <si>
    <t>IČ:</t>
  </si>
  <si>
    <t xml:space="preserve">Úřad vlády České republiky </t>
  </si>
  <si>
    <t>DIČ:</t>
  </si>
  <si>
    <t>Uchazeč:</t>
  </si>
  <si>
    <t>Vyplň údaj</t>
  </si>
  <si>
    <t>Projektant:</t>
  </si>
  <si>
    <t>Ateliér Simona Group</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</si>
  <si>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</si>
  <si>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</si>
  <si>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</si>
  <si>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</si>
  <si>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</si>
  <si>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</si>
  <si>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</si>
  <si>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</si>
  <si>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</si>
  <si>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</si>
  <si>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</si>
  <si>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</si>
  <si>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</si>
  <si>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</si>
  <si>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</si>
  <si>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</si>
  <si>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</si>
  <si>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</si>
  <si>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</si>
  <si>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</si>
  <si>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</si>
  <si>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</si>
  <si>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</si>
  <si>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</si>
  <si>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</si>
  <si>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</si>
  <si>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</si>
  <si>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</si>
  <si>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</si>
  <si>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</si>
  <si>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</si>
  <si>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</si>
  <si>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</si>
  <si>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</si>
  <si>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</si>
  <si>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</si>
  <si>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</si>
  <si>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</si>
  <si>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</si>
  <si>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</si>
  <si>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</si>
  <si>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</si>
  <si>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D.1.1</t>
  </si>
  <si>
    <t xml:space="preserve">Architektonicko  stavební a konstrukční řešení </t>
  </si>
  <si>
    <t>STA</t>
  </si>
  <si>
    <t>1</t>
  </si>
  <si>
    <t>{d2f176f9-37c8-439b-84dc-66455894a55c}</t>
  </si>
  <si>
    <t>2</t>
  </si>
  <si>
    <t>/</t>
  </si>
  <si>
    <t>D.1.1.1</t>
  </si>
  <si>
    <t xml:space="preserve">Soupis prací - Architektonicko stavební a konstrukční řešení gastroprovozu </t>
  </si>
  <si>
    <t>Soupis</t>
  </si>
  <si>
    <t>{d9d5eac2-5153-4b9a-b208-933627c0fcf2}</t>
  </si>
  <si>
    <t>D.1.4</t>
  </si>
  <si>
    <t xml:space="preserve">Technika prostředí staveb </t>
  </si>
  <si>
    <t>{5522cb12-cbf6-4984-a8d1-a8f63b9474a4}</t>
  </si>
  <si>
    <t>D.1.4.01</t>
  </si>
  <si>
    <t xml:space="preserve">Soupis prací - Zdravotechnika </t>
  </si>
  <si>
    <t>{f075d208-64f2-4756-9256-2fcfbaa31c3b}</t>
  </si>
  <si>
    <t>D.1.4.02</t>
  </si>
  <si>
    <t>Soupis prací - Vytápění</t>
  </si>
  <si>
    <t>{f670fe5e-a75b-4393-9473-9464fd1d896e}</t>
  </si>
  <si>
    <t>D.1.4.03</t>
  </si>
  <si>
    <t>Soupis prací - Elektroinstalace silnoproud</t>
  </si>
  <si>
    <t>{caf111af-e32e-4853-88b2-bfe1329c3360}</t>
  </si>
  <si>
    <t>D.1.4.04</t>
  </si>
  <si>
    <t xml:space="preserve">Soupis prací - Elektroinstalace slaboproud </t>
  </si>
  <si>
    <t>{766fd3cf-410c-4a4a-8295-aedd6827d926}</t>
  </si>
  <si>
    <t>D.1.4.04.1</t>
  </si>
  <si>
    <t>Soupis prací - EPS</t>
  </si>
  <si>
    <t>3</t>
  </si>
  <si>
    <t>{f4942dde-af01-4f07-9bfd-e383e4f0cc30}</t>
  </si>
  <si>
    <t>D.1.4.04.2</t>
  </si>
  <si>
    <t>Soupis prací - NZS</t>
  </si>
  <si>
    <t>{5095958d-54ac-4dee-91da-708be8fb61b6}</t>
  </si>
  <si>
    <t>D.1.4.04.3</t>
  </si>
  <si>
    <t>Soupis prací - PZTS</t>
  </si>
  <si>
    <t>{4c37398a-ce9c-499c-939b-ebf35dc9a413}</t>
  </si>
  <si>
    <t>D.1.4.04.4</t>
  </si>
  <si>
    <t>Soupis prací - SLB-IT</t>
  </si>
  <si>
    <t>{47196493-cf6b-4526-96c8-c37b6e94dd71}</t>
  </si>
  <si>
    <t>D.1.4.05</t>
  </si>
  <si>
    <t xml:space="preserve">Soupis prací - Vzduchotechnika </t>
  </si>
  <si>
    <t>{9d647c59-721d-4974-84f9-fbee1b1bc3e5}</t>
  </si>
  <si>
    <t>D.1.4.06</t>
  </si>
  <si>
    <t xml:space="preserve">Soupis prací - Gastro </t>
  </si>
  <si>
    <t>{ec07bb92-f077-4810-96ce-329dde45ec31}</t>
  </si>
  <si>
    <t>D.1.4.06.1</t>
  </si>
  <si>
    <t>{53fccba0-2e13-46eb-afea-8e15fbb10ef7}</t>
  </si>
  <si>
    <t>D.1.4.06.2</t>
  </si>
  <si>
    <t>Soupis prací - Gastro obj. systém</t>
  </si>
  <si>
    <t>{a14902ef-2c5a-4499-9a15-7e7b4c05c8fe}</t>
  </si>
  <si>
    <t>D.1.4.06.3</t>
  </si>
  <si>
    <t>Soupis prací - Gastro HACCP</t>
  </si>
  <si>
    <t>{922c0b62-0b3d-4894-ad27-e9252bb1d003}</t>
  </si>
  <si>
    <t>D.1.4.06.4</t>
  </si>
  <si>
    <t>Soupis prací - Gastro demontáž</t>
  </si>
  <si>
    <t>{37e411a7-1f10-4c49-9c6e-83898d6b87c2}</t>
  </si>
  <si>
    <t>D.1.4.06.5</t>
  </si>
  <si>
    <t>Soupis prací - Gastro demontáž TG</t>
  </si>
  <si>
    <t>{40002147-d18c-45ac-9493-e3af5bcf8bb4}</t>
  </si>
  <si>
    <t>D.1.4.07</t>
  </si>
  <si>
    <t>Soupis prací - Servis</t>
  </si>
  <si>
    <t>{7b18872b-3f5c-4c35-ac82-d435400848a0}</t>
  </si>
  <si>
    <t>VON</t>
  </si>
  <si>
    <t xml:space="preserve">Vedlejší a ostatní náklady </t>
  </si>
  <si>
    <t>{c7ee58a6-c53f-4686-9fb3-00ea2b878e20}</t>
  </si>
  <si>
    <t xml:space="preserve">Soupis prací - Vedlejší a ostatní náklady </t>
  </si>
  <si>
    <t>{2de16065-ec3b-452a-bde7-63d18c3be792}</t>
  </si>
  <si>
    <t>KRYCÍ LIST SOUPISU PRACÍ</t>
  </si>
  <si>
    <t>Objekt:</t>
  </si>
  <si>
    <t xml:space="preserve">D.1.1 - Architektonicko  stavební a konstrukční řešení </t>
  </si>
  <si>
    <t>Soupis:</t>
  </si>
  <si>
    <t xml:space="preserve">D.1.1.1 - Soupis prací - Architektonicko stavební a konstrukční řešení gastroprovozu </t>
  </si>
  <si>
    <t xml:space="preserve"> </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</si>
  <si>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</si>
  <si>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</si>
  <si>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</si>
  <si>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</si>
  <si>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</si>
  <si>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</si>
  <si>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</si>
  <si>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</si>
  <si>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4 - Vodorovné konstrukce</t>
  </si>
  <si>
    <t xml:space="preserve">    6 - Úpravy povrchů, podlahy a osazování výplní</t>
  </si>
  <si>
    <t xml:space="preserve">    8 - Trubní vedení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</si>
  <si>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</si>
  <si>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</si>
  <si>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</si>
  <si>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</si>
  <si>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</si>
  <si>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725 - Zdravotechnika - zařizovací předměty</t>
  </si>
  <si>
    <t xml:space="preserve">    741 - Elektroinstalace - silnoproud</t>
  </si>
  <si>
    <t xml:space="preserve">    742 - Elektroinstalace - slaboproud</t>
  </si>
  <si>
    <t xml:space="preserve">    763 - Konstrukce suché výstavby</t>
  </si>
  <si>
    <t xml:space="preserve">    766 - Konstrukce truhlářské</t>
  </si>
  <si>
    <t xml:space="preserve">    767 - Konstrukce zámečnické</t>
  </si>
  <si>
    <t xml:space="preserve">    771 - Podlahy z dlaždic</t>
  </si>
  <si>
    <t xml:space="preserve">    773 - Podlahy z litého teraca</t>
  </si>
  <si>
    <t xml:space="preserve">    776 - Podlahy povlakové</t>
  </si>
  <si>
    <t xml:space="preserve">    781 - Dokončovací práce - obklady</t>
  </si>
  <si>
    <t xml:space="preserve">    783 - Dokončovací práce - nátěry</t>
  </si>
  <si>
    <t xml:space="preserve">    784 - Dokončovací práce - malby a tapety</t>
  </si>
  <si>
    <t xml:space="preserve">    787 - Dokončovací práce - zasklívání</t>
  </si>
  <si>
    <t xml:space="preserve">    791 - Zařízení velkokuchyní</t>
  </si>
  <si>
    <t xml:space="preserve">    R - Repase</t>
  </si>
  <si>
    <t xml:space="preserve">    SD - Sanitární doplňky a vnitřní vybavení</t>
  </si>
  <si>
    <t>HZS - Hodinové zúčtovací sazby</t>
  </si>
  <si>
    <t xml:space="preserve">    HZS - Hodinové zúčtovací sazby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</si>
  <si>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</si>
  <si>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</si>
  <si>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</si>
  <si>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</si>
  <si>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</si>
  <si>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</si>
  <si>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</si>
  <si>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</si>
  <si>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</si>
  <si>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</si>
  <si>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</si>
  <si>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</si>
  <si>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</si>
  <si>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</si>
  <si>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</si>
  <si>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</si>
  <si>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</si>
  <si>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</si>
  <si>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121112011</t>
  </si>
  <si>
    <t>Sejmutí ornice ručně bez vodorovného přemístění s naložením na dopravní prostředek nebo s odhozením do 3 m tloušťky vrstvy do 150 mm</t>
  </si>
  <si>
    <t>m3</t>
  </si>
  <si>
    <t>CS ÚRS 2019 02</t>
  </si>
  <si>
    <t>4</t>
  </si>
  <si>
    <t>1588212446</t>
  </si>
  <si>
    <t>132312201</t>
  </si>
  <si>
    <t>Hloubení zapažených i nezapažených rýh šířky přes 600 do 2 000 mm ručním nebo pneumatickým nářadím s urovnáním dna do předepsaného profilu a spádu v horninách tř. 4 soudržných</t>
  </si>
  <si>
    <t>-652400015</t>
  </si>
  <si>
    <t>PSC</t>
  </si>
  <si>
    <t xml:space="preserve">Poznámka k souboru cen:
1. V cenách jsou započteny i náklady na přehození výkopku na přilehlém terénu na vzdálenost do 5 m od podélné osy rýhy nebo naložení výkopku na dopravní prostředek.
2. V cenách 12-2201 až 41-2202 je započítán i svislý přesun horniny po házečkách do 2 metrů
</t>
  </si>
  <si>
    <t>132312209</t>
  </si>
  <si>
    <t>Hloubení zapažených i nezapažených rýh šířky přes 600 do 2 000 mm ručním nebo pneumatickým nářadím s urovnáním dna do předepsaného profilu a spádu v horninách tř. 4 Příplatek k cenám za lepivost horniny tř. 4</t>
  </si>
  <si>
    <t>580361114</t>
  </si>
  <si>
    <t>139711101</t>
  </si>
  <si>
    <t>Vykopávka v uzavřených prostorách s naložením výkopku na dopravní prostředek v hornině tř. 1 až 4</t>
  </si>
  <si>
    <t>-1951421441</t>
  </si>
  <si>
    <t xml:space="preserve">Poznámka k souboru cen:
1. V cenách nejsou započteny náklady na podchycení stavebních konstrukcí a případné odvětrávání pracovního prostoru.
</t>
  </si>
  <si>
    <t>5</t>
  </si>
  <si>
    <t>161101501</t>
  </si>
  <si>
    <t>Svislé přemístění výkopku nošením bez naložení, avšak s vyprázdněním nádoby na hromady nebo do dopravního prostředku, na každých, třeba i započatých 3 m výšky z horniny tř. 1 až 4</t>
  </si>
  <si>
    <t>-67879340</t>
  </si>
  <si>
    <t>6</t>
  </si>
  <si>
    <t>162201201</t>
  </si>
  <si>
    <t>Vodorovné přemístění výkopku nebo sypaniny nošením s vyprázdněním nádoby na hromady nebo do dopravního prostředku na vzdálenost do 10 m z horniny tř. 1 až 4</t>
  </si>
  <si>
    <t>1899517469</t>
  </si>
  <si>
    <t>7</t>
  </si>
  <si>
    <t>162701105</t>
  </si>
  <si>
    <t>Vodorovné přemístění výkopku nebo sypaniny po suchu na obvyklém dopravním prostředku, bez naložení výkopku, avšak se složením bez rozhrnutí z horniny tř. 1 až 4 na vzdálenost přes 9 000 do 10 000 m</t>
  </si>
  <si>
    <t>1854145189</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</si>
  <si>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</si>
  <si>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8</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</si>
  <si>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</si>
  <si>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</si>
  <si>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1693536420</t>
  </si>
  <si>
    <t>9</t>
  </si>
  <si>
    <t>171101121</t>
  </si>
  <si>
    <t>Uložení sypaniny do násypů s rozprostřením sypaniny ve vrstvách a s hrubým urovnáním zhutněných s uzavřením povrchu násypu z hornin nesoudržných kamenitých</t>
  </si>
  <si>
    <t>-1803614416</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</si>
  <si>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</si>
  <si>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10</t>
  </si>
  <si>
    <t>171201211</t>
  </si>
  <si>
    <t>Poplatek za uložení stavebního odpadu na skládce (skládkovné) zeminy a kameniva zatříděného do Katalogu odpadů pod kódem 170 504</t>
  </si>
  <si>
    <t>t</t>
  </si>
  <si>
    <t>-474029250</t>
  </si>
  <si>
    <t xml:space="preserve">Poznámka k souboru cen:
1. Ceny uvedené v souboru cen lze po dohodě upravit podle místních podmínek.
</t>
  </si>
  <si>
    <t>11</t>
  </si>
  <si>
    <t>174101101</t>
  </si>
  <si>
    <t>Zásyp sypaninou z jakékoliv horniny s uložením výkopku ve vrstvách se zhutněním jam, šachet, rýh nebo kolem objektů v těchto vykopávkách</t>
  </si>
  <si>
    <t>351482380</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</si>
  <si>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</si>
  <si>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12</t>
  </si>
  <si>
    <t>175</t>
  </si>
  <si>
    <t>Uvedení terénu do původního stavu po realizaci energokanálu. vč. rozprostření ornice, ohumusování a osetí</t>
  </si>
  <si>
    <t>m2</t>
  </si>
  <si>
    <t>-1074688989</t>
  </si>
  <si>
    <t>13</t>
  </si>
  <si>
    <t>190</t>
  </si>
  <si>
    <t>Zelená stěna - dle požadavku viz celý popis Os/8</t>
  </si>
  <si>
    <t>kus</t>
  </si>
  <si>
    <t>1530929459</t>
  </si>
  <si>
    <t>Zakládání</t>
  </si>
  <si>
    <t>14</t>
  </si>
  <si>
    <t>271572211</t>
  </si>
  <si>
    <t>Podsyp pod základové konstrukce se zhutněním a urovnáním povrchu ze štěrkopísku netříděného</t>
  </si>
  <si>
    <t>1069456365</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</si>
  <si>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</si>
  <si>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Svislé a kompletní konstrukce</t>
  </si>
  <si>
    <t>310237281</t>
  </si>
  <si>
    <t>Zazdívka otvorů ve zdivu nadzákladovém cihlami pálenými plochy přes 0,09 m2 do 0,25 m2, ve zdi tl. přes 750 do 900 mm</t>
  </si>
  <si>
    <t>-664471510</t>
  </si>
  <si>
    <t>16</t>
  </si>
  <si>
    <t>310237291</t>
  </si>
  <si>
    <t>Zazdívka otvorů ve zdivu nadzákladovém cihlami pálenými plochy přes 0,09 m2 do 0,25 m2, ve zdi tl. přes 900 do 1050 mm</t>
  </si>
  <si>
    <t>104159651</t>
  </si>
  <si>
    <t>17</t>
  </si>
  <si>
    <t>317142422</t>
  </si>
  <si>
    <t>Překlady nenosné z pórobetonu osazené do tenkého maltového lože, výšky do 250 mm, šířky překladu 100 mm, délky překladu přes 1000 do 1250 mm</t>
  </si>
  <si>
    <t>-108081278</t>
  </si>
  <si>
    <t xml:space="preserve">Poznámka k souboru cen:
1. V cenách jsou započteny náklady na dodání a uložení překladu, včetně podmazání ložné plochy tenkovrstvou maltou.
</t>
  </si>
  <si>
    <t>18</t>
  </si>
  <si>
    <t>317142428</t>
  </si>
  <si>
    <t>Překlady nenosné z pórobetonu osazené do tenkého maltového lože, výšky do 250 mm, šířky překladu 100 mm, délky překladu přes 2000 do 2500 mm</t>
  </si>
  <si>
    <t>-1027857845</t>
  </si>
  <si>
    <t>19</t>
  </si>
  <si>
    <t>317944321</t>
  </si>
  <si>
    <t>Válcované nosníky dodatečně osazované do připravených otvorů bez zazdění hlav do č. 12</t>
  </si>
  <si>
    <t>-134386617</t>
  </si>
  <si>
    <t xml:space="preserve">Poznámka k souboru cen:
1. V cenách jsou zahrnuty náklady na dodávku a montáž válcovaných nosníků.
2. Ceny jsou určeny pouze pro ocenění konstrukce překladů nad otvory.
</t>
  </si>
  <si>
    <t>20</t>
  </si>
  <si>
    <t>317944325</t>
  </si>
  <si>
    <t>Válcované nosníky dodatečně osazované do připravených otvorů bez zazdění hlav č. 24 a vyšší</t>
  </si>
  <si>
    <t>13306756</t>
  </si>
  <si>
    <t>340271025</t>
  </si>
  <si>
    <t>Zazdívka otvorů v příčkách nebo stěnách pórobetonovými tvárnicemi plochy přes 1 m2 do 4 m2, objemová hmotnost 500 kg/m3, tloušťka příčky 100 mm</t>
  </si>
  <si>
    <t>-2073243561</t>
  </si>
  <si>
    <t>22</t>
  </si>
  <si>
    <t>340271045</t>
  </si>
  <si>
    <t>Zazdívka otvorů v příčkách nebo stěnách pórobetonovými tvárnicemi plochy přes 1 m2 do 4 m2, objemová hmotnost 500 kg/m3, tloušťka příčky 150 mm</t>
  </si>
  <si>
    <t>-1809585050</t>
  </si>
  <si>
    <t>23</t>
  </si>
  <si>
    <t>342272225</t>
  </si>
  <si>
    <t>Příčky z pórobetonových tvárnic hladkých na tenké maltové lože objemová hmotnost do 500 kg/m3, tloušťka příčky 100 mm</t>
  </si>
  <si>
    <t>1598525435</t>
  </si>
  <si>
    <t>24</t>
  </si>
  <si>
    <t>342272245</t>
  </si>
  <si>
    <t>Příčky z pórobetonových tvárnic hladkých na tenké maltové lože objemová hmotnost do 500 kg/m3, tloušťka příčky 150 mm</t>
  </si>
  <si>
    <t>-90341056</t>
  </si>
  <si>
    <t>25</t>
  </si>
  <si>
    <t>342291121</t>
  </si>
  <si>
    <t>Ukotvení příček plochými kotvami, do konstrukce cihelné</t>
  </si>
  <si>
    <t>m</t>
  </si>
  <si>
    <t>1717099647</t>
  </si>
  <si>
    <t xml:space="preserve">Poznámka k souboru cen:
1. V cenách -1111 a -1112 jsou započteny náklady na dodání a aplikaci polyuretanové pěny ve spreji a na odříznutí zatvrdlé pěny u líce příčky.
2. Ceny -1111 a -1112 lze použít i pro ukotvení příček ke stropu.
3. Ceny -1141 a -1143 lze použít pro ukotvení příček k podlaze.
4. Množství jednotek se určuje v m styku příčky s konstrukcí.
</t>
  </si>
  <si>
    <t>26</t>
  </si>
  <si>
    <t>346244381</t>
  </si>
  <si>
    <t>Plentování ocelových válcovaných nosníků jednostranné cihlami na maltu, výška stojiny do 200 mm</t>
  </si>
  <si>
    <t>-1550719358</t>
  </si>
  <si>
    <t>27</t>
  </si>
  <si>
    <t>349231821</t>
  </si>
  <si>
    <t>Přizdívka z cihel ostění s ozubem ve vybouraných otvorech, s vysekáním kapes pro zavázaní přes 150 do 300 mm</t>
  </si>
  <si>
    <t>-1762434074</t>
  </si>
  <si>
    <t xml:space="preserve">Poznámka k souboru cen:
1. Ceny jsou určeny pro přizdívku ostění zavazovaného do přilehlého zdiva.
2. Ceny neplatí pro přizdívku ostění do 80 mm tloušťky; tyto se oceňují příslušnými cenami souboru cen 319 20- . Vyrovnání nerovného povrchu vnitřního i vnějšího zdiva.
3. Množství měrných jednotek se určuje jako součin tloušťky zdi a výšky přizdívaného o ostění.
</t>
  </si>
  <si>
    <t>28</t>
  </si>
  <si>
    <t>38838113-P</t>
  </si>
  <si>
    <t>M+D Kanály - energokanál prefabrikovaný dl. 25m vč. komínu, zakrytí, žaluzií atd. - viz celý popis C3</t>
  </si>
  <si>
    <t>-81666190</t>
  </si>
  <si>
    <t>Vodorovné konstrukce</t>
  </si>
  <si>
    <t>29</t>
  </si>
  <si>
    <t>413232211</t>
  </si>
  <si>
    <t>Zazdívka zhlaví stropních trámů nebo válcovaných nosníků pálenými cihlami válcovaných nosníků, výšky do 150 mm</t>
  </si>
  <si>
    <t>-378404090</t>
  </si>
  <si>
    <t>30</t>
  </si>
  <si>
    <t>413232221</t>
  </si>
  <si>
    <t>Zazdívka zhlaví stropních trámů nebo válcovaných nosníků pálenými cihlami válcovaných nosníků, výšky přes 150 do 300 mm</t>
  </si>
  <si>
    <t>168824707</t>
  </si>
  <si>
    <t>Úpravy povrchů, podlahy a osazování výplní</t>
  </si>
  <si>
    <t>31</t>
  </si>
  <si>
    <t>611131101</t>
  </si>
  <si>
    <t>Podkladní a spojovací vrstva vnitřních omítaných ploch cementový postřik nanášený ručně celoplošně stropů</t>
  </si>
  <si>
    <t>-1703456234</t>
  </si>
  <si>
    <t>32</t>
  </si>
  <si>
    <t>611131111</t>
  </si>
  <si>
    <t>Podkladní a spojovací vrstva vnitřních omítaných ploch polymercementový spojovací můstek nanášený ručně stropů</t>
  </si>
  <si>
    <t>1855577932</t>
  </si>
  <si>
    <t>33</t>
  </si>
  <si>
    <t>611311131</t>
  </si>
  <si>
    <t>Potažení vnitřních ploch štukem tloušťky do 3 mm vodorovných konstrukcí stropů rovných</t>
  </si>
  <si>
    <t>1778582184</t>
  </si>
  <si>
    <t>34</t>
  </si>
  <si>
    <t>611321141</t>
  </si>
  <si>
    <t>Omítka vápenocementová vnitřních ploch nanášená ručně dvouvrstvá, tloušťky jádrové omítky do 10 mm a tloušťky štuku do 3 mm štuková vodorovných konstrukcí stropů rovných</t>
  </si>
  <si>
    <t>2021873914</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</si>
  <si>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</si>
  <si>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35</t>
  </si>
  <si>
    <t>611321191</t>
  </si>
  <si>
    <t>Omítka vápenocementová vnitřních ploch nanášená ručně Příplatek k cenám za každých dalších i započatých 5 mm tloušťky omítky přes 10 mm stropů</t>
  </si>
  <si>
    <t>40597279</t>
  </si>
  <si>
    <t>36</t>
  </si>
  <si>
    <t>611325413</t>
  </si>
  <si>
    <t>Oprava vápenocementové omítky vnitřních ploch hladké, tloušťky do 20 mm stropů, v rozsahu opravované plochy přes 30 do 50%</t>
  </si>
  <si>
    <t>1201210880</t>
  </si>
  <si>
    <t xml:space="preserve">Poznámka k souboru cen:
1. Pro ocenění opravy omítek plochy do 1 m2 se použijí ceny souboru cen 61. 32-52.. Vápenocementová omítka jednotlivých malých ploch.
</t>
  </si>
  <si>
    <t>37</t>
  </si>
  <si>
    <t>612131101</t>
  </si>
  <si>
    <t>Podkladní a spojovací vrstva vnitřních omítaných ploch cementový postřik nanášený ručně celoplošně stěn</t>
  </si>
  <si>
    <t>-443324971</t>
  </si>
  <si>
    <t>38</t>
  </si>
  <si>
    <t>612131111</t>
  </si>
  <si>
    <t>Podkladní a spojovací vrstva vnitřních omítaných ploch polymercementový spojovací můstek nanášený ručně stěn</t>
  </si>
  <si>
    <t>-8599883</t>
  </si>
  <si>
    <t>39</t>
  </si>
  <si>
    <t>612135101</t>
  </si>
  <si>
    <t>Hrubá výplň rýh maltou jakékoli šířky rýhy ve stěnách</t>
  </si>
  <si>
    <t>49931156</t>
  </si>
  <si>
    <t xml:space="preserve">Poznámka k souboru cen:
1. V cenách nejsou započteny náklady na omítku rýh, tyto se ocení příšlušnými cenami tohoto katalogu.
</t>
  </si>
  <si>
    <t>40</t>
  </si>
  <si>
    <t>612142001</t>
  </si>
  <si>
    <t>Potažení vnitřních ploch pletivem v ploše nebo pruzích, na plném podkladu sklovláknitým vtlačením do tmelu stěn</t>
  </si>
  <si>
    <t>1126713196</t>
  </si>
  <si>
    <t xml:space="preserve">Poznámka k souboru cen:
1. V cenách -2001 jsou započteny i náklady na tmel.
</t>
  </si>
  <si>
    <t>41</t>
  </si>
  <si>
    <t>612311131</t>
  </si>
  <si>
    <t>Potažení vnitřních ploch štukem tloušťky do 3 mm svislých konstrukcí stěn</t>
  </si>
  <si>
    <t>-397351241</t>
  </si>
  <si>
    <t>42</t>
  </si>
  <si>
    <t>612321121</t>
  </si>
  <si>
    <t>Omítka vápenocementová vnitřních ploch nanášená ručně jednovrstvá, tloušťky do 10 mm hladká svislých konstrukcí stěn</t>
  </si>
  <si>
    <t>-228437136</t>
  </si>
  <si>
    <t>43</t>
  </si>
  <si>
    <t>612321191</t>
  </si>
  <si>
    <t>Omítka vápenocementová vnitřních ploch nanášená ručně Příplatek k cenám za každých dalších i započatých 5 mm tloušťky omítky přes 10 mm stěn</t>
  </si>
  <si>
    <t>683903696</t>
  </si>
  <si>
    <t>44</t>
  </si>
  <si>
    <t>612325413</t>
  </si>
  <si>
    <t>Oprava vápenocementové omítky vnitřních ploch hladké, tloušťky do 20 mm stěn, v rozsahu opravované plochy přes 30 do 50%</t>
  </si>
  <si>
    <t>-44406334</t>
  </si>
  <si>
    <t>45</t>
  </si>
  <si>
    <t>619991001</t>
  </si>
  <si>
    <t>Zakrytí vnitřních ploch před znečištěním včetně pozdějšího odkrytí podlah fólií přilepenou lepící páskou</t>
  </si>
  <si>
    <t>-2040036555</t>
  </si>
  <si>
    <t xml:space="preserve">Poznámka k souboru cen:
1. U ceny -1011 se množství měrných jednotek určuje v m2 rozvinuté plochy jednotlivých konstrukcí a prvků.
2. Zakrytí výplní otvorů se oceňuje příslušnými cenami souboru cen 629 99-10.. Zakrytí vnějších ploch před znečištěním.
</t>
  </si>
  <si>
    <t>46</t>
  </si>
  <si>
    <t>619991011</t>
  </si>
  <si>
    <t>Zakrytí vnitřních ploch před znečištěním včetně pozdějšího odkrytí konstrukcí a prvků obalením fólií a přelepením páskou</t>
  </si>
  <si>
    <t>873480886</t>
  </si>
  <si>
    <t>47</t>
  </si>
  <si>
    <t>622143003</t>
  </si>
  <si>
    <t>Montáž omítkových profilů plastových nebo pozinkovaných, upevněných vtlačením do podkladní vrstvy nebo přibitím rohových s tkaninou</t>
  </si>
  <si>
    <t>249671729</t>
  </si>
  <si>
    <t xml:space="preserve">Poznámka k souboru cen:
1. V cenách jsou započteny náklady na montáž profilů včetně úchytného materiálu.
2. V cenách nejsou započteny náklady na dodávku profilů, tyto se oceňují ve specifikaci, ztratné lze stanovit ve výši 5%.
3. V ceně -3004 nejsou započteny náklady na ochrannou fólii pro okna a dveře; tyto se oceňují cenou 629 99-1012 podle příslušné plochy otvoru.
</t>
  </si>
  <si>
    <t>48</t>
  </si>
  <si>
    <t>M</t>
  </si>
  <si>
    <t>5534302-vni</t>
  </si>
  <si>
    <t xml:space="preserve">profil omítkový rohový pro omítky vnitřní </t>
  </si>
  <si>
    <t>-1806076865</t>
  </si>
  <si>
    <t>49</t>
  </si>
  <si>
    <t>622525102</t>
  </si>
  <si>
    <t>Omítka tenkovrstvá jednotlivých malých ploch silikátová, akrylátová, silikonová nebo silikonsilikátová stěn, plochy jednotlivě přes 0,1 do 0,25 m2</t>
  </si>
  <si>
    <t>1428035903</t>
  </si>
  <si>
    <t>50</t>
  </si>
  <si>
    <t>631311126</t>
  </si>
  <si>
    <t>Mazanina z betonu prostého bez zvýšených nároků na prostředí tl. přes 80 do 120 mm tř. C 25/30</t>
  </si>
  <si>
    <t>-2125560591</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</si>
  <si>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</si>
  <si>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51</t>
  </si>
  <si>
    <t>631311136</t>
  </si>
  <si>
    <t>Mazanina z betonu prostého bez zvýšených nároků na prostředí tl. přes 120 do 240 mm tř. C 25/30</t>
  </si>
  <si>
    <t>2069190984</t>
  </si>
  <si>
    <t>52</t>
  </si>
  <si>
    <t>631319173</t>
  </si>
  <si>
    <t>Příplatek k cenám mazanin za stržení povrchu spodní vrstvy mazaniny latí před vložením výztuže nebo pletiva pro tl. obou vrstev mazaniny přes 80 do 120 mm</t>
  </si>
  <si>
    <t>791942056</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</si>
  <si>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</si>
  <si>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53</t>
  </si>
  <si>
    <t>631319175</t>
  </si>
  <si>
    <t>Příplatek k cenám mazanin za stržení povrchu spodní vrstvy mazaniny latí před vložením výztuže nebo pletiva pro tl. obou vrstev mazaniny přes 120 do 240 mm</t>
  </si>
  <si>
    <t>1244392430</t>
  </si>
  <si>
    <t>54</t>
  </si>
  <si>
    <t>631362021</t>
  </si>
  <si>
    <t>Výztuž mazanin ze svařovaných sítí z drátů typu KARI</t>
  </si>
  <si>
    <t>-1170040492</t>
  </si>
  <si>
    <t xml:space="preserve">Poznámka k souboru cen:
1. Betonová podezdívek příček se oceňuje položkou 278 36-1111 souboru cen 278 36-11.1 - Výztuž základu (podezdívky) betonového
</t>
  </si>
  <si>
    <t>55</t>
  </si>
  <si>
    <t>63244111</t>
  </si>
  <si>
    <t>Potěr anhydritový samonivelační ze suchých směsí tlouštky 10 mm</t>
  </si>
  <si>
    <t>2117271111</t>
  </si>
  <si>
    <t xml:space="preserve">Poznámka k souboru cen:
1. Ceny jsou určeny pro samonivelační anhydritový potěr na stropech jako podklad pod izolaci, pod podlahové konstrukce apod., na mazaninách jen jako podklad pod izolaci proti vodě.
</t>
  </si>
  <si>
    <t>56</t>
  </si>
  <si>
    <t>632441222</t>
  </si>
  <si>
    <t>Potěr anhydritový samonivelační litý tř. C 30, tl. přes 30 do 35 mm</t>
  </si>
  <si>
    <t>173603991</t>
  </si>
  <si>
    <t xml:space="preserve">Poznámka k souboru cen:
1. Ceny jsou určeny pro roznášecí vrstvu těžkých plovoucích podlah, pro potěr podlahového vytápění, pro potěr na oddělovací vrstvě a jako náhrada cementových potěrů (kromě vlhkých provozů).
</t>
  </si>
  <si>
    <t>57</t>
  </si>
  <si>
    <t>632441223</t>
  </si>
  <si>
    <t>Potěr anhydritový samonivelační litý tř. C 30, tl. přes 35 do 40 mm</t>
  </si>
  <si>
    <t>1782148041</t>
  </si>
  <si>
    <t>58</t>
  </si>
  <si>
    <t>632451111-sm</t>
  </si>
  <si>
    <t>Potěr cementový samonivelační ze suchých směsí tloušťky přes 25 do 30 mm + sklovláknitá mřížkac + penetrační nátěr</t>
  </si>
  <si>
    <t>-249884228</t>
  </si>
  <si>
    <t>59</t>
  </si>
  <si>
    <t>6325</t>
  </si>
  <si>
    <t xml:space="preserve">Doplnění podlahy dle stávající - montážní otvory </t>
  </si>
  <si>
    <t>-1991829153</t>
  </si>
  <si>
    <t>Trubní vedení</t>
  </si>
  <si>
    <t>60</t>
  </si>
  <si>
    <t>899102211</t>
  </si>
  <si>
    <t>Demontáž poklopů litinových a ocelových včetně rámů, hmotnosti jednotlivě přes 50 do 100 Kg</t>
  </si>
  <si>
    <t>1672292677</t>
  </si>
  <si>
    <t>Ostatní konstrukce a práce, bourání</t>
  </si>
  <si>
    <t>61</t>
  </si>
  <si>
    <t>949101111</t>
  </si>
  <si>
    <t>Lešení pomocné pracovní pro objekty pozemních staveb pro zatížení do 150 kg/m2, o výšce lešeňové podlahy do 1,9 m</t>
  </si>
  <si>
    <t>1513914525</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</si>
  <si>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</si>
  <si>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62</t>
  </si>
  <si>
    <t>952901111</t>
  </si>
  <si>
    <t>Vyčištění budov nebo objektů před předáním do užívání budov bytové nebo občanské výstavby, světlé výšky podlaží do 4 m</t>
  </si>
  <si>
    <t>-659985444</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</si>
  <si>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</si>
  <si>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63</t>
  </si>
  <si>
    <t>953943211</t>
  </si>
  <si>
    <t>Osazování drobných kovových předmětů kotvených do stěny hasicího přístroje</t>
  </si>
  <si>
    <t>1216843267</t>
  </si>
  <si>
    <t xml:space="preserve">Poznámka k souboru cen:
1. V cenách nejsou započteny náklady na dodávku kovových předmětů; tyto se oceňují ve specifikaci. Ztratné se nestanoví.
2. Cenu -2841 lze použít pro osazení rámu pod pružinový (roštový) ocelový základ např. domovních praček, odstředivek, ždímaček, motorových zařízení, ventilátorů apod.
3. Cena -2851 je určena pro zednické osazení zábradlí ze samostatných dílů nevyžadující samostatnou montáž.
4. Ceny platí za každé zalití.
</t>
  </si>
  <si>
    <t>64</t>
  </si>
  <si>
    <t>4493211-H</t>
  </si>
  <si>
    <t>přístroj hasicí ruční s hasící schopností min. 21A - viz celý popis Os/2</t>
  </si>
  <si>
    <t>-81318987</t>
  </si>
  <si>
    <t>65</t>
  </si>
  <si>
    <t>953945-PU</t>
  </si>
  <si>
    <t>Protipožární ucpávky a manžety - viz celý popis Os/9</t>
  </si>
  <si>
    <t>-2047990646</t>
  </si>
  <si>
    <t>66</t>
  </si>
  <si>
    <t>962031132</t>
  </si>
  <si>
    <t>Bourání příček z cihel, tvárnic nebo příčkovek z cihel pálených, plných nebo dutých na maltu vápennou nebo vápenocementovou, tl. do 100 mm</t>
  </si>
  <si>
    <t>1423303805</t>
  </si>
  <si>
    <t>67</t>
  </si>
  <si>
    <t>962031133</t>
  </si>
  <si>
    <t>Bourání příček z cihel, tvárnic nebo příčkovek z cihel pálených, plných nebo dutých na maltu vápennou nebo vápenocementovou, tl. do 150 mm</t>
  </si>
  <si>
    <t>20389177</t>
  </si>
  <si>
    <t>68</t>
  </si>
  <si>
    <t>962032230</t>
  </si>
  <si>
    <t>Bourání zdiva nadzákladového z cihel nebo tvárnic z cihel pálených nebo vápenopískových, na maltu vápennou nebo vápenocementovou, objemu do 1 m3</t>
  </si>
  <si>
    <t>2085735613</t>
  </si>
  <si>
    <t xml:space="preserve">Poznámka k souboru cen:
1. Bourání pilířů o průřezu přes 0,36 m2 se oceňuje příslušnými cenami -2230, -2231, -2240, -2241,-2253 a -2254 jako bourání zdiva nadzákladového cihelného.
</t>
  </si>
  <si>
    <t>69</t>
  </si>
  <si>
    <t>965043341</t>
  </si>
  <si>
    <t>Bourání mazanin betonových s potěrem nebo teracem tl. do 100 mm, plochy přes 4 m2</t>
  </si>
  <si>
    <t>748662848</t>
  </si>
  <si>
    <t>70</t>
  </si>
  <si>
    <t>965043421</t>
  </si>
  <si>
    <t>Bourání mazanin betonových s potěrem nebo teracem tl. do 150 mm, plochy do 1 m2</t>
  </si>
  <si>
    <t>2014392035</t>
  </si>
  <si>
    <t>71</t>
  </si>
  <si>
    <t>965049112</t>
  </si>
  <si>
    <t>Bourání mazanin Příplatek k cenám za bourání mazanin betonových se svařovanou sítí, tl. přes 100 mm</t>
  </si>
  <si>
    <t>1946850854</t>
  </si>
  <si>
    <t>72</t>
  </si>
  <si>
    <t>968072455</t>
  </si>
  <si>
    <t>Vybourání kovových rámů oken s křídly, dveřních zárubní, vrat, stěn, ostění nebo obkladů dveřních zárubní, plochy do 2 m2</t>
  </si>
  <si>
    <t>1819603715</t>
  </si>
  <si>
    <t xml:space="preserve">Poznámka k souboru cen:
1. V cenách -2244 až -2559 jsou započteny i náklady na vyvěšení křídel.
2. Cenou -2641 se oceňuje i vybourání nosné ocelové konstrukce pro sádrokartonové příčky.
</t>
  </si>
  <si>
    <t>73</t>
  </si>
  <si>
    <t>968072455-p</t>
  </si>
  <si>
    <t xml:space="preserve">Vybourání dveřních zárubní vč pojezdové lišty posuvných dveří </t>
  </si>
  <si>
    <t>-1117602339</t>
  </si>
  <si>
    <t>74</t>
  </si>
  <si>
    <t>971033371</t>
  </si>
  <si>
    <t>Vybourání otvorů ve zdivu základovém nebo nadzákladovém z cihel, tvárnic, příčkovek z cihel pálených na maltu vápennou nebo vápenocementovou plochy do 0,09 m2, tl. do 750 mm</t>
  </si>
  <si>
    <t>-1126144113</t>
  </si>
  <si>
    <t>75</t>
  </si>
  <si>
    <t>971033381</t>
  </si>
  <si>
    <t>Vybourání otvorů ve zdivu základovém nebo nadzákladovém z cihel, tvárnic, příčkovek z cihel pálených na maltu vápennou nebo vápenocementovou plochy do 0,09 m2, tl. do 900 mm</t>
  </si>
  <si>
    <t>-2098697375</t>
  </si>
  <si>
    <t>76</t>
  </si>
  <si>
    <t>971033471</t>
  </si>
  <si>
    <t>Vybourání otvorů ve zdivu základovém nebo nadzákladovém z cihel, tvárnic, příčkovek z cihel pálených na maltu vápennou nebo vápenocementovou plochy do 0,25 m2, tl. do 750 mm</t>
  </si>
  <si>
    <t>-660977698</t>
  </si>
  <si>
    <t>77</t>
  </si>
  <si>
    <t>971033481</t>
  </si>
  <si>
    <t>Vybourání otvorů ve zdivu základovém nebo nadzákladovém z cihel, tvárnic, příčkovek z cihel pálených na maltu vápennou nebo vápenocementovou plochy do 0,25 m2, tl. do 900 mm</t>
  </si>
  <si>
    <t>-801907376</t>
  </si>
  <si>
    <t>78</t>
  </si>
  <si>
    <t>971033581</t>
  </si>
  <si>
    <t>Vybourání otvorů ve zdivu základovém nebo nadzákladovém z cihel, tvárnic, příčkovek z cihel pálených na maltu vápennou nebo vápenocementovou plochy do 1 m2, tl. do 900 mm</t>
  </si>
  <si>
    <t>281365364</t>
  </si>
  <si>
    <t>79</t>
  </si>
  <si>
    <t>971033591</t>
  </si>
  <si>
    <t>Vybourání otvorů ve zdivu základovém nebo nadzákladovém z cihel, tvárnic, příčkovek z cihel pálených na maltu vápennou nebo vápenocementovou plochy do 1 m2, tl. přes 900 mm</t>
  </si>
  <si>
    <t>-316021789</t>
  </si>
  <si>
    <t>80</t>
  </si>
  <si>
    <t>974031154</t>
  </si>
  <si>
    <t>Vysekání rýh ve zdivu cihelném na maltu vápennou nebo vápenocementovou do hl. 100 mm a šířky do 150 mm</t>
  </si>
  <si>
    <t>-803370036</t>
  </si>
  <si>
    <t>81</t>
  </si>
  <si>
    <t>974031165</t>
  </si>
  <si>
    <t>Vysekání rýh ve zdivu cihelném na maltu vápennou nebo vápenocementovou do hl. 150 mm a šířky do 200 mm</t>
  </si>
  <si>
    <t>1901208877</t>
  </si>
  <si>
    <t>82</t>
  </si>
  <si>
    <t>974031664</t>
  </si>
  <si>
    <t>Vysekání rýh ve zdivu cihelném na maltu vápennou nebo vápenocementovou pro vtahování nosníků do zdí, před vybouráním otvoru do hl. 150 mm, při v. nosníku do 150 mm</t>
  </si>
  <si>
    <t>717950741</t>
  </si>
  <si>
    <t>83</t>
  </si>
  <si>
    <t>974031666</t>
  </si>
  <si>
    <t>Vysekání rýh ve zdivu cihelném na maltu vápennou nebo vápenocementovou pro vtahování nosníků do zdí, před vybouráním otvoru do hl. 150 mm, při v. nosníku do 250 mm</t>
  </si>
  <si>
    <t>-452159292</t>
  </si>
  <si>
    <t>84</t>
  </si>
  <si>
    <t>974042553</t>
  </si>
  <si>
    <t>Vysekání rýh v betonové nebo jiné monolitické dlažbě s betonovým podkladem do hl. 100 mm a šířky do 100 mm</t>
  </si>
  <si>
    <t>-1664639596</t>
  </si>
  <si>
    <t>85</t>
  </si>
  <si>
    <t>974042557</t>
  </si>
  <si>
    <t>Vysekání rýh v betonové nebo jiné monolitické dlažbě s betonovým podkladem do hl. 100 mm a šířky do 300 mm</t>
  </si>
  <si>
    <t>1670207596</t>
  </si>
  <si>
    <t>86</t>
  </si>
  <si>
    <t>974042559</t>
  </si>
  <si>
    <t>Vysekání rýh v betonové nebo jiné monolitické dlažbě s betonovým podkladem do hl. 100 mm a šířky Příplatek k ceně -2557 za každých dalších 100 mm šířky, rýhy hl. do 100 mm</t>
  </si>
  <si>
    <t>196807718</t>
  </si>
  <si>
    <t>87</t>
  </si>
  <si>
    <t>974042577</t>
  </si>
  <si>
    <t>Vysekání rýh v betonové nebo jiné monolitické dlažbě s betonovým podkladem do hl. 200 mm a šířky do 300 mm</t>
  </si>
  <si>
    <t>2145520707</t>
  </si>
  <si>
    <t>88</t>
  </si>
  <si>
    <t>974042579</t>
  </si>
  <si>
    <t>Vysekání rýh v betonové nebo jiné monolitické dlažbě s betonovým podkladem do hl. 200 mm a šířky Příplatek k ceně -2577 za každých dalších 100 mm šířky, rýhy hl. do 200 mm</t>
  </si>
  <si>
    <t>-920074229</t>
  </si>
  <si>
    <t>89</t>
  </si>
  <si>
    <t>974082114</t>
  </si>
  <si>
    <t>Vysekání rýh pro vodiče v omítce vápenné nebo vápenocementové stěn, šířky do 70 mm</t>
  </si>
  <si>
    <t>2107731963</t>
  </si>
  <si>
    <t>90</t>
  </si>
  <si>
    <t>974082115</t>
  </si>
  <si>
    <t>Vysekání rýh pro vodiče v omítce vápenné nebo vápenocementové stěn, šířky do 100 mm</t>
  </si>
  <si>
    <t>312015727</t>
  </si>
  <si>
    <t>91</t>
  </si>
  <si>
    <t>974082174</t>
  </si>
  <si>
    <t>Vysekání rýh pro vodiče v omítce vápenné nebo vápenocementové stropů nebo kleneb, šířky do 70 mm</t>
  </si>
  <si>
    <t>597471690</t>
  </si>
  <si>
    <t>92</t>
  </si>
  <si>
    <t>975021411</t>
  </si>
  <si>
    <t>Podchycení nadzákladového zdiva pod stropem dřevěnou výztuhou nad vybouraným otvorem, pro jakoukoliv délku podchycení, při tl. zdiva přes 600 do 900 mm</t>
  </si>
  <si>
    <t>375983604</t>
  </si>
  <si>
    <t xml:space="preserve">Poznámka k souboru cen:
1. Ceny lze použít tehdy, provádí-li se přechodné vynesení hmotnosti zdiva nad otvorem v témž podlaží, v němž se zřizuje otvor a při výšce podchycení do 4 m. U otvorů s podchycením vyšším než 4 m a u otvorů, v nichž se nosníky tvořící překlad ukládají těsně pod strop a přechodné vynesení hmotnosti zdiva nad otvorem se proto provádí v besprostředně vyšším podlaží, jsou určeny ceny souboru cen 975 02-2 . Podchycení nadzákladového zdiva dřevěnou výztuhou
2. V cenách jsou započteny i náklady na:
a) vybourání otvorů pro provléknutí vynášecích trámů pro podchycení zdí,
b) vynesení podchycené konstrukce.
3. Množství jednotek podchycování při vybourávání otvorů se určuje v m světlosti otvoru.
</t>
  </si>
  <si>
    <t>93</t>
  </si>
  <si>
    <t>975021711</t>
  </si>
  <si>
    <t>Podchycení nadzákladového zdiva pod stropem dřevěnou výztuhou nad vybouraným otvorem, pro jakoukoliv délku podchycení, při tl. zdiva přes 900 do 1500 mm</t>
  </si>
  <si>
    <t>-1987361174</t>
  </si>
  <si>
    <t>94</t>
  </si>
  <si>
    <t>977151113</t>
  </si>
  <si>
    <t>Jádrové vrty diamantovými korunkami do stavebních materiálů (železobetonu, betonu, cihel, obkladů, dlažeb, kamene) průměru přes 40 do 50 mm</t>
  </si>
  <si>
    <t>-729464883</t>
  </si>
  <si>
    <t xml:space="preserve">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
</t>
  </si>
  <si>
    <t>95</t>
  </si>
  <si>
    <t>977151116</t>
  </si>
  <si>
    <t>Jádrové vrty diamantovými korunkami do stavebních materiálů (železobetonu, betonu, cihel, obkladů, dlažeb, kamene) průměru přes 70 do 80 mm</t>
  </si>
  <si>
    <t>-1831639570</t>
  </si>
  <si>
    <t>96</t>
  </si>
  <si>
    <t>977151118</t>
  </si>
  <si>
    <t>Jádrové vrty diamantovými korunkami do stavebních materiálů (železobetonu, betonu, cihel, obkladů, dlažeb, kamene) průměru přes 90 do 100 mm</t>
  </si>
  <si>
    <t>-971350292</t>
  </si>
  <si>
    <t>97</t>
  </si>
  <si>
    <t>977151124</t>
  </si>
  <si>
    <t>Jádrové vrty diamantovými korunkami do stavebních materiálů (železobetonu, betonu, cihel, obkladů, dlažeb, kamene) průměru přes 150 do 180 mm</t>
  </si>
  <si>
    <t>-884622200</t>
  </si>
  <si>
    <t>98</t>
  </si>
  <si>
    <t>977151125</t>
  </si>
  <si>
    <t>Jádrové vrty diamantovými korunkami do stavebních materiálů (železobetonu, betonu, cihel, obkladů, dlažeb, kamene) průměru přes 180 do 200 mm</t>
  </si>
  <si>
    <t>-156404038</t>
  </si>
  <si>
    <t>99</t>
  </si>
  <si>
    <t>977151129</t>
  </si>
  <si>
    <t>Jádrové vrty diamantovými korunkami do stavebních materiálů (železobetonu, betonu, cihel, obkladů, dlažeb, kamene) průměru přes 300 do 350 mm</t>
  </si>
  <si>
    <t>754851419</t>
  </si>
  <si>
    <t>100</t>
  </si>
  <si>
    <t>977311112</t>
  </si>
  <si>
    <t>Řezání stávajících betonových mazanin bez vyztužení hloubky přes 50 do 100 mm</t>
  </si>
  <si>
    <t>-46713679</t>
  </si>
  <si>
    <t>101</t>
  </si>
  <si>
    <t>977312114</t>
  </si>
  <si>
    <t>Řezání stávajících betonových mazanin s vyztužením hloubky přes 150 do 200 mm</t>
  </si>
  <si>
    <t>664083487</t>
  </si>
  <si>
    <t>102</t>
  </si>
  <si>
    <t>978011161</t>
  </si>
  <si>
    <t>Otlučení vápenných nebo vápenocementových omítek vnitřních ploch stropů, v rozsahu přes 30 do 50 %</t>
  </si>
  <si>
    <t>-1366314300</t>
  </si>
  <si>
    <t xml:space="preserve">Poznámka k souboru cen:
1. Položky lze použít i pro ocenění otlučení sádrových, hliněných apod. vnitřních omítek.
</t>
  </si>
  <si>
    <t>103</t>
  </si>
  <si>
    <t>978011191</t>
  </si>
  <si>
    <t>Otlučení vápenných nebo vápenocementových omítek vnitřních ploch stropů, v rozsahu přes 50 do 100 %</t>
  </si>
  <si>
    <t>1795267921</t>
  </si>
  <si>
    <t>104</t>
  </si>
  <si>
    <t>978013161</t>
  </si>
  <si>
    <t>Otlučení vápenných nebo vápenocementových omítek vnitřních ploch stěn s vyškrabáním spar, s očištěním zdiva, v rozsahu přes 30 do 50 %</t>
  </si>
  <si>
    <t>-764248134</t>
  </si>
  <si>
    <t>105</t>
  </si>
  <si>
    <t>978013191</t>
  </si>
  <si>
    <t>Otlučení vápenných nebo vápenocementových omítek vnitřních ploch stěn s vyškrabáním spar, s očištěním zdiva, v rozsahu přes 50 do 100 %</t>
  </si>
  <si>
    <t>630095895</t>
  </si>
  <si>
    <t>997</t>
  </si>
  <si>
    <t>Přesun sutě</t>
  </si>
  <si>
    <t>106</t>
  </si>
  <si>
    <t>997013211</t>
  </si>
  <si>
    <t>Vnitrostaveništní doprava suti a vybouraných hmot vodorovně do 50 m svisle ručně pro budovy a haly výšky do 6 m</t>
  </si>
  <si>
    <t>-1532796731</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</si>
  <si>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</si>
  <si>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107</t>
  </si>
  <si>
    <t>997013501</t>
  </si>
  <si>
    <t>Odvoz suti a vybouraných hmot na skládku nebo meziskládku se složením, na vzdálenost do 1 km</t>
  </si>
  <si>
    <t>-523742109</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</si>
  <si>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</si>
  <si>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108</t>
  </si>
  <si>
    <t>997013509</t>
  </si>
  <si>
    <t>Odvoz suti a vybouraných hmot na skládku nebo meziskládku se složením, na vzdálenost Příplatek k ceně za každý další i započatý 1 km přes 1 km</t>
  </si>
  <si>
    <t>-1531708541</t>
  </si>
  <si>
    <t>109</t>
  </si>
  <si>
    <t>997013809</t>
  </si>
  <si>
    <t>Poplatek za uložení stavebního odpadu na skládce (skládkovné) ze směsí nebo oddělených frakcí betonu, cihel a keramických výrobků zatříděného do Katalogu odpadů pod kódem 170 107</t>
  </si>
  <si>
    <t>-1814432112</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</si>
  <si>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</si>
  <si>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110</t>
  </si>
  <si>
    <t>997013812</t>
  </si>
  <si>
    <t>Poplatek za uložení stavebního odpadu na skládce (skládkovné) z materiálů na bázi sádry zatříděného do Katalogu odpadů pod kódem 170 802</t>
  </si>
  <si>
    <t>-1793323899</t>
  </si>
  <si>
    <t>111</t>
  </si>
  <si>
    <t>997013814</t>
  </si>
  <si>
    <t>Poplatek za uložení stavebního odpadu na skládce (skládkovné) z izolačních materiálů zatříděného do Katalogu odpadů pod kódem 170 604</t>
  </si>
  <si>
    <t>-757631473</t>
  </si>
  <si>
    <t>998</t>
  </si>
  <si>
    <t>Přesun hmot</t>
  </si>
  <si>
    <t>112</t>
  </si>
  <si>
    <t>998018001</t>
  </si>
  <si>
    <t>Přesun hmot pro budovy občanské výstavby, bydlení, výrobu a služby ruční - bez užití mechanizace vodorovná dopravní vzdálenost do 100 m pro budovy s jakoukoliv nosnou konstrukcí výšky do 6 m</t>
  </si>
  <si>
    <t>-2028925178</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</si>
  <si>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</si>
  <si>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</si>
  <si>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</si>
  <si>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</si>
  <si>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</si>
  <si>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113</t>
  </si>
  <si>
    <t>711113115</t>
  </si>
  <si>
    <t>Izolace proti zemní vlhkosti natěradly a tmely za studena na ploše vodorovné V těsnicí hmotou dvousložkovou na bázi polymery modifikované živice</t>
  </si>
  <si>
    <t>-1934237323</t>
  </si>
  <si>
    <t>114</t>
  </si>
  <si>
    <t>711131811</t>
  </si>
  <si>
    <t>Odstranění izolace proti zemní vlhkosti na ploše vodorovné V</t>
  </si>
  <si>
    <t>515105937</t>
  </si>
  <si>
    <t xml:space="preserve">Poznámka k souboru cen:
1. Ceny se používají pro odstranění hydroizolačních pásů a folií bez rozlišení tloušťky a počtu vrstev.
</t>
  </si>
  <si>
    <t>115</t>
  </si>
  <si>
    <t>7114931-S</t>
  </si>
  <si>
    <t xml:space="preserve">Izolace proti vodě - ostatní na ploše wsvislé S jednosložkovou hydroizolační stěrkou
Hydroizolační stěrka - jednosložková elastická těsnicí hmota pod keramické obklady a dlažbu v interiéru, hydroizolační stěrka bude vytažena na okolní stěny do výšky 150mm za použití systémového izolačního pásu pro vodotěsné a elastické překlenutí dilatačních a spojovacích spár
- modifikovaná disperze umělé pryskyřice
- barva šedá
- hustota 1,55 kg/dm3
- schopnost přemostění trhliny (dle normy ČSN-EN 14891:2009): ≥ 0,75mm
- Tahová přídržnost (dle normy ČSN-EN 14891:2009) ≥ 0,5 MPa ve všech situacích
</t>
  </si>
  <si>
    <t>-437792234</t>
  </si>
  <si>
    <t>116</t>
  </si>
  <si>
    <t>7114931-V</t>
  </si>
  <si>
    <t xml:space="preserve">Izolace proti vodě - ostatní na ploše vodorovné V jednosložkovou hydroizolační stěrkou s vytažení na stěny 
Hydroizolační stěrka - jednosložková elastická těsnicí hmota pod keramické obklady a dlažbu v interiéru, hydroizolační stěrka bude vytažena na okolní stěny do výšky obkladu za použití systémového izolačního pásu pro vodotěsné a elastické překlenutí dilatačních a spojovacích spár
- modifikovaná disperze umělé pryskyřice
- barva šedá
- hustota 1,55 kg/dm3
- schopnost přemostění trhliny (dle normy ČSN-EN 14891:2009): ≥ 0,75mm
- Tahová přídržnost (dle normy ČSN-EN 14891:2009) ≥ 0,5 MPa ve všech situacích"
</t>
  </si>
  <si>
    <t>1098981034</t>
  </si>
  <si>
    <t>117</t>
  </si>
  <si>
    <t>998711101</t>
  </si>
  <si>
    <t>Přesun hmot pro izolace proti vodě, vlhkosti a plynům stanovený z hmotnosti přesunovaného materiálu vodorovná dopravní vzdálenost do 50 m v objektech výšky do 6 m</t>
  </si>
  <si>
    <t>667354652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</si>
  <si>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</si>
  <si>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118</t>
  </si>
  <si>
    <t>998711181</t>
  </si>
  <si>
    <t>Přesun hmot pro izolace proti vodě, vlhkosti a plynům stanovený z hmotnosti přesunovaného materiálu Příplatek k cenám za přesun prováděný bez použití mechanizace pro jakoukoliv výšku objektu</t>
  </si>
  <si>
    <t>933276017</t>
  </si>
  <si>
    <t>725</t>
  </si>
  <si>
    <t>Zdravotechnika - zařizovací předměty</t>
  </si>
  <si>
    <t>119</t>
  </si>
  <si>
    <t>725-B/18</t>
  </si>
  <si>
    <t>Demontáž zařizovacích předmětů včetně baterií a jejich napojení na vodu a kanalizaci</t>
  </si>
  <si>
    <t>hod</t>
  </si>
  <si>
    <t>340387156</t>
  </si>
  <si>
    <t>741</t>
  </si>
  <si>
    <t>Elektroinstalace - silnoproud</t>
  </si>
  <si>
    <t>120</t>
  </si>
  <si>
    <t>741-B/18</t>
  </si>
  <si>
    <t xml:space="preserve">Demontáž osvětlovacích těles a silnoproudých rozvodů. </t>
  </si>
  <si>
    <t>28528229</t>
  </si>
  <si>
    <t>121</t>
  </si>
  <si>
    <t>741-Os/3-20</t>
  </si>
  <si>
    <t>Trubka elektroinstalační PVC ( husí krk) ohebná DN 18,3</t>
  </si>
  <si>
    <t>632956768</t>
  </si>
  <si>
    <t>122</t>
  </si>
  <si>
    <t>741-Os/4-25</t>
  </si>
  <si>
    <t>Trubka elektroinstalační PVC ( husí krk) ohebná DN 24,3</t>
  </si>
  <si>
    <t>-902124136</t>
  </si>
  <si>
    <t>123</t>
  </si>
  <si>
    <t>741-Os/4-25m</t>
  </si>
  <si>
    <t xml:space="preserve">Trubka elektroinstalační PVC ( husí krk) ohebná DN 24,3 - mech. odolná </t>
  </si>
  <si>
    <t>-982647781</t>
  </si>
  <si>
    <t>124</t>
  </si>
  <si>
    <t>741-Os/4-30</t>
  </si>
  <si>
    <t xml:space="preserve">Trubka elektroinstalační PVC ( husí krk) ohebná DN 31,2 </t>
  </si>
  <si>
    <t>408699622</t>
  </si>
  <si>
    <t>125</t>
  </si>
  <si>
    <t>741-Os/4-30m</t>
  </si>
  <si>
    <t xml:space="preserve">Trubka elektroinstalační PVC ( husí krk) ohebná DN 31,2 - mech. odolná </t>
  </si>
  <si>
    <t>-127687409</t>
  </si>
  <si>
    <t>742</t>
  </si>
  <si>
    <t>Elektroinstalace - slaboproud</t>
  </si>
  <si>
    <t>126</t>
  </si>
  <si>
    <t>742-B/19</t>
  </si>
  <si>
    <t xml:space="preserve">Demontáž koncových prvků EPS, ER a prvků technické ochrany
 </t>
  </si>
  <si>
    <t>-608528477</t>
  </si>
  <si>
    <t>127</t>
  </si>
  <si>
    <t>742-B/20</t>
  </si>
  <si>
    <t xml:space="preserve">Demontáž koncových prvků a rozvodů strukturované kabeláže
 </t>
  </si>
  <si>
    <t>17806406</t>
  </si>
  <si>
    <t>763</t>
  </si>
  <si>
    <t>Konstrukce suché výstavby</t>
  </si>
  <si>
    <t>128</t>
  </si>
  <si>
    <t>763111811</t>
  </si>
  <si>
    <t>Demontáž příček ze sádrokartonových desek s nosnou konstrukcí z ocelových profilů jednoduchých, opláštění jednoduché</t>
  </si>
  <si>
    <t>197623523</t>
  </si>
  <si>
    <t xml:space="preserve">Poznámka k souboru cen:
1. Ceny -1811 až -1821 jsou určeny pro kompletní demontáž příčky, tj. nosné konstrukce, desek i tepelné izolace.
2. Ceny demontáže desek -2811 až -2813 jsou určeny pro odstranění pouze desek z obou stran příčky.
</t>
  </si>
  <si>
    <t>129</t>
  </si>
  <si>
    <t>763121821</t>
  </si>
  <si>
    <t>Demontáž předsazených nebo šachtových stěn ze sádrokartonových desek s nosnou konstrukcí z ocelových profilů se zdvojeným CW profilem, opláštění jednoduché</t>
  </si>
  <si>
    <t>-1381256457</t>
  </si>
  <si>
    <t xml:space="preserve">Poznámka k souboru cen:
1. Ceny -1811 a -1823 jsou určeny pro kompletní demontáž předsazené nebo šachtové stěny, tj. nosné konstrukce, desek i tepelné izolace.
</t>
  </si>
  <si>
    <t>130</t>
  </si>
  <si>
    <t>763131411</t>
  </si>
  <si>
    <t>Podhled ze sádrokartonových desek dvouvrstvá zavěšená spodní konstrukce z ocelových profilů CD, UD jednoduše opláštěná deskou standardní A, tl. 12,5 mm, bez TI</t>
  </si>
  <si>
    <t>2093628581</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</si>
  <si>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</si>
  <si>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131</t>
  </si>
  <si>
    <t>763131451</t>
  </si>
  <si>
    <t>Podhled ze sádrokartonových desek dvouvrstvá zavěšená spodní konstrukce z ocelových profilů CD, UD jednoduše opláštěná deskou impregnovanou H2, tl. 12,5 mm, bez TI</t>
  </si>
  <si>
    <t>-1927609793</t>
  </si>
  <si>
    <t>132</t>
  </si>
  <si>
    <t>763131471</t>
  </si>
  <si>
    <t>Podhled ze sádrokartonových desek dvouvrstvá zavěšená spodní konstrukce z ocelových profilů CD, UD jednoduše opláštěná deskou impregnovanou protipožární DFH2, tl. 12,5 mm, bez TI</t>
  </si>
  <si>
    <t>-1809318715</t>
  </si>
  <si>
    <t>133</t>
  </si>
  <si>
    <t>763131712</t>
  </si>
  <si>
    <t>Podhled ze sádrokartonových desek ostatní práce a konstrukce na podhledech ze sádrokartonových desek napojení na jiný druh podhledu</t>
  </si>
  <si>
    <t>1418396178</t>
  </si>
  <si>
    <t>134</t>
  </si>
  <si>
    <t>763131713</t>
  </si>
  <si>
    <t>Podhled ze sádrokartonových desek ostatní práce a konstrukce na podhledech ze sádrokartonových desek napojení na obvodové konstrukce profilem</t>
  </si>
  <si>
    <t>1277602817</t>
  </si>
  <si>
    <t>135</t>
  </si>
  <si>
    <t>763131714</t>
  </si>
  <si>
    <t>Podhled ze sádrokartonových desek ostatní práce a konstrukce na podhledech ze sádrokartonových desek základní penetrační nátěr</t>
  </si>
  <si>
    <t>-938633805</t>
  </si>
  <si>
    <t>136</t>
  </si>
  <si>
    <t>763131721</t>
  </si>
  <si>
    <t>Podhled ze sádrokartonových desek ostatní práce a konstrukce na podhledech ze sádrokartonových desek skokové změny výšky podhledu do 0,5 m</t>
  </si>
  <si>
    <t>1231469160</t>
  </si>
  <si>
    <t>137</t>
  </si>
  <si>
    <t>763131722</t>
  </si>
  <si>
    <t>Podhled ze sádrokartonových desek ostatní práce a konstrukce na podhledech ze sádrokartonových desek skokové změny výšky podhledu přes 0,5 m</t>
  </si>
  <si>
    <t>1972300395</t>
  </si>
  <si>
    <t>138</t>
  </si>
  <si>
    <t>763131765</t>
  </si>
  <si>
    <t>Podhled ze sádrokartonových desek Příplatek k cenám za výšku zavěšení přes 0,5 do 1,0 m</t>
  </si>
  <si>
    <t>1979508560</t>
  </si>
  <si>
    <t>139</t>
  </si>
  <si>
    <t>763131821</t>
  </si>
  <si>
    <t>Demontáž podhledu nebo samostatného požárního předělu ze sádrokartonových desek s nosnou konstrukcí dvouvrstvou z ocelových profilů, opláštění jednoduché</t>
  </si>
  <si>
    <t>-238279882</t>
  </si>
  <si>
    <t xml:space="preserve">Poznámka k souboru cen:
1. Ceny -1811 a -1832 jsou stanoveny pro kompletní demontáž podhledu nebo samostatného požárního předělu, tj. nosné konstrukce, desek i tepelné izolace.
2. Ceny demontáže desek -2811 a -2812 jsou určeny pro odstranění pouze desek z nosné konstrukce podhledu.
</t>
  </si>
  <si>
    <t>140</t>
  </si>
  <si>
    <t>763135011</t>
  </si>
  <si>
    <t>Montáž sádrokartonového podhledu z desek děrovaných včetně zavěšené dvouvrstvé konstrukce z ocelových profilů CD, UD se spárami tmelenými</t>
  </si>
  <si>
    <t>716832900</t>
  </si>
  <si>
    <t xml:space="preserve">Poznámka k souboru cen:
1. V cenách montáže podhledu -5001 až -5201 jsou započteny náklady na montáž a dodávku nosné konstrukce.
2. V cenách nejsou započteny náklady na dodávku desek, kazet, lamel; jejich dodávka se oceňuje ve specifikaci.
3. Ostatní práce a konstrukce na sádrokartonových podhledech lze ocenit cenami 763 13-17. . .
</t>
  </si>
  <si>
    <t>141</t>
  </si>
  <si>
    <t>590305-P4</t>
  </si>
  <si>
    <t>deska SDK akustická děrovaná tl 12,5mm - dle požadavku viz popis P4</t>
  </si>
  <si>
    <t>-1571587794</t>
  </si>
  <si>
    <t>142</t>
  </si>
  <si>
    <t>763135811</t>
  </si>
  <si>
    <t>Demontáž podhledu sádrokartonového kazetového na zavěšeném na roštu viditelném</t>
  </si>
  <si>
    <t>-1624214609</t>
  </si>
  <si>
    <t xml:space="preserve">Poznámka k souboru cen:
1. V cenách demontáže podhledu -5801 až -5821 jsou započteny náklady na kompletní demontáž podhledu, tj. nosné konstrukce i panelů.
</t>
  </si>
  <si>
    <t>143</t>
  </si>
  <si>
    <t>763172311</t>
  </si>
  <si>
    <t>Instalační technika pro konstrukce ze sádrokartonových desek montáž revizních dvířek velikost 200 x 200 mm</t>
  </si>
  <si>
    <t>-892065237</t>
  </si>
  <si>
    <t xml:space="preserve">Poznámka k souboru cen:
1. V cenách montáže revizních klapek 763 17-1 a revizních dvířek 763 17-2 nejsou započteny náklady na jejich dodávku a dodávku pomocné konstrukce z profilů a spojek; tato dodávka se oceňuje ve specifikaci.
2. V cenách montáže nosičů zařizovacích předmětů 763 17-3  nejsou započteny náklady na jejich dodávku a dodávku spojovacího materiálu uchycení zařizovacích předmětů; tato dodávka se oceňuje ve specifikaci.
</t>
  </si>
  <si>
    <t>144</t>
  </si>
  <si>
    <t>59030710</t>
  </si>
  <si>
    <t>dvířka revizní s automatickým zámkem 200x200mm</t>
  </si>
  <si>
    <t>-1740839186</t>
  </si>
  <si>
    <t>145</t>
  </si>
  <si>
    <t>763172313</t>
  </si>
  <si>
    <t>Instalační technika pro konstrukce ze sádrokartonových desek montáž revizních dvířek velikost 400 x 400 mm</t>
  </si>
  <si>
    <t>376510174</t>
  </si>
  <si>
    <t>146</t>
  </si>
  <si>
    <t>59030712</t>
  </si>
  <si>
    <t>dvířka revizní s automatickým zámkem 400x400mm</t>
  </si>
  <si>
    <t>-965922097</t>
  </si>
  <si>
    <t>147</t>
  </si>
  <si>
    <t>763172315</t>
  </si>
  <si>
    <t>Instalační technika pro konstrukce ze sádrokartonových desek montáž revizních dvířek velikost 600 x 600 mm</t>
  </si>
  <si>
    <t>1910955219</t>
  </si>
  <si>
    <t>148</t>
  </si>
  <si>
    <t>59030714</t>
  </si>
  <si>
    <t>dvířka revizní s automatickým zámkem 600x600mm</t>
  </si>
  <si>
    <t>856531847</t>
  </si>
  <si>
    <t>149</t>
  </si>
  <si>
    <t>763431001</t>
  </si>
  <si>
    <t>Montáž podhledu minerálního včetně zavěšeného roštu viditelného s panely vyjímatelnými, velikosti panelů do 0,36 m2</t>
  </si>
  <si>
    <t>-2131891634</t>
  </si>
  <si>
    <t xml:space="preserve">Poznámka k souboru cen:
1. V cenách montáže podhledu -1001 až -1201 jsou započteny náklady na montáž a dodávku nosné konstrukce.
2. V cenách nejsou započteny náklady na dodávku panelů; jejich dodávka se oceňuje ve specifikaci.
3. Ostatní práce a konstrukce na minerálních podhledech lze ocenit cenami 763 13-17. . .
</t>
  </si>
  <si>
    <t>150</t>
  </si>
  <si>
    <t>590360-P1</t>
  </si>
  <si>
    <t>kazety 600x600mm -  rastrový podhled - dle požadavku viz popis P1</t>
  </si>
  <si>
    <t>819023299</t>
  </si>
  <si>
    <t>151</t>
  </si>
  <si>
    <t>7635</t>
  </si>
  <si>
    <t xml:space="preserve">Repase SDK podhledu - viz popis </t>
  </si>
  <si>
    <t>-603337567</t>
  </si>
  <si>
    <t>152</t>
  </si>
  <si>
    <t>998763301</t>
  </si>
  <si>
    <t>Přesun hmot pro konstrukce montované z desek sádrokartonových, sádrovláknitých, cementovláknitých nebo cementových stanovený z hmotnosti přesunovaného materiálu vodorovná dopravní vzdálenost do 50 m v objektech výšky do 6 m</t>
  </si>
  <si>
    <t>-2125025813</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</si>
  <si>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</si>
  <si>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153</t>
  </si>
  <si>
    <t>998763381</t>
  </si>
  <si>
    <t>Přesun hmot pro konstrukce montované z desek sádrokartonových, sádrovláknitých, cementovláknitých nebo cementových Příplatek k cenám za přesun prováděný bez použití mechanizace pro jakoukoliv výšku objektu</t>
  </si>
  <si>
    <t>-284334267</t>
  </si>
  <si>
    <t>766</t>
  </si>
  <si>
    <t>Konstrukce truhlářské</t>
  </si>
  <si>
    <t>154</t>
  </si>
  <si>
    <t>766691914-B</t>
  </si>
  <si>
    <t>Ostatní práce vyvěšení křídel dřevěných dveřních, plochy do 2 m2 vč. likvidace</t>
  </si>
  <si>
    <t>94060272</t>
  </si>
  <si>
    <t xml:space="preserve">Poznámka k souboru cen:
1. Ceny -1931 a -1932 lze užít jen pro křídlo mající současně obě jmenované funkce.
</t>
  </si>
  <si>
    <t>155</t>
  </si>
  <si>
    <t>766-B/2</t>
  </si>
  <si>
    <t>Demontáž veškerého stávajícího volného i vestavného nábytku a nepotřebného inventáře vč. odvozu a likvidace - viz popis B/1</t>
  </si>
  <si>
    <t>-817521748</t>
  </si>
  <si>
    <t>156</t>
  </si>
  <si>
    <t>766-T/01</t>
  </si>
  <si>
    <t>M+D Posuvné dveře 900/1970mm do pouzdra vč. atyp. obložkové zárubně, pouzdra, kování a všech doplňků - dle požadavku viz celý popis T/1</t>
  </si>
  <si>
    <t>532184726</t>
  </si>
  <si>
    <t>157</t>
  </si>
  <si>
    <t>766-T/02</t>
  </si>
  <si>
    <t>M+D Posuvné dveře 900/1970mm do pouzdra vč. obložkové zárubně, pouzdra, kování a všech doplňků - dle požadavku viz celý popis T/2</t>
  </si>
  <si>
    <t>-506781058</t>
  </si>
  <si>
    <t>158</t>
  </si>
  <si>
    <t>766-T/03</t>
  </si>
  <si>
    <t>M+D Dveře 900/1970mm vč. ocelové zárubně, kování a všech doplňků - dle požadavku viz celý popis T/3</t>
  </si>
  <si>
    <t>805736355</t>
  </si>
  <si>
    <t>159</t>
  </si>
  <si>
    <t>766-T/04</t>
  </si>
  <si>
    <t>M+D Dveře 800/1970mm vč. ocelové zárubně, kování a všech doplňků - dle požadavku viz celý popis T/4</t>
  </si>
  <si>
    <t>1103719847</t>
  </si>
  <si>
    <t>160</t>
  </si>
  <si>
    <t>766-T/05</t>
  </si>
  <si>
    <t>M+D Dveře 800/1970mm vč. ocelové zárubně, kování a všech doplňků - dle požadavku viz celý popis T/5</t>
  </si>
  <si>
    <t>-1205209203</t>
  </si>
  <si>
    <t>161</t>
  </si>
  <si>
    <t>766-T/06</t>
  </si>
  <si>
    <t>M+D Dveře 800/1970mm do stávajíí repasované zárubně vč. repase zárubně, kování a všech doplňků - dle požadavku viz celý popis T/6</t>
  </si>
  <si>
    <t>1274406891</t>
  </si>
  <si>
    <t>162</t>
  </si>
  <si>
    <t>766-T/07</t>
  </si>
  <si>
    <t>M+D Dveře 600/1970mm do stávajíí repasované zárubně vč. repase zárubně, kování a všech doplňků - dle požadavku viz celý popis T/7</t>
  </si>
  <si>
    <t>-272202206</t>
  </si>
  <si>
    <t>163</t>
  </si>
  <si>
    <t>766-T/08</t>
  </si>
  <si>
    <t>M+D Dveře 600/1970mm do stávajíí repasované zárubně vč. repase zárubně, kování a všech doplňků - dle požadavku viz celý popis T/8</t>
  </si>
  <si>
    <t>2107163144</t>
  </si>
  <si>
    <t>164</t>
  </si>
  <si>
    <t>766-T/09</t>
  </si>
  <si>
    <t>M+D Dveře 900/1970mm (provizorní dveře) vč. ocelové zárubně, kování a všech doplňků - dle požadavku viz celý popis T/9</t>
  </si>
  <si>
    <t>1493334449</t>
  </si>
  <si>
    <t>165</t>
  </si>
  <si>
    <t>766-Zs/2</t>
  </si>
  <si>
    <t xml:space="preserve">M+D ATYPICKÝ TRUHLÁŘSKÝ VÝROBEK
REPLIKA STÁVAJÍCÍCÍCH DVEŘÍ S POŽÁRNÍ ODOLNOSTÍ
Prosklené dveře dvoukřídlé se světlým průchodem 1698/2054 mm (dle stávajících), zasklené 
bezpečnostním PROTIPOŽÁRNÍM SKLEM.
Dřevo DB masiv povrchová úprava dle stávajících vstupních dveří do jídelny (VNĚJŠÍ CHODBA-01.23). Profilace křídla, zárubně, nadpraží dle stávajících.
Dodávka uvažována vč. SDK nadpraží. 
PODROBNÉ ŘEŠENÍ A VÝROBNÍ DOKUMENTACE BUDE KONZULTOVÁNA S AD A TDI, RESPEKTIVE NPÚ A OPP MHMP!!!
PŘESNÉ ROZMĚRY, MATERIÁLOVÉ A BAREVNÉ ŘEŠENÍ POVRCHOVÉ ÚPRAVY NUTNO OVĚŘIT NA STAVBĚ!!!
EI 30 DP3-C-K
Po dohodě s investorem, TDI a AD lze při prokázání požární odolnosti využít stávající dveře mezi 01.01-01.23. vč. zasklení, kování, polepů, atd. - dle požadavku viz celý popis Zs/2
</t>
  </si>
  <si>
    <t>361105405</t>
  </si>
  <si>
    <t>166</t>
  </si>
  <si>
    <t>998766101</t>
  </si>
  <si>
    <t>Přesun hmot pro konstrukce truhlářské stanovený z hmotnosti přesunovaného materiálu vodorovná dopravní vzdálenost do 50 m v objektech výšky do 6 m</t>
  </si>
  <si>
    <t>-814119278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</si>
  <si>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</si>
  <si>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167</t>
  </si>
  <si>
    <t>998766181</t>
  </si>
  <si>
    <t>Přesun hmot pro konstrukce truhlářské stanovený z hmotnosti přesunovaného materiálu Příplatek k ceně za přesun prováděný bez použití mechanizace pro jakoukoliv výšku objektu</t>
  </si>
  <si>
    <t>355717995</t>
  </si>
  <si>
    <t>767</t>
  </si>
  <si>
    <t>Konstrukce zámečnické</t>
  </si>
  <si>
    <t>168</t>
  </si>
  <si>
    <t>767112812</t>
  </si>
  <si>
    <t>Demontáž stěn a příček pro zasklení svařovaných</t>
  </si>
  <si>
    <t>966160246</t>
  </si>
  <si>
    <t>169</t>
  </si>
  <si>
    <t>767531111</t>
  </si>
  <si>
    <t>Montáž vstupních čistících zón z rohoží kovových nebo plastových</t>
  </si>
  <si>
    <t>2066013759</t>
  </si>
  <si>
    <t xml:space="preserve">Poznámka k souboru cen:
1. Cena -1111 je určena pro všechny typy rohoží kromě textilních, tj. hliníkové nebo plastové v kombinaci s různými typy kartáčů, kovové - škrabáky, pryžové, z vláken z plastických hmot, apod.
2. Textilní rohože se oceňují souborem cen 776 57-3 Montáž textilních čistících zón katalogu 800-776 Podlahy povlakové.
</t>
  </si>
  <si>
    <t>170</t>
  </si>
  <si>
    <t>69752003</t>
  </si>
  <si>
    <t>rohož vstupní provedení hliník super 27 mm</t>
  </si>
  <si>
    <t>491294409</t>
  </si>
  <si>
    <t>171</t>
  </si>
  <si>
    <t>767531121</t>
  </si>
  <si>
    <t>Montáž vstupních čistících zón z rohoží osazení rámu mosazného nebo hliníkového zapuštěného z L profilů</t>
  </si>
  <si>
    <t>1745148510</t>
  </si>
  <si>
    <t>172</t>
  </si>
  <si>
    <t>69752160</t>
  </si>
  <si>
    <t>rám pro zapuštění profil L-30/30 25/25 20/30 15/30-Al</t>
  </si>
  <si>
    <t>1719561424</t>
  </si>
  <si>
    <t>173</t>
  </si>
  <si>
    <t>767-Z/01</t>
  </si>
  <si>
    <t>M+D POKLOP REVIZNÍ ŠACHTY 600x600mm 
VČ. RÁMU 
Poklop určen pro zadláždění (s armovací sítí). Nosnost 1,5t. Výplň betonem B30 o síle 5 cm
Požární odolnost EI30, doložená štítkem - dle požadavku viz celý popis Z/1</t>
  </si>
  <si>
    <t>915921256</t>
  </si>
  <si>
    <t>174</t>
  </si>
  <si>
    <t>767-Z/02</t>
  </si>
  <si>
    <t xml:space="preserve">M+D Úhelník 60x60x6mm rastr pro kotvení podhledu vč. kotvení,povrchové úpravy (finální) a doplňků - dle požadavku viz celý popis Z/2 a výkaz statika </t>
  </si>
  <si>
    <t>kg</t>
  </si>
  <si>
    <t>1398945424</t>
  </si>
  <si>
    <t>767-Z/03</t>
  </si>
  <si>
    <t xml:space="preserve">M+D Jekl 50x50x4mm rámová kce vč. kotvení, povrchové úpravy a doplňků - dle požadavku viz celý popis Z/3 </t>
  </si>
  <si>
    <t>586083216</t>
  </si>
  <si>
    <t>176</t>
  </si>
  <si>
    <t>767-Z/06</t>
  </si>
  <si>
    <t>M+D POKLOP REVIZNÍ ŠACHTY 800x800mm 
VČ. RÁMU 
Poklop určen pro zadláždění (s armovací sítí). Nosnost 1,5t. Výplň betonem B30 o síle 5 cm
Požární odolnost EI30, doložená štítkem - dle požadavku viz celý popis Z/6</t>
  </si>
  <si>
    <t>233335530</t>
  </si>
  <si>
    <t>177</t>
  </si>
  <si>
    <t>767-Zs/1</t>
  </si>
  <si>
    <t>M+D ATYPICKÉ PROSKLENÉ DVEŘE
Prosklená hliníková skládací stěna.
Dvoukřídlé skládací dveře se světlým průchodem 1910/2037 mm (dle stávajících), zasklené bezpečnostním kaleným čirým sklem tl. 15 mm.
Tl. rámu 50 mm.
Povrchová úprava nerez brus - rám+zárubeň.
Dodávka uvažována vč. SDK nadpraží s nosným profilem pro kotvení vodící lišty skládacích dveří.
BEZ POŽADAVKU NA POŽÁRNÍ A BEZPEČNOSTNÍ ODOLNOST.
PODROBNÉ ŘEŠENÍ A VÝROBNÍ DOKUMENTACE BUDE KONZULTOVÁNA S AD A TDI, RESPEKTIVE NPÚ A OPP MHMP!!!
PŘESNÉ ROZMĚRY NUTNO OVĚŘIT NA STAVBĚ!!!
GARANCE: 60 měsíců, dílce podléhající opotřebení 24 měsíců.
KOTVENÍ: dle technologického postupu vybraného výrobce. vč. zasklení, kování, polepů, atd. - dle požadavku viz celý popis Zs/1</t>
  </si>
  <si>
    <t>-1061488141</t>
  </si>
  <si>
    <t>178</t>
  </si>
  <si>
    <t>998767101</t>
  </si>
  <si>
    <t>Přesun hmot pro zámečnické konstrukce stanovený z hmotnosti přesunovaného materiálu vodorovná dopravní vzdálenost do 50 m v objektech výšky do 6 m</t>
  </si>
  <si>
    <t>226830039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</si>
  <si>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</si>
  <si>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179</t>
  </si>
  <si>
    <t>998767181</t>
  </si>
  <si>
    <t>Přesun hmot pro zámečnické konstrukce stanovený z hmotnosti přesunovaného materiálu Příplatek k cenám za přesun prováděný bez použití mechanizace pro jakoukoliv výšku objektu</t>
  </si>
  <si>
    <t>1408357171</t>
  </si>
  <si>
    <t>771</t>
  </si>
  <si>
    <t>Podlahy z dlaždic</t>
  </si>
  <si>
    <t>180</t>
  </si>
  <si>
    <t>771111011</t>
  </si>
  <si>
    <t>Příprava podkladu před provedením dlažby vysátí podlah</t>
  </si>
  <si>
    <t>-149442301</t>
  </si>
  <si>
    <t xml:space="preserve">Poznámka k souboru cen:
1. V cenách 771 12-1011 až 771 12-1015 jsou započteny i náklady na dodání nátěru.
2. V cenách 771 15-1011 až 771 15-1026 jsou započteny i náklady na dodání stěrky.
3. V cenách 771 16-1011 až -1023 nejsou započteny náklady na materiál, tyto se oceňují ve specifikaci.
</t>
  </si>
  <si>
    <t>181</t>
  </si>
  <si>
    <t>771121011</t>
  </si>
  <si>
    <t>Příprava podkladu před provedením dlažby nátěr penetrační na podlahu</t>
  </si>
  <si>
    <t>-1160674013</t>
  </si>
  <si>
    <t>182</t>
  </si>
  <si>
    <t>771161021</t>
  </si>
  <si>
    <t>Příprava podkladu před provedením dlažby montáž profilu ukončujícího profilu pro plynulý přechod (dlažba-koberec apod.)</t>
  </si>
  <si>
    <t>1150934967</t>
  </si>
  <si>
    <t>183</t>
  </si>
  <si>
    <t>DOD-PL/2</t>
  </si>
  <si>
    <t>Přechodová a dilatační lišta dlažba+dlažba hliník přírodní matný eloxovaný - dle požadavků viz popis PL/2</t>
  </si>
  <si>
    <t>-1103501430</t>
  </si>
  <si>
    <t>184</t>
  </si>
  <si>
    <t>DOD-PL/3</t>
  </si>
  <si>
    <t>Přechodová lišta T pvc-pvc hliník přírodní matný eloxovaný - dle požadavků viz popis PL/3</t>
  </si>
  <si>
    <t>178876919</t>
  </si>
  <si>
    <t>185</t>
  </si>
  <si>
    <t>DOD-PL/4</t>
  </si>
  <si>
    <t>Přechodová lišta Z pvc-dlažba hliník přírodní matný eloxovaný - dle požadavků viz popis PL/4</t>
  </si>
  <si>
    <t>557600034</t>
  </si>
  <si>
    <t>186</t>
  </si>
  <si>
    <t>771161022-</t>
  </si>
  <si>
    <t>Příprava podkladu před provedením dlažby montáž profilu ukončujícího profilu ukončení dlažby</t>
  </si>
  <si>
    <t>-1829541282</t>
  </si>
  <si>
    <t>187</t>
  </si>
  <si>
    <t>DOD-PL/1</t>
  </si>
  <si>
    <t>Přechodová lišta L teraco-dlažba hliník přírodní matný eloxovaný - dle požadavků viz popis PL/1</t>
  </si>
  <si>
    <t>374536488</t>
  </si>
  <si>
    <t>188</t>
  </si>
  <si>
    <t>77147411-S</t>
  </si>
  <si>
    <t xml:space="preserve">Montáž soklů z dlaždic keramických lepených flexibilním lepidlem rovných - dle požadavku a druhu dlažby </t>
  </si>
  <si>
    <t>915389578</t>
  </si>
  <si>
    <t>189</t>
  </si>
  <si>
    <t>597-Sk/1</t>
  </si>
  <si>
    <t>sokl-dlažba keramická - dle popisu Sk/1</t>
  </si>
  <si>
    <t>-125798929</t>
  </si>
  <si>
    <t>597-Sk/2</t>
  </si>
  <si>
    <t>sokl-dlažba keramická - dle popisu Sk/2</t>
  </si>
  <si>
    <t>1194264539</t>
  </si>
  <si>
    <t>191</t>
  </si>
  <si>
    <t>597-Sk/3</t>
  </si>
  <si>
    <t>sokl-dlažba keramická - dle popisu Sk/3</t>
  </si>
  <si>
    <t>1223060483</t>
  </si>
  <si>
    <t>192</t>
  </si>
  <si>
    <t>597-Sk/4</t>
  </si>
  <si>
    <t>sokl-dlažba keramická - dle popisu Sk/4</t>
  </si>
  <si>
    <t>-1833904526</t>
  </si>
  <si>
    <t>193</t>
  </si>
  <si>
    <t>597-Sk/5</t>
  </si>
  <si>
    <t>sokl-dlažba keramická - dle popisu Sk/5</t>
  </si>
  <si>
    <t>-1856643927</t>
  </si>
  <si>
    <t>194</t>
  </si>
  <si>
    <t>597-Sk/6</t>
  </si>
  <si>
    <t>sokl-dlažba keramická - dle popisu Sk/6</t>
  </si>
  <si>
    <t>1745440230</t>
  </si>
  <si>
    <t>195</t>
  </si>
  <si>
    <t>771571810</t>
  </si>
  <si>
    <t>Demontáž podlah z dlaždic keramických kladených do malty</t>
  </si>
  <si>
    <t>-1280416974</t>
  </si>
  <si>
    <t>196</t>
  </si>
  <si>
    <t>771574261</t>
  </si>
  <si>
    <t>Montáž podlah z dlaždic keramických lepených flexibilním lepidlem velkoformátových pro vysoké mechanické zatížení protiskluzných nebo reliéfních (bezbariérových) přes 2 do 4 ks/m2</t>
  </si>
  <si>
    <t>-231563865</t>
  </si>
  <si>
    <t xml:space="preserve">Poznámka k souboru cen:
1. Položky jsou učeny pro všechy druhy povrchových úprav.
</t>
  </si>
  <si>
    <t>197</t>
  </si>
  <si>
    <t>597-D2</t>
  </si>
  <si>
    <t xml:space="preserve">Keramická slinutá matná protiskluzová rektifikovaná dlažba
Jmenovitý rozměr: 60x60 cm
Deklarovaný rozměr: 598x598x10 mm
Nasákavost: E&lt;0,3%; jedn.max 0,4%
Pevnost v ohybu: Min. 40 N/mm2, Jedn.min. 32 N/mm2
Lomové zatížení: ≥ 7,5 mm min. 1500 N; ≥ 20 mm min. 11000 N
Obrusnost: Max. 135 mm3
Protiskluznost: R10/B
barva: imitace tmavého teraca (různobarevná zrna na tmavě šedém podkladu) dle stávajícího v chodbě jídelny
Spárování:
- Flexibilní spárovací hmota - voděodolná, flexibilní spárovací hmota na spárování keramických obkladů a dlažeb, včetně gresové, na spáry se šířkou do 8 mm
- tloušťka spáry: 2mm
- barva spáry: světle šedá
- impregnace spar - silikonová impregnace pro spáry i dlažby - transparentní bezrozpouštědlová impregnace pro izolaci a utěsnění spár i obkladů a dlažeb na balkónech a terasách, v koupelnách a ve sprchách
- pro utěsnění svislých a vodorovných dilatačních spar bude použit těsnicí acetátový tmel k vyplnění dilatačních spár mezi obklady a dlažbami v interiéru i exteriéru
Vysoce flexibilní lepidlo pro lepení velkoformátových obkladů a dlažeb
- směs cementů s minerálními plnivy a modifikátory
- sypká hmotnost 1,07 kg/dm3
- tepelná odolnost: od –30 °C do +70 °C
- přídržnost ≥ 1,0 Mpa ve všech situacích
</t>
  </si>
  <si>
    <t>2118406246</t>
  </si>
  <si>
    <t>198</t>
  </si>
  <si>
    <t>597-D3</t>
  </si>
  <si>
    <t xml:space="preserve">Keramická slinutá matná protiskluzová rektifikovaná dlažba
Jmenovitý rozměr: 60x60 cm
Deklarovaný rozměr: 598x598x10 mm
Nasákavost: E&lt;0,3%; jedn.max 0,4%
Pevnost v ohybu: Min. 40 N/mm2, Jedn.min. 32 N/mm2
Lomové zatížení: ≥ 7,5 mm min. 1500 N; ≥ 20 mm min. 11000 N
Obrusnost: Max. 135 mm3
Protiskluznost: R10/B
barva: imitace tmavého teraca (různobarevná zrna na tmavě šedém podkladu) dle stávajícího v chodbě jídelny
Spárování:
- Flexibilní spárovací hmota - voděodolná, flexibilní spárovací hmota na spárování keramických obkladů a dlažeb, včetně gresové, na spáry se šířkou do 8 mm
- tloušťka spáry: 2mm
- barva spáry: světle šedá
- impregnace spar - silikonová impregnace pro spáry i dlažby - transparentní bezrozpouštědlová impregnace pro izolaci a utěsnění spár i obkladů a dlažeb na balkónech a terasách, v koupelnách a ve sprchách
- pro utěsnění svislých a vodorovných dilatačních spar bude použit těsnicí acetátový tmel k vyplnění dilatačních spár mezi obklady a dlažbami v interiéru i exteriéru
Vysoce flexibilní lepidlo pro lepení velkoformátových obkladů a dlažeb
- směs cementů s minerálními plnivy a modifikátory
- sypká hmotnost 1,07 kg/dm3
- tepelná odolnost: od –30 °C do +70 °C
- přídržnost ≥ 1,0 Mpa ve všech situacích
</t>
  </si>
  <si>
    <t>-1103163484</t>
  </si>
  <si>
    <t>199</t>
  </si>
  <si>
    <t>771574263</t>
  </si>
  <si>
    <t>Montáž podlah z dlaždic keramických lepených flexibilním lepidlem maloformátových pro vysoké mechanické zatížení protiskluzných nebo reliéfních (bezbariérových) přes 9 do 12 ks/m2</t>
  </si>
  <si>
    <t>-30976143</t>
  </si>
  <si>
    <t>200</t>
  </si>
  <si>
    <t>597-D1</t>
  </si>
  <si>
    <t xml:space="preserve">Keramická slinutá matná protiskluzová dlažba
Jmenovitý rozměr: 30x30 cm
Deklarovaný rozměr: 298x298x8 mm
Nasákavost: E&lt;0,3%; jedn.max 0,4%
Pevnost v ohybu: Min. 40 N/mm2, Jedn.min. 32 N/mm2
Lomové zatížení: ≥ 7,5 mm min. 1500 N; ≥ 20 mm min. 11000 N
Obrusnost: Max. 135 mm3
Protiskluznost: R10/B
Barva: imitace granitu, světle šedá
Spárování:
- Flexibilní spárovací hmota - voděodolná, flexibilní spárovací hmota na spárování keramických obkladů a dlažeb, včetně gresové, na spáry se šířkou do 8 mm
- tloušťka spáry 3 mm
- barva spáry světle šedá
- impregnace spar - silikonová impregnace pro spáry i dlažby - transparentní bezrozpouštědlová impregnace pro izolaci a utěsnění spár i obkladů a dlažeb na balkónech a terasách, v koupelnách a ve sprchách
- pro utěsnění svislých a vodorovných dilatačních spar bude použit těsnicí acetátový tmel k vyplnění dilatačních spár mezi obklady a dlažbami v interiéru i exteriéru
Flexibilní lepidlo pro celoplošné lepení
- směs cementů s minerálními plnivy a modifikátory
- sypká hmotnost 1,2 kg/dm3
- tepelná odolnost: od –30 °C do +70 °C
- přídržnost ≥ 1,0 Mpa ve všech situacích
</t>
  </si>
  <si>
    <t>-1555394464</t>
  </si>
  <si>
    <t>201</t>
  </si>
  <si>
    <t>771574266</t>
  </si>
  <si>
    <t>Montáž podlah z dlaždic keramických lepených flexibilním lepidlem maloformátových pro vysoké mechanické zatížení protiskluzných nebo reliéfních (bezbariérových) přes 22 do 25 ks/m2</t>
  </si>
  <si>
    <t>2081660810</t>
  </si>
  <si>
    <t>202</t>
  </si>
  <si>
    <t>597-D4</t>
  </si>
  <si>
    <t xml:space="preserve">Keramická slinutá matná reliéfní (trojúhelníky proti sobě) dlažba
Jmenovitý rozměr: 20x20 cm
Deklarovaný rozměr: 198x198x9 mm
Nasákavost: E&lt;0,3%; jedn.max 0,4%
Pevnost v ohybu: Min. 40 N/mm2, Jedn.min. 32 N/mm2
Lomové zatížení: ≥ 7,5 mm min. 1500 N; ≥ 20 mm min. 11000 N
Obrusnost: Max. 135 mm3
Protiskluznost: R12 /B /V4
barva: béžová/písková
Spárování:
- Flexibilní spárovací hmota - voděodolná, flexibilní spárovací hmota na spárování keramických obkladů a dlažeb, včetně gresové, na spáry se šířkou do 8 mm
- tloušťka spáry: 2mm
- barva spáry: světle béžová
- impregnace spar - silikonová impregnace pro spáry i dlažby - transparentní bezrozpouštědlová impregnace pro izolaci a utěsnění spár i obkladů a dlažeb na balkónech a terasách, v koupelnách a ve sprchách
- pro utěsnění svislých a vodorovných dilatačních spar bude použit těsnicí acetátový tmel k vyplnění dilatačních spár mezi obklady a dlažbami v interiéru i exteriéru
Flexibilní lepidlo pro celoplošné lepení
- směs cementů s minerálními plnivy a modifikátory
- sypká hmotnost 1,2 kg/dm3
- tepelná odolnost: od –30 °C do +70 °C
- přídržnost ≥ 1,0 Mpa ve všech situacích
</t>
  </si>
  <si>
    <t>841016738</t>
  </si>
  <si>
    <t>203</t>
  </si>
  <si>
    <t>597-D5</t>
  </si>
  <si>
    <t xml:space="preserve">Keramická slinutá matná reliéfní (trojúhelníky proti sobě) dlažba
Jmenovitý rozměr: 20x20 cm
Deklarovaný rozměr: 198x198x9 mm
Nasákavost: E&lt;0,3%; jedn.max 0,4%
Pevnost v ohybu: Min. 40 N/mm2, Jedn.min. 32 N/mm2
Lomové zatížení: ≥ 7,5 mm min. 1500 N; ≥ 20 mm min. 11000 N
Obrusnost: Max. 135 mm3
Protiskluznost: R12 /B /V4
barva: šedá, dle dlažby v jídelně (D2), ale bez typických zrn teraca
Spárování:
- Flexibilní spárovací hmota - voděodolná, flexibilní spárovací hmota na spárování keramických obkladů a dlažeb, včetně gresové, na spáry se šířkou do 8 mm
- tloušťka spáry: 2mm
- barva spáry: světle béžová
- impregnace spar - silikonová impregnace pro spáry i dlažby - transparentní bezrozpouštědlová impregnace pro izolaci a utěsnění spár i obkladů a dlažeb na balkónech a terasách, v koupelnách a ve sprchách
- pro utěsnění svislých a vodorovných dilatačních spar bude použit těsnicí acetátový tmel k vyplnění dilatačních spár mezi obklady a dlažbami v interiéru i exteriéru
Flexibilní lepidlo pro celoplošné lepení
- směs cementů s minerálními plnivy a modifikátory
- sypká hmotnost 1,2 kg/dm3
- tepelná odolnost: od –30 °C do +70 °C
- přídržnost ≥ 1,0 Mpa ve všech situacích
</t>
  </si>
  <si>
    <t>1291346447</t>
  </si>
  <si>
    <t>204</t>
  </si>
  <si>
    <t>597-D6</t>
  </si>
  <si>
    <t xml:space="preserve">Keramická hutná matná reliéfní dlažba
Jmenovitý rozměr: 20x20 cm
Deklarovaný rozměr: 198x198x7 mm
Nasákavost: E&lt;2,5%;jedn.max 3,0%
Pevnost v ohybu: Min. 30 N/mm2, Jedn.min. 27 N/mm2
Lomové zatížení: ≥ 7,5 mm min. 1100 N; &lt;7,5 mm min. 700 N
Otěruvzdornost: PEI 4
Protiskluznost: R10 /B
barva: antracitově šedá, RAL 0004000
Spárování:
- Flexibilní spárovací hmota - voděodolná, flexibilní spárovací hmota na spárování keramických obkladů a dlažeb, včetně gresové, na spáry se šířkou do 8 mm
- tloušťka spáry: 2 mm
- barva spáry: světle béžová
- impregnace spar - silikonová impregnace pro spáry i dlažby - transparentní bezrozpouštědlová impregnace pro izolaci a utěsnění spár i obkladů a dlažeb na balkónech a terasách, v koupelnách a ve sprchách
- pro utěsnění svislých a vodorovných dilatačních spar bude použit těsnicí acetátový tmel k vyplnění dilatačních spár mezi obklady a dlažbami v interiéru i exteriéru
Flexibilní lepidlo pro celoplošné lepení
- směs cementů s minerálními plnivy a modifikátory
- sypká hmotnost 1,2 kg/dm3
- tepelná odolnost: od –30 °C do +70 °C
- přídržnost ≥ 1,0 Mpa ve všech situacích
</t>
  </si>
  <si>
    <t>-2044853359</t>
  </si>
  <si>
    <t>205</t>
  </si>
  <si>
    <t>771591115</t>
  </si>
  <si>
    <t>Podlahy - dokončovací práce spárování silikonem</t>
  </si>
  <si>
    <t>-127987288</t>
  </si>
  <si>
    <t xml:space="preserve">Poznámka k souboru cen:
1. Množství měrných jednotek u ceny -1185 se stanoví podle počtu řezaných dlaždic, nezávisle na jejich velikosti.
2. Ceny 771 59-1115 až -1123 obsahují náklady i na materiál.
3. Položku -1185 lze použít při nuceném použítí jiného nástroje než řezačky.
</t>
  </si>
  <si>
    <t>206</t>
  </si>
  <si>
    <t>771591185</t>
  </si>
  <si>
    <t>Podlahy - dokončovací práce pracnější řezání dlaždic keramických rovné</t>
  </si>
  <si>
    <t>1059953682</t>
  </si>
  <si>
    <t>207</t>
  </si>
  <si>
    <t>771592011</t>
  </si>
  <si>
    <t>Čištění vnitřních ploch po položení dlažby podlah nebo schodišť chemickými prostředky</t>
  </si>
  <si>
    <t>-1559219135</t>
  </si>
  <si>
    <t>208</t>
  </si>
  <si>
    <t>998771101</t>
  </si>
  <si>
    <t>Přesun hmot pro podlahy z dlaždic stanovený z hmotnosti přesunovaného materiálu vodorovná dopravní vzdálenost do 50 m v objektech výšky do 6 m</t>
  </si>
  <si>
    <t>-1667020050</t>
  </si>
  <si>
    <t>209</t>
  </si>
  <si>
    <t>998771181</t>
  </si>
  <si>
    <t>Přesun hmot pro podlahy z dlaždic stanovený z hmotnosti přesunovaného materiálu Příplatek k ceně za přesun prováděný bez použití mechanizace pro jakoukoliv výšku objektu</t>
  </si>
  <si>
    <t>160098919</t>
  </si>
  <si>
    <t>773</t>
  </si>
  <si>
    <t>Podlahy z litého teraca</t>
  </si>
  <si>
    <t>210</t>
  </si>
  <si>
    <t>77351126-Te/1</t>
  </si>
  <si>
    <t xml:space="preserve">Podlahy z přírodního litého teraca vč. soklu - viz celý popis Te1
Plnoplošná teracová litá podlaha vč. soklu (R/11). Sokl dle teraca.
Barva ve tmavém odstínu dle stávajícího teraca, oddělenou páskem bílých mramorových kostiček. Teracový sokl výšky 150 mm s požlábkem o poloměru 20 mm bude zapuštěn do líce omítky a bude proveden v místech, kde na podlahu nenavazuje keramický obklad stěn. Napojení na původní teraco - původní teraco bude zaříznuto diamantovým kotoučem a dolito do roviny. Prahy se nebudou realizovat, nutno dohodnout na stavbě dle skutečných výškových poměrů dle odbourání podlahy.
Teracový sokl v místě budoucích obložek bude vynechán, nebo dodatečně šetrně vyříznut před montáží dveří. Veškeré teraco povrchy budou před předáním k užívání nataženy voskovou penetrací. Dodavatel předá pokyny k údržbě teraca. </t>
  </si>
  <si>
    <t>478541190</t>
  </si>
  <si>
    <t>211</t>
  </si>
  <si>
    <t>583-Te1</t>
  </si>
  <si>
    <t>teracová drť - dle požadavku - viz popis Te1</t>
  </si>
  <si>
    <t>1395948139</t>
  </si>
  <si>
    <t>212</t>
  </si>
  <si>
    <t>998773101</t>
  </si>
  <si>
    <t>Přesun hmot pro podlahy teracové lité stanovený z hmotnosti přesunovaného materiálu vodorovná dopravní vzdálenost do 50 m v objektech výšky do 6 m</t>
  </si>
  <si>
    <t>-1534633183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</si>
  <si>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</si>
  <si>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213</t>
  </si>
  <si>
    <t>998773181</t>
  </si>
  <si>
    <t>Přesun hmot pro podlahy teracové lité stanovený z hmotnosti přesunovaného materiálu Příplatek k cenám za přesun prováděný bez použití mechanizace pro jakoukoliv výšku objektu</t>
  </si>
  <si>
    <t>1266798150</t>
  </si>
  <si>
    <t>776</t>
  </si>
  <si>
    <t>Podlahy povlakové</t>
  </si>
  <si>
    <t>214</t>
  </si>
  <si>
    <t>776111111</t>
  </si>
  <si>
    <t>Příprava podkladu broušení podlah nového podkladu anhydritového</t>
  </si>
  <si>
    <t>1324333080</t>
  </si>
  <si>
    <t xml:space="preserve">Poznámka k souboru cen: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</si>
  <si>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215</t>
  </si>
  <si>
    <t>776111311</t>
  </si>
  <si>
    <t>Příprava podkladu vysátí podlah</t>
  </si>
  <si>
    <t>-1895173742</t>
  </si>
  <si>
    <t>216</t>
  </si>
  <si>
    <t>776121311</t>
  </si>
  <si>
    <t>Příprava podkladu penetrace vodou ředitelná na savý podklad (válečkováním) ředěná v poměru 1:1 podlah</t>
  </si>
  <si>
    <t>640314935</t>
  </si>
  <si>
    <t>217</t>
  </si>
  <si>
    <t>776251111</t>
  </si>
  <si>
    <t>Montáž podlahovin z přírodního linolea (marmolea) lepením standardním lepidlem z pásů standardních</t>
  </si>
  <si>
    <t>-431117717</t>
  </si>
  <si>
    <t>218</t>
  </si>
  <si>
    <t>607-V1</t>
  </si>
  <si>
    <t xml:space="preserve">Přírodní linoleum - role - BARVA: šedá (imitace betonu)
Výrobek typu - Jednovrstvé dekorativní linoleum na pěnové podložce (EN 686)
Komerční použití ISO 10874 vysoká
Průmyslové použití ISO 10874 mírná
typ formátu - Role
Povrchová úprava - XF2, tvrzený polyuretan
Celková tloušťka ISO 24346 2,8 mm
Celková hmotnost ISO 23997 3450 g/m²
Flexibilita ISO 24344 Method A ≤ 30 mm ⌀
Metoda pokládky - lepené
Reakce na oheň EN 13501-1 Cfl-s1
Protiskluznost EN 13893 Třída DS (µ ≥ 0,30)
Protiskluznost DIN 51130 R9
Elektrický náboj EN 1815 Antistatic (≤ 2 kV)
Zvuková izolace - ∆Lw EN ISO 717-2 18 dB
Třída kročejového hluku EN 16205 Třída A (≤ 65 dB)
Židle s pojezdovými kolečky ISO 4918 Bez poškození
Celkový recyklovaný obsah - 40 %
Obsah ftalátů CEN ISO/TS 16181 100% bez ftalátů
Spojování šňůrou stejné barvy
Flexibilní lepidlo pro celoplošné lepení
- směs cementů s minerálními plnivy a modifikátory
- sypká hmotnost 1,2 kg/dm3
- tepelná odolnost: od –30 °C do +70 °C
- přídržnost ≥ 1,0 Mpa ve všech situacích
</t>
  </si>
  <si>
    <t>1476289885</t>
  </si>
  <si>
    <t>219</t>
  </si>
  <si>
    <t>776251411</t>
  </si>
  <si>
    <t>Montáž podlahovin z přírodního linolea (marmolea) spoj podlah svařováním za tepla</t>
  </si>
  <si>
    <t>-968531997</t>
  </si>
  <si>
    <t>220</t>
  </si>
  <si>
    <t>776421111</t>
  </si>
  <si>
    <t>Montáž lišt obvodových lepených</t>
  </si>
  <si>
    <t>-1757213772</t>
  </si>
  <si>
    <t>221</t>
  </si>
  <si>
    <t>DOD-PL</t>
  </si>
  <si>
    <t>Lišta pro přírodní linoleum</t>
  </si>
  <si>
    <t>-1237013437</t>
  </si>
  <si>
    <t>222</t>
  </si>
  <si>
    <t>776991111</t>
  </si>
  <si>
    <t>Ostatní práce spárování silikonem</t>
  </si>
  <si>
    <t>337162751</t>
  </si>
  <si>
    <t xml:space="preserve">Poznámka k souboru cen:
1. V ceně 776 99-1121 jsou započteny náklady na vysátí podlahy a setření vlhkým mopem.
2. V ceně 776 99-1141 jsou započteny i náklady na dodání pasty.
</t>
  </si>
  <si>
    <t>223</t>
  </si>
  <si>
    <t>776991121</t>
  </si>
  <si>
    <t>Ostatní práce údržba nových podlahovin po pokládce čištění základní</t>
  </si>
  <si>
    <t>-1974974677</t>
  </si>
  <si>
    <t>224</t>
  </si>
  <si>
    <t>776991141</t>
  </si>
  <si>
    <t>Ostatní práce údržba nových podlahovin po pokládce pastování a leštění ručně</t>
  </si>
  <si>
    <t>-1018908520</t>
  </si>
  <si>
    <t>225</t>
  </si>
  <si>
    <t>998776101</t>
  </si>
  <si>
    <t>Přesun hmot pro podlahy povlakové stanovený z hmotnosti přesunovaného materiálu vodorovná dopravní vzdálenost do 50 m v objektech výšky do 6 m</t>
  </si>
  <si>
    <t>228816643</t>
  </si>
  <si>
    <t>226</t>
  </si>
  <si>
    <t>998776181</t>
  </si>
  <si>
    <t>Přesun hmot pro podlahy povlakové stanovený z hmotnosti přesunovaného materiálu Příplatek k cenám za přesun prováděný bez použití mechanizace pro jakoukoliv výšku objektu</t>
  </si>
  <si>
    <t>1241544943</t>
  </si>
  <si>
    <t>781</t>
  </si>
  <si>
    <t>Dokončovací práce - obklady</t>
  </si>
  <si>
    <t>227</t>
  </si>
  <si>
    <t>781111011</t>
  </si>
  <si>
    <t>Příprava podkladu před provedením obkladu oprášení (ometení) stěny</t>
  </si>
  <si>
    <t>-1918937910</t>
  </si>
  <si>
    <t xml:space="preserve">Poznámka k souboru cen:
1. V cenách 781 12-1011 až -1015 jsou započteny i náklady na materiál.
2. V cenách 781 15-1011 až -1041 jsou započteny i náklady na materiál.
3. Lokalní vyrovnání podkladu tloušťky vetší než 3 mm se oceňuje cenami souboru cen Vyrovnání podkladu vnitřních omítaných ploch katalogu 801-4 Budovy a haly - opravy a údržba.
4. V cenách 781 16-1011 až -1023 nejsou započteny náklady na materiál, tyto se oceňují ve specifikaci.
</t>
  </si>
  <si>
    <t>228</t>
  </si>
  <si>
    <t>781121011</t>
  </si>
  <si>
    <t>Příprava podkladu před provedením obkladu nátěr penetrační na stěnu</t>
  </si>
  <si>
    <t>-525061548</t>
  </si>
  <si>
    <t>229</t>
  </si>
  <si>
    <t>781161021</t>
  </si>
  <si>
    <t xml:space="preserve">Příprava podkladu před provedením obkladu montáž profilu ukončujícího profilu rohového, </t>
  </si>
  <si>
    <t>-301766840</t>
  </si>
  <si>
    <t>230</t>
  </si>
  <si>
    <t>DOD-L/1</t>
  </si>
  <si>
    <t>Lišta ukončovací "L" hliník přírodní matný eloxovaný - dle požadavku viz popis L/1</t>
  </si>
  <si>
    <t>-1461341629</t>
  </si>
  <si>
    <t>231</t>
  </si>
  <si>
    <t>781471810</t>
  </si>
  <si>
    <t>Demontáž obkladů z dlaždic keramických kladených do malty</t>
  </si>
  <si>
    <t>-1316581866</t>
  </si>
  <si>
    <t>232</t>
  </si>
  <si>
    <t>781474115</t>
  </si>
  <si>
    <t>Montáž obkladů vnitřních stěn z dlaždic keramických lepených flexibilním lepidlem maloformátových hladkých přes 22 do 25 ks/m2</t>
  </si>
  <si>
    <t>1721804335</t>
  </si>
  <si>
    <t xml:space="preserve">Poznámka k souboru cen:
1. Položky jsou určeny pro všechny druhy povrchových úprav.
</t>
  </si>
  <si>
    <t>233</t>
  </si>
  <si>
    <t>597-O2</t>
  </si>
  <si>
    <t xml:space="preserve">Keramická glazovaná hladká matná obkládačka
Jmenovitý rozměr: 20x20 cm
Deklarovaný rozměr: 198x198x6 mm
Nasákavost: E=10-20%
Pevnost v ohybu:  ≥ 7,5 mm min.15 N/mm2; &lt; 7,5 mm min.12N/mm2
Lomové zatížení: ≥ 7,5 mm min. 600 N; &lt; 7,5 mm min. 200 N
Barva: bílá
Spárování:
- Flexibilní spárovací hmota - voděodolná, flexibilní spárovací hmota na spárování keramických obkladů a dlažeb, včetně gresové, na spáry se šířkou do 8 mm 
- tloušťka spáry 2mm
- barva spáry bílá
- impregnace spar - silikonová impregnace pro spáry i dlažby - transparentní bezrozpouštědlová impregnace pro izolaci a utěsnění spár i obkladů a dlažeb na balkónech a terasách, v koupelnách a ve sprchách
- pro utěsnění svislých a vodorovných dilatačních spar bude použit těsnicí acetátový tmel k vyplnění dilatačních spár mezi obklady a dlažbami v interiéru i exteriéru
Flexibilní lepidlo pro celoplošné lepení
- směs cementů s minerálními plnivy a modifikátory
- sypká hmotnost 1,2 kg/dm3
- tepelná odolnost: od –30 °C do +70 °C
- přídržnost ≥ 1,0 Mpa ve všech situacích
</t>
  </si>
  <si>
    <t>396928649</t>
  </si>
  <si>
    <t>234</t>
  </si>
  <si>
    <t>597-O3</t>
  </si>
  <si>
    <t xml:space="preserve">Keramická glazovaná hladká matná obkládačka
Jmenovitý rozměr: 20x20 cm
Deklarovaný rozměr: 198x198x6 mm
Nasákavost: E=10-20%
Pevnost v ohybu:  ≥ 7,5 mm min.15 N/mm2; &lt; 7,5 mm min.12N/mm2
Lomové zatížení: ≥ 7,5 mm min. 600 N; &lt; 7,5 mm min. 200 N
Barva: bílá
Spárování:
- Flexibilní spárovací hmota - voděodolná, flexibilní spárovací hmota na spárování keramických obkladů a dlažeb, včetně gresové, na spáry se šířkou do 8 mm 
- tloušťka spáry 2mm
- barva spáry bílá
- impregnace spar - silikonová impregnace pro spáry i dlažby - transparentní bezrozpouštědlová impregnace pro izolaci a utěsnění spár i obkladů a dlažeb na balkónech a terasách, v koupelnách a ve sprchách
- pro utěsnění svislých a vodorovných dilatačních spar bude použit těsnicí acetátový tmel k vyplnění dilatačních spár mezi obklady a dlažbami v interiéru i exteriéru
Flexibilní lepidlo pro celoplošné lepení
- směs cementů s minerálními plnivy a modifikátory
- sypká hmotnost 1,2 kg/dm3
- tepelná odolnost: od –30 °C do +70 °C
- přídržnost ≥ 1,0 Mpa ve všech situacích
</t>
  </si>
  <si>
    <t>1593857968</t>
  </si>
  <si>
    <t>235</t>
  </si>
  <si>
    <t>597-O4</t>
  </si>
  <si>
    <t xml:space="preserve">Keramická glazovaná hladká lesklá obkládačka
Jmenovitý rozměr: 20x20 cm
Deklarovaný rozměr: 198x198x6 mm
Nasákavost: E=10-20%
Pevnost v ohybu:  ≥ 7,5 mm min.15 N/mm2; &lt; 7,5 mm min.12N/mm2
Lomové zatížení: ≥ 7,5 mm min. 600 N; &lt; 7,5 mm min. 200 N
Barva: bílá
Spárování:
- Flexibilní spárovací hmota - voděodolná, flexibilní spárovací hmota na spárování keramických obkladů a dlažeb, včetně gresové, na spáry se šířkou do 8 mm 
- tloušťka spáry 2mm
- barva spáry bílá
- impregnace spar - silikonová impregnace pro spáry i dlažby - transparentní bezrozpouštědlová impregnace pro izolaci a utěsnění spár i obkladů a dlažeb na balkónech a terasách, v koupelnách a ve sprchách
- pro utěsnění svislých a vodorovných dilatačních spar bude použit těsnicí acetátový tmel k vyplnění dilatačních spár mezi obklady a dlažbami v interiéru i exteriéru
Flexibilní lepidlo pro celoplošné lepení
- směs cementů s minerálními plnivy a modifikátory
- sypká hmotnost 1,2 kg/dm3
- tepelná odolnost: od –30 °C do +70 °C
- přídržnost ≥ 1,0 Mpa ve všech situacích
</t>
  </si>
  <si>
    <t>-1056160567</t>
  </si>
  <si>
    <t>236</t>
  </si>
  <si>
    <t>781474154</t>
  </si>
  <si>
    <t>Montáž obkladů vnitřních stěn z dlaždic keramických lepených flexibilním lepidlem velkoformátových hladkých přes 4 do 6 ks/m2</t>
  </si>
  <si>
    <t>2071549152</t>
  </si>
  <si>
    <t>237</t>
  </si>
  <si>
    <t>597-O1</t>
  </si>
  <si>
    <t xml:space="preserve">Keramická slinutá matná rektifikovaná obkládačka
Jmenovitý rozměr: 30x60 cm
Deklarovaný rozměr: 598x298x10 mm, 
skladebnost vůči dlažbě v jídelně!!!
Nasákavost: E&gt;10%
Pevnost v ohybu: Min. 12 N/mm2, Jedn.min. 15 N/mm2
Lomové zatížení: ≥ 7,5 mm min. 600 N; &lt; 7,5 mm min. 200 N
Barva: světle béžová imitace betonu
Spárování:
- Flexibilní spárovací hmota - voděodolná, flexibilní spárovací hmota na spárování keramických obkladů a dlažeb, včetně gresové, na spáry se šířkou do 8 mm 
- tloušťka spáry 2mm
- barva spáry bílá
- impregnace spar - silikonová impregnace pro spáry i dlažby - transparentní bezrozpouštědlová impregnace pro izolaci a utěsnění spár i obkladů a dlažeb na balkónech a terasách, v koupelnách a ve sprchách
- pro utěsnění svislých a vodorovných dilatačních spar bude použit těsnicí acetátový tmel k vyplnění dilatačních spár mezi obklady a dlažbami v interiéru i exteriéru
Flexibilní lepidlo pro celoplošné lepení
- směs cementů s minerálními plnivy a modifikátory
- sypká hmotnost 1,2 kg/dm3
- tepelná odolnost: od –30 °C do +70 °C
- přídržnost ≥ 1,0 Mpa ve všech situacích
</t>
  </si>
  <si>
    <t>-153792534</t>
  </si>
  <si>
    <t>238</t>
  </si>
  <si>
    <t>781491011</t>
  </si>
  <si>
    <t>Montáž zrcadel lepených silikonovým tmelem na podkladní omítku, plochy do 1 m2</t>
  </si>
  <si>
    <t>1903437473</t>
  </si>
  <si>
    <t>239</t>
  </si>
  <si>
    <t>DOD-Z5</t>
  </si>
  <si>
    <t>Zrcadlo 600x800mm  nerozbitné lepené na stěnu s upravou proti rosení - dle požadavku viz celý popis Z5</t>
  </si>
  <si>
    <t>-1256246849</t>
  </si>
  <si>
    <t>240</t>
  </si>
  <si>
    <t>781495115</t>
  </si>
  <si>
    <t>Obklad - dokončující práce ostatní práce spárování silikonem</t>
  </si>
  <si>
    <t>1402898400</t>
  </si>
  <si>
    <t xml:space="preserve">Poznámka k souboru cen:
1. Množství měrných jednotek u ceny -5185 se stanoví podle počtu řezaných obkladaček, nezávisle na jejich velikosti.
2. Položku -5185 lze použít při nuceném použití jiného nástroje než řezačky.
</t>
  </si>
  <si>
    <t>241</t>
  </si>
  <si>
    <t>781495185</t>
  </si>
  <si>
    <t>Obklad - dokončující práce pracnější řezání obkladaček rovné</t>
  </si>
  <si>
    <t>-836727296</t>
  </si>
  <si>
    <t>242</t>
  </si>
  <si>
    <t>781495211</t>
  </si>
  <si>
    <t>Čištění vnitřních ploch po provedení obkladu stěn chemickými prostředky</t>
  </si>
  <si>
    <t>-1334125781</t>
  </si>
  <si>
    <t>243</t>
  </si>
  <si>
    <t>998781101</t>
  </si>
  <si>
    <t>Přesun hmot pro obklady keramické stanovený z hmotnosti přesunovaného materiálu vodorovná dopravní vzdálenost do 50 m v objektech výšky do 6 m</t>
  </si>
  <si>
    <t>1840783072</t>
  </si>
  <si>
    <t>244</t>
  </si>
  <si>
    <t>998781181</t>
  </si>
  <si>
    <t>Přesun hmot pro obklady keramické stanovený z hmotnosti přesunovaného materiálu Příplatek k cenám za přesun prováděný bez použití mechanizace pro jakoukoliv výšku objektu</t>
  </si>
  <si>
    <t>-356397872</t>
  </si>
  <si>
    <t>783</t>
  </si>
  <si>
    <t>Dokončovací práce - nátěry</t>
  </si>
  <si>
    <t>245</t>
  </si>
  <si>
    <t>783301311</t>
  </si>
  <si>
    <t>Příprava podkladu zámečnických konstrukcí před provedením nátěru odmaštění odmašťovačem vodou ředitelným</t>
  </si>
  <si>
    <t>-1560503864</t>
  </si>
  <si>
    <t>246</t>
  </si>
  <si>
    <t>783343101</t>
  </si>
  <si>
    <t>Základní impregnační nátěr zámečnických konstrukcí aktivátorem rzi na zkorodovaný povrch jednonásobný polyuretanový</t>
  </si>
  <si>
    <t>-1944014709</t>
  </si>
  <si>
    <t>247</t>
  </si>
  <si>
    <t>783347101</t>
  </si>
  <si>
    <t>Krycí nátěr (email) zámečnických konstrukcí jednonásobný polyuretanový</t>
  </si>
  <si>
    <t>-283864997</t>
  </si>
  <si>
    <t>248</t>
  </si>
  <si>
    <t>7835-PP</t>
  </si>
  <si>
    <t xml:space="preserve">Protipožární nátěr OK - viz popis </t>
  </si>
  <si>
    <t>1120540209</t>
  </si>
  <si>
    <t>784</t>
  </si>
  <si>
    <t>Dokončovací práce - malby a tapety</t>
  </si>
  <si>
    <t>249</t>
  </si>
  <si>
    <t>784111001</t>
  </si>
  <si>
    <t>Oprášení (ometení) podkladu v místnostech výšky do 3,80 m</t>
  </si>
  <si>
    <t>256907748</t>
  </si>
  <si>
    <t>250</t>
  </si>
  <si>
    <t>784121001</t>
  </si>
  <si>
    <t>Oškrabání malby v místnostech výšky do 3,80 m</t>
  </si>
  <si>
    <t>-1575484615</t>
  </si>
  <si>
    <t xml:space="preserve">Poznámka k souboru cen:
1. Cenami souboru cen se oceňuje jakýkoli počet současně škrabaných vrstev barvy.
</t>
  </si>
  <si>
    <t>251</t>
  </si>
  <si>
    <t>784121011</t>
  </si>
  <si>
    <t>Rozmývání podkladu po oškrabání malby v místnostech výšky do 3,80 m</t>
  </si>
  <si>
    <t>61183811</t>
  </si>
  <si>
    <t>252</t>
  </si>
  <si>
    <t>784181121</t>
  </si>
  <si>
    <t>Penetrace podkladu jednonásobná hloubková v místnostech výšky do 3,80 m</t>
  </si>
  <si>
    <t>-718056225</t>
  </si>
  <si>
    <t>253</t>
  </si>
  <si>
    <t>784211101</t>
  </si>
  <si>
    <t>Malby z malířských směsí otěruvzdorných za mokra dvojnásobné, bílé za mokra otěruvzdorné výborně v místnostech výšky do 3,80 m</t>
  </si>
  <si>
    <t>-1599792882</t>
  </si>
  <si>
    <t>254</t>
  </si>
  <si>
    <t>784211161</t>
  </si>
  <si>
    <t>Malby z malířských směsí otěruvzdorných za mokra Příplatek k cenám dvojnásobných maleb za provádění barevné malby tónované na tónovacích automatech, v odstínu světlém</t>
  </si>
  <si>
    <t>1820139071</t>
  </si>
  <si>
    <t>255</t>
  </si>
  <si>
    <t>784211167</t>
  </si>
  <si>
    <t>Malby z malířských směsí otěruvzdorných za mokra Příplatek k cenám dvojnásobných maleb za provádění barevné malby tónované na tónovacích automatech, v odstínu náročném</t>
  </si>
  <si>
    <t>473837517</t>
  </si>
  <si>
    <t>787</t>
  </si>
  <si>
    <t>Dokončovací práce - zasklívání</t>
  </si>
  <si>
    <t>256</t>
  </si>
  <si>
    <t>78791-Os/7</t>
  </si>
  <si>
    <t>M+D Polep prosklených ploch - viz celý popis Os/7</t>
  </si>
  <si>
    <t>455437500</t>
  </si>
  <si>
    <t>791</t>
  </si>
  <si>
    <t>Zařízení velkokuchyní</t>
  </si>
  <si>
    <t>257</t>
  </si>
  <si>
    <t>791-B/2</t>
  </si>
  <si>
    <t>Demontáž veškerého gastrozařízení vč. zařízení s tím související, odvozu a likvidace - viz popis B/2</t>
  </si>
  <si>
    <t>1741339741</t>
  </si>
  <si>
    <t>R</t>
  </si>
  <si>
    <t>Repase</t>
  </si>
  <si>
    <t>258</t>
  </si>
  <si>
    <t>R/01</t>
  </si>
  <si>
    <t>Stěhování volného nábytku a zařízení, uskladnění při stavbě a následná likvidace - dle požadavku viz celý popis R1</t>
  </si>
  <si>
    <t>-1511494086</t>
  </si>
  <si>
    <t>259</t>
  </si>
  <si>
    <t>R/02</t>
  </si>
  <si>
    <t>Demontáží a zpětná montáž radiátorů (vypuštění/napuštění ÚT), nový nátěr radiátorů, nový nátěr viditelného potrubí - dle požadavku viz celý popis R2</t>
  </si>
  <si>
    <t>-1662240597</t>
  </si>
  <si>
    <t>260</t>
  </si>
  <si>
    <t>R/03</t>
  </si>
  <si>
    <t>Nové nadsvětlíky oken - z důvodu nové pozice nasávací žaluzie a odtahové průchodky - dle požadavku viz celý popis R3</t>
  </si>
  <si>
    <t>-271635037</t>
  </si>
  <si>
    <t>261</t>
  </si>
  <si>
    <t>R/04</t>
  </si>
  <si>
    <t>Demontáž, zpětná montáž a přesuny techniky
(pokladna, trezor, PC, apod...) - dle požadavku viz celý popis R4</t>
  </si>
  <si>
    <t>1575840022</t>
  </si>
  <si>
    <t>262</t>
  </si>
  <si>
    <t>R/05</t>
  </si>
  <si>
    <t>Repase dveří výtahu - dle požadavku viz celý popis R5</t>
  </si>
  <si>
    <t>1321842964</t>
  </si>
  <si>
    <t>263</t>
  </si>
  <si>
    <t>R/06</t>
  </si>
  <si>
    <t>Prostup polem zábradlím anglického dvorku - dle požadavku viz celý popis R6</t>
  </si>
  <si>
    <t>-929825671</t>
  </si>
  <si>
    <t>264</t>
  </si>
  <si>
    <t>R/07</t>
  </si>
  <si>
    <t>Repase stávajících parapetů - dle požadavku viz celý popis R7</t>
  </si>
  <si>
    <t>1859132008</t>
  </si>
  <si>
    <t>265</t>
  </si>
  <si>
    <t>R/08</t>
  </si>
  <si>
    <t>Repase stávajících parapetů - dle požadavku viz celý popis R8</t>
  </si>
  <si>
    <t>1715197233</t>
  </si>
  <si>
    <t>266</t>
  </si>
  <si>
    <t>R/09</t>
  </si>
  <si>
    <t>Repase stávajících dveří
(křídlo / zárubeň / práh) - dle požadavku viz celý popis R9</t>
  </si>
  <si>
    <t>1420296676</t>
  </si>
  <si>
    <t>267</t>
  </si>
  <si>
    <t>R/10</t>
  </si>
  <si>
    <t>Stavební zapravení stávajících i nových prostupů
prostupy kanalizace, vody a dalších profesí skrz požární úseky vč. stávajících prostupů a nevyužitých prostupů pro VZT a další profese - dle požadavku viz celý popis R10</t>
  </si>
  <si>
    <t>-1231213683</t>
  </si>
  <si>
    <t>268</t>
  </si>
  <si>
    <t>R/11</t>
  </si>
  <si>
    <t>Repase stávajícího teracového soklu 
Oprava respektive doplnění soklu - dle požadavku viz celý popis R11</t>
  </si>
  <si>
    <t>106330626</t>
  </si>
  <si>
    <t>269</t>
  </si>
  <si>
    <t>R/12</t>
  </si>
  <si>
    <t>Repase stávajícího teracové podlahy 
Oprava narušených části teraca ve vstupní chodbě - dle požadavku viz celý popis R12</t>
  </si>
  <si>
    <t>746092005</t>
  </si>
  <si>
    <t>270</t>
  </si>
  <si>
    <t>R/12a</t>
  </si>
  <si>
    <t>324940902</t>
  </si>
  <si>
    <t>SD</t>
  </si>
  <si>
    <t>Sanitární doplňky a vnitřní vybavení</t>
  </si>
  <si>
    <t>271</t>
  </si>
  <si>
    <t>sd01</t>
  </si>
  <si>
    <t>Sanitární doplňky - montáž</t>
  </si>
  <si>
    <t>87727361</t>
  </si>
  <si>
    <t>272</t>
  </si>
  <si>
    <t>Sd/1</t>
  </si>
  <si>
    <t>Zásobník na toaletní papír - viz celý popis Sd/1</t>
  </si>
  <si>
    <t>1978536903</t>
  </si>
  <si>
    <t>273</t>
  </si>
  <si>
    <t>Sd/2</t>
  </si>
  <si>
    <t>Koš hygienický  - viz celý popis Sd/2</t>
  </si>
  <si>
    <t>2001219267</t>
  </si>
  <si>
    <t>274</t>
  </si>
  <si>
    <t>Sd/3</t>
  </si>
  <si>
    <t>Dávkovač tekutého mýdla  - viz celý popis Sd/3</t>
  </si>
  <si>
    <t>-1811119041</t>
  </si>
  <si>
    <t>275</t>
  </si>
  <si>
    <t>Sd/4</t>
  </si>
  <si>
    <t>WC sada  - viz celý popis Sd/4</t>
  </si>
  <si>
    <t>-1037769940</t>
  </si>
  <si>
    <t>276</t>
  </si>
  <si>
    <t>Sd/5</t>
  </si>
  <si>
    <t>Zásobník na papírové ručníky  - viz celý popis Sd/5</t>
  </si>
  <si>
    <t>1366294556</t>
  </si>
  <si>
    <t>277</t>
  </si>
  <si>
    <t>Sd/6</t>
  </si>
  <si>
    <t>Zásobník hygienických sáčků  - viz celý popis Sd/6</t>
  </si>
  <si>
    <t>-1385948313</t>
  </si>
  <si>
    <t>278</t>
  </si>
  <si>
    <t>Sd/7</t>
  </si>
  <si>
    <t>Odpadkový koš na papírové ručníky  - viz celý popis Sd/7</t>
  </si>
  <si>
    <t>34391780</t>
  </si>
  <si>
    <t>279</t>
  </si>
  <si>
    <t>Sd/8</t>
  </si>
  <si>
    <t>Věšák malý  - viz celý popis Sd/8</t>
  </si>
  <si>
    <t>-1524861814</t>
  </si>
  <si>
    <t>HZS</t>
  </si>
  <si>
    <t>Hodinové zúčtovací sazby</t>
  </si>
  <si>
    <t>280</t>
  </si>
  <si>
    <t>HZS2491</t>
  </si>
  <si>
    <t>Hodinové zúčtovací sazby profesí PSV zednické výpomoci a pomocné práce PSV dělník zednických výpomocí</t>
  </si>
  <si>
    <t>512</t>
  </si>
  <si>
    <t>1475814547</t>
  </si>
  <si>
    <t xml:space="preserve">D.1.4 - Technika prostředí staveb </t>
  </si>
  <si>
    <t xml:space="preserve">D.1.4.01 - Soupis prací - Zdravotechnika </t>
  </si>
  <si>
    <t>PSV - PSV</t>
  </si>
  <si>
    <t xml:space="preserve">    721- - Zdravotechnika</t>
  </si>
  <si>
    <t>721-</t>
  </si>
  <si>
    <t>Zdravotechnika</t>
  </si>
  <si>
    <t>721</t>
  </si>
  <si>
    <t xml:space="preserve">Zdravotechnika - viz přiložený samostatný rozpočet </t>
  </si>
  <si>
    <t>kpl</t>
  </si>
  <si>
    <t>-2039881732</t>
  </si>
  <si>
    <t>D.1.4.02 - Soupis prací - Vytápění</t>
  </si>
  <si>
    <t xml:space="preserve">    731- - Ústřední vytápění </t>
  </si>
  <si>
    <t>731-</t>
  </si>
  <si>
    <t xml:space="preserve">Ústřední vytápění </t>
  </si>
  <si>
    <t>731</t>
  </si>
  <si>
    <t xml:space="preserve">Vytápění - viz přiložený samostatný rozpočet </t>
  </si>
  <si>
    <t>575000790</t>
  </si>
  <si>
    <t>D.1.4.03 - Soupis prací - Elektroinstalace silnoproud</t>
  </si>
  <si>
    <t xml:space="preserve">Elektroinstalace silnoproud - viz přiložený samostatný rozpočet </t>
  </si>
  <si>
    <t>603451980</t>
  </si>
  <si>
    <t xml:space="preserve">D.1.4.04 - Soupis prací - Elektroinstalace slaboproud </t>
  </si>
  <si>
    <t>Úroveň 3:</t>
  </si>
  <si>
    <t>D.1.4.04.1 - Soupis prací - EPS</t>
  </si>
  <si>
    <t>742-1</t>
  </si>
  <si>
    <t xml:space="preserve">SLB-IT - viz přiložený samostatný rozpočet </t>
  </si>
  <si>
    <t>53180711</t>
  </si>
  <si>
    <t>D.1.4.04.2 - Soupis prací - NZS</t>
  </si>
  <si>
    <t>742-2</t>
  </si>
  <si>
    <t xml:space="preserve">NZS - viz přiložený samostatný rozpočet </t>
  </si>
  <si>
    <t>1367798076</t>
  </si>
  <si>
    <t>D.1.4.04.3 - Soupis prací - PZTS</t>
  </si>
  <si>
    <t>742-3</t>
  </si>
  <si>
    <t xml:space="preserve">PZTS - viz přiložený samostatný rozpočet </t>
  </si>
  <si>
    <t>1425404317</t>
  </si>
  <si>
    <t>D.1.4.04.4 - Soupis prací - SLB-IT</t>
  </si>
  <si>
    <t>742-4</t>
  </si>
  <si>
    <t>-1639824114</t>
  </si>
  <si>
    <t xml:space="preserve">D.1.4.05 - Soupis prací - Vzduchotechnika </t>
  </si>
  <si>
    <t xml:space="preserve">    751 - Vzduchotechnika</t>
  </si>
  <si>
    <t>751</t>
  </si>
  <si>
    <t>Vzduchotechnika</t>
  </si>
  <si>
    <t xml:space="preserve">Vzduchotechnika - viz přiložený samostatný rozpočet </t>
  </si>
  <si>
    <t>547235615</t>
  </si>
  <si>
    <t xml:space="preserve">D.1.4.06 - Soupis prací - Gastro </t>
  </si>
  <si>
    <t xml:space="preserve">D.1.4.06.1 - Soupis prací - Gastro </t>
  </si>
  <si>
    <t>791-1</t>
  </si>
  <si>
    <t xml:space="preserve">Gastro - pevně spojená - viz přiložený samostatný rozpočet </t>
  </si>
  <si>
    <t>143120379</t>
  </si>
  <si>
    <t>791-2</t>
  </si>
  <si>
    <t xml:space="preserve">Gastro - bez pevného spojení - viz přiložený samostatný rozpočet </t>
  </si>
  <si>
    <t>167423475</t>
  </si>
  <si>
    <t>D.1.4.06.2 - Soupis prací - Gastro obj. systém</t>
  </si>
  <si>
    <t xml:space="preserve">Gasrtro obj.systém - viz přiložený samostatný rozpočet </t>
  </si>
  <si>
    <t>2103185178</t>
  </si>
  <si>
    <t>D.1.4.06.3 - Soupis prací - Gastro HACCP</t>
  </si>
  <si>
    <t>791-3</t>
  </si>
  <si>
    <t xml:space="preserve">Gasrtro HACCP - viz přiložený samostatný rozpočet </t>
  </si>
  <si>
    <t>275848429</t>
  </si>
  <si>
    <t>D.1.4.06.4 - Soupis prací - Gastro demontáž</t>
  </si>
  <si>
    <t>791-4</t>
  </si>
  <si>
    <t xml:space="preserve">Gasrtro demontáž - viz přiložený samostatný rozpočet </t>
  </si>
  <si>
    <t>1597015669</t>
  </si>
  <si>
    <t>D.1.4.06.5 - Soupis prací - Gastro demontáž TG</t>
  </si>
  <si>
    <t>791-5</t>
  </si>
  <si>
    <t>-1392359101</t>
  </si>
  <si>
    <t>D.1.4.07 - Soupis prací - Servis</t>
  </si>
  <si>
    <t>540965642</t>
  </si>
  <si>
    <t xml:space="preserve">VON - Vedlejší a ostatní náklady </t>
  </si>
  <si>
    <t xml:space="preserve">VON - Soupis prací - Vedlejší a ostatní náklady </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</si>
  <si>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</si>
  <si>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</si>
  <si>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</si>
  <si>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</si>
  <si>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</si>
  <si>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 xml:space="preserve">    VRN9 - Ostatní náklady</t>
  </si>
  <si>
    <t>VRN</t>
  </si>
  <si>
    <t>Vedlejší rozpočtové náklady</t>
  </si>
  <si>
    <t>VRN1</t>
  </si>
  <si>
    <t>Průzkumné, geodetické a projektové práce</t>
  </si>
  <si>
    <t>010001000</t>
  </si>
  <si>
    <t>…</t>
  </si>
  <si>
    <t>1024</t>
  </si>
  <si>
    <t>2007156830</t>
  </si>
  <si>
    <t>VRN3</t>
  </si>
  <si>
    <t>Zařízení staveniště</t>
  </si>
  <si>
    <t>031002000</t>
  </si>
  <si>
    <t>Související práce pro zařízení staveniště</t>
  </si>
  <si>
    <t>-1166961949</t>
  </si>
  <si>
    <t>032002000</t>
  </si>
  <si>
    <t>Vybavení staveniště</t>
  </si>
  <si>
    <t>938827841</t>
  </si>
  <si>
    <t>033002000</t>
  </si>
  <si>
    <t>Připojení staveniště na inženýrské sítě</t>
  </si>
  <si>
    <t>-551559037</t>
  </si>
  <si>
    <t>034002000</t>
  </si>
  <si>
    <t>Zabezpečení staveniště</t>
  </si>
  <si>
    <t>1332825665</t>
  </si>
  <si>
    <t>035002000</t>
  </si>
  <si>
    <t>Pronájmy ploch, objektů</t>
  </si>
  <si>
    <t>-1500597143</t>
  </si>
  <si>
    <t>039002000</t>
  </si>
  <si>
    <t>Zrušení zařízení staveniště</t>
  </si>
  <si>
    <t>-533944392</t>
  </si>
  <si>
    <t>VRN4</t>
  </si>
  <si>
    <t>Inženýrská činnost</t>
  </si>
  <si>
    <t>043002000</t>
  </si>
  <si>
    <t>Zkoušky a ostatní měření</t>
  </si>
  <si>
    <t>-117469277</t>
  </si>
  <si>
    <t>044002000</t>
  </si>
  <si>
    <t>Revize</t>
  </si>
  <si>
    <t>-290395850</t>
  </si>
  <si>
    <t>045002000</t>
  </si>
  <si>
    <t>Kompletační a koordinační činnost</t>
  </si>
  <si>
    <t>-1555344803</t>
  </si>
  <si>
    <t>049002000</t>
  </si>
  <si>
    <t>Ostatní inženýrská činnost</t>
  </si>
  <si>
    <t>-1274795088</t>
  </si>
  <si>
    <t>VRN7</t>
  </si>
  <si>
    <t>Provozní vlivy</t>
  </si>
  <si>
    <t>071002000</t>
  </si>
  <si>
    <t>Provoz investora, třetích osob</t>
  </si>
  <si>
    <t>1114279901</t>
  </si>
  <si>
    <t>073002000</t>
  </si>
  <si>
    <t>Ztížený pohyb vozidel v centrech měst</t>
  </si>
  <si>
    <t>-989404838</t>
  </si>
  <si>
    <t>079002000</t>
  </si>
  <si>
    <t>Ostatní provozní vlivy</t>
  </si>
  <si>
    <t>1819289955</t>
  </si>
  <si>
    <t>VRN9</t>
  </si>
  <si>
    <t>Ostatní náklady</t>
  </si>
  <si>
    <t>091002000</t>
  </si>
  <si>
    <t>Ostatní náklady související s objektem</t>
  </si>
  <si>
    <t>-4800563</t>
  </si>
  <si>
    <t>092002000</t>
  </si>
  <si>
    <t>Ostatní náklady související s provozem</t>
  </si>
  <si>
    <t>1470372177</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</si>
  <si>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</si>
  <si>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</si>
  <si>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</si>
  <si>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</si>
  <si>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</si>
  <si>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</si>
  <si>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</si>
  <si>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</si>
  <si>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</si>
  <si>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</si>
  <si>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</si>
  <si>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</si>
  <si>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</si>
  <si>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</si>
  <si>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</si>
  <si>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</si>
  <si>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</si>
  <si>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</si>
  <si>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</si>
  <si>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</si>
  <si>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</si>
  <si>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</si>
  <si>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</si>
  <si>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</si>
  <si>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</si>
  <si>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</si>
  <si>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</si>
  <si>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</si>
  <si>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</si>
  <si>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</si>
  <si>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</si>
  <si>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</si>
  <si>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</si>
  <si>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</si>
  <si>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</si>
  <si>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</si>
  <si>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</si>
  <si>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</si>
  <si>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</si>
  <si>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</si>
  <si>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</si>
  <si>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</si>
  <si>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</si>
  <si>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</si>
  <si>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</si>
  <si>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</si>
  <si>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</si>
  <si>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</si>
  <si>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</si>
  <si>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</si>
  <si>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</si>
  <si>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</si>
  <si>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</si>
  <si>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</si>
  <si>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</si>
  <si>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</si>
  <si>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</si>
  <si>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</si>
  <si>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</si>
  <si>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</si>
  <si>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</si>
  <si>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</si>
  <si>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</si>
  <si>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</si>
  <si>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</si>
  <si>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</si>
  <si>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</si>
  <si>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</si>
  <si>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</si>
  <si>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</si>
  <si>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</si>
  <si>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</si>
  <si>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</si>
  <si>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</si>
  <si>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</si>
  <si>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</si>
  <si>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</si>
  <si>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</si>
  <si>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</si>
  <si>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</si>
  <si>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</si>
  <si>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</si>
  <si>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</si>
  <si>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</si>
  <si>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</si>
  <si>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</si>
  <si>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</si>
  <si>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</si>
  <si>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</si>
  <si>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</si>
  <si>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</si>
  <si>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</si>
  <si>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</si>
  <si>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</si>
  <si>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</si>
  <si>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</si>
  <si>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</si>
  <si>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</si>
  <si>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</si>
  <si>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</si>
  <si>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</si>
  <si>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</si>
  <si>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</si>
  <si>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</si>
  <si>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</si>
  <si>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</si>
  <si>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</si>
  <si>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</si>
  <si>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</si>
  <si>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</si>
  <si>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</si>
  <si>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</si>
  <si>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</si>
  <si>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</si>
  <si>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</si>
  <si>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</si>
  <si>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</si>
  <si>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</si>
  <si>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</si>
  <si>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</si>
  <si>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</si>
  <si>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</si>
  <si>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</si>
  <si>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</si>
  <si>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</si>
  <si>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</si>
  <si>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</si>
  <si>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</si>
  <si>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</si>
  <si>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</si>
  <si>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</si>
  <si>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</si>
  <si>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</si>
  <si>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</si>
  <si>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</si>
  <si>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</si>
  <si>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</si>
  <si>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</si>
  <si>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</si>
  <si>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</si>
  <si>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</si>
  <si>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</si>
  <si>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</si>
  <si>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</si>
  <si>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</si>
  <si>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</si>
  <si>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</si>
  <si>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</si>
  <si>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</si>
  <si>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</si>
  <si>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</si>
  <si>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</si>
  <si>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</si>
  <si>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</si>
  <si>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</si>
  <si>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</si>
  <si>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</si>
  <si>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</si>
  <si>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</si>
  <si>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</si>
  <si>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</si>
  <si>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</si>
  <si>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</si>
  <si>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</si>
  <si>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</si>
  <si>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</si>
  <si>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</si>
  <si>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</si>
  <si>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</si>
  <si>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</si>
  <si>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</si>
  <si>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</si>
  <si>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</si>
  <si>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</si>
  <si>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</si>
  <si>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</si>
  <si>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</si>
  <si>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</si>
  <si>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</si>
  <si>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</si>
  <si>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</si>
  <si>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</si>
  <si>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</si>
  <si>
    <t>Celkem:</t>
  </si>
  <si>
    <t>_</t>
  </si>
  <si>
    <t>9_</t>
  </si>
  <si>
    <t>900_</t>
  </si>
  <si>
    <t>Stavební přípomoce 5%</t>
  </si>
  <si>
    <t>001</t>
  </si>
  <si>
    <t>900</t>
  </si>
  <si>
    <t>72_</t>
  </si>
  <si>
    <t>725_</t>
  </si>
  <si>
    <t>Přesun vybour.hmot, zařizovací předměty H 6 m</t>
  </si>
  <si>
    <t>725590811R00</t>
  </si>
  <si>
    <t>Dvířka z plastu, 200 x 300 mm</t>
  </si>
  <si>
    <t>725980122R00</t>
  </si>
  <si>
    <t>Sifon pro odvod kondenzátu pro klimatizace HL138, 5/4 "</t>
  </si>
  <si>
    <t>725860217VL</t>
  </si>
  <si>
    <t>HL136N sifon kondenzační DN 40  PP vodorovný odtok</t>
  </si>
  <si>
    <t>28654741</t>
  </si>
  <si>
    <t>Montáž U-sifonu</t>
  </si>
  <si>
    <t>725869218R00</t>
  </si>
  <si>
    <t>soubor</t>
  </si>
  <si>
    <t>Ventil rohový s filtrem DN 15 x DN 10</t>
  </si>
  <si>
    <t>725814105R00</t>
  </si>
  <si>
    <t>Ventil rohový bez zpět. kl. DN15 x DN20</t>
  </si>
  <si>
    <t>725814123R00</t>
  </si>
  <si>
    <t>Set sprchový hadice, růžice, držák 901.00</t>
  </si>
  <si>
    <t>55145352</t>
  </si>
  <si>
    <t>Baterie termost.sprchová nástěn.,bez příslušenství</t>
  </si>
  <si>
    <t>725845811R00</t>
  </si>
  <si>
    <t>Sifon ke sprchové vaničce PP HL 522, D 40/50 mm</t>
  </si>
  <si>
    <t>725860224R00</t>
  </si>
  <si>
    <t>Vanička sprch. keram. čtverec 800x800 mm</t>
  </si>
  <si>
    <t>642938006</t>
  </si>
  <si>
    <t>Montáž sprchových mís a vaniček</t>
  </si>
  <si>
    <t>725249102R00</t>
  </si>
  <si>
    <t>Baterie dřezová směš. nástěnná s ploch ústím</t>
  </si>
  <si>
    <t>55145014</t>
  </si>
  <si>
    <t>Montáž baterie umyv.a dřezové nástěnné chromové</t>
  </si>
  <si>
    <t>725829201R00</t>
  </si>
  <si>
    <t>Splachovač nádržkový z PH úsporný</t>
  </si>
  <si>
    <t>55147033</t>
  </si>
  <si>
    <t>Montáž splachovacích nádrží vysokopoložených</t>
  </si>
  <si>
    <t>725119105R00</t>
  </si>
  <si>
    <t>Výlevka nerez SLVN 03 stojící s mřížkou</t>
  </si>
  <si>
    <t>Montáž výlevky, bez nádrže a armatur</t>
  </si>
  <si>
    <t>725339101R00</t>
  </si>
  <si>
    <t>Výlevka stojící MIRA 5104.6 s plastovou mřížkou</t>
  </si>
  <si>
    <t>Sifon dřezový HL100G, D 40, 50 mm, 6/4"</t>
  </si>
  <si>
    <t>725860202R00</t>
  </si>
  <si>
    <t>Sifon umyvadlový HL132, D 32, 40 mm</t>
  </si>
  <si>
    <t>725860213R00</t>
  </si>
  <si>
    <t>Baterie umyvadlová nástěnná ruční</t>
  </si>
  <si>
    <t>725825111R00</t>
  </si>
  <si>
    <t>Umyvadlo nerez SLUN 13 s opláštěním</t>
  </si>
  <si>
    <t>Montáž umyvadel na šrouby do zdiva</t>
  </si>
  <si>
    <t>725219401R00</t>
  </si>
  <si>
    <t>Umyvadlo na šrouby OLYMP Deep 60 x 45 cm, bílé</t>
  </si>
  <si>
    <t>Držák toaletního papíru nerez</t>
  </si>
  <si>
    <t>55149005</t>
  </si>
  <si>
    <t>Modul-PRO WC SYSTEM+PANEL SET, pro závěsné WC</t>
  </si>
  <si>
    <t>726212331R00</t>
  </si>
  <si>
    <t>včetně sedátka v bílé barvě</t>
  </si>
  <si>
    <t>Klozet závěsný OLYMP + sedátko, bílý</t>
  </si>
  <si>
    <t>Demontáž výlevky diturvitové</t>
  </si>
  <si>
    <t>725330820R00</t>
  </si>
  <si>
    <t>Demontáž sprchových mís bez výtokových armatur</t>
  </si>
  <si>
    <t>725240812R00</t>
  </si>
  <si>
    <t>Demontáž uzávěrek zápachových jednoduchých</t>
  </si>
  <si>
    <t>725860811R00</t>
  </si>
  <si>
    <t>Demontáž umyvadel bez výtokových armatur</t>
  </si>
  <si>
    <t>725210821R00</t>
  </si>
  <si>
    <t>Demontáž ramene sprchy</t>
  </si>
  <si>
    <t>725840860R00</t>
  </si>
  <si>
    <t>Demontáž klozetů kombinovaných</t>
  </si>
  <si>
    <t>725110814R00</t>
  </si>
  <si>
    <t>Demontáž baterie nástěnné do G 3/4</t>
  </si>
  <si>
    <t>725820801R00</t>
  </si>
  <si>
    <t>Zařizovací předměty</t>
  </si>
  <si>
    <t>722_</t>
  </si>
  <si>
    <t>Přesun vybouraných hmot - vodovody, H do 6 m</t>
  </si>
  <si>
    <t>722290821R00</t>
  </si>
  <si>
    <t>Proplach a dezinfekce vodovod.potrubí DN 80</t>
  </si>
  <si>
    <t>722290234R00</t>
  </si>
  <si>
    <t>Tlaková zkouška vodovodního potrubí DN 50</t>
  </si>
  <si>
    <t>722280108R00</t>
  </si>
  <si>
    <t>Tlaková zkouška vodovodního potrubí DN 40</t>
  </si>
  <si>
    <t>722280107R00</t>
  </si>
  <si>
    <t>Tlaková zkouška vodovodního potrubí DN 32</t>
  </si>
  <si>
    <t>722280106R00</t>
  </si>
  <si>
    <t>Zazátkování vývodu</t>
  </si>
  <si>
    <t>722130901R00</t>
  </si>
  <si>
    <t>Oprava-propojení dosavadního potrubí závit. DN 50</t>
  </si>
  <si>
    <t>722131936R00</t>
  </si>
  <si>
    <t>Oprava-propojení dosavadního potrubí závit. DN 25</t>
  </si>
  <si>
    <t>722131933R00</t>
  </si>
  <si>
    <t>Vodoměr bytový TV DN 15x80 mm, Qn 2,5</t>
  </si>
  <si>
    <t>722264325R00</t>
  </si>
  <si>
    <t>Vodoměr bytový SV DN 20x130 mm, Qn 4</t>
  </si>
  <si>
    <t>722264324R00</t>
  </si>
  <si>
    <t>Hadice flexibilní k baterii,DN 15 x M10,délka 0,4m</t>
  </si>
  <si>
    <t>722191111R00</t>
  </si>
  <si>
    <t>Kohout vod.kul.,2xvnitř.záv. R250D DN 40</t>
  </si>
  <si>
    <t>722237125R00</t>
  </si>
  <si>
    <t>Kohout vod.kul.,2xvnitř.záv. R250D DN 25</t>
  </si>
  <si>
    <t>722237123R00</t>
  </si>
  <si>
    <t>Kohout vod.kul.,2xvnitř.záv. R250D DN 20</t>
  </si>
  <si>
    <t>722237122R00</t>
  </si>
  <si>
    <t>Nástěnka PP-R D 20xR1/2</t>
  </si>
  <si>
    <t>722202213R00</t>
  </si>
  <si>
    <t>Vyvedení a upevnění výpustek DN 15</t>
  </si>
  <si>
    <t>722190401R00</t>
  </si>
  <si>
    <t>vnitřní průměr 50 mm</t>
  </si>
  <si>
    <t>Izolace návleková MIRELON PRO tl. stěny 13 mm, vnitřní průměr 50 mm</t>
  </si>
  <si>
    <t>vnitřní průměr 40 mm</t>
  </si>
  <si>
    <t>Izolace návleková MIRELON PRO tl. stěny 13 mm, vnitřní průměr 40 mm</t>
  </si>
  <si>
    <t>vnitřní průměr 32 mm</t>
  </si>
  <si>
    <t>Izolace návleková MIRELON PRO tl. stěny 13 mm, vnitřní průměr 32 mm</t>
  </si>
  <si>
    <t>vnitřní průměr 25 mm</t>
  </si>
  <si>
    <t>Izolace návleková MIRELON PRO tl. stěny 13 mm, vnitřní průměr 25 mm</t>
  </si>
  <si>
    <t>vnitřní průměr 22 mm</t>
  </si>
  <si>
    <t>Izolace návleková MIRELON PRO tl. stěny 13 mm, vnitřní průměr 22 mm</t>
  </si>
  <si>
    <t>Žlab nosný pozinkovaný d 50 mm</t>
  </si>
  <si>
    <t>28654102.A</t>
  </si>
  <si>
    <t>Potrubí z PPR, D 50 x 6,9 mm, PN 16</t>
  </si>
  <si>
    <t>722172715R00</t>
  </si>
  <si>
    <t>Potrubí z PPR, D 40 x 5,5 mm, PN 16</t>
  </si>
  <si>
    <t>722172714R00</t>
  </si>
  <si>
    <t>Potrubí z PPR, D 32 x 4,4 mm, PN 16</t>
  </si>
  <si>
    <t>722172713R00</t>
  </si>
  <si>
    <t>Potrubí z PPR, D 25 x 3,5 mm, PN 16</t>
  </si>
  <si>
    <t>722172712R00</t>
  </si>
  <si>
    <t>Potrubí z PPR, D 20 x 2,8 mm, PN 16</t>
  </si>
  <si>
    <t>722172711R00</t>
  </si>
  <si>
    <t>Demontáž potrubí ocelových závitových DN 40</t>
  </si>
  <si>
    <t>722130802R00</t>
  </si>
  <si>
    <t>Demontáž potrubí ocelových závitových DN 25</t>
  </si>
  <si>
    <t>722130801R00</t>
  </si>
  <si>
    <t>Vnitřní vodovod</t>
  </si>
  <si>
    <t>722</t>
  </si>
  <si>
    <t>721_</t>
  </si>
  <si>
    <t>Přesun vybouraných hmot - kanalizace, H do 6 m</t>
  </si>
  <si>
    <t>721290821R00</t>
  </si>
  <si>
    <t>Vpusť podlahová nerezová se suchou zápachovou uzávěrkou DN50</t>
  </si>
  <si>
    <t>721223425R00</t>
  </si>
  <si>
    <t>Zkouška těsnosti kanalizace vodou DN 200</t>
  </si>
  <si>
    <t>721290112R00</t>
  </si>
  <si>
    <t>Zkouška těsnosti kanalizace vodou DN 125</t>
  </si>
  <si>
    <t>721290111R00</t>
  </si>
  <si>
    <t>Vyvedení odpadních výpustek D 110 x 2,3</t>
  </si>
  <si>
    <t>721194109R00</t>
  </si>
  <si>
    <t>Vyvedení odpadních výpustek D 50 x 1,8</t>
  </si>
  <si>
    <t>721194105R00</t>
  </si>
  <si>
    <t>Vyvedení odpadních výpustek D 40 x 1,8</t>
  </si>
  <si>
    <t>721194104R00</t>
  </si>
  <si>
    <t>Kus čisticí HTRE D 160 mm PP</t>
  </si>
  <si>
    <t>28615445.A</t>
  </si>
  <si>
    <t>Potrubí HT svodné (ležaté) v zemi D 160 x 3,9 mm</t>
  </si>
  <si>
    <t>721176127R00</t>
  </si>
  <si>
    <t>Potrubí HT svodné (ležaté) DN 125 x 3,1 mm</t>
  </si>
  <si>
    <t>721176126R00</t>
  </si>
  <si>
    <t>Potrubí HT svodné (ležaté) D 110 x 2,7 mm</t>
  </si>
  <si>
    <t>721176125R00</t>
  </si>
  <si>
    <t>Potrubí HT připojovací D 110 x 2,7 mm</t>
  </si>
  <si>
    <t>721176105R00</t>
  </si>
  <si>
    <t>Potrubí HT připojovací D 50 x 1,8 mm</t>
  </si>
  <si>
    <t>721176103R00</t>
  </si>
  <si>
    <t>Potrubí HT připojovací D 40 x 1,8 mm</t>
  </si>
  <si>
    <t>721176102R00</t>
  </si>
  <si>
    <t>Potrubí HT připojovací D 32 x 1,8 mm</t>
  </si>
  <si>
    <t>721176101R00</t>
  </si>
  <si>
    <t>Oprava - přechod z plastových trub na litinu DN100</t>
  </si>
  <si>
    <t>721140935R00</t>
  </si>
  <si>
    <t>Oprava potrubí kamenin., vsazení odbočky DN 150</t>
  </si>
  <si>
    <t>721110907R00</t>
  </si>
  <si>
    <t>Demontáž vpusti podlahové DN 100</t>
  </si>
  <si>
    <t>721210813R00</t>
  </si>
  <si>
    <t>Demontáž potrubí z PVC do D 75 mm</t>
  </si>
  <si>
    <t>721171803R00</t>
  </si>
  <si>
    <t>Vnitřní kanalizace</t>
  </si>
  <si>
    <t>1_</t>
  </si>
  <si>
    <t>13_</t>
  </si>
  <si>
    <t>Bourání konstrukcí z betonu prokl.kam. v odkopávk.</t>
  </si>
  <si>
    <t>120901122R00</t>
  </si>
  <si>
    <t>Lože pod potrubí z kameniva těženého 0 - 4 mm</t>
  </si>
  <si>
    <t>451572111R00</t>
  </si>
  <si>
    <t>Ruční výkop v hornině 4</t>
  </si>
  <si>
    <t>139600013RA0</t>
  </si>
  <si>
    <t>CELK</t>
  </si>
  <si>
    <t>WORK</t>
  </si>
  <si>
    <t>MAT</t>
  </si>
  <si>
    <t>Ostatní mat.</t>
  </si>
  <si>
    <t>Mont prac</t>
  </si>
  <si>
    <t>Mont mat</t>
  </si>
  <si>
    <t>PSV prac</t>
  </si>
  <si>
    <t>PSV mat</t>
  </si>
  <si>
    <t>HSV prac</t>
  </si>
  <si>
    <t>HSV mat</t>
  </si>
  <si>
    <t>Typ skupiny</t>
  </si>
  <si>
    <t>Přesuny</t>
  </si>
  <si>
    <t>Celkem</t>
  </si>
  <si>
    <t>Jednot.</t>
  </si>
  <si>
    <t>Montáž</t>
  </si>
  <si>
    <t>Dodávka</t>
  </si>
  <si>
    <t>cena (Kč)</t>
  </si>
  <si>
    <t>Rozměry</t>
  </si>
  <si>
    <t>Hmotnost (t)</t>
  </si>
  <si>
    <t>Náklady (Kč)</t>
  </si>
  <si>
    <t>M.j.</t>
  </si>
  <si>
    <t>Zkrácený popis / Varianta</t>
  </si>
  <si>
    <t>Č</t>
  </si>
  <si>
    <t>Ing. Michal Albrecht</t>
  </si>
  <si>
    <t>Zpracoval:</t>
  </si>
  <si>
    <t>12.12.2019</t>
  </si>
  <si>
    <t>Zpracováno dne:</t>
  </si>
  <si>
    <t>JKSO:</t>
  </si>
  <si>
    <t>Zhotovitel:</t>
  </si>
  <si>
    <t> </t>
  </si>
  <si>
    <t>Konec výstavby:</t>
  </si>
  <si>
    <t>Praha 1</t>
  </si>
  <si>
    <t>Lokalita:</t>
  </si>
  <si>
    <t>Ing. Michal Albrecht, ALBI PROJEKT s.r.o</t>
  </si>
  <si>
    <t>Začátek výstavby:</t>
  </si>
  <si>
    <t>D.1.4. Zdravotně technické instalace</t>
  </si>
  <si>
    <t>Druh stavby:</t>
  </si>
  <si>
    <t>Úřad vlády České republiky</t>
  </si>
  <si>
    <t>Objednatel:</t>
  </si>
  <si>
    <t>Doba výstavby:</t>
  </si>
  <si>
    <t>ÚPRAVY GASTROPROVOZU ÚŘADU VLÁDY ČR V 1.PP STRAKOVY AKADEMIE</t>
  </si>
  <si>
    <t>Název stavby:</t>
  </si>
  <si>
    <t>Stavební rozpočet</t>
  </si>
  <si>
    <t>*722181213RT7</t>
  </si>
  <si>
    <t>*722181213RT8</t>
  </si>
  <si>
    <t>*722181213RU1</t>
  </si>
  <si>
    <t>*722181213RV9</t>
  </si>
  <si>
    <t>*722181213RW6</t>
  </si>
  <si>
    <t>*725014131RT1</t>
  </si>
  <si>
    <t>*725017134R00</t>
  </si>
  <si>
    <t>*55230516</t>
  </si>
  <si>
    <t>*725019101R00</t>
  </si>
  <si>
    <t>*55231404</t>
  </si>
  <si>
    <t>Poznámka:* Pokud se v zadávací dokumentaci vyskytnou požadavky nebo odkazy na obchodní firmy , názvy nebo jména a příjmení, specifická označení zařízení  a služeb, které platí pro určitou osobu , popřípadě její organizační složku za příznačné , patenty na vynálezy , užitné vzory, průmyslové vzory, ochranné známky nebo označení původu, je účastník oprávněn pro plnění zakázky navrhnout i jiné , technicky a kvalitativně rovnocenné řešení , které musí splňovat technické a funkční požadavky zadavatele uvedené v této zadávací dokumentaci a jejich přílohách.</t>
  </si>
  <si>
    <t>Vypouštění topného systému</t>
  </si>
  <si>
    <t>100-003UT</t>
  </si>
  <si>
    <t>Napuštění a odvzdušnění topného systému</t>
  </si>
  <si>
    <t>100-002UT</t>
  </si>
  <si>
    <t>78_</t>
  </si>
  <si>
    <t>783_</t>
  </si>
  <si>
    <t>Nátěr syntetický litin. radiátorů 1x + 1x email</t>
  </si>
  <si>
    <t>783324140R00</t>
  </si>
  <si>
    <t>Nátěr syntet. potrubí do DN 50 mm  1x +1x email</t>
  </si>
  <si>
    <t>783424240R00</t>
  </si>
  <si>
    <t>Nátěry</t>
  </si>
  <si>
    <t>73_</t>
  </si>
  <si>
    <t>735_</t>
  </si>
  <si>
    <t>Odpojení a připojení těles po nátěru</t>
  </si>
  <si>
    <t>735117110R00</t>
  </si>
  <si>
    <t>Montáž těles otopných litinových článkových</t>
  </si>
  <si>
    <t>735119140R00</t>
  </si>
  <si>
    <t>Demontáž těles otopných litinových článkových</t>
  </si>
  <si>
    <t>735111810R00</t>
  </si>
  <si>
    <t>Otopná tělesa</t>
  </si>
  <si>
    <t>735</t>
  </si>
  <si>
    <t>733_</t>
  </si>
  <si>
    <t>Zaslepení potrubí zkováním a zavařením DN 15</t>
  </si>
  <si>
    <t>733191913R00</t>
  </si>
  <si>
    <t>Demontáž potrubí ocelového závitového do DN 15</t>
  </si>
  <si>
    <t>733110803R00</t>
  </si>
  <si>
    <t>Rozvod potrubí</t>
  </si>
  <si>
    <t>733</t>
  </si>
  <si>
    <t>D.1.4. TPS – Vytápění</t>
  </si>
  <si>
    <t>Úřad vlády České republiky, nábřeží Edvarda Beneše</t>
  </si>
  <si>
    <t>#TypZaznamu#</t>
  </si>
  <si>
    <t>S:</t>
  </si>
  <si>
    <t>O:</t>
  </si>
  <si>
    <t>D1.4.4</t>
  </si>
  <si>
    <t>SILNOPROUDÁ ELEKTROTECHNIKA</t>
  </si>
  <si>
    <t>OBJ</t>
  </si>
  <si>
    <t>R:</t>
  </si>
  <si>
    <t>02</t>
  </si>
  <si>
    <t>Výkaz výměr- SILNOPROUDÁ ELEKTROTECHNIKA</t>
  </si>
  <si>
    <t>ROZ</t>
  </si>
  <si>
    <t>P.č.</t>
  </si>
  <si>
    <t>Číslo položky</t>
  </si>
  <si>
    <t>Název položky</t>
  </si>
  <si>
    <t>Číslo výkresu</t>
  </si>
  <si>
    <t>množství</t>
  </si>
  <si>
    <t>cena / MJ</t>
  </si>
  <si>
    <t>Celkem bez DPH</t>
  </si>
  <si>
    <t>Dodávka celk.</t>
  </si>
  <si>
    <t>Montáž celk.</t>
  </si>
  <si>
    <t>cena s DPH</t>
  </si>
  <si>
    <t>hmotnost / MJ</t>
  </si>
  <si>
    <t>hmotnost celk.(t)</t>
  </si>
  <si>
    <t>dem. hmotnost / MJ</t>
  </si>
  <si>
    <t>dem. hmotnost celk.(t)</t>
  </si>
  <si>
    <t>Ceník</t>
  </si>
  <si>
    <t>Cen. soustava / platnost</t>
  </si>
  <si>
    <t>Cenová úroveň</t>
  </si>
  <si>
    <t>Nhod / MJ</t>
  </si>
  <si>
    <t>Nhod celk.</t>
  </si>
  <si>
    <t>Dodavatel</t>
  </si>
  <si>
    <t>Díl:</t>
  </si>
  <si>
    <t>Montáže</t>
  </si>
  <si>
    <t>DIL</t>
  </si>
  <si>
    <t>Nová přípojka pro rozvaděč R.GASTRO</t>
  </si>
  <si>
    <t>Výkop kabelové trasy z TS do objektu</t>
  </si>
  <si>
    <t>Odvoz a uskladnění výkopového materiálu z rýhy 0,5x0,6m</t>
  </si>
  <si>
    <t>Nový materiál pro zásyp kabelové rýhy 0,5x0.6m</t>
  </si>
  <si>
    <t>Výstražná folie</t>
  </si>
  <si>
    <t>Utěsnění prostupu do objektu</t>
  </si>
  <si>
    <t>ks</t>
  </si>
  <si>
    <t>Uložení kabelu v kolektoru</t>
  </si>
  <si>
    <t>Kabelové příchytky pro upevnění ke kabelovým lávkám</t>
  </si>
  <si>
    <t>Kabelový žlab v technické místnosti</t>
  </si>
  <si>
    <t>Kabel 1-CYKY 4x185</t>
  </si>
  <si>
    <t>Elektroinstalace</t>
  </si>
  <si>
    <t>Zásuvka 230V/16A, IP20</t>
  </si>
  <si>
    <t>Zásuvka 230V/16A, IP44</t>
  </si>
  <si>
    <t>Zásuvka 400V/16A, IP44</t>
  </si>
  <si>
    <t>Vypínač ř.1 IP20</t>
  </si>
  <si>
    <t>Vypínač ř.5 IP20</t>
  </si>
  <si>
    <t>Vypínač ř.6 IP20</t>
  </si>
  <si>
    <t>Vypínač ř.6+6 IP20</t>
  </si>
  <si>
    <t>Vypínač ř.7 IP20</t>
  </si>
  <si>
    <t>Vypínač ř. 6 IP44</t>
  </si>
  <si>
    <t>Hlavní havarijní vypínač GASTRO - hříbek</t>
  </si>
  <si>
    <t>Montážní krabice hluboká</t>
  </si>
  <si>
    <t>Montážní krbaice odbočná</t>
  </si>
  <si>
    <t>Vypínač 1f pro vybraná gastro zařízení</t>
  </si>
  <si>
    <t>Vypínač 3f pro vybraná gastro zařízení</t>
  </si>
  <si>
    <t>Pohybové/přítomnostní čidlo</t>
  </si>
  <si>
    <t>Kabel CXKH-R 3Jx1,5</t>
  </si>
  <si>
    <t>Kabel CXKH-R 3Jx2,5</t>
  </si>
  <si>
    <t>Kabel CXKH-R 3Jx4</t>
  </si>
  <si>
    <t>Kabel CXKH-R 3Jx6</t>
  </si>
  <si>
    <t>Kabel CXKH-R 5Jx1,5</t>
  </si>
  <si>
    <t>Kabel CXKH-R 5Jx2,5</t>
  </si>
  <si>
    <t>Kabel CXKH-R 5Jx4</t>
  </si>
  <si>
    <t>Kabel CXKH-R 5Jx6</t>
  </si>
  <si>
    <t>Kabel CXKH-R 5Jx10</t>
  </si>
  <si>
    <t>Kabel CXKH-R 5Jx16</t>
  </si>
  <si>
    <t>Kabel CYKY 3Jx1,5</t>
  </si>
  <si>
    <t>Kabel CYKY 3Jx2,5</t>
  </si>
  <si>
    <t>Kabel 1-CYKY 4x50</t>
  </si>
  <si>
    <t>Kabel 1-CYKY 4x120</t>
  </si>
  <si>
    <t>Topný kabel na potrubí</t>
  </si>
  <si>
    <t>12W/m</t>
  </si>
  <si>
    <t>Kabelový žlab 250x10 vč. závitových tyčí a vinglů pro uchycení</t>
  </si>
  <si>
    <t>Chránička d=25mm v podlaze</t>
  </si>
  <si>
    <t>Chránička d=40mm v podlaze</t>
  </si>
  <si>
    <t>Kabelová příchytka k uchycení do stropu</t>
  </si>
  <si>
    <t>Napojení spotřebičů</t>
  </si>
  <si>
    <t>Zakončení kabelů do průřezu 2,5mm v rozvaděči</t>
  </si>
  <si>
    <t>Zakončení kabelů do průřezu 16mm v rozvaděči</t>
  </si>
  <si>
    <t>Zakončení kabelů do průřezu 25mm v rozvaděči</t>
  </si>
  <si>
    <t>Požární ucpávka</t>
  </si>
  <si>
    <t>Úprava rozvaděče RH v objektové TS</t>
  </si>
  <si>
    <t>Rozvaděč R.GASTRO vč. Montáže a vyzbrojení dle schéma rozvaděče (3xpole 800x400x2000)</t>
  </si>
  <si>
    <t>Svorky, spojky a další pomocný materiál</t>
  </si>
  <si>
    <t>Řídící jednotka GREENWALL</t>
  </si>
  <si>
    <t>Svodič bleskových proudů v instalační krabici</t>
  </si>
  <si>
    <t>CYA 6</t>
  </si>
  <si>
    <t>CYA 10</t>
  </si>
  <si>
    <t>Osvětlení</t>
  </si>
  <si>
    <t>Svítidlo A</t>
  </si>
  <si>
    <t>1xLED, 2800lm, 33W, přisazené/zavěšené</t>
  </si>
  <si>
    <t>Svítidlo B</t>
  </si>
  <si>
    <t>1xLED, 5500lm, 40W, min. IP44, přisazené zavěšené</t>
  </si>
  <si>
    <t>Svítidlo C</t>
  </si>
  <si>
    <t>1xLED, 2900lm, 34W, zapuštěné do podhledu</t>
  </si>
  <si>
    <t>Svítidlo D</t>
  </si>
  <si>
    <t>1xLED, 6550lm, 58W, přisazené nebo zapuštěné</t>
  </si>
  <si>
    <t>Svítidlo E</t>
  </si>
  <si>
    <t>1xLED, 3150lm, 26W, kancelářské svítidlo</t>
  </si>
  <si>
    <t>Svítidlo F</t>
  </si>
  <si>
    <t>LED pásek 24V, 1094lm/m</t>
  </si>
  <si>
    <t>Svítidlo G</t>
  </si>
  <si>
    <t>1xLED, 3300lm, 27W, zapuštěné do rastru 600x600</t>
  </si>
  <si>
    <t>Svítidlo H</t>
  </si>
  <si>
    <t>1xLED, 3600lm, 34W, kulaté přisazené</t>
  </si>
  <si>
    <t>Svítidlo J</t>
  </si>
  <si>
    <t>1xLED, 2750lm, 20W, přisazené/zavěšené</t>
  </si>
  <si>
    <t>Svítidlo K</t>
  </si>
  <si>
    <t>1xLED, dle požadavku greenwall, downlight</t>
  </si>
  <si>
    <t>Nouzové svítidlo</t>
  </si>
  <si>
    <t>Nouzové svítidlo s piktogramem</t>
  </si>
  <si>
    <t>Vedlejší náklady</t>
  </si>
  <si>
    <t>Zajištění průběžné kontroly, fotodokumentace a výchozí revize</t>
  </si>
  <si>
    <t>Náklady zhotovitele, související s prováděním zkoušek a revizí předepsaných technickými normami nebo objednatelem a které jsou pro provedení díla nezbytné.</t>
  </si>
  <si>
    <t>RTS 17/ I</t>
  </si>
  <si>
    <t>Indiv</t>
  </si>
  <si>
    <t>POL99_2</t>
  </si>
  <si>
    <t>Termovize rozvaděčů</t>
  </si>
  <si>
    <t>Zjištění skutečného stavu elektroinstalace před montáží</t>
  </si>
  <si>
    <t>Prověřit že stav odpovídá výchozím podkladům</t>
  </si>
  <si>
    <t>Demontáž stávající elektroinstalace</t>
  </si>
  <si>
    <t>Demontáž stávajících přívodních kabelu pro VZT a GASTRO</t>
  </si>
  <si>
    <t>Ekologická likvidace demontovaných koncových prvků a svítidel</t>
  </si>
  <si>
    <t>Bourací, stavební práce a další pomocné práce</t>
  </si>
  <si>
    <t>Vrtání, drážkování, likvidace odpadu</t>
  </si>
  <si>
    <t>Dokumentace skutečného provedení stavby</t>
  </si>
  <si>
    <t>Koordinace prací s ostatními profesemi</t>
  </si>
  <si>
    <t>POP</t>
  </si>
  <si>
    <t>END</t>
  </si>
  <si>
    <t>CELKEM</t>
  </si>
  <si>
    <t>ÚPRAVA GASTROPROVOZU ÚŘADU VLÁDY ČR V 1PP STRAKOVY AKADEMIE</t>
  </si>
  <si>
    <t>Celkem s DPH</t>
  </si>
  <si>
    <t>Daň z přidané hodnoty</t>
  </si>
  <si>
    <t>Haléřové vyrovnání</t>
  </si>
  <si>
    <t>Ostatní režijní náklady</t>
  </si>
  <si>
    <t>Náklady na přepravu a ubytování</t>
  </si>
  <si>
    <t>Náklady na dopravu a přepravu materiálu</t>
  </si>
  <si>
    <t>Práce  a služby</t>
  </si>
  <si>
    <t>Dodávky</t>
  </si>
  <si>
    <t>Základní rozpočtové náklady</t>
  </si>
  <si>
    <t>HLAVA III.</t>
  </si>
  <si>
    <t>Rekapitulace rozpočtu</t>
  </si>
  <si>
    <t>DPH:</t>
  </si>
  <si>
    <t>Koordinační činnost</t>
  </si>
  <si>
    <t>Funkční zkouška</t>
  </si>
  <si>
    <t>Projekční práce</t>
  </si>
  <si>
    <t>Programování, nastavení zařízení</t>
  </si>
  <si>
    <t>Oživení a nastavení technologie</t>
  </si>
  <si>
    <t>Montáž instalačního materiálu</t>
  </si>
  <si>
    <t>Montáž, zapojení zařízení</t>
  </si>
  <si>
    <t>kpl.</t>
  </si>
  <si>
    <t>Drobný instalační materiál</t>
  </si>
  <si>
    <t>DIM</t>
  </si>
  <si>
    <t>Kabelový kanál LKM20030 RW bílá</t>
  </si>
  <si>
    <t>LKM20030RW</t>
  </si>
  <si>
    <t>Podpěra rychloupínací 125, SZ</t>
  </si>
  <si>
    <t>NPR 125_S</t>
  </si>
  <si>
    <t>Šroub vratový a samojisticí matice 6x10, GMT</t>
  </si>
  <si>
    <t>NSM 6x10_GMT</t>
  </si>
  <si>
    <t>Kotva 6x50, zinkochromát</t>
  </si>
  <si>
    <t>KPO 6x50_PO</t>
  </si>
  <si>
    <t>Pojistka</t>
  </si>
  <si>
    <t>NPPVZ_S</t>
  </si>
  <si>
    <t>Profil montážní 300, ŽZ</t>
  </si>
  <si>
    <t>NMP 300_F</t>
  </si>
  <si>
    <t>Konzola, ŽZ</t>
  </si>
  <si>
    <t>NKO_F</t>
  </si>
  <si>
    <t>Šroub + matice + plochá podložka 5x10, ZNCR</t>
  </si>
  <si>
    <t>NSMP 10x40_ZNCR</t>
  </si>
  <si>
    <t>Oblouk 90° 90x50x62, ŽZ</t>
  </si>
  <si>
    <t>NO 90x50x62_F</t>
  </si>
  <si>
    <t>Žlab děrovaný 50x62x0.70, integr.spojka, ŽZ (1ks=2m)</t>
  </si>
  <si>
    <t>NKZI 50x62x0.70</t>
  </si>
  <si>
    <t>Protipožární identifikační štítek</t>
  </si>
  <si>
    <t>b</t>
  </si>
  <si>
    <t>Minerální plst TECHROCK 80, tloušťka 40mm</t>
  </si>
  <si>
    <t>ROCKWOOL</t>
  </si>
  <si>
    <t>Zpěňující protipožární tmel (tuba 310ml)</t>
  </si>
  <si>
    <t>CP611A mat.</t>
  </si>
  <si>
    <t>Krabice odbočná s víčkem</t>
  </si>
  <si>
    <t>KO 97/5_KA</t>
  </si>
  <si>
    <t>Ochranná hadice FX 25 šedá, PVC</t>
  </si>
  <si>
    <t>Lišta 25x20mm, bílá</t>
  </si>
  <si>
    <t>EIP25020</t>
  </si>
  <si>
    <t>Plastová nízká propojovací krabice, 24+1 šroubovací svorka</t>
  </si>
  <si>
    <t>J24</t>
  </si>
  <si>
    <t>Krabice 14x0.5-4mm2, P90-R/E90, 176x126x87</t>
  </si>
  <si>
    <t>KSK 175-DPO</t>
  </si>
  <si>
    <t>Šroub HL S, délka 52mm</t>
  </si>
  <si>
    <t>HL S 7,5*52</t>
  </si>
  <si>
    <t>Úchytka pro jednotlivý kabel 10mm</t>
  </si>
  <si>
    <t>HL P1 10</t>
  </si>
  <si>
    <t>Kabel hnědý PraFlaGuard-F 1x2x0.8</t>
  </si>
  <si>
    <t>Kabel hnědý PraFlaGuard-F 2x2x0.8</t>
  </si>
  <si>
    <t>Kabel J-Y(ST)Y 2x2x0.8mm RUDÝ</t>
  </si>
  <si>
    <t>J-Y(ST)Y2x2x0.8</t>
  </si>
  <si>
    <t>Jedn. cena</t>
  </si>
  <si>
    <t>Počet</t>
  </si>
  <si>
    <t>Popis položky</t>
  </si>
  <si>
    <t>Dodávka EPS - Instalační materiál</t>
  </si>
  <si>
    <t>Popisný štítek s adresou prvku malý</t>
  </si>
  <si>
    <t>AKU 12V/38Ah se šroubovými svorkami M6 a životností až 10</t>
  </si>
  <si>
    <t>PS12380 VdS</t>
  </si>
  <si>
    <t>Spínaný zdroj, LCD displej, 27,6V/5A trvale/7A krátkodobě;</t>
  </si>
  <si>
    <t>EN54-7A40LCD</t>
  </si>
  <si>
    <t>Dvoutónová nezál. červená polariz. siréna 102dB</t>
  </si>
  <si>
    <t>ROLP/R/D</t>
  </si>
  <si>
    <t>Pojistný PVC stahovací pásek pro tepelný kabel</t>
  </si>
  <si>
    <t>Držák teplotního kabelu T-clip, plast, montáž kabe</t>
  </si>
  <si>
    <t>ACA-CT-100</t>
  </si>
  <si>
    <t>Lineární teplotní kabel, detekční teplota 87,8°C.</t>
  </si>
  <si>
    <t>PW-PHSC-190-EPC</t>
  </si>
  <si>
    <t>Skříň pro koppler na omítku, šedá</t>
  </si>
  <si>
    <t>Napěťový konvertor 12V-24V/12V DC</t>
  </si>
  <si>
    <t>Deska izolátoru pro esserbus-Koppler</t>
  </si>
  <si>
    <t>Modul RTZ 8000 / 24V pro spec. hlásiče</t>
  </si>
  <si>
    <t>Esserbus® koppler Alarmový (4/2)</t>
  </si>
  <si>
    <t>Kovový klíček pro tl. hlásiče</t>
  </si>
  <si>
    <t>b10</t>
  </si>
  <si>
    <t>Náhradní sklíčko pro IQ8 bal. 10ks</t>
  </si>
  <si>
    <t>Skříň tlačítkového hlásiče IQ8 červená</t>
  </si>
  <si>
    <t>Elektronika tlačítka IQ8 s oddělovačem</t>
  </si>
  <si>
    <t>Držák popisných štítků, bal.10 ks</t>
  </si>
  <si>
    <t>IP ochrana pro patici IQ8Quad, bal.10ks</t>
  </si>
  <si>
    <t>Adaptér pro patice IQ8Quad do vlhka</t>
  </si>
  <si>
    <t>Patice pro hlásiče IQ8Quad</t>
  </si>
  <si>
    <t>Termomaximální hlásič tř.B IQ8Quad</t>
  </si>
  <si>
    <t>Opticko-kouřový hlásič IQ8Quad</t>
  </si>
  <si>
    <t>Mikromodul esserbus/esserbus-Plus GT</t>
  </si>
  <si>
    <t>FX808332</t>
  </si>
  <si>
    <t>Rozšiřovací karta 1 se 4 pozicemi pro MM</t>
  </si>
  <si>
    <t>FX808322</t>
  </si>
  <si>
    <t>Dodávka EPS - Zařízení</t>
  </si>
  <si>
    <t>Demontáže</t>
  </si>
  <si>
    <t>RP/PRS/00472.0</t>
  </si>
  <si>
    <t>Rozpočet</t>
  </si>
  <si>
    <t>*PRAFlaG 2x2x0.8</t>
  </si>
  <si>
    <t>*PRAFlaG 1x2x0.8</t>
  </si>
  <si>
    <t>*ROCKWOOL</t>
  </si>
  <si>
    <t>Projekční práce - skutečný stav</t>
  </si>
  <si>
    <t>Montáž instalačního materiálu vč. trubkování</t>
  </si>
  <si>
    <t>Kabel hnědý PraFlaDur - O 2x1.5, P30-R, PH120-R</t>
  </si>
  <si>
    <t>PRAFlaD-O2x1.5</t>
  </si>
  <si>
    <t>Připojovací adaptér EVAC, balení 100ks</t>
  </si>
  <si>
    <t>Krabice 5x1.5-6mm2, P90-R/E90, 101x101x62</t>
  </si>
  <si>
    <t>KSK 100-PO</t>
  </si>
  <si>
    <t>Dodávka NSZ - Instalační materiál</t>
  </si>
  <si>
    <t>Praesideo - deska dohledu nad linkami</t>
  </si>
  <si>
    <t>Skříňkový kovový reproduktor 6W, EVAC, bílý</t>
  </si>
  <si>
    <t>Dodávka NSZ - Zařízení</t>
  </si>
  <si>
    <t>RP/COT/04962.0</t>
  </si>
  <si>
    <t>*LBC3018/01, rep</t>
  </si>
  <si>
    <t>*LBB4443/00, Pra</t>
  </si>
  <si>
    <t>*LBC1256/00, ada</t>
  </si>
  <si>
    <t>Krabice universální KU68, víčko KO68</t>
  </si>
  <si>
    <t>KU 68-1902_KA</t>
  </si>
  <si>
    <t>Ochranná hadice FX 32 šedá, PVC</t>
  </si>
  <si>
    <t>GRIP M/15</t>
  </si>
  <si>
    <t>Kabel CYKY-J 3x1,5mm2</t>
  </si>
  <si>
    <t>CYKY-J 3x1,5</t>
  </si>
  <si>
    <t>Kabel J-Y(ST)Y 2x2x0.8mm šedý</t>
  </si>
  <si>
    <t>Kabel FTP cat.5e, drát, PVC</t>
  </si>
  <si>
    <t>FTP 5e PVC</t>
  </si>
  <si>
    <t>Kabel SYKFY 3x2x0.5mm</t>
  </si>
  <si>
    <t>SYKFY 3x2x0.5</t>
  </si>
  <si>
    <t>Dodávka PZTS - Instalační materiál</t>
  </si>
  <si>
    <t>Kniha provozu PZTS (AGA)</t>
  </si>
  <si>
    <t>KNIHAPZTS</t>
  </si>
  <si>
    <t>AKU 12V/7Ah konektor Faston 187, životnost až 5 let, VdS</t>
  </si>
  <si>
    <t>Lineární zdroj v kovovém krytu 13,8 Vss / 2A se signalizačními výstupy</t>
  </si>
  <si>
    <t>ZBPK13,8/2A-K7</t>
  </si>
  <si>
    <t>Duální detektor digitální s držákem, vějíř 15m,</t>
  </si>
  <si>
    <t>KX15DTAM</t>
  </si>
  <si>
    <t>Box pro IRC3000/4000 nebo IRZ300x</t>
  </si>
  <si>
    <t>IRB3000</t>
  </si>
  <si>
    <t>Sběrnicový 8-zónový expander, 8 vstup.+ 8 výst.zón</t>
  </si>
  <si>
    <t>IRZ3000/8</t>
  </si>
  <si>
    <t>Dodávka PZTS - Zařízení</t>
  </si>
  <si>
    <t>RP/COT/04961.0</t>
  </si>
  <si>
    <t>*PS1270 VdS</t>
  </si>
  <si>
    <t>Zednické a přípomocné práce</t>
  </si>
  <si>
    <t>Měření</t>
  </si>
  <si>
    <t>Krabice universální KU68, pr.71x43</t>
  </si>
  <si>
    <t>KU 68-1901_KA</t>
  </si>
  <si>
    <t>Ochranná hadice FX 40 šedá, PVC</t>
  </si>
  <si>
    <t>Patch kabel 2m UTP SOLARIX, CAT6</t>
  </si>
  <si>
    <t>Patch kabel 1m UTP SOLARIX, CAT6</t>
  </si>
  <si>
    <t>Kabel UTP drát CAT6 SOLARIX, PVC, cívka 500m</t>
  </si>
  <si>
    <t>Dodávka SLB - Instalační materiál</t>
  </si>
  <si>
    <t>MOSN ZÁSLEPKA ANTIB 2M BÍLÁ</t>
  </si>
  <si>
    <t>MOSN 1XRJ45 UTP C6 2M BÍ</t>
  </si>
  <si>
    <t>IP66 BOX INSTAL. KRABICE</t>
  </si>
  <si>
    <t>IP66 BOX S ŠROU.VIKEM 4M MOSAZ</t>
  </si>
  <si>
    <t>Kryt konektoru RJ45-šedivá</t>
  </si>
  <si>
    <t>srjk-grey</t>
  </si>
  <si>
    <t>Konektor RJ45 8pinů, Cat6</t>
  </si>
  <si>
    <t>srj45-c6</t>
  </si>
  <si>
    <t>popisný štítek</t>
  </si>
  <si>
    <t>Keystone CAT6 UTP RJ45 - do zásuvky</t>
  </si>
  <si>
    <t>SXKJ-6-UTP-BK</t>
  </si>
  <si>
    <t>Maska nosná pro 2x RJ45 (IEC 607-7)</t>
  </si>
  <si>
    <t>5014A-B1018</t>
  </si>
  <si>
    <t>Maska nosná pro 1x RJ45 (IEC 607-7)</t>
  </si>
  <si>
    <t>5014A-B1017</t>
  </si>
  <si>
    <t>Rámeček jednonásobný Tango, bílý</t>
  </si>
  <si>
    <t>3901A-B10 B</t>
  </si>
  <si>
    <t>Kryt zásuvky datové Tango, bílý</t>
  </si>
  <si>
    <t>5014A-A100 B</t>
  </si>
  <si>
    <t>Spojovací materiál sada 4x šroub, podložka,</t>
  </si>
  <si>
    <t>RAX-MS-X19-X1</t>
  </si>
  <si>
    <t>Patch panel osazený 24 portů UTP 1U, CAT6</t>
  </si>
  <si>
    <t>I24000341</t>
  </si>
  <si>
    <t>19"' vyvazovací panel 1U, 5x háček 60x30mm</t>
  </si>
  <si>
    <t>RAB-VP-X11-A1</t>
  </si>
  <si>
    <t>Dodávka SLB - Zařízení</t>
  </si>
  <si>
    <t>RP/PRS/00471.0</t>
  </si>
  <si>
    <t>*I26000001</t>
  </si>
  <si>
    <t>*I28410109</t>
  </si>
  <si>
    <t>*I28410209</t>
  </si>
  <si>
    <t>*19858</t>
  </si>
  <si>
    <t>*19859</t>
  </si>
  <si>
    <t>*19857</t>
  </si>
  <si>
    <t>0_</t>
  </si>
  <si>
    <t>001VD_</t>
  </si>
  <si>
    <t>004</t>
  </si>
  <si>
    <t>Meření hluku z provozu vzduchotechinických zařízení</t>
  </si>
  <si>
    <t>003</t>
  </si>
  <si>
    <t>Zaregulování rozvodů VZT a vystavení protokolu o tomto měření</t>
  </si>
  <si>
    <t>002</t>
  </si>
  <si>
    <t>001VD</t>
  </si>
  <si>
    <t>728-6_</t>
  </si>
  <si>
    <t>Demontáž talířového ventilu kruhového do d 200 mm</t>
  </si>
  <si>
    <t>728413852R00</t>
  </si>
  <si>
    <t>Dmtž ventilátoru radiál.nízkotl.potrub. do 0,13 m2</t>
  </si>
  <si>
    <t>728611814R00</t>
  </si>
  <si>
    <t>Dveřní mřížka 400x100 oboustranná</t>
  </si>
  <si>
    <t>3019</t>
  </si>
  <si>
    <t>Montáž mřížky větrací nebo ventilační do 0,10 m2</t>
  </si>
  <si>
    <t>728415112R00</t>
  </si>
  <si>
    <t>Talířový ventil odvodní kovový DN160</t>
  </si>
  <si>
    <t>3018</t>
  </si>
  <si>
    <t>Montáž talířového ventilu kruhové do d 200 mm</t>
  </si>
  <si>
    <t>728413522R00</t>
  </si>
  <si>
    <t>Zpětná klapka DN160</t>
  </si>
  <si>
    <t>3002</t>
  </si>
  <si>
    <t>Montáž klapky plechové kruhové do d 200 mm</t>
  </si>
  <si>
    <t>728212412R00</t>
  </si>
  <si>
    <t>Potrubní radiální ventilátor kovový DN160 300m3/h, 320Pa + 2xspojovací manžeta DN160</t>
  </si>
  <si>
    <t>6001</t>
  </si>
  <si>
    <t>Mtž ventilátoru radiál. nízkotl. potrub. do 0,07m2</t>
  </si>
  <si>
    <t>728611113R00</t>
  </si>
  <si>
    <t>Vzduchotechnika - zařízení č.6 - Odvětrání sociálního zařízení</t>
  </si>
  <si>
    <t>728-6</t>
  </si>
  <si>
    <t>728-5_</t>
  </si>
  <si>
    <t>Demontáž systému Split (venkovní a vnitřní jednotka, potrubí, prokabelování)</t>
  </si>
  <si>
    <t>612-255</t>
  </si>
  <si>
    <t>včetně dodávky kabelu</t>
  </si>
  <si>
    <t>Kabel CYKY  5 x 1,5 mm2 pevně uložený</t>
  </si>
  <si>
    <t>210810055RT1</t>
  </si>
  <si>
    <t>Chladivo R410A včetně plnění</t>
  </si>
  <si>
    <t>Potrubí měděné pro chlazení izolované DN 19,1</t>
  </si>
  <si>
    <t>612-205</t>
  </si>
  <si>
    <t>bm</t>
  </si>
  <si>
    <t>Potrubí měděné pro chlazení izolované DN 15,9</t>
  </si>
  <si>
    <t>612-204</t>
  </si>
  <si>
    <t>Potrubí měděné pro chlazení izolované DN 12,7</t>
  </si>
  <si>
    <t>612-203</t>
  </si>
  <si>
    <t>Potrubí měděné pro chlazení izolované DN 9,5</t>
  </si>
  <si>
    <t>612-202</t>
  </si>
  <si>
    <t>Potrubí měděné pro chlazení izolované DN 6,4</t>
  </si>
  <si>
    <t>612-201</t>
  </si>
  <si>
    <t>Dekorační panel kazetové jednotky</t>
  </si>
  <si>
    <t>612-161</t>
  </si>
  <si>
    <t>Kabelový ovladač chlazení, prokabelování</t>
  </si>
  <si>
    <t>612-157</t>
  </si>
  <si>
    <t>Refnet</t>
  </si>
  <si>
    <t>612-151</t>
  </si>
  <si>
    <t>Čerpadlo kondenzátu pro kazetovou jednotku</t>
  </si>
  <si>
    <t>612-133</t>
  </si>
  <si>
    <t>Vnitřní jednotka kazetová systému VRV o celkovém chladícím výkonu 3,5kW, jednotky pohledové (designové), lamely směrovatelné</t>
  </si>
  <si>
    <t>612-108</t>
  </si>
  <si>
    <t>Vnitřní jednotka nástěnná systému VRV o celkovém chladícím výkonu 3,5kW, jednotky pohledové (designové), lamely směrovatelné, výdech i vzhůru</t>
  </si>
  <si>
    <t>612-107</t>
  </si>
  <si>
    <t>Vnitřní jednotka nástěnná systému VRV o celkovém chladícím výkonu 2,5kW, jednotky pohledové (designové), lamely směrovatelné, výdech i vzhůru</t>
  </si>
  <si>
    <t>612-105</t>
  </si>
  <si>
    <t>Vnitřní jednotka nástěnná systému VRV o celkovém chladícím výkonu 2,0kW, jednotky pohledové (designové), lamely směrovatelné, výdech i vzhůru</t>
  </si>
  <si>
    <t>612-104</t>
  </si>
  <si>
    <t>Konzoly pro instalaci jednotky na zeď</t>
  </si>
  <si>
    <t>612-103</t>
  </si>
  <si>
    <t>s technologií variabilní teploty chladiva</t>
  </si>
  <si>
    <t>Venkovní kondenzační jednotka systém VRV o chladícím výkonu 16,5kW v kompaktním provedení pro instalaci na zeď</t>
  </si>
  <si>
    <t>612-101</t>
  </si>
  <si>
    <t>Vzduchotechnika - zařízení č.5 - Chlazení jídelny a bufetu</t>
  </si>
  <si>
    <t>728-5</t>
  </si>
  <si>
    <t>728-4_</t>
  </si>
  <si>
    <t>Kruhové potrubí SPIRO do DN125 včetně závěsů a tvarovek</t>
  </si>
  <si>
    <t>3030</t>
  </si>
  <si>
    <t>Montáž potrubí plechového kruhového do d 200 mm</t>
  </si>
  <si>
    <t>728112112R00</t>
  </si>
  <si>
    <t>Talířový ventil odvodní kovový DN125 včetně zděře</t>
  </si>
  <si>
    <t>Zpětná klapka DN125</t>
  </si>
  <si>
    <t>4007</t>
  </si>
  <si>
    <t>Montáž klapky plechové kruhové do d 100 mm</t>
  </si>
  <si>
    <t>728212411R00</t>
  </si>
  <si>
    <t>Potrubní radiální ventilátor kovový DN125 150m3/h, 300Pa + 2xspojovací manžeta DN125</t>
  </si>
  <si>
    <t>4001</t>
  </si>
  <si>
    <t>Vzduchotechnika - zařízení č.4 - Odvětrání skladů bufetu</t>
  </si>
  <si>
    <t>728-4</t>
  </si>
  <si>
    <t>728-3_</t>
  </si>
  <si>
    <t>Kruhové potrubí SPIRO do DN200 včetně závěsů a tvarovek</t>
  </si>
  <si>
    <t>2031</t>
  </si>
  <si>
    <t>Kruhové potrubí SPIRO do DN160 včetně závěsů a tvarovek</t>
  </si>
  <si>
    <t>Stěnová mřížka 400x200 s upevňovacím ráměčkem</t>
  </si>
  <si>
    <t>3001</t>
  </si>
  <si>
    <t>Vzduchotechnika - zařízení č.3 - Odvětrání skladu potravin</t>
  </si>
  <si>
    <t>728-3</t>
  </si>
  <si>
    <t>728-2_</t>
  </si>
  <si>
    <t>112-255</t>
  </si>
  <si>
    <t>Izolace  tepelná a hluková- 40 mm minerální plsť, povrch Alfol (omyvatelná), připevněná na samolepící trny, AL páska</t>
  </si>
  <si>
    <t>150-250</t>
  </si>
  <si>
    <t>Ohebná Al hadicec ALUFLEX MI 160</t>
  </si>
  <si>
    <t>Montáž potrubí ohebného izolovan. z AL do d 200 mm</t>
  </si>
  <si>
    <t>728115412R00</t>
  </si>
  <si>
    <t>Čtyřhranné potrubí nerezového plechu uprava broušený nerez, včetně tvarovek a závěsů</t>
  </si>
  <si>
    <t>250-200</t>
  </si>
  <si>
    <t>Čtyřhranné potrubí sk. I z pozink. plechu včetně tvarovek a závěsů</t>
  </si>
  <si>
    <t>250-100</t>
  </si>
  <si>
    <t>Kruhové potrubí nerezové SPIRO DN250 uprava broušený nerez včetně závěsů a tvarovek</t>
  </si>
  <si>
    <t>Montáž potrubí plechového kruhového do d 300 mm</t>
  </si>
  <si>
    <t>728112113R00</t>
  </si>
  <si>
    <t>2030</t>
  </si>
  <si>
    <t>Regulační klapka 250x250, ruční</t>
  </si>
  <si>
    <t>200-007</t>
  </si>
  <si>
    <t>Montáž klapky plechové čtyřhranné do 0,07 m2</t>
  </si>
  <si>
    <t>728211413R00</t>
  </si>
  <si>
    <t>Regulační klapka kruhová DN160, ruční</t>
  </si>
  <si>
    <t>100-005</t>
  </si>
  <si>
    <t>Vyúsť komfortní čtyřhranná 400x100, dvouřadá s regulací R1</t>
  </si>
  <si>
    <t>2024</t>
  </si>
  <si>
    <t>Vyúsť komfortní čtyřhranná 400x100, jednořadá s regulací R1</t>
  </si>
  <si>
    <t>2023</t>
  </si>
  <si>
    <t>Vyúsť s odlučovačem tuků 400x200 horizontální</t>
  </si>
  <si>
    <t>2022</t>
  </si>
  <si>
    <t>Montáž vyústě čtyřhranné do 0,08 m2</t>
  </si>
  <si>
    <t>728411312R00</t>
  </si>
  <si>
    <t>Anemostat přívodní čtyřhranný 600x600, nastavitelné lamelly, 400m3/h, 20Pa, box s bočním napojením, nerez broušený, regulační klapka</t>
  </si>
  <si>
    <t>2029</t>
  </si>
  <si>
    <t>Montáž anemostatu čtyřhranného do 0,5 m2</t>
  </si>
  <si>
    <t>728412114R00</t>
  </si>
  <si>
    <t>Tlumič hluku buňkový G 300/500/1500.1</t>
  </si>
  <si>
    <t>2014</t>
  </si>
  <si>
    <t>Tlumič hluku buňkový G 300/500/1000.1</t>
  </si>
  <si>
    <t>2011</t>
  </si>
  <si>
    <t>Montáž tlumiče hluku čtyřhranného do 0,3 m2</t>
  </si>
  <si>
    <t>728312112R00</t>
  </si>
  <si>
    <t>Ocelová konstrukce pod kondenzační jednotku</t>
  </si>
  <si>
    <t>2005</t>
  </si>
  <si>
    <t>Modul omezení výkonu „MOV“</t>
  </si>
  <si>
    <t>2009</t>
  </si>
  <si>
    <t>Komunikační box AHU-ELDS_02 pro MOV a Modbus</t>
  </si>
  <si>
    <t>2004</t>
  </si>
  <si>
    <t>Venkovní kondenzační jednotka UU 12 W UL0</t>
  </si>
  <si>
    <t>2003</t>
  </si>
  <si>
    <t>Sifon podtlakový s uzávěrem DN50</t>
  </si>
  <si>
    <t>2002</t>
  </si>
  <si>
    <t>v sestavě:
 - přívodní část
1) 2x pružná manžeta 
2) regulační klapka + servopohon
3) filtr  G4 + F7 včetně filtračních vložek
4) deskový rekuperátor tepla s obtokem, účinnost ZZT minimálně 90%
5) přímý výparník 
6) elektrický ohřívač 
7) radiální ventilátor 1800m3/h, 350Pa
 - odvodní část
8) 2x pružná manžeta 
9) regulační klapka + servopohon
10) filtr  M5 včetně filtrační vložky
11) ventilátor 1800m3/h, 500Pa
- regulace Digireg M1-E8, včetně čidel, dálkové ovládání, prokabelování, zprovoznění
- rozebíratelné provedení, smontovat na mísě
- snímatelné panely</t>
  </si>
  <si>
    <t>Kompaktní vzduchotechnická jednotka podstropní s rekuperací tepla Duovent Compact Duovent Compact DV 1800 DI DX KL G4+F7/M5 DVAV AH</t>
  </si>
  <si>
    <t>2001</t>
  </si>
  <si>
    <t>Vzduchotechnika - zařízení č.2 - Větrání jídelny a bufetu</t>
  </si>
  <si>
    <t>728-2</t>
  </si>
  <si>
    <t>728-1_</t>
  </si>
  <si>
    <t>Demontáž potrubí plechového 4hranného</t>
  </si>
  <si>
    <t>211-412VL</t>
  </si>
  <si>
    <t>Demontáž zákrytu průmyslového odsávacího do 2,5 m2</t>
  </si>
  <si>
    <t>728414872R00</t>
  </si>
  <si>
    <t>Demontáž vyústě čtyřhranné do 0,08 m2</t>
  </si>
  <si>
    <t>728411832R00</t>
  </si>
  <si>
    <t>Demontáž protidešť. žaluzie čtyřhranné do 0,75 m2</t>
  </si>
  <si>
    <t>728314813R00</t>
  </si>
  <si>
    <t>Demontáž anemostatu 4hranného vířivého do 0,35 m2</t>
  </si>
  <si>
    <t>728412822R00</t>
  </si>
  <si>
    <t>Demontáž tlumiče hluku čtyřhranného do 0,15 m2</t>
  </si>
  <si>
    <t>728312811R00</t>
  </si>
  <si>
    <t>Demontáž a likvidace stávající vzduchotechnické jednotky cca 350kg</t>
  </si>
  <si>
    <t>311-413VL</t>
  </si>
  <si>
    <t>Izolace  tepelná kaučuková povrch Alfol (omyvatelná) 32 mm, samolepící</t>
  </si>
  <si>
    <t>150-252</t>
  </si>
  <si>
    <t>Izolace  tepelná a hluková- 60 mm minerální plsť + oplechování</t>
  </si>
  <si>
    <t>150-251</t>
  </si>
  <si>
    <t>150-100</t>
  </si>
  <si>
    <t>Kruhové potrubí SPIRO do DN400 včetně závěsů a tvarovek</t>
  </si>
  <si>
    <t>Montáž potrubí plechového kruhového do d 400 mm</t>
  </si>
  <si>
    <t>728112114R00</t>
  </si>
  <si>
    <t>Regulační klapka 400x200, ruční</t>
  </si>
  <si>
    <t>100-014</t>
  </si>
  <si>
    <t>Montáž klapky plechové čtyřhranné do 0,13 m2</t>
  </si>
  <si>
    <t>728211414R00</t>
  </si>
  <si>
    <t>Regulační klapka 250x200, ruční</t>
  </si>
  <si>
    <t>100-013</t>
  </si>
  <si>
    <t>Regulační klapka 250x125, ruční</t>
  </si>
  <si>
    <t>100-012</t>
  </si>
  <si>
    <t>Regulační klapka 200x200, ruční</t>
  </si>
  <si>
    <t>100-011</t>
  </si>
  <si>
    <t>Regulační klapka kruhová DN125, ruční</t>
  </si>
  <si>
    <t>100-004</t>
  </si>
  <si>
    <t>Krycí mřížka, síto 700x500</t>
  </si>
  <si>
    <t>1022</t>
  </si>
  <si>
    <t>Montáž mřížky větrací nebo ventilační nad 0,20 m2</t>
  </si>
  <si>
    <t>728415115R00</t>
  </si>
  <si>
    <t>Vyúsť s odlučovačem tuků 280x200 horizontální</t>
  </si>
  <si>
    <t>Vyúsť komfortní čtyřhranná pro kruhové potrubí 600x100, dvouřadá s regulací R1</t>
  </si>
  <si>
    <t>1021</t>
  </si>
  <si>
    <t>Vyúsť komfortní čtyřhranná pro kruhové potrubí 500x75, dvouřadá s regulací R1</t>
  </si>
  <si>
    <t>1020</t>
  </si>
  <si>
    <t>Montáž vyústě čtyřhranné do 0,04 m2</t>
  </si>
  <si>
    <t>728411311R00</t>
  </si>
  <si>
    <t>Talířový ventil přívodní kovový DN200</t>
  </si>
  <si>
    <t>1019</t>
  </si>
  <si>
    <t>1018</t>
  </si>
  <si>
    <t>Protidešťová žaluzie 1050x600, pozink, RAL</t>
  </si>
  <si>
    <t>1017</t>
  </si>
  <si>
    <t>Montáž protidešť. žaluzie čtyřhranné nad 0,75 m2</t>
  </si>
  <si>
    <t>728314116R00</t>
  </si>
  <si>
    <t>Protidešťová žaluzie 550x700, pozink, s upevěním na zeď</t>
  </si>
  <si>
    <t>1016</t>
  </si>
  <si>
    <t>Protidešťová žaluzie 500x700, pozink, s upevěním na zeď</t>
  </si>
  <si>
    <t>1015</t>
  </si>
  <si>
    <t>Montáž protidešť. žaluzie čtyřhranné do 0,45 m2</t>
  </si>
  <si>
    <t>728314113R00</t>
  </si>
  <si>
    <t>Tlumič hluku buňkový G 200/500/1500.1</t>
  </si>
  <si>
    <t>1014</t>
  </si>
  <si>
    <t>Tlumič hluku buňkový G 250/500/1250.1 atip.</t>
  </si>
  <si>
    <t>1013</t>
  </si>
  <si>
    <t>Tlumič hluku buňkový G 200/500/1250.1 atip.</t>
  </si>
  <si>
    <t>1012</t>
  </si>
  <si>
    <t>Tlumič hluku buňkový G 200/500/1000.1</t>
  </si>
  <si>
    <t>1011</t>
  </si>
  <si>
    <t>Montáž tlumiče hluku čtyřhranného do 0,45 m2</t>
  </si>
  <si>
    <t>728312113R00</t>
  </si>
  <si>
    <t>Detektor kouře do potrubí s napojením na EPS</t>
  </si>
  <si>
    <t>1006</t>
  </si>
  <si>
    <t>1005</t>
  </si>
  <si>
    <t>1007</t>
  </si>
  <si>
    <t>1004</t>
  </si>
  <si>
    <t>Venkovní kondenzační jednotka UU 18 W UE4</t>
  </si>
  <si>
    <t>1003</t>
  </si>
  <si>
    <t>1002</t>
  </si>
  <si>
    <t>v sestavě:
 - přívodní část
1) 2x pružná manžeta 
2) regulační klapka + servopohon
3) filtr  G4 + F7 včetně filtračních vložek
4) deskový rekuperátor tepla s obtokem, účinnost ZZT minimálně 89%
5) přímý výparník 
6) elektrický ohřívač 
7) radiální ventilátor 2750m3/h, 350Pa
 - odvodní část
8) 2x pružná manžeta 
9) regulační klapka + servopohon
10) filtr  M5 včetně filtrační vložky
11) ventilátor 2950m3/h, 500Pa
- regulace Digireg M3-E15, včetně čidel, dálkové ovládání, prokabelování, zprovoznění
- rozebíratelné provedení, smontovat na mísě
- snímatelné panely</t>
  </si>
  <si>
    <t>Kompaktní vzduchotechnická jednotka podstropní s rekuperací tepla Duovent Compact DV 3000 DXr DI KL G4+F7/M5 DVAV FH</t>
  </si>
  <si>
    <t>1001</t>
  </si>
  <si>
    <t>Vzduchotechnika - zařízení č.1 - Větrání kuchyně</t>
  </si>
  <si>
    <t>728-1</t>
  </si>
  <si>
    <t>Zařízení vzduchotechniky</t>
  </si>
  <si>
    <t>*3030</t>
  </si>
  <si>
    <t>*1030</t>
  </si>
  <si>
    <t>*1031</t>
  </si>
  <si>
    <t>*1035</t>
  </si>
  <si>
    <t>*2033</t>
  </si>
  <si>
    <t>*2040</t>
  </si>
  <si>
    <t>Povolená tolerance exaktních hodnot, které nejsou dány rozpětím (min./max.) je +/- 10% za podmínky dodržení celkového dispozičního řešení dle nákresů.</t>
  </si>
  <si>
    <t>Položkový rozpočet nezahrnuje drobné vybavení kuchyně (např. gastronádoby, hrnce, nože, krájecí desky apod.).</t>
  </si>
  <si>
    <t>Dodávka vč. montáže, odzkoušení a zaškolení obsluhy, dopravy</t>
  </si>
  <si>
    <t>Stojánková baterie</t>
  </si>
  <si>
    <t>Stůl mycí skříňkový, dřez 400x400mm vpravo, sp. prostor v hyg. provedení H2, přestavitelná police, posuvná dvířka, zadní a pravý lem, čelní a levý sokl</t>
  </si>
  <si>
    <t>01.12.10</t>
  </si>
  <si>
    <t>Zásobník na jednotlivé papírové ručníky, objem do 250 ks ručníků, okénko na kontrolu množství ručníků v zásobníku, uzamykatelný na klíček. Provedení: nerez mat.</t>
  </si>
  <si>
    <t>Dávkovač tekutého mýdla, objem nádržky min. 400ml, okénko na kontrolu hladiny mýdla, uzamykatelný na klíč, hrany jsou svařované a zabroušené, zámek je zapuštěný do stěny výrobku, schované závěsy krytu. Provedení: nerez mat.</t>
  </si>
  <si>
    <t>12V/0,007</t>
  </si>
  <si>
    <t>Stojánková umyvadlová baterie s integrovanou elektronikou ve výtoku, elmag. ventilem, směšovačem, připojovacími hadicemi a filtry nečistot, na teplou a studenou vodu. Vypíná 1–2 sec po vyjmutí rukou z umyvadla. Dosah se nastavuje automaticky po připojení napájení. Hygienické proplachování aktivovatelný od 0–108 hod.
Trvání proplachu je nastavitelné od 5–180 sek. Napájení z exter. zdroje 12 V~.</t>
  </si>
  <si>
    <t>Umyvadlo nástěnné, nerezové, úchyty na zeď k umyvadlu, zakrytí sifonu</t>
  </si>
  <si>
    <t>01.12.4</t>
  </si>
  <si>
    <t>Bufet (m.č.01.12)</t>
  </si>
  <si>
    <t>Zázemí bufetu (m.č.01.09)</t>
  </si>
  <si>
    <t>BIO - Úklid (m.č.01.08)</t>
  </si>
  <si>
    <t>Změkčovač vody s bezúdržbovým systémem pro kávovar, průtok 60l/hod.</t>
  </si>
  <si>
    <t>Překapávač vody a čaje. 1 průtoková jednotka. Pevné připojení na vodu. Udržovací kapacita: 40 l. Výkonová kapacita: 90 l/hod. Doba překapávání: 14 min / 20 l. Překapává se do odnímatelných zásobníků. Digitální řízení. Signalizace zavápnění. Celkové a denní počítadlo vydaného množství. Akustický signál dokončení překapávání. Spínací hodiny. Filtrační jednotka. 2x termos 20 l s vodomírou na horké a studené nápoje, dvouplášťové plně izolované provedení, s víkem, nekapajícím kohoutkem.</t>
  </si>
  <si>
    <t>01.07.3</t>
  </si>
  <si>
    <t>Chodba (m.č.01.07)</t>
  </si>
  <si>
    <t>Nástěnná skříňka uzavřená, celonerezové provedení, nerez plech tl. 1 mm, opláštění z boků a zezadu, z čela posuvná nerez dvířka na valivém vedení, střední přestavitelná police</t>
  </si>
  <si>
    <t>01.06.9</t>
  </si>
  <si>
    <t xml:space="preserve">Stolní kutr. Objem nádoby 5,5l. Umožňuje zpracování masa, zeleniny a ovoce, přípravu těsta, paštik, majonéz, pyré, pomazánek a strouhanky a rovněž sekání bylinek a koření a drcení ořechů a mandlí. Indukční motor asynchronní motor; tichý chod motoru bez jakýchkoliv vibrací; motor nevyžaduje žádnou údržbu; nerezová hřídel; magnetický bezpečnostní systém, zajišťující při nesprávném sesazení zařízení nebo v momentu otevření víka zastavení, popř. nespuštění kutru. 2 regulace rychlosti. Pulsní tlačítko pro lepší kontrolu konzistence a větší přesnost zpracování. Kryt motorového bloku je kovový. Odnímatelná nádoba kutru z nerezu s ergonomickým držadlem. Průhledné polykarbonátové víko s otvorem umožňuje přidávání dalších ingrediencí v průběhu sekání. Počet ot/min.: 1500/3000. Plnění kutru: 3 kg surovin. </t>
  </si>
  <si>
    <t>01.06.8</t>
  </si>
  <si>
    <t>Stojánková páková baterie profi</t>
  </si>
  <si>
    <t xml:space="preserve">Pracovní stůl s dřezem a umývátkem, celonerezové provedení - pracovní deska tl. 40 mm, nerez plech tl. 1,5 mm, zadní a boční lemy, zadní přesah desky pro radiátor s vyjímatelnou mřížkou, s dřezem 400x400x250 mm vpravo a umyvátkem 300x340x200 mm vlevo, pod nimi podnoží z jeklů 40x40x1,5 mm se  spodním skříňkovým prostorem v hygienickém provedení H2 uzavřeným křídlovými dvířky, uprostřed skříňkový prostor v hygienickém provedení H2 čelně otevřený s přestavitelnou policí, řada 5-ti zásuvek pod deskou s plnovýsuvem, provedení na stavebním soklu v. 150 mm    </t>
  </si>
  <si>
    <t>01.06.3</t>
  </si>
  <si>
    <t>Čistá příprava zeleniny + studené kuchyně (m.č.01.06)</t>
  </si>
  <si>
    <t>Chodba (m.č.01.05)</t>
  </si>
  <si>
    <t>Chlazený sklad (m.č.01.04)</t>
  </si>
  <si>
    <t>Sprcha tlaková stojánková s napouštěcím raménkem</t>
  </si>
  <si>
    <t>Mycí stůl otevřený s policí, celonerezové provedení - pracovní deska tl. 40 mm, nerez plech tl. 1,5 mm, podnoží z jeklů 40x40x1,5 mm, výšková stavitelnost ± 20 mm, 2x dřez lisovaný 600x500x250 mm uprostřed, spodní roštová police ve v. 150 mm, zadní lem v. 50 mm vč. sifonu</t>
  </si>
  <si>
    <t>01.03.11</t>
  </si>
  <si>
    <t xml:space="preserve">PÚ mytí provozního nádobí </t>
  </si>
  <si>
    <t>Simplexový změkčovač v kabinetovém provedení  s objemovým řídícím ventilem bez elektrického napájení.
Fáze regenerace max.do 15 minut. Objemové řízení s přesným nastavením vstupní tvrdosti vody. Filtr mechanických nečistot. Průtok min. 30l/min; množství katexu min. 7,4l; doba regenerace max. 15 min; spotřeba vody na regeneraci max. 29l; množství soli na regeneraci max. 0,25kg; elektronické připojení: žádné; teplota vstupní vody: 2 – 48° C.</t>
  </si>
  <si>
    <t>01.03.9</t>
  </si>
  <si>
    <t>Podlahová vpusť s roštem a zápach. Uzávěrou s bočním napojením na odpad, odpad DN75</t>
  </si>
  <si>
    <t>01.03.8</t>
  </si>
  <si>
    <t>01.03.6</t>
  </si>
  <si>
    <t xml:space="preserve">Stůl vstupní k myčce, celonerezové provedení - pracovní deska tl. 40 mm, nerez plech tl. 1,5 mm, podnoží z jeklů 40x40x1,5 mm, výšková stavitelnost ± 20 mm, prolis pro vedení košů 500x500mm, dřez 700x450x250 mm uprostřed
spodní roštová police ve v. 150 mm, zadní lem v. 300 mm vč. sifonu </t>
  </si>
  <si>
    <t>01.03.3</t>
  </si>
  <si>
    <t>Mytí (m.č.01.03)</t>
  </si>
  <si>
    <t>Skříňka nástěnná uzavř.s posuv.dvířky</t>
  </si>
  <si>
    <t>01.02.20</t>
  </si>
  <si>
    <t>01.02.19</t>
  </si>
  <si>
    <t>01.02.18</t>
  </si>
  <si>
    <t>Nástěnný odsavač par, vč. osvětlení, tukových filtrů lamelových a komínku pro napojení na vzt</t>
  </si>
  <si>
    <t>01.02.17</t>
  </si>
  <si>
    <t>Nástěnný odsavač par, vč. osvětlení, tukových lamelových filtrů a komínku pro napojení na vzt</t>
  </si>
  <si>
    <t>01.02.16</t>
  </si>
  <si>
    <t>Nástěnný odsavač par, vč. tukových lamelových filtrů a komínku pro napojení na vzt</t>
  </si>
  <si>
    <t>01.02.15</t>
  </si>
  <si>
    <t>01.02.14</t>
  </si>
  <si>
    <t xml:space="preserve">Pracovní stůl s dřezem a umývátkem, celonerezové provedení - pracovní deska tl. 40 mm, nerez plech tl. 1,5 mm, zadní a boční lemy,  s lisovaným dřezem 400x400 mm a umyvátkem 300x340 mm  vpravo (pod umývátkem odpadkový výklopný koš), pod dřezem podnoží z jeklů 40x40x1,5 mm se  spodním skříňkovým prostorem v hygienickém provedení H2 uzavřeným posuvnými dvířky, uprostřed zásuvkový blok se třemi zásuvkami s plnovýsuvem, vlevo volný spodní prostor , provedení na stavebním soklu v. 150 mm  </t>
  </si>
  <si>
    <t>01.02.8</t>
  </si>
  <si>
    <t>Pracovní stůl s dřezem, celonerezové provedení - pracovní deska tl. 40 mm, nerez plech tl. 1,5 mm, zadní lem,  s lisovaným dřezem 400x400 mm vpravo, pod dřezem podnoží z jeklů 40x40x1,5 mm s otevřeným spodním prostorem v hygienickém provedení H2, vlevo přesah desky nad chladicí stůl,  provedení na stavebním soklu v. 150 mm</t>
  </si>
  <si>
    <t>01.02.7</t>
  </si>
  <si>
    <t>Napouštěcí rameno na studenou vodu 550mm</t>
  </si>
  <si>
    <t>01.02.5a</t>
  </si>
  <si>
    <t>01.02.5</t>
  </si>
  <si>
    <t xml:space="preserve">Multifunkční varné zařízení určené k vaření, restování a fritování a rovněž k vaření při nízké teplotě, k přípravě sous vide, konfitování, vaření s teplotním rozdílem, citlivé vaření k šetrné přípravě citlivých produktů.Základní technické parametry: Užitečný objem: 2x25 litrů,2 nádoby,každá 25l tolerance +-10%. Využitelná plocha obou nádob minimálně: 2x19 dm². Rozměry s tolerancí +- 10%.
šířka:  1 100 mm, hloubka: 938 mm výška:1 078 mm (s podstavcem). Minimální náplň tekutiny 6l,maximální náplň tekutiny 25l. 
Přikon el. 21 kW.+- 10% jmenovité napětí: 3 NAC 400 V Přípojka studené vody: 3/4 AG" Odvod vody: Připojení odpadní trubky DN 40 na pevnou síť. Teplotní rozsah +30oC až 250 oC.Rychlost ohřevu dna na 200 oC,3 minuty.
Další požadovaná výbava Zařízení je vybaveno automatickými procesy přípravy pokrmů.Obsahuje minimálně 1 000 varných programů až o 12 krocích.  Grafické zobrazování procesu vaření se všemi parametry vaření a s vypočítaným koncem vaření.Procesy vaření a energie jsou řízeny mikroprocesory.  Každá nádoba má vpichovou sondu na měření teploty s 6-ti měřícími body. Zařízení je vybaveno motoricky ovládaným a časově nastavitelným systémem automatického zvedání a spouštění košů k vaření a fritování pomocí varných košů. Zařízení má automatický přívod vody k plnění varné nádoby vodou s přesností nastavení na 1 litr. Přívod vody je integrován ve víku.Možnost nakonfigurovat nejrůznější uživatelské profily a uživatelská práva.  Požaduje se alespoň 10 palcový skleněný barevný displej s dotykovou obrazovkou s intuitivními ikonami a centrálním ovládacím kolečkem s funkcí „push“ k potvrzení vybraných možností. Rozsáhlá funkce vyhledávání v celém obsahu příručky a receptech v zařízení.Popisy v českém jazyku. Zobrazení požadovaných a skutečných hodnot. Automatické přizpůsobení místu instalace (nadmořská výška / bod varu).  Čištění zařízení, zejména varné nádoby, musí být možné běžnými čisticími prostředky.Dotykové teploty pláště nádoby činí maximálně +70°C.Sklopení nádoby zajišťuje elektricky poháněný válec. Vypouštění vody po vaření a čištění se provádí přímo odtokem vboční čelní stěně, díky tomuto řešení nevznikají na dně nádoby žádné nevyhřívané plochy. Zařízení je vybaveno servisním diagnostickým programem s automatickým zobrazováním servisních hlášení a funkcí autotestu k aktivní kontrole funkcí zařízení. Vnitřní i vnější povrchy jsou z nerezové ušlechtilé oceli. Zařízení je vybaveno výsuvnou hadicovou sprchou s automatickým navíjením. Vestavěná zásuvka, 1 NAC 230 V Plně integrované rozhraní WLAN bez externí antény k připojení ke cloudovému síťovému řešení pro vzdálený přístup a údržbu. Možnost správy varných programů, správy přípravy a zařízení přes cloudové řešení. Možnost přenosu procesů přípravy také přes integrované rozhraní USB, které lze využívat rovněž k lokální výměně dat. Technika a elektronika zařízení je přístupná zepředu. Ochrana proti stříkající vodě IPX5. Prohlášení o shodě: CE.  Zařízení je schváleno k provozu bez dozoru (noční vaření). Zařízení je připraveno na připojení na systém energetické optimalizace. Technici dodavatele musí být vyškolení výrobcem což doloží certifikáemt vydaným výrobcem. Multifunkční varné zařízení určené k vaření, restování a fritování a rovněž k vaření při nízké teplotě, k přípravě sous vide, konfitování, vaření s teplotním rozdílem, citlivé vaření k šetrné přípravě citlivých produktů. Základní technické parametry: Užitečný objem: 2x25 litrů,2 nádoby,každá 25l tolerance +-10%. Využitelná plocha obou nádob minimálně: 2x19 dm².  Rozměry s tolerancí +- 10%. šířka:  1 100 mm, hloubka: 938 mm výška:1 078 mm (s podstavcem).Minimální náplň tekutiny 6l,maximální náplň tekutiny 25l. Přikon el. 21 kW.+- 10% jmenovité napětí: 3 NAC 400 V Přípojka studené vody: 3/4 AG" Odvod vody: Připojení odpadní trubky DN 40 na pevnou síť. Teplotní rozsah +30oC až 250 oC.Rychlost ohřevu dna na 200 oC,3 minuty. </t>
  </si>
  <si>
    <t>Varna (m.č.01.02)</t>
  </si>
  <si>
    <t>01.01.6</t>
  </si>
  <si>
    <t>Výdejní stůl s ohřevnou vanou, ohřevná vana (vodní lázeň) na 4x GN1/1, hl. 210mm, nedělená, vpravo, celonerezové provedení - pracovní deska tl. 40 mm, nerez plech tl. 1,5 mm, podnoží z jeklů 40x40x1,5 mm,
spodní prostor skříňkový  uzavřený posuvnými dvířky v hygienickém provedení H2, opláštění z plechu tl. 1 mm z boků a zezadu, spodní police ve v. 150 mm, ovládací panel vpravo, na něm ovládání napouštění a vypouštění vany, termostat a vypínače, vsazené čelo vpravo, příprava pro uchycení interiérového obkladu zezadu, 
provedení na stavebním soklu v. 150 mm</t>
  </si>
  <si>
    <t>01.01.2</t>
  </si>
  <si>
    <t>Výdejní stůl s ohřevnou vanou, ohřevná vana (vodní lázeň) na 3x GN1/1, hl. 210mm, nedělená
celonerezové provedení - pracovní deska tl. 40 mm, nerez plech tl. 1,5 mm, podnoží z jeklů 40x40x1,5 mm
spodní prostor skříňkový uzavřený posuvnými dvířky v hygienickém provedení H2, opláštění z plechu tl. 1 mm z boků a zezadu, ovládací panel vpravo, na něm ovládání napouštění a vypouštění vany, termostat a vypínače
+ zásuvka 230V, vsazené čelo vzadu a vlevo, příprava pro uchycení interiérového obkladu z čela a zprava,
provedení na stavebním soklu v. 150 mm</t>
  </si>
  <si>
    <t>01.01.1</t>
  </si>
  <si>
    <t>Výdej (m.č.01.01)</t>
  </si>
  <si>
    <t>1.PP</t>
  </si>
  <si>
    <t>Cena celkem vč.DPH</t>
  </si>
  <si>
    <t>Cena celkem bez DPH</t>
  </si>
  <si>
    <t>Ks.</t>
  </si>
  <si>
    <t>Cena/ks bez DPH</t>
  </si>
  <si>
    <t>Příkon el. 400V/ (kW)</t>
  </si>
  <si>
    <t>Příkon el. 230V/(kW)</t>
  </si>
  <si>
    <t>Výška (mm)</t>
  </si>
  <si>
    <t>Hloubka (mm)</t>
  </si>
  <si>
    <t>Délka (mm)</t>
  </si>
  <si>
    <t>Model</t>
  </si>
  <si>
    <t>Výrobce</t>
  </si>
  <si>
    <t>Název místnosti/Popis</t>
  </si>
  <si>
    <t>Pozice</t>
  </si>
  <si>
    <t xml:space="preserve">Voděodolná kompaktní digitální váha 10kg s integrovaným displejem. provozem na síť i baterie. Velký LCD displej, dvourozsahová, funkce: tárování, nulování, HOLD, automatické vypínání, indikace vybití baterie. Váživost: 2,5/5 kg, dílek: 2/5 g. Rozměr vážní plochy (mm)  230x190. Napájení  AC 230V nebo alternativní napájení  6x monočlánek D-1,5V. </t>
  </si>
  <si>
    <t>01.12.12</t>
  </si>
  <si>
    <t>Prac. stůl skříňkový (pod pokladnu), sp. prostor v hyg. provedení H2, přestavitelná police, posuvná dvířka, 2x zásuvka 230V, 1x datová zásuvka, průchodka v desce pro pokladnu, vs. čelo vlevo, přípr. pro interiér obklad zadní, sokl zadní</t>
  </si>
  <si>
    <t>01.12.11</t>
  </si>
  <si>
    <t>Skladový regál čtyřroštový, celonerezové provedení - nosná kce z jeklů 30x30x1,5 mm, výšková stavitelnost ± 20 mm, 4x pevná roštová police s nosností á 80 kg</t>
  </si>
  <si>
    <t>01.12.9</t>
  </si>
  <si>
    <r>
      <t xml:space="preserve">Samoobslužný kávovar - </t>
    </r>
    <r>
      <rPr>
        <b/>
        <sz val="11"/>
        <color indexed="8"/>
        <rFont val="Calibri"/>
        <family val="2"/>
      </rPr>
      <t>stávající</t>
    </r>
  </si>
  <si>
    <t>01.12.8</t>
  </si>
  <si>
    <t>Prac. stůl skříňkový, sp. prostor v hyg. provedení H2, přestavitelná police, křídl. dvířka, zadní lem, čelní a boční sokly</t>
  </si>
  <si>
    <t>01.12.7</t>
  </si>
  <si>
    <t>Chladicí skříň 376l, rošty 530x420mm, s nuceným oběhem vzduchu s automatickým odtáváním a odpařením kondenzátu horkým plynem, nastavitelný s digitálním displejem. LED osvětlení vnitřního prostoru, prosklené dveře. Rozsah teplot +2+12°C. Nerezové provedení vně i uvnitř. Hygienicky vnitřní prostor se zaoblenými hranami. Výparník umístěný vně chladicí komory. Jednotka ve formě monobloku v horní části přístroje. Výškově nastavitelné nohy. Chladivo R290. Energetická třída D. Tropikalizované provedení do +40°C.  Maximální rozměry: 650x590x1900mm.</t>
  </si>
  <si>
    <t>01.12.6</t>
  </si>
  <si>
    <r>
      <t xml:space="preserve">Pokladna - </t>
    </r>
    <r>
      <rPr>
        <b/>
        <sz val="11"/>
        <color indexed="8"/>
        <rFont val="Calibri"/>
        <family val="2"/>
      </rPr>
      <t>dodávka provozovatele</t>
    </r>
  </si>
  <si>
    <t>01.12.5</t>
  </si>
  <si>
    <t xml:space="preserve">Odpadkový koš otevíraný nožním pedálem bílý, objem min.20 l, vybavený vyjímatelnou plastovou vložkou, možnost použití jednorázových sáčků na odpadky 35 l, odolný proti praskání. </t>
  </si>
  <si>
    <t>Prac. stůl skříňkový, sp. prostor v hyg. provedení H2, přestavitelná police, posuvná dvířka, zadní lem, čelní a boční sokl</t>
  </si>
  <si>
    <t>01.12.3</t>
  </si>
  <si>
    <t>Chladicí skříň 700l, GN 2/1 s nuceným oběhem vzduchu s automatickým odtáváním a odpaření kondenzátu horkým plynem, nastavitelný s digitálním displejem. LED osvětlení vnitřního prostoru. Rozsah teplot -2+12°C. Nerezové provedení vně i uvnitř. Hygienicky vnitřní prostor se zaoblenými hranami. Výparník umístěný vně chladicí komory. Jednotka ve formě monobloku v horní části přístroje. Výškově nastavitelné nohy. Chladivo R290. Energetická třída C. Tropikalizované provedení do +43°C.  Maximální rozměry: 695x810x2020.</t>
  </si>
  <si>
    <t>01.12.2</t>
  </si>
  <si>
    <t>Prac. stůl skříňkový (podestavba pod vitrínu), agr. šachta, vs. čelo, přípr. pro interiér obklad zadní, sokl zadní</t>
  </si>
  <si>
    <t>01.12.1a</t>
  </si>
  <si>
    <t>Třípatrová chlazená vitrina přefukovaná, obslužná, čelně uzavřená sklem, zezadu posuvná dvířka, LED osvětlení, 2x skleněná police</t>
  </si>
  <si>
    <t>01.12.1</t>
  </si>
  <si>
    <t>01.09.3</t>
  </si>
  <si>
    <t>01.09.2</t>
  </si>
  <si>
    <t>01.09.1</t>
  </si>
  <si>
    <t>01.08.2</t>
  </si>
  <si>
    <t>01.08.1</t>
  </si>
  <si>
    <t>Restaurační vozík servírovací, celonerezové provedení - police z nerez plechu tl. 1,5 mm, madlo z trubk. profilu Ø 25 mm, 2x prolisovaná police s plochou 740 x 440 mm, 4 otočná kolečka Ø 100 mm, z toho 2 s brzdou</t>
  </si>
  <si>
    <t>01.07.4</t>
  </si>
  <si>
    <t>Pracovní stůl skříňkový, celonerezové provedení - pracovní deska tl. 40 mm, nerez plech tl. 1,5 mm, podnoží z jeklů 40x40x1,5 mm, výšková stavitelnost ± 20 mm, opláštění z plechu tl. 1 mm z boků a zezadu, spodní prostor otevřený v hygienickém provedení H2, spodní police, prostřední police přestavitelná, zadní lem v. 50 mm, na stav. soklu v. 150 mm</t>
  </si>
  <si>
    <t>01.07.2</t>
  </si>
  <si>
    <t>01.07.1</t>
  </si>
  <si>
    <t>01.06.7</t>
  </si>
  <si>
    <t>01.06.6</t>
  </si>
  <si>
    <t>Základní sada disků: 1x plátkovač 2 mm; 1x plátkovač 4 mm; 1x strouhač 1,5 mm; 1x nudličkovač 4×4 mm; 1x kostičkovač 14×14×14 mm</t>
  </si>
  <si>
    <t>Krouhač zeleniny.  2 rychlosti: 375/750 ot./min., výkon stroje: 250 kg/hod. Indukční motor. Asynchronní motor pro profesionální použití. Nerezová hřídel, magnetický bezpečnostní systém, automatický restart. Kryt motorového bloku je celonerezový. Krouhací hlava celokovové provedení. Odnímatelné víko se 2 násypnými otvory: 1× velký otvor ve tvaru ledvinky o ploše min.139 cm2, objem násypky 2,2 l; 1× trubicový otvor o průměru min. 58 mm.</t>
  </si>
  <si>
    <t>01.06.4</t>
  </si>
  <si>
    <t>01.06.2</t>
  </si>
  <si>
    <t>01.06.1</t>
  </si>
  <si>
    <t>Můstková váha. Velký podsvícený LCD displej, dvourozsahové vážení (do 30 kg s dílkem 10g a od 30 do 60 kg s dílkem 20 g), provoz z akumulátoru, komunikace RS-232, funkce: limitní vážení, počítání kusů, HOLD - vážení neklidné zátěže, sčítání vážených položek, procentní navažování, tárování a nulování. Rozměr vážní plochy min. 360 x 460 mm. Provedení: vážní plocha – nerez, konstrukce – ocel. Krytí proti vodě a prachu min. IP-54. Certifikace pro obchodní vážení - ES ověření. Displej LCD. Napájení: AC 230V přes adaptér, alternativní napájení přes vestavěný akumulátor.
Komunikace: RS-232.</t>
  </si>
  <si>
    <t>01.05.3</t>
  </si>
  <si>
    <t>Pojízdný stojan na gastronádoby, celonerezové provedení - kce z jeklů 30x30x1,5 mm, lyžiny z nerez plechu tl. 1,5 mm, 4 otočná kolečka Ø 100 mm, z toho 2 s brzdou, 18 pater á 1 ks GN1/1 nebo 2 ks GN1/2</t>
  </si>
  <si>
    <t>01.05.2</t>
  </si>
  <si>
    <t>01.05.1</t>
  </si>
  <si>
    <t>01.04.4</t>
  </si>
  <si>
    <t>01.04.3</t>
  </si>
  <si>
    <t>01.04.2</t>
  </si>
  <si>
    <t>Mrazící skříň 700l, GN 2/1 s nuceným oběhem vzduchu s automatickým odtáváním a odpaření kondenzátu horkým plynem, nastavitelný s digitálním displejem. LED osvětlení vnitřního prostoru. Rozsah teplot -15 -22°C. Nerezové provedení vně i uvnitř. Hygienicky vnitřní prostor se zaoblenými hranami. Výparník umístěný vně chladicí komory. Jednotka ve formě monobloku v horní části přístroje. Výškově nastavitelné nohy. Chladivo R290. Energetická třída D. Tropikalizované provedení do +43°C.  Maximální rozměry: 695x810x2020.</t>
  </si>
  <si>
    <t>01.04.1</t>
  </si>
  <si>
    <t>01.03.10</t>
  </si>
  <si>
    <t>Koš na univerzální</t>
  </si>
  <si>
    <t>Koš na talíře</t>
  </si>
  <si>
    <t>Pojízdný stojan na podnosy, celonerezové provedení - kce z jeklů 30x30x1,5 mm, lyžiny z nerez plechu tl. 1,5 mm
4 otočná kolečka Ø 100 mm, z toho 2 s brzdou, 12 pater á 2 ks podnosu, tj. celkem 24 ks podnosů, opláštění nerez plechem tl. 1 mm ze 3 stran</t>
  </si>
  <si>
    <t>01.03.7</t>
  </si>
  <si>
    <t>01.03.5</t>
  </si>
  <si>
    <t>01.03.4</t>
  </si>
  <si>
    <t>Perforovaná vložka do dřezu</t>
  </si>
  <si>
    <t xml:space="preserve">Stůl výstupní k myčce, celonerezové provedení - pracovní deska tl. 40 mm, nerez plech tl. 1,5 mm, podnoží z jeklů 40x40x1,5 mm, výšková stavitelnost ± 20 mm, prolis pro vedení košů 500x500mm, spodní roštová police ve v. 150 mm, zadní lem v. 50 mm </t>
  </si>
  <si>
    <t>01.03.2</t>
  </si>
  <si>
    <t>Tyčový mixer.Počet ot/min mixéru: 2300 - 9600 (plynulá regulace). Délka ramene mixéru 250 mm. Celková délka mixeru 660 mm</t>
  </si>
  <si>
    <t>01.02.13</t>
  </si>
  <si>
    <t>01.02.12</t>
  </si>
  <si>
    <t>01.02.11</t>
  </si>
  <si>
    <t>Odpadkový koš</t>
  </si>
  <si>
    <t>Chladící stůl dvousekcový, celonerezové provedení, bez desky, prostor pro GN s křídlovými dvířky a 2x zásuvka (dělení 1/2:1/2), chlazený obsah 215 ltr, chladící agregát vpravo, rozsah teplot 0°C až +10°C , statické chlazení, celonerezové provedení chlazeného stolu, hygienické provedení H 2, zásuvky  uloženy na ložiskovém mechanismu, vysouvání 100% délky zásuvky, provedení na stavebním soklu v. 150 mm</t>
  </si>
  <si>
    <t>01.02.7a</t>
  </si>
  <si>
    <t>01.02.6</t>
  </si>
  <si>
    <t>Interiérový obklad pro výdejní prvky</t>
  </si>
  <si>
    <t>-</t>
  </si>
  <si>
    <t xml:space="preserve">Sklopná deska, celonerezové provedení - pracovní deska tl. 40 mm, nerez plech tl. 1,5 mm, vč. sklápěcího mechanismu      </t>
  </si>
  <si>
    <t>01.01.26</t>
  </si>
  <si>
    <t xml:space="preserve">Výdejní maska, celonerezové provedení - pracovní deska tl. 40 mm, nerez plech tl. 1,5 mm, podnoží z jeklů 40x40x1,5 mm, vsazené čelo částečně vzadu, příprava pro uchycení interiérového obkladu zezadu a z boku,
provedení na stavebním soklu v. 150 mm  </t>
  </si>
  <si>
    <t>01.01.25</t>
  </si>
  <si>
    <t>Pojezdová dráha, celonerezové provedení z trubek Ø 28 mm</t>
  </si>
  <si>
    <t>01.01.24</t>
  </si>
  <si>
    <t>01.01.23</t>
  </si>
  <si>
    <t>01.01.22</t>
  </si>
  <si>
    <t>01.01.21</t>
  </si>
  <si>
    <t>01.01.20</t>
  </si>
  <si>
    <t>Výdejní stůl pod pokladnu, celonerezové provedení - pracovní deska tl. 40 mm, nerez plech tl. 1,5 mm,                 podnoží z jeklů 40x40x1,5 mm, police pod deskou , záslepka pro protažení kabelů, 2x zásuvka 230 V, 1x datová zásuvka, vsazené čelo vpravo, příprava pro uchycení interiérového obkladu zezadu a z boku, 
provedení na stavebním soklu v. 150 mm</t>
  </si>
  <si>
    <t>01.01.19</t>
  </si>
  <si>
    <t>Postmix v provedení se 4 výdejními ventily  je určen k výrobě a stáčení chlazených limonád a sodové vody.  Nerezové provedení. Chladící výkon kompresoru: 1/4 Hp. Chladící výkon stálý 45 l. Chladící výkon přímý 0,75 l/min. Součástí dodávky nejsou sirupové koncentráty a tlaková lahev CO2.</t>
  </si>
  <si>
    <t>01.01.18</t>
  </si>
  <si>
    <t>Vířič nápojů 2x12l.  Polykarbonátové nádoby na nápoje, snadno odnímatelné. Snadné dávkování samoobslužným kohoutem. Nerezová konstrukce AISI 304 snadná údržba a čistění.- Chlazení vzduchem (chladivo R134a).- Klimatická třída N (pro okolní teplotu +16 až +32 °C).</t>
  </si>
  <si>
    <t>01.01.17</t>
  </si>
  <si>
    <t>Výdejní stůl neutrální, celonerezové provedení - pracovní deska tl. 40 mm, nerez plech tl. 1,5 mm, podnoží z jeklů 40x40x1,5 mm, sestava: - spodní skříňkový prostor uzavřený křídlovými dvířky v hygienickém provedení H2, opláštění z plechu tl. 1 mm z boků a zezadu, vsazené čelo vzadu a vlevo, - vpravo výdejní maska š. 150 mm,                                2x zásuvka 230 V, 1x datová zásuvka, příprava pro uchycení interiérového obkladu z čela a z boku,
provedení na stavebním soklu v. 150 mm</t>
  </si>
  <si>
    <t>01.01.15</t>
  </si>
  <si>
    <t>Elektrický varný kotlík 10l s nepřímým ohřevem. Zařízení je vybaveno světelnou kontrolkou chodu a termostatem 50 - 90°C k nastavení požadované teploty, nerezová nádoba a víko s otvorem pro naběračku.</t>
  </si>
  <si>
    <t>01.01.14</t>
  </si>
  <si>
    <t>Výdejní stůl na polévky, celonerezové provedení - pracovní deska tl. 40 mm, nerez plech tl. 1,5 mm, podnoží z jeklů 40x40x1,5 mm, 2x prostup pro zabudování kotlíku na polévku, 2x zásuvka 230V, spodní skříňkový prostor uzavřený posuvnými dvířky v hygienickém provedení H2, opláštění z plechu tl. 1 mm z boků a zezadu,
vsazené čelo částečně vzadu a vpravo, příprava pro uchycení interiérového obkladu z čela a z boku,
provedení na stavebním soklu v. 150 mm</t>
  </si>
  <si>
    <t>01.01.13</t>
  </si>
  <si>
    <t>Výdejní stůl  se zabudovanou podávací šachtou na koše na sklenice celonerezové provedení - pracovní deska tl. 40 mm, nerez plech tl. 1,5 mm, podnoží z jeklů 40x40x1,5 mm, spodní skříňkový prostor uzavřený , ze strany obsluhy odnímatelné zaplechování, vsazené čelo vlevo a vpravo, příprava pro uchycení interiérového obkladu zezadu,
provedení na stavebním soklu v. 150 mm</t>
  </si>
  <si>
    <t>01.01.12</t>
  </si>
  <si>
    <t>Výdejní stůl nápojový, celonerezové provedení - pracovní deska tl. 40 mm, nerez plech tl. 1,5 mm, podnoží z jeklů 40x40x1,5 mm, spodní skříňkový prostor uzavřený posuvnými dvířky v hygienickém provedení H2, opláštění z plechu tl. 1 mm z boků a zezadu, vsazené čelo vlevo a vpravo, příprava pro uchycení interiérového obkladu zezadu, provedení na stavebním soklu v. 150 mm</t>
  </si>
  <si>
    <t>01.01.11</t>
  </si>
  <si>
    <t>Pojízdný stojan na příbory a podnosy, celonerezové provedení - kce z jeklů 30x30x1,5 mm, police tl. 30 mm z nerez plechu tl. 1 mm, 4 otočná kolečka Ø 100 mm, z toho 2 s brzdou, nosič pro 4x GN 1/4 vč. gastronádob</t>
  </si>
  <si>
    <t>01.01.10</t>
  </si>
  <si>
    <t>01.01.8</t>
  </si>
  <si>
    <t>01.01.7</t>
  </si>
  <si>
    <t>Výdejní stůl se dvěma policemi, celonerezové provedení - pracovní deska tl. 40 mm, nerez plech tl. 1,5 mm, podnoží z jeklů 40x40x1,5 mm, spodní skříňkový prostor otevřený v hygienickém provedení H2, opláštění z plechu tl. 1 mm z boků a zezadu, se střední přestavitelnou policí, vsazené čelo vlevo, příprava pro uchycení interiérového obkladu zezadu, provedení na stavebním soklu v. 150 mm</t>
  </si>
  <si>
    <t>01.01.5</t>
  </si>
  <si>
    <t>01.01.4</t>
  </si>
  <si>
    <t>01.01.3</t>
  </si>
  <si>
    <t>Nástavba hygienická pultová, celonerezové provedení – trubková konstrukce z ohýbaných tr. prům. 32 mm,
tvarované horní sklo a čelní sklo – kalená čirá tl. 8 mm, LED osvětlení</t>
  </si>
  <si>
    <t>Nástavba hygienická bufetová, celonerezové provedení – trubková konstrukce z ohýbaných tr. prům. 32 mm,
dvě tvarovaná horní skla – kalená čirá tl. 8 mm, LED osvětlení</t>
  </si>
  <si>
    <t>Výdejní stůl s chlazenou vanou  na 3x GN 1/1, hl. 210 mm, celonerezové provedení - pracovní deska tl. 40 mm, nerez plech tl. 1,5 mm, podnoží z jeklů 40x40x1,5 mm, spodní prostor skříňkový uzavřený posuvnými dvířky v hygienickém provedení H2, opláštění z plechu tl. 1 mm z boků a zezadu, agregátová šachta s ovládáním vlevo
+ zásuvka 230V, vsazené čelo vzadu a vpravo, příprava pro uchycení interiérového obkladu z čela a zleva,
provedení na stavebním soklu v. 150 mm</t>
  </si>
  <si>
    <t>01.01.1a</t>
  </si>
  <si>
    <t>Nástavba hygienická bufetová, celonerezové provedení – trubková konstrukce z ohýbaných tr. prům. 32 mm,
dvě tvarovaná horní skla – kalená čirá tl. 8 mm, infraohřev – trubice (kombinace osvětlení a sálání)</t>
  </si>
  <si>
    <t>*01.02.1</t>
  </si>
  <si>
    <t>*01.02.2</t>
  </si>
  <si>
    <t>*01.02.3</t>
  </si>
  <si>
    <t>Konvektomat elektrický boilerový 6GN1/1 k automatickému vaření sestavený do věže s konvektomatem o kapacitě 10 GN1/1.
Toto zařízení je vybaveno provozními režimy: vaření v páře, horký vzduch a kombinace horkého vzduchu a páry s regulací vlhkosti, regenerace, vaření s nízkými teplotami, vaření s teplotním rozdílem, pasterizace, regulace vnitřní teploty pokrmu, zchlazování a rovněž funkce zvlhčování s možností nastavení množství vody v mililitrech a nastavení kynutí pečiva. Vybavení zařízení plně automatickým měřením vlhkosti s přesností na procenta, regulací a zobrazením stupně vlhkosti ve varném prostoru Základní technické parametry: Kapacita  6 GN1/1 Rozteč zásuvů 68 mm Teplotní rozsah  +30 – 300 oC Příkon 11 kW/400V Rozměry 850x850x850mm  Podélné vkládání gastronádob Automatické rozpoznání velikosti potraviny Zařízení musí být schváleno pro provoz bez dozoru 
 Inteligentní procesy přípravy, které se přizpůsobují druhu a výchozímu stavu potraviny a také zobrazují aktuální parametry vaření a zbývající dobu přípravy. Díky inteligentní přípravě na cílovou dobu je možné souběžné vaření více potravin ve stejnou dobu nebo alternativně na stejný cílový okamžik. Na displeji se zobrazuje, které potraviny lze připravovat současně. 
Zařízení lze libovolně naprogramovat (včetně obrázků, příslušenství a textů) pomocí minimálně 1 000 varných programů. Rozsáhlá funkce vyhledávání v celém obsahu příručky a receptech v zařízení,kontextové zobrazování informací nápovědy. Dynamické proudění vzduchu ve varné komoře je zajištěno  ventilátorem s 5-ti rychlostmi.Tí je zajištěna velká rovnoměrnost pečení v komoře.
Výroba páry probíhá bez tlaku pomocí generátoru čerstvé páry se samočisticím programem a automatickým odvápněním a péčí, nezávisle na nastavené tvrdosti vody. Provoz bez zařízení na změkčování vody a bez dodatečného odvápňování. Systém  s automatickým zobrazováním servisních hlášení a funkcí vlastního testu k aktivní kontrole funkcí zařízení. Zařízení je vybaveno plně automatickým systémem čištění nezávislým na tlaku vody s více stupni čištění. Použití čisticích prostředků v pevném skupenství bez fosforu a fosfátů ve formě tablet pro bezpečnou práci. Zařízení má různé čisticí programy, i bez dozoru přes noc, a také funkci ultrarychlého čištění za pouhých 12 minut. Integrovaná ruční sprcha s automatickým navíjením a nastavitelnou funkcí rozprašování a vodního paprsku. Zařízení je vybaveno 10 palcovým TFT barevným dotykovým d.isplayem s centrálním kolečkem s funkcí „push“ Plně integrované rozhraní WLAN bez externí antény a ethernetové rozhraní k připojení ke cloudovému síťovému řešení pro vzdálený přístup a údržbu. Možnost ovládání více zařízení, správy varných programů, správy výroby a zařízení prostřednictvím cloudového řešení. 6x plech na smažení, 6x plech Multibaker, 6x křížový a proužkový grilovací rošt, 6x granitem smaltované nádoby, 6x nerezové nádoby hloubky 65 mm.</t>
  </si>
  <si>
    <t>*01.02.4</t>
  </si>
  <si>
    <t xml:space="preserve">Konvektomat elektrický boilerový 10GN1/1 k automatickému vaření sestavený do věže s konvektomatem o kapacitě 6 GN1/1.
Toto zařízení je vybaveno provozními režimy: vaření v páře, horký vzduch a kombinace horkého vzduchu a páry s regulací vlhkosti, regenerace, vaření s nízkými teplotami, vaření s teplotním rozdílem, pasterizace, regulace vnitřní teploty pokrmu, zchlazování a rovněž funkce zvlhčování s možností nastavení množství vody v mililitrech a nastavení kynutí pečiva. Vybavení zařízení plně automatickým měřením vlhkosti s přesností na procenta, regulací a zobrazením stupně vlhkosti ve varném prostoru Základní technické parametry:Kapacita  10 GN1/1 Rozteč zásuvů 68 mm Teplotní rozsah  +30 – 300 oC Příkon 18 kW/400V Rozměry 850x1100x850mm  Podélné vkládání gastronádob Automatické rozpoznání velikosti potraviny Zařízení musí být schváleno pro provoz bez dozoru 
 Inteligentní procesy přípravy, které se přizpůsobují druhu a výchozímu stavu potraviny a také zobrazují aktuální parametry vaření a zbývající dobu přípravy. Díky inteligentní přípravě na cílovou dobu je možné souběžné vaření více potravin ve stejnou dobu nebo alternativně na stejný cílový okamžik. Na displeji se zobrazuje, které potraviny lze připravovat současně. 
Zařízení lze libovolně naprogramovat (včetně obrázků, příslušenství a textů) pomocí minimálně 1 000 varných programů. Rozsáhlá funkce vyhledávání v celém obsahu příručky a receptech v zařízení,kontextové zobrazování informací nápovědy. Dynamické proudění vzduchu ve varné komoře je zajištěno 2 ventilátory s 5-ti rychlostmi.Tí je zajištěna velká rovnoměrnost pečení v komoře.
Výroba páry probíhá bez tlaku pomocí generátoru čerstvé páry se samočisticím programem a automatickým odvápněním a péčí, nezávisle na nastavené tvrdosti vody. Provoz bez zařízení na změkčování vody a bez dodatečného odvápňování. Systém  s automatickým zobrazováním servisních hlášení a funkcí vlastního testu k aktivní kontrole funkcí zařízení. Zařízení je vybaveno plně automatickým systémem čištění nezávislým na tlaku vody s více stupni čištění. Použití čisticích prostředků v pevném skupenství bez fosforu a fosfátů ve formě tablet pro bezpečnou práci. Zařízení má různé čisticí programy, i bez dozoru přes noc, a také funkci ultrarychlého čištění za pouhých 12 minut. Integrovaná ruční sprcha s automatickým navíjením a nastavitelnou funkcí rozprašování a vodního paprsku. Zařízení je vybaveno 10 palcovým TFT barevným dotykovým d.isplayem s centrálním kolečkem s funkcí „push“
Plně integrované rozhraní WLAN bez externí antény a ethernetové rozhraní k připojení ke cloudovému síťovému řešení pro vzdálený přístup a údržbu. Možnost ovládání více zařízení, správy varných programů, správy výroby a zařízení prostřednictvím cloudového řešení. 10x plech na smažení, 10x plech Multibaker, 10x křížový a proužkový grilovací rošt, 10x granitem smaltované nádoby, 10x nerezové nádoby hloubky 65 mm.
</t>
  </si>
  <si>
    <t>Profesionální vestavná indukční varná a udržovací deska. Bezrámečkové zabudování do varného bloku.
Rozměry sklokeramické desky: 350x330x min. 4mm. Rozměr nádobí při, kterém sepne indukční ohřev od 120mm. Zatížitelnost sklokeramické varné desky min. 60kg. Bezpečnostní prvky při přehřátí elektrického prostoru a varné desky (systém vypne při přehřátí). Bezpečnostní prvky při elektrickém přetížení. 
Udržovací režim (souvide vaření) 7 teplotních stupňů (35,40,50,60,70,80,90°C). Varný režim 10 výkonových stupňů. Nastavení doby chodu v rozsahu minimálně od 1 minuta až 720 minut. Samostatný elektronický ovládací panel, možnost připojení teplotní pokrmové sondy s přesností na 1°C.</t>
  </si>
  <si>
    <t>Univerzální kuchyňský robot - 30 ltr., obsah kotlíku 30 l s nerezovým bezpečnostním zákrytem, manipulační vozík pod kotlík, regulace 3 rychlosti 99/176/320 ot./min), nerezová metla, hák a míchač, mechanické ovládán, časovač, signalizací, STOP vypínačem, možnost dovybavit přídavným zařízením: mlýnek na maso, krouhač s plátkovačem a struhadly, popř. mlýnkem na mák, 30 l kotlík.</t>
  </si>
  <si>
    <t>*01.03.1</t>
  </si>
  <si>
    <t>Myčka provozního nádobí granulová s fukcí klasického mytí pro talíře, příbory a porcelánové nádobí. Otočný standardní mycí koš s možností vložení koše 500x500 pro mytí stolního nádobí. Objem nádrže: min. 83 l. Množství Granulí : 8 l. Teplota mycí vody: min. 65 °C. Teplota oplachovací vody: 85 °C. Objem oplachovací vody (litrů / mycí program) Program Eco: max. 4 l. Krátký/normální program: max. 8 litrů. K dosažení 3600 HUE podle hygienické směrnice NSF/ANSI 3 je potřeba 3,8 litrů , tak,  aby se nádobí nahřálo na 72 °C a došlo k bezpečné sanitaci nádobí. Mycí programy s granulemi: ECO 2 min 20 s; krátký 3 min 30 s; normální  5 min 30 s. Mycí programy bez granulí: ECO 2 min 20 s; krátký 2 min, 50 s; normální 4 min, 50 s. Mycí programy (mód combi): ECO 1 min 30 s; krátký 2 min; normální 2 min 30 s. Kapacita během programu: 6+1 GN1/1 65 mm nebo 3 GN1/1 do hloubky 200 mm a 3 GN1/1 do hloubky 65 mm nebo srovnatelné množství jiných nádob. Běžná kapacita za hodinu: 126 GN1/1 nebo srovnatelné množství jiných nádob. Kapacita za hodinu (mód Combi) 33 košů za hodinu (500 x 500 mm). Instalovaný příkon (napojení na teplou vodu): 12,6 kW. Motory mycího čerpadla 1 x 2,6 kW a 1x 0,7kW. Motor oplachovacího čerpadla 0.37 kW. Topná tělesa mytí/oplachování pro studenou vodu možnost 14 kW/14 kW). Třída ochrany: IP 55. Tlak/průtok studené vody 1–6 bar, 15 l/min. Vypouštění: Požadovaná kapacita 50 litrů/minutu. Součástí standartní konfigurace dodávky je: 1x USB port; 1x GD Memo; 1x Vzduchová mezera v souladu s EN 1717; 1x Standartní mycí koš; 1x Škrabka; 1x Sběrač granulí 8l; 1x 8l originálních granulí; 1x Připojení na studenou vodu; 1x Vložka na tácy a víka; 2x Flexibilní držák hrnců; 10x Koš na talíře 500x500; 10x Koš univerzální 500x500; 1x Dvouletá servisní sada. 1x držák na misky, 1x koš na hrnce.</t>
  </si>
  <si>
    <t>Vyhřívaný zásobník na talíře 1-tubusový, možnost vložení všech tvarů nádobí: kulaté až do průměru 33 cm, čtercové, obdelníkové, IPX 5, kapacita 80 talířů, regulace teploty v rozsahu 30 - 110°C. Zásobník umožňuje úplné vyjmutí  šachty pro lepší čištění, nastavení pružin a servísní přistup. Jeden polykarbonátový kryt při výdeji lze zavěsit na madlo vozíku.</t>
  </si>
  <si>
    <t>Vyhřívaný zásobník na misky  1-tubusový, možnost vložení všech tvarů nádobí: kulaté až do průměru 33 cm, čtercové, obdelníkové, IPX 5, kapacita 80 talířů, regulace teploty v rozsahu 30 - 110°C. Zásobník umožňuje úplné vyjmutí šachty pro lepší čištění, nastavení pružin a servísní přistup. Jeden polykarbonátový kryt při výdeji lze zavěsit na madlo vozíku.</t>
  </si>
  <si>
    <t>Termos 20 l s vodomírou na horké a studené nápoje, dvouplášťové plně izolované provedení, s víkem, nekapajícím kohoutkem. Elektrické vyhřívání, termostat</t>
  </si>
  <si>
    <t xml:space="preserve">Příslušenství pro poz. 01.02.1: 2× rameno pro automatické zdvihání a spouštění; 2× varný koš; 2× fritovací koš;
1× stěrka; 2× rošt dna nádoby; 2× sítko, houbička na čištění, 1x sítko na špecle </t>
  </si>
  <si>
    <t>Příslušenství pro poz. 01.02.2: 2× rameno pro automatické zdvihání a spouštění; 2× varný koš; 2× fritovací koš;
1× stěrka; 2× rošt dna nádoby; 2× sítko, houbička na čištění</t>
  </si>
  <si>
    <r>
      <t>Pracovní stůl nerez atyp pro dvě multifunkční  pánve a sporák - sestava  na stavební sokl, celonerezové provedení - pracovní deska tl. 40 mm, nerez plech tl. 1,5 mm, s přesahem vzadu nad podestavby pro vedení instalací - hl. desky 900 mm, podnoží z jeklů 40x40x1,5 mm, všechny spodní skříňkové prostory v hygienickém provedení H2  - 3x skříňkový čelně otevřený prostor š. 400 mm, 2x podestavba pod pánev , každá se dvěma prostory s lisovanými vsuny na GN 1/1 a instalační šachtou s odnímatelným krytem - š. 980 mm, 1x podestavba pod sporák čelně otevřená  š. 900 mm, vlevo skříňkový čelně otevřený prostor se střední přestavitelnou policí , š. 1150 mm, vsazené čelo vpravo, zadní a levý lem, provedení na stavebním soklu v. 150 mm. V části sporáku kde budou instalovány indukční desky je v desce vylisovaný po celém obvodu odkapní žlábek pro případ vytečení tekutin. V odkapním žlábku je umístěn otvor, který je napojen na odpad. Otvor pro baterii vylisovaný směrem nahoru proti zamezení zatékání vody. Vč. elektrické 230V zásuvky pro napojení příslušenství (např. tyčový mixér). Vestavěný konektor pro pokrmovou sondu, el. spojen s indukční varnou deskou 2x. 2x pokrmová sonda s přesností 1</t>
    </r>
    <r>
      <rPr>
        <sz val="11"/>
        <color indexed="8"/>
        <rFont val="Calibri"/>
        <family val="2"/>
        <scheme val="minor"/>
      </rPr>
      <t>°C, kompaktibilní s indukční deskou.</t>
    </r>
  </si>
  <si>
    <t>Izolovaný vozík se statickým ohřevem (GN 1/1) pro distribuci a udržování teplých pokrmů. Box lze doplnit o děrované police pro skládání talířů s jídlem. Plynule nastavitelná teplota do +90°C je ovládána pomocí digitálního displeje s kontrolkou dosažení nastavené teploty. Dveře se otevírají min. do úhlu 270° a dají se zajistit v otevřené poloze pomocí magnetu. Ergonomická madla na zadní straně vozíku zajišťují bezpečnou a jednoduchou manipulaci. Horní zábradlí po celém obvodu vozíku, které poskytuje další ukládací prostor a usnadňuje manipulaci s vozíkem. Kapacita 12 GN 1/1 - 65mm, 2 pevná a dvě otočná kolečka o pr. min. 160mm z toho dvě s brzdou. Váha vozíku v nenaplněném stavu max. 63 kg.</t>
  </si>
  <si>
    <t>Přídavný mlýnek na maso k poz.01.02.14, matrice 6,8,10,12 mm, ledvinka na gulášové maso.</t>
  </si>
  <si>
    <t>Vyhřívaný zásobník na talíře 1-tubusový, možnost vložení všech tvarů nádobí: kulaté až do průměru 33 cm, čtercové, obdelníkové, IPX 5, kapacita 80 talířů, regulace teploty v rozsahu 30 - 110°C. Zásobník umožňuje úplné vyjmutí šachty pro lepší čištění, nastavení pružin a servísní přistup. Jeden polykarbonátový kryt při výdeji lze zavěsit na madlo vozíku.</t>
  </si>
  <si>
    <t>Nářezový stroj s teflonovým nožem o průměru 250 mm s uložením posuvného stolu rovně. Určen pro střední zátěž – 1 hod. provozu, 10 min. přestávka. Vyroben z potravinářské hliníkové slitiny a nerezu. 
Regulace tloušťky plátku. Úhel nože 25°. Řemínkový pohon. Ventilovaný motor. Zabudované brusné zařízení. Řezná plocha 230 x 235 mm. Teflonový nůž.</t>
  </si>
  <si>
    <t>Dodávka vč. školení (16 hod.), Instalace SW+HW, zkompletování, zapojení a odzkoušení systému, dopravy</t>
  </si>
  <si>
    <t>HW Pokladna - Monitor dotykový 22"</t>
  </si>
  <si>
    <t>O-22</t>
  </si>
  <si>
    <t>HW Pokladna - BK Snímač pro kancelář/kasa/PM (EM4102)</t>
  </si>
  <si>
    <t>O-21</t>
  </si>
  <si>
    <t>HW Pokladna - Zásuvka pokladní (C-Lux 420)</t>
  </si>
  <si>
    <t>O-20</t>
  </si>
  <si>
    <t>HW Pokladna - Displej zákaznický (VFD 2x20)</t>
  </si>
  <si>
    <t>O-19</t>
  </si>
  <si>
    <t>HW Pokladna - Tiskárna bankovní (SRP 350+III)</t>
  </si>
  <si>
    <t>O-18</t>
  </si>
  <si>
    <t>HW Pokladna - PC Dell stanice - základ (I3, 8+4 GB RAM, 500GB HDD, W7Pro OEM)</t>
  </si>
  <si>
    <t>O-17</t>
  </si>
  <si>
    <t>SW Pokladna (včetně EET)</t>
  </si>
  <si>
    <t>O-16</t>
  </si>
  <si>
    <t>SW E-banking</t>
  </si>
  <si>
    <t>O-15</t>
  </si>
  <si>
    <t>SW - Mobilní objednávání (pro mobily s operačními systémy ANDROID i iOS)</t>
  </si>
  <si>
    <t>O-14</t>
  </si>
  <si>
    <t>SW - objednávání přes internet (z důvodu bezpečnosti instalován na vlastní PC)</t>
  </si>
  <si>
    <t>O-13</t>
  </si>
  <si>
    <t>SW - alergeny a nutriční hodnoty</t>
  </si>
  <si>
    <t>O-12</t>
  </si>
  <si>
    <t>SW -  sklady a normování včetně automatizovaných příjemek z elektronického nákupního portálu pro nákup potravin</t>
  </si>
  <si>
    <t>O-11</t>
  </si>
  <si>
    <t>SW - modul GDPR</t>
  </si>
  <si>
    <t>O-10</t>
  </si>
  <si>
    <t>SW - databáze receptur a karet zboží</t>
  </si>
  <si>
    <t>O-9</t>
  </si>
  <si>
    <t>SW - Správa systému pro 300 klientů (z důvodu bezpečnosti instalován na vlastní PC)</t>
  </si>
  <si>
    <t>O-8</t>
  </si>
  <si>
    <t>SW - Objednávání a výdej pro 300 klientů (z důvodu bezpečnosti instalován na vlastní PC)</t>
  </si>
  <si>
    <t>O-7</t>
  </si>
  <si>
    <t>HW kancelář - BK Snímač pro kancelář/kasa/PM (EM4102)</t>
  </si>
  <si>
    <t>O-6</t>
  </si>
  <si>
    <t>HW - PC - počítač v kanceláři - vlastní (stávající)</t>
  </si>
  <si>
    <t>O-5</t>
  </si>
  <si>
    <t>HW - Zdroj 12V pro výdejní terminál</t>
  </si>
  <si>
    <t>O-4</t>
  </si>
  <si>
    <t>HW - Držák nerez (do výdejní linky)</t>
  </si>
  <si>
    <t>O-3</t>
  </si>
  <si>
    <t>HW -  Multifunkční výdejový terminál AN301 7“ (oboustr.7" dotykový bar. displej, 2x LAN, USB snímač karet EM H4102)</t>
  </si>
  <si>
    <t>O-2</t>
  </si>
  <si>
    <t>HW - Prezentační místo (průmyslový počítač zabezpečen s dotykovou obrazovkou 19" včetně historie), včetně zabudovaného snímače karet EM H4102</t>
  </si>
  <si>
    <t>O-1</t>
  </si>
  <si>
    <t>Objednávkový systém včetně pokladny</t>
  </si>
  <si>
    <t>Dodávka vč. montáže a fyzického připojení čidlel do systému; Instalace SW, zkompletování, zapojení a odzkoušení systému; zaškolení obsluhy</t>
  </si>
  <si>
    <t>Programování čidla do softwaru</t>
  </si>
  <si>
    <t>R-M-07</t>
  </si>
  <si>
    <t xml:space="preserve">Poznámka k položce R-M-06:
• Monitorování teploty měřené čidly 
• možnosti měřit také vlhkost z čidel 
• Připojení čidel přes převodník RS485/USB
• Měření ze všech čidel „současně“ (tolerance 1s/čidlo) v nastavitelném intervalu
• Možnost pojmenování každého čidla
• Možnost nastavení dvou kritických teplot pro každé čidlo
• Zobrazení posledních naměřených hodnot na obrazovce
• Ukládání v nastavitelném intervalu pro všechna čidla společně
• Tlačítko okamžitého změření
• Zaslání emailu při překročení / podtečení nastavené meze u každého čidla
• Zaslání emailu při vadě čidla (čidlo neodpovídá)
• Zobrazení vadných čidel na obrazovce
• Uložení do textového souboru – každý řádek ve formátu datum čas teploty jednotlivých čidel
• Zvýraznění hodnot nad či pod kritickou teplotou
• Zakládání nového souboru každý měsíc
• zaznamenaná data ukládat do grafu s průběhem teplot se záznamy měření v nastavitelném intervalu s možností vytisknutí grafu a to všech čidel současně, případně pouze vybraných čidel.
</t>
  </si>
  <si>
    <t>Software pro snímání a archivaci průběhů teplot, vlhkostí s těmito funkcemi:</t>
  </si>
  <si>
    <t>R-M-06</t>
  </si>
  <si>
    <t>Převodník 2xRS485/USB + napaječ 230 V/ 12 V</t>
  </si>
  <si>
    <t>R-M-05</t>
  </si>
  <si>
    <r>
      <t>Prostorové čidlo teploty a vlhkosti, RS 485, -40 - +70</t>
    </r>
    <r>
      <rPr>
        <sz val="11"/>
        <color indexed="8"/>
        <rFont val="Calibri"/>
        <family val="2"/>
      </rPr>
      <t>°C, 0-100°</t>
    </r>
    <r>
      <rPr>
        <sz val="8"/>
        <rFont val="Arial CE"/>
        <family val="2"/>
      </rPr>
      <t>C</t>
    </r>
  </si>
  <si>
    <t>R-M-04</t>
  </si>
  <si>
    <t xml:space="preserve">Čidlo teploty pro zabudování do lednice / chl. boxu, RS485, krytí IP 65, -55-+125°C, rozlišení 0,1°C, </t>
  </si>
  <si>
    <t>R-M-03</t>
  </si>
  <si>
    <t>Skříňka pro převodník, UPS, PC, LCD (sevisní)</t>
  </si>
  <si>
    <t>R-M-02</t>
  </si>
  <si>
    <t>MiniPC (min. 4x2,8GHz, 8GB, 240GB SSD, Win10 pro, UPS, LCD min. 20", FHD, OFFICE2019 *.docx / *.xlsx plně kompatibilní, barevná tiskárna s laserovým tiskem A4 formátu, 3v1 (tiskárna, kopírka, skener), rychlost tisku až 21 stránek za minutu černobíle/barevně, rozlišení tisku 600 x 600 dpi, doporučené měsíční vytížení 150-2500 stránek (max. 40 000stránek), automatický oboustranný tisk, 300-1200dpi skener, min. USB 2.0, LAN, WiFi</t>
  </si>
  <si>
    <t>R-M-01</t>
  </si>
  <si>
    <t>Monitoring</t>
  </si>
  <si>
    <t>ŽIDLE KANCELÁŘSKÁ STELLA-ČERNÁ</t>
  </si>
  <si>
    <t>450389/0000</t>
  </si>
  <si>
    <t>ŽIDLE KANCELÁŘSKÁ 1540 ASYN C</t>
  </si>
  <si>
    <t>605113/0000</t>
  </si>
  <si>
    <t>ZMĚKČOVAČ VODY - AUTOMATICKÝ A-8</t>
  </si>
  <si>
    <t>453044/0000</t>
  </si>
  <si>
    <t>ZMĚČOVAČ VODY</t>
  </si>
  <si>
    <t>456580/0000</t>
  </si>
  <si>
    <t>ZIDLE KIRSTEN</t>
  </si>
  <si>
    <t>338069</t>
  </si>
  <si>
    <t>338068</t>
  </si>
  <si>
    <t>338067</t>
  </si>
  <si>
    <t>338066</t>
  </si>
  <si>
    <t>338065</t>
  </si>
  <si>
    <t>338064</t>
  </si>
  <si>
    <t>338063</t>
  </si>
  <si>
    <t>338062</t>
  </si>
  <si>
    <t>338061</t>
  </si>
  <si>
    <t>338060</t>
  </si>
  <si>
    <t>338059</t>
  </si>
  <si>
    <t>338058</t>
  </si>
  <si>
    <t>338057</t>
  </si>
  <si>
    <t>338056</t>
  </si>
  <si>
    <t>338055</t>
  </si>
  <si>
    <t>338054</t>
  </si>
  <si>
    <t>338053</t>
  </si>
  <si>
    <t>338052</t>
  </si>
  <si>
    <t>338051</t>
  </si>
  <si>
    <t>338050</t>
  </si>
  <si>
    <t>338049</t>
  </si>
  <si>
    <t>338048</t>
  </si>
  <si>
    <t>338047</t>
  </si>
  <si>
    <t>338046</t>
  </si>
  <si>
    <t>338045</t>
  </si>
  <si>
    <t>338044</t>
  </si>
  <si>
    <t>338043</t>
  </si>
  <si>
    <t>338042</t>
  </si>
  <si>
    <t>338041</t>
  </si>
  <si>
    <t>338040</t>
  </si>
  <si>
    <t>338039</t>
  </si>
  <si>
    <t>338038</t>
  </si>
  <si>
    <t>338037</t>
  </si>
  <si>
    <t>338036</t>
  </si>
  <si>
    <t>338035</t>
  </si>
  <si>
    <t>338034</t>
  </si>
  <si>
    <t>338033</t>
  </si>
  <si>
    <t>338032</t>
  </si>
  <si>
    <t>338031</t>
  </si>
  <si>
    <t>338030</t>
  </si>
  <si>
    <t>338029</t>
  </si>
  <si>
    <t>338028</t>
  </si>
  <si>
    <t>338027</t>
  </si>
  <si>
    <t>338026</t>
  </si>
  <si>
    <t>338025</t>
  </si>
  <si>
    <t>338024</t>
  </si>
  <si>
    <t>338023</t>
  </si>
  <si>
    <t>338022</t>
  </si>
  <si>
    <t>338021</t>
  </si>
  <si>
    <t>338020</t>
  </si>
  <si>
    <t>338019</t>
  </si>
  <si>
    <t>338018</t>
  </si>
  <si>
    <t>ZIDLE DREVENA</t>
  </si>
  <si>
    <t>305728</t>
  </si>
  <si>
    <t>304077</t>
  </si>
  <si>
    <t>304044</t>
  </si>
  <si>
    <t>304005</t>
  </si>
  <si>
    <t>303986</t>
  </si>
  <si>
    <t>303983</t>
  </si>
  <si>
    <t>303970</t>
  </si>
  <si>
    <t>303969</t>
  </si>
  <si>
    <t>303967</t>
  </si>
  <si>
    <t>303955</t>
  </si>
  <si>
    <t>303934</t>
  </si>
  <si>
    <t>ZASOBNIK NA PRIBORY</t>
  </si>
  <si>
    <t>337986</t>
  </si>
  <si>
    <t>VYSUV POD KLAVESNICI PC</t>
  </si>
  <si>
    <t>334085</t>
  </si>
  <si>
    <t>VYLEVKA KOMBINOVANA S UMYVADLEM-NEREZ</t>
  </si>
  <si>
    <t>102790</t>
  </si>
  <si>
    <t>VOZIK UKLIDOVY</t>
  </si>
  <si>
    <t>312942</t>
  </si>
  <si>
    <t>VOZÍK SERVÍROVACÍ CR083</t>
  </si>
  <si>
    <t>457369/0000</t>
  </si>
  <si>
    <t>VOZIK PREPAVNI NA NADOBI NEREZ</t>
  </si>
  <si>
    <t>329921</t>
  </si>
  <si>
    <t>VOZIK PLOSINOVY</t>
  </si>
  <si>
    <t>339508</t>
  </si>
  <si>
    <t>VOZIK NA ODKL.PODNOSU S POUZITYM NADOBIM</t>
  </si>
  <si>
    <t>337996</t>
  </si>
  <si>
    <t>337995</t>
  </si>
  <si>
    <t>VENTILATOR EL.KLIPSOVY WAVE</t>
  </si>
  <si>
    <t>336098</t>
  </si>
  <si>
    <t>VANA VYHRIVANA VYDEJNI 4XGN</t>
  </si>
  <si>
    <t>103700</t>
  </si>
  <si>
    <t>VANA VYHRIVANA VYDEJNI 3XGN</t>
  </si>
  <si>
    <t>103701</t>
  </si>
  <si>
    <t>VAHA TENZOMETRICKA OBCHODNI TOA15</t>
  </si>
  <si>
    <t>332946</t>
  </si>
  <si>
    <t>VÁHA DIGITÁLNÍ ISHIDA IPC WP 15K+ADAPTÉR</t>
  </si>
  <si>
    <t>450014/0000</t>
  </si>
  <si>
    <t>TERMOS NA ČAJ</t>
  </si>
  <si>
    <t>457331/0000</t>
  </si>
  <si>
    <t>SVITIDLO NASTENNE TRYCHO</t>
  </si>
  <si>
    <t>338143</t>
  </si>
  <si>
    <t>338142</t>
  </si>
  <si>
    <t>338141</t>
  </si>
  <si>
    <t>338140</t>
  </si>
  <si>
    <t>338139</t>
  </si>
  <si>
    <t>338138</t>
  </si>
  <si>
    <t>338137</t>
  </si>
  <si>
    <t>338136</t>
  </si>
  <si>
    <t>338135</t>
  </si>
  <si>
    <t>338134</t>
  </si>
  <si>
    <t>338133</t>
  </si>
  <si>
    <t>338132</t>
  </si>
  <si>
    <t>338131</t>
  </si>
  <si>
    <t>338130</t>
  </si>
  <si>
    <t>338129</t>
  </si>
  <si>
    <t>STUL VYDEJNI PRO TERMOPORTY-NEREZ</t>
  </si>
  <si>
    <t>102777</t>
  </si>
  <si>
    <t>STŮL SKLÁDACÍ 120 X 70</t>
  </si>
  <si>
    <t>456042/0000</t>
  </si>
  <si>
    <t>STUL PSACI 80X80X73</t>
  </si>
  <si>
    <t>332264</t>
  </si>
  <si>
    <t>STUL PRACOVNI NEREZ SNIZENY</t>
  </si>
  <si>
    <t>337990</t>
  </si>
  <si>
    <t>STUL PRACOVNI NEREZ S POLICI</t>
  </si>
  <si>
    <t>316043</t>
  </si>
  <si>
    <t>STUL PRACOVNI 140CM</t>
  </si>
  <si>
    <t>334082</t>
  </si>
  <si>
    <t>STUL PRAC./BLOK TRI ZASUVEK/-NEREZ</t>
  </si>
  <si>
    <t>102788</t>
  </si>
  <si>
    <t>STUL ODKLADACI OTEVRENY MOBILNI PROVEDEN</t>
  </si>
  <si>
    <t>337997</t>
  </si>
  <si>
    <t>STUL ODKLADACI NEREZ</t>
  </si>
  <si>
    <t>329912</t>
  </si>
  <si>
    <t>STUL NEUTRALNI SNIZENY POSUN NA TACY,SOK</t>
  </si>
  <si>
    <t>337981</t>
  </si>
  <si>
    <t>STUL NEUTRALNI ROH.POSUN NA TACY,SOKL</t>
  </si>
  <si>
    <t>337985</t>
  </si>
  <si>
    <t>337984</t>
  </si>
  <si>
    <t>STUL KOTVENY VCETNE PODNOZE</t>
  </si>
  <si>
    <t>338017</t>
  </si>
  <si>
    <t>338016</t>
  </si>
  <si>
    <t>338015</t>
  </si>
  <si>
    <t>338014</t>
  </si>
  <si>
    <t>338013</t>
  </si>
  <si>
    <t>338012</t>
  </si>
  <si>
    <t>338011</t>
  </si>
  <si>
    <t>338010</t>
  </si>
  <si>
    <t>338009</t>
  </si>
  <si>
    <t>338008</t>
  </si>
  <si>
    <t>338007</t>
  </si>
  <si>
    <t>338006</t>
  </si>
  <si>
    <t>338005</t>
  </si>
  <si>
    <t>STUL CHLADICI S CHLAZENOU VANOU,VITRINOU</t>
  </si>
  <si>
    <t>103702</t>
  </si>
  <si>
    <t>STŮL CHLADÍCI</t>
  </si>
  <si>
    <t>456433/0000</t>
  </si>
  <si>
    <t>STUL CTVERCOVY</t>
  </si>
  <si>
    <t>304397</t>
  </si>
  <si>
    <t>STOLIČKA ELEKTRICKÁ</t>
  </si>
  <si>
    <t>453321/0000</t>
  </si>
  <si>
    <t>SPRCHA TLAKOVÁ NA NÁDOBÍ</t>
  </si>
  <si>
    <t>453045/0000</t>
  </si>
  <si>
    <t>SPORÁK ELEKTRICKÝ</t>
  </si>
  <si>
    <t>453320/0000</t>
  </si>
  <si>
    <t>SKŘÍŇ MRAZÍCÍ UF600 BÍLÁ 570L</t>
  </si>
  <si>
    <t>449068/0000</t>
  </si>
  <si>
    <t>SKRINKA ZASUVKOVA POJIZDNA</t>
  </si>
  <si>
    <t>300668</t>
  </si>
  <si>
    <t>300607</t>
  </si>
  <si>
    <t>SKRINKA DVOUDVEROVA</t>
  </si>
  <si>
    <t>309813</t>
  </si>
  <si>
    <t>309811</t>
  </si>
  <si>
    <t>309810</t>
  </si>
  <si>
    <t>SKRIN CHLADICI PROSKLE CALEX CGR 145C</t>
  </si>
  <si>
    <t>341096</t>
  </si>
  <si>
    <t>SKRIN CHLADICI HELKAMA</t>
  </si>
  <si>
    <t>102803</t>
  </si>
  <si>
    <t>102802</t>
  </si>
  <si>
    <t>102801</t>
  </si>
  <si>
    <t>SATNIK KOVOVY 2DVERE, ZAMEK, ZAVORA</t>
  </si>
  <si>
    <t>344552</t>
  </si>
  <si>
    <t>344551</t>
  </si>
  <si>
    <t>344550</t>
  </si>
  <si>
    <t>344548</t>
  </si>
  <si>
    <t>344547</t>
  </si>
  <si>
    <t>344546</t>
  </si>
  <si>
    <t>SADA GN NADOB DO TERMOPORTU /20 KS/</t>
  </si>
  <si>
    <t>102787</t>
  </si>
  <si>
    <t>REGAL RD 1/1</t>
  </si>
  <si>
    <t>306442</t>
  </si>
  <si>
    <t>REGAL POLICOVY KOVOVY LAKOVANY</t>
  </si>
  <si>
    <t>329924</t>
  </si>
  <si>
    <t>REGAL KOVOVY</t>
  </si>
  <si>
    <t>348180</t>
  </si>
  <si>
    <t>348179</t>
  </si>
  <si>
    <t>319248</t>
  </si>
  <si>
    <t>319247</t>
  </si>
  <si>
    <t>REGAL</t>
  </si>
  <si>
    <t>309814</t>
  </si>
  <si>
    <t>POLICE NEREZ NASTENNA 2 STAVITELNE POLIC</t>
  </si>
  <si>
    <t>337987</t>
  </si>
  <si>
    <t>POLICE NASTENNA NEREZ 2 STAVITELNE POLIC</t>
  </si>
  <si>
    <t>337989</t>
  </si>
  <si>
    <t>POLICE NASTENNA NEREZ</t>
  </si>
  <si>
    <t>329926</t>
  </si>
  <si>
    <t>329919</t>
  </si>
  <si>
    <t>POLICE NA PC</t>
  </si>
  <si>
    <t>353347</t>
  </si>
  <si>
    <t>PODSTAVEC POD MYCI STROJ S DESKOU S UCHYTY PRO KOS</t>
  </si>
  <si>
    <t>353901</t>
  </si>
  <si>
    <t>OHRIVAC TALIRU</t>
  </si>
  <si>
    <t>307300</t>
  </si>
  <si>
    <t>ODSAVAC PAR NASTENNY ROVNY</t>
  </si>
  <si>
    <t>355176</t>
  </si>
  <si>
    <t>NASTAVEC PRACOVNIHO STOLU NEREZOVY</t>
  </si>
  <si>
    <t>316720</t>
  </si>
  <si>
    <t>MYCKA NA SKLO+ZMEKCOVAC</t>
  </si>
  <si>
    <t>104780</t>
  </si>
  <si>
    <t>MASODESKA 30X50 ZLUTA</t>
  </si>
  <si>
    <t>343048</t>
  </si>
  <si>
    <t>MASODESKA 30X50 ZELENA</t>
  </si>
  <si>
    <t>343049</t>
  </si>
  <si>
    <t>MASODESKA 30X50 CERVENA</t>
  </si>
  <si>
    <t>343047</t>
  </si>
  <si>
    <t>KRESLO BRAVO+P10</t>
  </si>
  <si>
    <t>346055</t>
  </si>
  <si>
    <t>KOTLÍK NEREZOVÝ POLÉVKOVÝ 9L</t>
  </si>
  <si>
    <t>452870/0000</t>
  </si>
  <si>
    <t>CHLADNIČKA LIEBHERR FKV 4140</t>
  </si>
  <si>
    <t>453355/0000</t>
  </si>
  <si>
    <t>453354/0000</t>
  </si>
  <si>
    <t>453353/0000</t>
  </si>
  <si>
    <t>453352/0000</t>
  </si>
  <si>
    <t>CHLADNICKA 275L</t>
  </si>
  <si>
    <t>338004</t>
  </si>
  <si>
    <t>FREITEZA DVOUKOSOVA,PODSTAVEC</t>
  </si>
  <si>
    <t>103924</t>
  </si>
  <si>
    <t>ELEMENT ROHOVY S VESTAV.ZASOB.NA MISKY</t>
  </si>
  <si>
    <t>337980</t>
  </si>
  <si>
    <t>DVOUDREZ MYCI S ODKL.DESKOU-NEREZ</t>
  </si>
  <si>
    <t>102792</t>
  </si>
  <si>
    <t>DREZ NEREZ VCETNE PRISLUSENSTVI</t>
  </si>
  <si>
    <t>337988</t>
  </si>
  <si>
    <t>DREZ NEREZ</t>
  </si>
  <si>
    <t>338001</t>
  </si>
  <si>
    <t>338000</t>
  </si>
  <si>
    <t>DREZ MYCI NEREZ</t>
  </si>
  <si>
    <t>329925</t>
  </si>
  <si>
    <t>DESKA VRCHNI PRES SKRINKY</t>
  </si>
  <si>
    <t>309812</t>
  </si>
  <si>
    <t>DESKA GRILOVACI,PODSTAVEC</t>
  </si>
  <si>
    <t>103925</t>
  </si>
  <si>
    <t>BEDNA NA PRADLO</t>
  </si>
  <si>
    <t>325978</t>
  </si>
  <si>
    <t>Aktivace dne</t>
  </si>
  <si>
    <t>Označení</t>
  </si>
  <si>
    <t>Inventár.číslo</t>
  </si>
  <si>
    <t>Demontáže stávajících strojů a zařízení ÚV ČR vč. ekologické likvidace</t>
  </si>
  <si>
    <t>* Uskladnění těchto zařízení zajistí investor vč. dopravy na místo následné instalace</t>
  </si>
  <si>
    <t>ZIDLE</t>
  </si>
  <si>
    <t>354763</t>
  </si>
  <si>
    <t>354762</t>
  </si>
  <si>
    <t>354761</t>
  </si>
  <si>
    <t>354760</t>
  </si>
  <si>
    <t>354759</t>
  </si>
  <si>
    <t>354758</t>
  </si>
  <si>
    <t>354757</t>
  </si>
  <si>
    <t>354756</t>
  </si>
  <si>
    <t>VUZ RIEBER OHRIVACI TALIRU</t>
  </si>
  <si>
    <t>103989</t>
  </si>
  <si>
    <t>VITRINA VYHRIVANA STOLNI NEREZ</t>
  </si>
  <si>
    <t>353492</t>
  </si>
  <si>
    <t>VITRINA CHLADICI</t>
  </si>
  <si>
    <t>103930</t>
  </si>
  <si>
    <t>103927</t>
  </si>
  <si>
    <t>VESAK STOJANOVY RU.TON</t>
  </si>
  <si>
    <t>333606</t>
  </si>
  <si>
    <t>VESAK STOJANOVY</t>
  </si>
  <si>
    <t>356818</t>
  </si>
  <si>
    <t>VENTILÁTOR STOLNÍÍ ECG</t>
  </si>
  <si>
    <t>616769/0000</t>
  </si>
  <si>
    <t>TROUBA MIKROVLNNÁ GALLET FMOM 201W</t>
  </si>
  <si>
    <t>616475/0000</t>
  </si>
  <si>
    <t>TROUBA MIKROVLNNÁ BECKERS/RIGA</t>
  </si>
  <si>
    <t>449069/0000</t>
  </si>
  <si>
    <t>STUL PREMYVACI K MYCCE,TALK.SPRCHA STAVA</t>
  </si>
  <si>
    <t>337998</t>
  </si>
  <si>
    <t>STUL PRACOVNI OTEVRENY NEREZ</t>
  </si>
  <si>
    <t>329911</t>
  </si>
  <si>
    <t>STUL PRACOVNI 80CM</t>
  </si>
  <si>
    <t>334083</t>
  </si>
  <si>
    <t>STUL ODKLADACI K MYCCE</t>
  </si>
  <si>
    <t>337999</t>
  </si>
  <si>
    <t>STŮL MELLTROP</t>
  </si>
  <si>
    <t>616800/0000</t>
  </si>
  <si>
    <t>616799/0000</t>
  </si>
  <si>
    <t>616798/0000</t>
  </si>
  <si>
    <t>616797/0000</t>
  </si>
  <si>
    <t>STROJ NÁŘEZOVÝ RM-GMS275XL</t>
  </si>
  <si>
    <t>453094/0000</t>
  </si>
  <si>
    <t>STROJ NAREZOVY BERKEL</t>
  </si>
  <si>
    <t>101134</t>
  </si>
  <si>
    <t>REGAL NEREZ</t>
  </si>
  <si>
    <t>338002</t>
  </si>
  <si>
    <t>PULT CHLAD.S PODSTAVCEM-NEREZ</t>
  </si>
  <si>
    <t>102791</t>
  </si>
  <si>
    <t>PODSTAVEC POD KONVEKTOMAT SE ZÁSUVKY</t>
  </si>
  <si>
    <t>456455/0000</t>
  </si>
  <si>
    <t>MYČKA HOBART AMS900-10N</t>
  </si>
  <si>
    <t>205016/0000</t>
  </si>
  <si>
    <t>MRAZNIČKA LIEBHERR GGV 5010</t>
  </si>
  <si>
    <t>205017/0000</t>
  </si>
  <si>
    <t>LINKA KUCHYN.BEZ DREZU DREV.DELKA 10 M</t>
  </si>
  <si>
    <t>102760</t>
  </si>
  <si>
    <t>KUCHYN CALA ORECH SKRINKA SPODNI 60CM</t>
  </si>
  <si>
    <t>342023</t>
  </si>
  <si>
    <t>KROUHAČ ZELENINY ZK 50(N)</t>
  </si>
  <si>
    <t>453369/0000</t>
  </si>
  <si>
    <t>KOTLÍK NA POLÉVKU</t>
  </si>
  <si>
    <t>616706/0000</t>
  </si>
  <si>
    <t>616705/0000</t>
  </si>
  <si>
    <t>KONVEKTOMAT RETIGO BLUE VISION</t>
  </si>
  <si>
    <t>205148/0000</t>
  </si>
  <si>
    <t>JEDNOTKA KLIMATIZAČNÍ DAIKIN FTXB60CV1B</t>
  </si>
  <si>
    <t>454877/0000</t>
  </si>
  <si>
    <r>
      <t xml:space="preserve">BAR SALATOVY ASB GN 4/1     </t>
    </r>
    <r>
      <rPr>
        <b/>
        <sz val="10"/>
        <color indexed="10"/>
        <rFont val="Arial"/>
        <family val="2"/>
      </rPr>
      <t>LP</t>
    </r>
  </si>
  <si>
    <t>103060</t>
  </si>
  <si>
    <t>Demontáže stávajících strojů a zařízení a následná montáž ÚV ČR</t>
  </si>
  <si>
    <t>Servis</t>
  </si>
  <si>
    <t>S</t>
  </si>
  <si>
    <t>Provedení preventivního servisu gastroprovozu čtvrtletně , celkový počet servisních zásahů za tři roky 12, včetně nákladů za  dopravu ze sídla dodavatele do místa servisního zásahu</t>
  </si>
  <si>
    <t xml:space="preserve">Gastro demontáž TG- viz přiložený samostatný rozpočet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</si>
</sst>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0.00\ &quot;Kč&quot;;[Red]\-#,##0.00\ &quot;Kč&quot;"/>
    <numFmt numFmtId="44" formatCode="_-* #,##0.00\ &quot;Kč&quot;_-;\-* #,##0.00\ &quot;Kč&quot;_-;_-* &quot;-&quot;??\ &quot;Kč&quot;_-;_-@_-"/>
    <numFmt numFmtId="164" formatCode="#,##0.00%"/>
    <numFmt numFmtId="165" formatCode="dd\.mm\.yyyy"/>
    <numFmt numFmtId="166" formatCode="#,##0.00000"/>
    <numFmt numFmtId="167" formatCode="#,##0.000"/>
    <numFmt numFmtId="168" formatCode="#,##0.0"/>
    <numFmt numFmtId="169" formatCode="#,##0.00\ &quot;Kč&quot;"/>
    <numFmt numFmtId="170" formatCode="_-* #,##0.00\ [$Kč-405]_-;\-* #,##0.00\ [$Kč-405]_-;_-* &quot;-&quot;??\ [$Kč-405]_-;_-@_-"/>
  </numFmts>
  <fonts count="76">
    <font>
      <sz val="8"/>
      <name val="Arial CE"/>
      <family val="2"/>
    </font>
    <font>
      <sz val="10"/>
      <name val="Arial"/>
      <family val="2"/>
    </font>
    <font>
      <sz val="11"/>
      <color theme="1"/>
      <name val="Calibri"/>
      <family val="2"/>
      <scheme val="minor"/>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
      <b/>
      <sz val="11"/>
      <color theme="1"/>
      <name val="Calibri"/>
      <family val="2"/>
      <scheme val="minor"/>
    </font>
    <font>
      <sz val="10"/>
      <color indexed="8"/>
      <name val="Arial"/>
      <family val="2"/>
    </font>
    <font>
      <i/>
      <sz val="8"/>
      <color indexed="8"/>
      <name val="Arial"/>
      <family val="2"/>
    </font>
    <font>
      <b/>
      <sz val="10"/>
      <color indexed="8"/>
      <name val="Arial"/>
      <family val="2"/>
    </font>
    <font>
      <sz val="10"/>
      <color indexed="61"/>
      <name val="Arial"/>
      <family val="2"/>
    </font>
    <font>
      <b/>
      <sz val="10"/>
      <color indexed="56"/>
      <name val="Arial"/>
      <family val="2"/>
    </font>
    <font>
      <sz val="10"/>
      <color indexed="56"/>
      <name val="Arial"/>
      <family val="2"/>
    </font>
    <font>
      <sz val="10"/>
      <color indexed="62"/>
      <name val="Arial"/>
      <family val="2"/>
    </font>
    <font>
      <sz val="18"/>
      <color indexed="8"/>
      <name val="Arial"/>
      <family val="2"/>
    </font>
    <font>
      <sz val="10"/>
      <color indexed="59"/>
      <name val="Arial"/>
      <family val="2"/>
    </font>
    <font>
      <sz val="8"/>
      <color rgb="FFFF0000"/>
      <name val="Arial CE"/>
      <family val="2"/>
    </font>
    <font>
      <sz val="8"/>
      <color indexed="17"/>
      <name val="Arial CE"/>
      <family val="2"/>
    </font>
    <font>
      <sz val="8"/>
      <color indexed="9"/>
      <name val="Arial CE"/>
      <family val="2"/>
    </font>
    <font>
      <sz val="15"/>
      <name val="Arial CE"/>
      <family val="2"/>
    </font>
    <font>
      <i/>
      <sz val="10"/>
      <name val="Times New Roman CE"/>
      <family val="1"/>
    </font>
    <font>
      <sz val="10"/>
      <name val="Times New Roman CE"/>
      <family val="1"/>
    </font>
    <font>
      <b/>
      <sz val="16"/>
      <name val="Arial CE"/>
      <family val="2"/>
    </font>
    <font>
      <sz val="11"/>
      <color theme="1"/>
      <name val="Calibri"/>
      <family val="2"/>
    </font>
    <font>
      <sz val="11"/>
      <color theme="1"/>
      <name val="Arial"/>
      <family val="2"/>
    </font>
    <font>
      <i/>
      <sz val="11"/>
      <color theme="1"/>
      <name val="Arial"/>
      <family val="2"/>
    </font>
    <font>
      <sz val="11"/>
      <name val="Calibri"/>
      <family val="2"/>
      <scheme val="minor"/>
    </font>
    <font>
      <b/>
      <sz val="11"/>
      <name val="Calibri"/>
      <family val="2"/>
      <scheme val="minor"/>
    </font>
    <font>
      <sz val="10"/>
      <name val="Helv"/>
      <family val="2"/>
    </font>
    <font>
      <sz val="11"/>
      <color indexed="8"/>
      <name val="Calibri"/>
      <family val="2"/>
      <scheme val="minor"/>
    </font>
    <font>
      <b/>
      <sz val="11"/>
      <color indexed="8"/>
      <name val="Calibri"/>
      <family val="2"/>
      <scheme val="minor"/>
    </font>
    <font>
      <b/>
      <sz val="11"/>
      <color indexed="8"/>
      <name val="Calibri"/>
      <family val="2"/>
    </font>
    <font>
      <sz val="11"/>
      <name val="Calibri"/>
      <family val="2"/>
    </font>
    <font>
      <i/>
      <sz val="11"/>
      <name val="Trebuchet MS"/>
      <family val="2"/>
    </font>
    <font>
      <sz val="11"/>
      <color indexed="8"/>
      <name val="Calibri"/>
      <family val="2"/>
    </font>
    <font>
      <b/>
      <sz val="10"/>
      <color indexed="10"/>
      <name val="Arial"/>
      <family val="2"/>
    </font>
  </fonts>
  <fills count="13">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indexed="57"/>
        <bgColor indexed="64"/>
      </patternFill>
    </fill>
    <fill>
      <patternFill patternType="solid">
        <fgColor rgb="FFD6E1EE"/>
        <bgColor indexed="64"/>
      </patternFill>
    </fill>
    <fill>
      <patternFill patternType="solid">
        <fgColor rgb="FFDBDBDB"/>
        <bgColor indexed="64"/>
      </patternFill>
    </fill>
    <fill>
      <patternFill patternType="solid">
        <fgColor indexed="22"/>
        <bgColor indexed="64"/>
      </patternFill>
    </fill>
    <fill>
      <patternFill patternType="solid">
        <fgColor indexed="52"/>
        <bgColor indexed="64"/>
      </patternFill>
    </fill>
    <fill>
      <patternFill patternType="solid">
        <fgColor indexed="42"/>
        <bgColor indexed="64"/>
      </patternFill>
    </fill>
    <fill>
      <patternFill patternType="solid">
        <fgColor indexed="51"/>
        <bgColor indexed="64"/>
      </patternFill>
    </fill>
    <fill>
      <patternFill patternType="solid">
        <fgColor indexed="9"/>
        <bgColor indexed="64"/>
      </patternFill>
    </fill>
  </fills>
  <borders count="70">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medium"/>
      <bottom/>
    </border>
    <border>
      <left style="medium"/>
      <right/>
      <top/>
      <bottom/>
    </border>
    <border>
      <left style="thin"/>
      <right style="medium"/>
      <top style="thin"/>
      <bottom style="medium"/>
    </border>
    <border>
      <left style="medium"/>
      <right style="thin"/>
      <top style="thin"/>
      <bottom style="medium"/>
    </border>
    <border>
      <left style="thin"/>
      <right style="thin"/>
      <top style="thin"/>
      <bottom style="medium"/>
    </border>
    <border>
      <left style="thin"/>
      <right style="medium"/>
      <top/>
      <bottom style="medium"/>
    </border>
    <border>
      <left style="thin"/>
      <right style="thin"/>
      <top/>
      <bottom style="medium"/>
    </border>
    <border>
      <left style="medium"/>
      <right style="thin"/>
      <top/>
      <bottom style="medium"/>
    </border>
    <border>
      <left style="thin"/>
      <right style="medium"/>
      <top style="medium"/>
      <bottom/>
    </border>
    <border>
      <left style="thin"/>
      <right style="thin"/>
      <top style="medium"/>
      <bottom/>
    </border>
    <border>
      <left style="medium"/>
      <right style="thin"/>
      <top style="medium"/>
      <bottom/>
    </border>
    <border>
      <left style="thin"/>
      <right style="thin"/>
      <top style="thin"/>
      <bottom style="thin"/>
    </border>
    <border>
      <left/>
      <right/>
      <top style="thin"/>
      <bottom style="thin"/>
    </border>
    <border>
      <left style="thin"/>
      <right/>
      <top style="thin"/>
      <bottom style="thin"/>
    </border>
    <border>
      <left style="thin"/>
      <right style="thin">
        <color indexed="23"/>
      </right>
      <top style="thin"/>
      <bottom/>
    </border>
    <border>
      <left style="thin">
        <color indexed="23"/>
      </left>
      <right style="thin">
        <color indexed="23"/>
      </right>
      <top style="thin"/>
      <bottom/>
    </border>
    <border>
      <left style="thin">
        <color indexed="23"/>
      </left>
      <right style="thin"/>
      <top style="thin"/>
      <bottom/>
    </border>
    <border>
      <left style="thin">
        <color indexed="23"/>
      </left>
      <right/>
      <top/>
      <bottom/>
    </border>
    <border>
      <left style="medium"/>
      <right/>
      <top style="medium"/>
      <bottom style="medium"/>
    </border>
    <border>
      <left/>
      <right/>
      <top style="medium"/>
      <bottom style="medium"/>
    </border>
    <border>
      <left/>
      <right style="medium"/>
      <top/>
      <bottom style="medium"/>
    </border>
    <border>
      <left/>
      <right/>
      <top/>
      <bottom style="medium"/>
    </border>
    <border>
      <left style="medium"/>
      <right/>
      <top/>
      <bottom style="medium"/>
    </border>
    <border>
      <left/>
      <right style="medium"/>
      <top style="thin"/>
      <bottom style="thin"/>
    </border>
    <border>
      <left/>
      <right style="medium"/>
      <top/>
      <bottom style="thin"/>
    </border>
    <border>
      <left/>
      <right style="medium"/>
      <top/>
      <bottom/>
    </border>
    <border>
      <left/>
      <right style="medium"/>
      <top style="medium"/>
      <bottom style="thin"/>
    </border>
    <border>
      <left/>
      <right/>
      <top style="medium"/>
      <bottom style="thin"/>
    </border>
    <border>
      <left style="medium"/>
      <right/>
      <top style="medium"/>
      <bottom style="thin"/>
    </border>
    <border>
      <left style="medium"/>
      <right style="medium"/>
      <top style="thin"/>
      <bottom style="medium"/>
    </border>
    <border>
      <left style="medium"/>
      <right style="medium"/>
      <top style="medium"/>
      <bottom style="thin"/>
    </border>
    <border>
      <left style="thin"/>
      <right style="medium"/>
      <top style="thin"/>
      <bottom style="thin"/>
    </border>
    <border>
      <left style="medium"/>
      <right style="thin"/>
      <top style="thin"/>
      <bottom style="thin"/>
    </border>
    <border>
      <left style="thin"/>
      <right style="medium"/>
      <top style="medium"/>
      <bottom style="thin"/>
    </border>
    <border>
      <left style="thin"/>
      <right style="thin"/>
      <top style="medium"/>
      <bottom style="thin"/>
    </border>
    <border>
      <left style="medium"/>
      <right style="thin"/>
      <top style="medium"/>
      <bottom style="thin"/>
    </border>
    <border>
      <left style="thin"/>
      <right/>
      <top/>
      <bottom style="medium"/>
    </border>
    <border>
      <left/>
      <right style="medium"/>
      <top style="medium"/>
      <bottom style="medium"/>
    </border>
    <border>
      <left/>
      <right style="thin"/>
      <top style="thin"/>
      <bottom style="thin"/>
    </border>
  </borders>
  <cellStyleXfs count="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0" borderId="0" applyNumberFormat="0" applyFill="0" applyBorder="0" applyAlignment="0" applyProtection="0"/>
    <xf numFmtId="0" fontId="1"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2" fillId="0" borderId="0">
      <alignment/>
      <protection/>
    </xf>
    <xf numFmtId="44" fontId="2" fillId="0" borderId="0" applyFont="0" applyFill="0" applyBorder="0" applyAlignment="0" applyProtection="0"/>
    <xf numFmtId="44" fontId="4" fillId="0" borderId="0" applyFont="0" applyFill="0" applyBorder="0" applyAlignment="0" applyProtection="0"/>
    <xf numFmtId="0" fontId="68" fillId="0" borderId="0">
      <alignment/>
      <protection/>
    </xf>
    <xf numFmtId="0" fontId="2" fillId="0" borderId="0">
      <alignment/>
      <protection/>
    </xf>
    <xf numFmtId="0" fontId="74" fillId="0" borderId="0">
      <alignment/>
      <protection/>
    </xf>
  </cellStyleXfs>
  <cellXfs count="799">
    <xf numFmtId="0" fontId="0" fillId="0" borderId="0" xfId="0"/>
    <xf numFmtId="0" fontId="0" fillId="0" borderId="0" xfId="0"/>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0" fillId="0" borderId="0" xfId="0" applyAlignment="1">
      <alignment vertical="center" wrapText="1"/>
    </xf>
    <xf numFmtId="0" fontId="8" fillId="0" borderId="0" xfId="0" applyFont="1" applyAlignment="1">
      <alignment vertical="center"/>
    </xf>
    <xf numFmtId="0" fontId="9" fillId="0" borderId="0" xfId="0" applyFont="1" applyAlignment="1">
      <alignment vertical="center"/>
    </xf>
    <xf numFmtId="0" fontId="0" fillId="0" borderId="0" xfId="0" applyAlignment="1">
      <alignment horizontal="center" vertical="center" wrapText="1"/>
    </xf>
    <xf numFmtId="0" fontId="10" fillId="0" borderId="0" xfId="0" applyFont="1" applyAlignment="1">
      <alignment/>
    </xf>
    <xf numFmtId="0" fontId="0" fillId="0" borderId="0" xfId="0" applyAlignment="1">
      <alignment horizontal="center"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2" fillId="0" borderId="0" xfId="0" applyFont="1" applyAlignment="1" applyProtection="1">
      <alignment horizontal="left" vertical="center"/>
      <protection/>
    </xf>
    <xf numFmtId="0" fontId="13" fillId="0" borderId="0" xfId="0" applyFont="1" applyAlignment="1">
      <alignment horizontal="left" vertical="center"/>
    </xf>
    <xf numFmtId="0" fontId="14" fillId="0" borderId="0" xfId="0" applyFont="1" applyAlignment="1">
      <alignment horizontal="left" vertical="center"/>
    </xf>
    <xf numFmtId="0" fontId="3" fillId="0" borderId="0" xfId="0" applyFont="1" applyAlignment="1" applyProtection="1">
      <alignment horizontal="left" vertical="top"/>
      <protection/>
    </xf>
    <xf numFmtId="0" fontId="4" fillId="0" borderId="0" xfId="0" applyFont="1" applyAlignment="1" applyProtection="1">
      <alignment horizontal="left" vertical="center"/>
      <protection/>
    </xf>
    <xf numFmtId="0" fontId="5"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2" borderId="0" xfId="0" applyFont="1" applyFill="1" applyAlignment="1" applyProtection="1">
      <alignment horizontal="left" vertical="center"/>
      <protection locked="0"/>
    </xf>
    <xf numFmtId="49" fontId="4" fillId="2" borderId="0" xfId="0" applyNumberFormat="1" applyFont="1" applyFill="1" applyAlignment="1" applyProtection="1">
      <alignment horizontal="left" vertical="center"/>
      <protection locked="0"/>
    </xf>
    <xf numFmtId="0" fontId="4"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6"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0" fillId="3" borderId="0" xfId="0" applyFont="1" applyFill="1" applyAlignment="1" applyProtection="1">
      <alignment vertical="center"/>
      <protection/>
    </xf>
    <xf numFmtId="0" fontId="6"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6"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4" fillId="0" borderId="3" xfId="0" applyFont="1" applyBorder="1" applyAlignment="1" applyProtection="1">
      <alignmen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5" fillId="0" borderId="3" xfId="0" applyFont="1" applyBorder="1" applyAlignment="1" applyProtection="1">
      <alignment vertical="center"/>
      <protection/>
    </xf>
    <xf numFmtId="0" fontId="5" fillId="0" borderId="0" xfId="0" applyFont="1" applyAlignment="1" applyProtection="1">
      <alignment horizontal="left" vertical="center"/>
      <protection/>
    </xf>
    <xf numFmtId="0" fontId="5" fillId="0" borderId="0" xfId="0" applyFont="1" applyAlignment="1" applyProtection="1">
      <alignment vertical="center"/>
      <protection/>
    </xf>
    <xf numFmtId="0" fontId="5" fillId="0" borderId="3" xfId="0" applyFont="1" applyBorder="1" applyAlignment="1">
      <alignment vertical="center"/>
    </xf>
    <xf numFmtId="0" fontId="16" fillId="0" borderId="0" xfId="0" applyFont="1" applyAlignment="1" applyProtection="1">
      <alignment vertical="center"/>
      <protection/>
    </xf>
    <xf numFmtId="165" fontId="4"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0" fillId="4" borderId="13" xfId="0" applyFont="1" applyFill="1" applyBorder="1" applyAlignment="1" applyProtection="1">
      <alignment horizontal="center" vertical="center"/>
      <protection/>
    </xf>
    <xf numFmtId="0" fontId="21" fillId="0" borderId="14" xfId="0" applyFont="1" applyBorder="1" applyAlignment="1" applyProtection="1">
      <alignment horizontal="center" vertical="center" wrapText="1"/>
      <protection/>
    </xf>
    <xf numFmtId="0" fontId="21" fillId="0" borderId="15" xfId="0" applyFont="1" applyBorder="1" applyAlignment="1" applyProtection="1">
      <alignment horizontal="center" vertical="center" wrapText="1"/>
      <protection/>
    </xf>
    <xf numFmtId="0" fontId="21"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6" fillId="0" borderId="3" xfId="0" applyFont="1" applyBorder="1" applyAlignment="1" applyProtection="1">
      <alignment vertical="center"/>
      <protection/>
    </xf>
    <xf numFmtId="0" fontId="22" fillId="0" borderId="0" xfId="0" applyFont="1" applyAlignment="1" applyProtection="1">
      <alignment horizontal="left" vertical="center"/>
      <protection/>
    </xf>
    <xf numFmtId="0" fontId="22" fillId="0" borderId="0" xfId="0" applyFont="1" applyAlignment="1" applyProtection="1">
      <alignment vertical="center"/>
      <protection/>
    </xf>
    <xf numFmtId="4" fontId="22" fillId="0" borderId="0" xfId="0" applyNumberFormat="1" applyFont="1" applyAlignment="1" applyProtection="1">
      <alignment vertical="center"/>
      <protection/>
    </xf>
    <xf numFmtId="0" fontId="6" fillId="0" borderId="0" xfId="0" applyFont="1" applyAlignment="1" applyProtection="1">
      <alignment horizontal="center" vertical="center"/>
      <protection/>
    </xf>
    <xf numFmtId="0" fontId="6" fillId="0" borderId="3" xfId="0" applyFont="1" applyBorder="1" applyAlignment="1">
      <alignment vertical="center"/>
    </xf>
    <xf numFmtId="4" fontId="18" fillId="0" borderId="18" xfId="0" applyNumberFormat="1" applyFont="1" applyBorder="1" applyAlignment="1" applyProtection="1">
      <alignment vertical="center"/>
      <protection/>
    </xf>
    <xf numFmtId="4" fontId="18" fillId="0" borderId="0" xfId="0" applyNumberFormat="1" applyFont="1" applyBorder="1" applyAlignment="1" applyProtection="1">
      <alignment vertical="center"/>
      <protection/>
    </xf>
    <xf numFmtId="166" fontId="18" fillId="0" borderId="0" xfId="0" applyNumberFormat="1" applyFont="1" applyBorder="1" applyAlignment="1" applyProtection="1">
      <alignment vertical="center"/>
      <protection/>
    </xf>
    <xf numFmtId="4" fontId="18" fillId="0" borderId="12" xfId="0" applyNumberFormat="1" applyFont="1" applyBorder="1" applyAlignment="1" applyProtection="1">
      <alignment vertical="center"/>
      <protection/>
    </xf>
    <xf numFmtId="0" fontId="6" fillId="0" borderId="0" xfId="0" applyFont="1" applyAlignment="1">
      <alignment horizontal="left" vertical="center"/>
    </xf>
    <xf numFmtId="0" fontId="23" fillId="0" borderId="0" xfId="0" applyFont="1" applyAlignment="1">
      <alignment horizontal="left" vertical="center"/>
    </xf>
    <xf numFmtId="0" fontId="7" fillId="0" borderId="3" xfId="0" applyFont="1" applyBorder="1" applyAlignment="1" applyProtection="1">
      <alignment vertical="center"/>
      <protection/>
    </xf>
    <xf numFmtId="0" fontId="24" fillId="0" borderId="0" xfId="0" applyFont="1" applyAlignment="1" applyProtection="1">
      <alignment vertical="center"/>
      <protection/>
    </xf>
    <xf numFmtId="0" fontId="25" fillId="0" borderId="0" xfId="0" applyFont="1" applyAlignment="1" applyProtection="1">
      <alignment vertical="center"/>
      <protection/>
    </xf>
    <xf numFmtId="0" fontId="5" fillId="0" borderId="0" xfId="0" applyFont="1" applyAlignment="1" applyProtection="1">
      <alignment horizontal="center" vertical="center"/>
      <protection/>
    </xf>
    <xf numFmtId="0" fontId="7" fillId="0" borderId="3" xfId="0" applyFont="1" applyBorder="1" applyAlignment="1">
      <alignment vertical="center"/>
    </xf>
    <xf numFmtId="4" fontId="26" fillId="0" borderId="18" xfId="0" applyNumberFormat="1" applyFont="1" applyBorder="1" applyAlignment="1" applyProtection="1">
      <alignment vertical="center"/>
      <protection/>
    </xf>
    <xf numFmtId="4" fontId="26" fillId="0" borderId="0" xfId="0" applyNumberFormat="1" applyFont="1" applyBorder="1" applyAlignment="1" applyProtection="1">
      <alignment vertical="center"/>
      <protection/>
    </xf>
    <xf numFmtId="166" fontId="26" fillId="0" borderId="0" xfId="0" applyNumberFormat="1" applyFont="1" applyBorder="1" applyAlignment="1" applyProtection="1">
      <alignment vertical="center"/>
      <protection/>
    </xf>
    <xf numFmtId="4" fontId="26" fillId="0" borderId="12" xfId="0" applyNumberFormat="1" applyFont="1" applyBorder="1" applyAlignment="1" applyProtection="1">
      <alignment vertical="center"/>
      <protection/>
    </xf>
    <xf numFmtId="0" fontId="7" fillId="0" borderId="0" xfId="0" applyFont="1" applyAlignment="1">
      <alignment horizontal="left" vertical="center"/>
    </xf>
    <xf numFmtId="0" fontId="27" fillId="0" borderId="0" xfId="20" applyFont="1" applyAlignment="1">
      <alignment horizontal="center" vertical="center"/>
    </xf>
    <xf numFmtId="0" fontId="9" fillId="0" borderId="0" xfId="0" applyFont="1" applyAlignment="1" applyProtection="1">
      <alignment vertical="center"/>
      <protection/>
    </xf>
    <xf numFmtId="0" fontId="4" fillId="0" borderId="0" xfId="0" applyFont="1" applyAlignment="1" applyProtection="1">
      <alignment horizontal="center" vertical="center"/>
      <protection/>
    </xf>
    <xf numFmtId="4" fontId="3" fillId="0" borderId="18" xfId="0" applyNumberFormat="1" applyFont="1" applyBorder="1" applyAlignment="1" applyProtection="1">
      <alignment vertical="center"/>
      <protection/>
    </xf>
    <xf numFmtId="4" fontId="3" fillId="0" borderId="0" xfId="0" applyNumberFormat="1" applyFont="1" applyBorder="1" applyAlignment="1" applyProtection="1">
      <alignment vertical="center"/>
      <protection/>
    </xf>
    <xf numFmtId="166" fontId="3" fillId="0" borderId="0" xfId="0" applyNumberFormat="1" applyFont="1" applyBorder="1" applyAlignment="1" applyProtection="1">
      <alignment vertical="center"/>
      <protection/>
    </xf>
    <xf numFmtId="4" fontId="3" fillId="0" borderId="12" xfId="0" applyNumberFormat="1" applyFont="1" applyBorder="1" applyAlignment="1" applyProtection="1">
      <alignment vertical="center"/>
      <protection/>
    </xf>
    <xf numFmtId="0" fontId="4" fillId="0" borderId="0" xfId="0" applyFont="1" applyAlignment="1">
      <alignment horizontal="left" vertical="center"/>
    </xf>
    <xf numFmtId="4" fontId="3" fillId="0" borderId="19" xfId="0" applyNumberFormat="1" applyFont="1" applyBorder="1" applyAlignment="1" applyProtection="1">
      <alignment vertical="center"/>
      <protection/>
    </xf>
    <xf numFmtId="4" fontId="3" fillId="0" borderId="20" xfId="0" applyNumberFormat="1" applyFont="1" applyBorder="1" applyAlignment="1" applyProtection="1">
      <alignment vertical="center"/>
      <protection/>
    </xf>
    <xf numFmtId="166" fontId="3" fillId="0" borderId="20" xfId="0" applyNumberFormat="1" applyFont="1" applyBorder="1" applyAlignment="1" applyProtection="1">
      <alignment vertical="center"/>
      <protection/>
    </xf>
    <xf numFmtId="4" fontId="3" fillId="0" borderId="21" xfId="0" applyNumberFormat="1" applyFont="1" applyBorder="1" applyAlignment="1" applyProtection="1">
      <alignment vertical="center"/>
      <protection/>
    </xf>
    <xf numFmtId="0" fontId="0" fillId="0" borderId="1" xfId="0" applyBorder="1"/>
    <xf numFmtId="0" fontId="0" fillId="0" borderId="2" xfId="0" applyBorder="1"/>
    <xf numFmtId="0" fontId="12" fillId="0" borderId="0" xfId="0" applyFont="1" applyAlignment="1">
      <alignment horizontal="left" vertical="center"/>
    </xf>
    <xf numFmtId="0" fontId="29" fillId="0" borderId="0" xfId="0" applyFont="1" applyAlignment="1">
      <alignment horizontal="left" vertical="center"/>
    </xf>
    <xf numFmtId="0" fontId="3" fillId="0" borderId="0" xfId="0" applyFont="1" applyAlignment="1">
      <alignment horizontal="left" vertical="center"/>
    </xf>
    <xf numFmtId="0" fontId="0" fillId="0" borderId="3" xfId="0" applyBorder="1" applyAlignment="1">
      <alignment vertical="center"/>
    </xf>
    <xf numFmtId="165" fontId="4"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6" fillId="0" borderId="0" xfId="0" applyFont="1" applyAlignment="1">
      <alignment horizontal="left" vertical="center"/>
    </xf>
    <xf numFmtId="4" fontId="22" fillId="0" borderId="0" xfId="0" applyNumberFormat="1" applyFont="1" applyAlignment="1">
      <alignment vertical="center"/>
    </xf>
    <xf numFmtId="0" fontId="3" fillId="0" borderId="0" xfId="0" applyFont="1" applyAlignment="1">
      <alignment horizontal="right" vertical="center"/>
    </xf>
    <xf numFmtId="0" fontId="19" fillId="0" borderId="0" xfId="0" applyFont="1" applyAlignment="1">
      <alignment horizontal="left" vertical="center"/>
    </xf>
    <xf numFmtId="4" fontId="3" fillId="0" borderId="0" xfId="0" applyNumberFormat="1" applyFont="1" applyAlignment="1">
      <alignment vertical="center"/>
    </xf>
    <xf numFmtId="164" fontId="3" fillId="0" borderId="0" xfId="0" applyNumberFormat="1" applyFont="1" applyAlignment="1">
      <alignment horizontal="right" vertical="center"/>
    </xf>
    <xf numFmtId="0" fontId="0" fillId="4" borderId="0" xfId="0" applyFont="1" applyFill="1" applyAlignment="1">
      <alignment vertical="center"/>
    </xf>
    <xf numFmtId="0" fontId="6" fillId="4" borderId="6" xfId="0" applyFont="1" applyFill="1" applyBorder="1" applyAlignment="1">
      <alignment horizontal="left" vertical="center"/>
    </xf>
    <xf numFmtId="0" fontId="0" fillId="4" borderId="7" xfId="0" applyFont="1" applyFill="1" applyBorder="1" applyAlignment="1">
      <alignment vertical="center"/>
    </xf>
    <xf numFmtId="0" fontId="6" fillId="4" borderId="7" xfId="0" applyFont="1" applyFill="1" applyBorder="1" applyAlignment="1">
      <alignment horizontal="right" vertical="center"/>
    </xf>
    <xf numFmtId="0" fontId="6" fillId="4" borderId="7" xfId="0" applyFont="1" applyFill="1" applyBorder="1" applyAlignment="1">
      <alignment horizontal="center" vertical="center"/>
    </xf>
    <xf numFmtId="4" fontId="6"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0"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0" fillId="4" borderId="0" xfId="0" applyFont="1" applyFill="1" applyAlignment="1" applyProtection="1">
      <alignment horizontal="right" vertical="center"/>
      <protection/>
    </xf>
    <xf numFmtId="0" fontId="30" fillId="0" borderId="0" xfId="0" applyFont="1" applyAlignment="1" applyProtection="1">
      <alignment horizontal="left" vertical="center"/>
      <protection/>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9" fillId="0" borderId="3" xfId="0" applyFont="1" applyBorder="1" applyAlignment="1" applyProtection="1">
      <alignment vertical="center"/>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vertical="center"/>
      <protection/>
    </xf>
    <xf numFmtId="4" fontId="9" fillId="0" borderId="20" xfId="0" applyNumberFormat="1" applyFont="1" applyBorder="1" applyAlignment="1" applyProtection="1">
      <alignment vertical="center"/>
      <protection/>
    </xf>
    <xf numFmtId="0" fontId="9"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0" fillId="4" borderId="14" xfId="0" applyFont="1" applyFill="1" applyBorder="1" applyAlignment="1" applyProtection="1">
      <alignment horizontal="center" vertical="center" wrapText="1"/>
      <protection/>
    </xf>
    <xf numFmtId="0" fontId="20" fillId="4" borderId="15" xfId="0" applyFont="1" applyFill="1" applyBorder="1" applyAlignment="1" applyProtection="1">
      <alignment horizontal="center" vertical="center" wrapText="1"/>
      <protection/>
    </xf>
    <xf numFmtId="0" fontId="20"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2" fillId="0" borderId="0" xfId="0" applyNumberFormat="1" applyFont="1" applyAlignment="1" applyProtection="1">
      <alignment/>
      <protection/>
    </xf>
    <xf numFmtId="0" fontId="0" fillId="0" borderId="10" xfId="0" applyBorder="1" applyAlignment="1" applyProtection="1">
      <alignment vertical="center"/>
      <protection/>
    </xf>
    <xf numFmtId="166" fontId="31" fillId="0" borderId="10" xfId="0" applyNumberFormat="1" applyFont="1" applyBorder="1" applyAlignment="1" applyProtection="1">
      <alignment/>
      <protection/>
    </xf>
    <xf numFmtId="166" fontId="31" fillId="0" borderId="11" xfId="0" applyNumberFormat="1" applyFont="1" applyBorder="1" applyAlignment="1" applyProtection="1">
      <alignment/>
      <protection/>
    </xf>
    <xf numFmtId="4" fontId="32" fillId="0" borderId="0" xfId="0" applyNumberFormat="1" applyFont="1" applyAlignment="1">
      <alignment vertical="center"/>
    </xf>
    <xf numFmtId="0" fontId="10" fillId="0" borderId="3" xfId="0" applyFont="1" applyBorder="1" applyAlignment="1" applyProtection="1">
      <alignment/>
      <protection/>
    </xf>
    <xf numFmtId="0" fontId="10" fillId="0" borderId="0" xfId="0" applyFont="1" applyAlignment="1" applyProtection="1">
      <alignment/>
      <protection/>
    </xf>
    <xf numFmtId="0" fontId="10" fillId="0" borderId="0" xfId="0" applyFont="1" applyAlignment="1" applyProtection="1">
      <alignment horizontal="left"/>
      <protection/>
    </xf>
    <xf numFmtId="0" fontId="8" fillId="0" borderId="0" xfId="0" applyFont="1" applyAlignment="1" applyProtection="1">
      <alignment horizontal="left"/>
      <protection/>
    </xf>
    <xf numFmtId="0" fontId="10" fillId="0" borderId="0" xfId="0" applyFont="1" applyAlignment="1" applyProtection="1">
      <alignment/>
      <protection locked="0"/>
    </xf>
    <xf numFmtId="4" fontId="8" fillId="0" borderId="0" xfId="0" applyNumberFormat="1" applyFont="1" applyAlignment="1" applyProtection="1">
      <alignment/>
      <protection/>
    </xf>
    <xf numFmtId="0" fontId="10" fillId="0" borderId="3" xfId="0" applyFont="1" applyBorder="1" applyAlignment="1">
      <alignment/>
    </xf>
    <xf numFmtId="0" fontId="10" fillId="0" borderId="18" xfId="0" applyFont="1" applyBorder="1" applyAlignment="1" applyProtection="1">
      <alignment/>
      <protection/>
    </xf>
    <xf numFmtId="0" fontId="10" fillId="0" borderId="0" xfId="0" applyFont="1" applyBorder="1" applyAlignment="1" applyProtection="1">
      <alignment/>
      <protection/>
    </xf>
    <xf numFmtId="166" fontId="10" fillId="0" borderId="0" xfId="0" applyNumberFormat="1" applyFont="1" applyBorder="1" applyAlignment="1" applyProtection="1">
      <alignment/>
      <protection/>
    </xf>
    <xf numFmtId="166" fontId="10" fillId="0" borderId="12" xfId="0" applyNumberFormat="1" applyFont="1" applyBorder="1" applyAlignment="1" applyProtection="1">
      <alignment/>
      <protection/>
    </xf>
    <xf numFmtId="0" fontId="10" fillId="0" borderId="0" xfId="0" applyFont="1" applyAlignment="1">
      <alignment horizontal="left"/>
    </xf>
    <xf numFmtId="0" fontId="10" fillId="0" borderId="0" xfId="0" applyFont="1" applyAlignment="1">
      <alignment horizontal="center"/>
    </xf>
    <xf numFmtId="4" fontId="10" fillId="0" borderId="0" xfId="0" applyNumberFormat="1" applyFont="1" applyAlignment="1">
      <alignment vertical="center"/>
    </xf>
    <xf numFmtId="0" fontId="9" fillId="0" borderId="0" xfId="0" applyFont="1" applyAlignment="1" applyProtection="1">
      <alignment horizontal="left"/>
      <protection/>
    </xf>
    <xf numFmtId="4" fontId="9" fillId="0" borderId="0" xfId="0" applyNumberFormat="1" applyFont="1" applyAlignment="1" applyProtection="1">
      <alignment/>
      <protection/>
    </xf>
    <xf numFmtId="0" fontId="20" fillId="0" borderId="22" xfId="0" applyFont="1" applyBorder="1" applyAlignment="1" applyProtection="1">
      <alignment horizontal="center" vertical="center"/>
      <protection/>
    </xf>
    <xf numFmtId="49" fontId="20" fillId="0" borderId="22" xfId="0" applyNumberFormat="1" applyFont="1" applyBorder="1" applyAlignment="1" applyProtection="1">
      <alignment horizontal="left" vertical="center" wrapText="1"/>
      <protection/>
    </xf>
    <xf numFmtId="0" fontId="20" fillId="0" borderId="22" xfId="0" applyFont="1" applyBorder="1" applyAlignment="1" applyProtection="1">
      <alignment horizontal="left" vertical="center" wrapText="1"/>
      <protection/>
    </xf>
    <xf numFmtId="0" fontId="20" fillId="0" borderId="22" xfId="0" applyFont="1" applyBorder="1" applyAlignment="1" applyProtection="1">
      <alignment horizontal="center" vertical="center" wrapText="1"/>
      <protection/>
    </xf>
    <xf numFmtId="167" fontId="20" fillId="0" borderId="22" xfId="0" applyNumberFormat="1" applyFont="1" applyBorder="1" applyAlignment="1" applyProtection="1">
      <alignment vertical="center"/>
      <protection/>
    </xf>
    <xf numFmtId="4" fontId="20" fillId="2" borderId="22" xfId="0" applyNumberFormat="1" applyFont="1" applyFill="1" applyBorder="1" applyAlignment="1" applyProtection="1">
      <alignment vertical="center"/>
      <protection locked="0"/>
    </xf>
    <xf numFmtId="4" fontId="20" fillId="0" borderId="22" xfId="0" applyNumberFormat="1" applyFont="1" applyBorder="1" applyAlignment="1" applyProtection="1">
      <alignment vertical="center"/>
      <protection/>
    </xf>
    <xf numFmtId="0" fontId="21" fillId="2" borderId="18" xfId="0" applyFont="1" applyFill="1" applyBorder="1" applyAlignment="1" applyProtection="1">
      <alignment horizontal="left" vertical="center"/>
      <protection locked="0"/>
    </xf>
    <xf numFmtId="0" fontId="21" fillId="0" borderId="0" xfId="0" applyFont="1" applyBorder="1" applyAlignment="1" applyProtection="1">
      <alignment horizontal="center" vertical="center"/>
      <protection/>
    </xf>
    <xf numFmtId="166" fontId="21" fillId="0" borderId="0" xfId="0" applyNumberFormat="1" applyFont="1" applyBorder="1" applyAlignment="1" applyProtection="1">
      <alignment vertical="center"/>
      <protection/>
    </xf>
    <xf numFmtId="166" fontId="21" fillId="0" borderId="12" xfId="0" applyNumberFormat="1" applyFont="1" applyBorder="1" applyAlignment="1" applyProtection="1">
      <alignment vertical="center"/>
      <protection/>
    </xf>
    <xf numFmtId="0" fontId="20" fillId="0" borderId="0" xfId="0" applyFont="1" applyAlignment="1">
      <alignment horizontal="left" vertical="center"/>
    </xf>
    <xf numFmtId="4" fontId="0" fillId="0" borderId="0" xfId="0" applyNumberFormat="1" applyFont="1" applyAlignment="1">
      <alignment vertical="center"/>
    </xf>
    <xf numFmtId="0" fontId="33" fillId="0" borderId="0" xfId="0" applyFont="1" applyAlignment="1" applyProtection="1">
      <alignment horizontal="left" vertical="center"/>
      <protection/>
    </xf>
    <xf numFmtId="0" fontId="34"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35" fillId="0" borderId="22" xfId="0" applyFont="1" applyBorder="1" applyAlignment="1" applyProtection="1">
      <alignment horizontal="center" vertical="center"/>
      <protection/>
    </xf>
    <xf numFmtId="49" fontId="35" fillId="0" borderId="22" xfId="0" applyNumberFormat="1" applyFont="1" applyBorder="1" applyAlignment="1" applyProtection="1">
      <alignment horizontal="left" vertical="center" wrapText="1"/>
      <protection/>
    </xf>
    <xf numFmtId="0" fontId="35" fillId="0" borderId="22" xfId="0" applyFont="1" applyBorder="1" applyAlignment="1" applyProtection="1">
      <alignment horizontal="left" vertical="center" wrapText="1"/>
      <protection/>
    </xf>
    <xf numFmtId="0" fontId="35" fillId="0" borderId="22" xfId="0" applyFont="1" applyBorder="1" applyAlignment="1" applyProtection="1">
      <alignment horizontal="center" vertical="center" wrapText="1"/>
      <protection/>
    </xf>
    <xf numFmtId="167" fontId="35" fillId="0" borderId="22" xfId="0" applyNumberFormat="1" applyFont="1" applyBorder="1" applyAlignment="1" applyProtection="1">
      <alignment vertical="center"/>
      <protection/>
    </xf>
    <xf numFmtId="4" fontId="35" fillId="2" borderId="22" xfId="0" applyNumberFormat="1" applyFont="1" applyFill="1" applyBorder="1" applyAlignment="1" applyProtection="1">
      <alignment vertical="center"/>
      <protection locked="0"/>
    </xf>
    <xf numFmtId="4" fontId="35" fillId="0" borderId="22" xfId="0" applyNumberFormat="1" applyFont="1" applyBorder="1" applyAlignment="1" applyProtection="1">
      <alignment vertical="center"/>
      <protection/>
    </xf>
    <xf numFmtId="0" fontId="36" fillId="0" borderId="3" xfId="0" applyFont="1" applyBorder="1" applyAlignment="1">
      <alignment vertical="center"/>
    </xf>
    <xf numFmtId="0" fontId="35" fillId="2" borderId="18" xfId="0" applyFont="1" applyFill="1" applyBorder="1" applyAlignment="1" applyProtection="1">
      <alignment horizontal="left" vertical="center"/>
      <protection locked="0"/>
    </xf>
    <xf numFmtId="0" fontId="35" fillId="0" borderId="0" xfId="0" applyFont="1" applyBorder="1" applyAlignment="1" applyProtection="1">
      <alignment horizontal="center" vertical="center"/>
      <protection/>
    </xf>
    <xf numFmtId="0" fontId="21" fillId="2" borderId="19" xfId="0" applyFont="1" applyFill="1" applyBorder="1" applyAlignment="1" applyProtection="1">
      <alignment horizontal="left" vertical="center"/>
      <protection locked="0"/>
    </xf>
    <xf numFmtId="0" fontId="21"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1" fillId="0" borderId="20" xfId="0" applyNumberFormat="1" applyFont="1" applyBorder="1" applyAlignment="1" applyProtection="1">
      <alignment vertical="center"/>
      <protection/>
    </xf>
    <xf numFmtId="166" fontId="21" fillId="0" borderId="21" xfId="0" applyNumberFormat="1" applyFont="1" applyBorder="1" applyAlignment="1" applyProtection="1">
      <alignment vertical="center"/>
      <protection/>
    </xf>
    <xf numFmtId="0" fontId="0" fillId="0" borderId="0" xfId="0" applyAlignment="1">
      <alignment vertical="top"/>
    </xf>
    <xf numFmtId="0" fontId="37" fillId="0" borderId="23" xfId="0" applyFont="1" applyBorder="1" applyAlignment="1">
      <alignment vertical="center" wrapText="1"/>
    </xf>
    <xf numFmtId="0" fontId="37" fillId="0" borderId="24" xfId="0" applyFont="1" applyBorder="1" applyAlignment="1">
      <alignment vertical="center" wrapText="1"/>
    </xf>
    <xf numFmtId="0" fontId="37" fillId="0" borderId="25" xfId="0" applyFont="1" applyBorder="1" applyAlignment="1">
      <alignment vertical="center" wrapText="1"/>
    </xf>
    <xf numFmtId="0" fontId="37" fillId="0" borderId="26" xfId="0" applyFont="1" applyBorder="1" applyAlignment="1">
      <alignment horizontal="center" vertical="center" wrapText="1"/>
    </xf>
    <xf numFmtId="0" fontId="37" fillId="0" borderId="27" xfId="0" applyFont="1" applyBorder="1" applyAlignment="1">
      <alignment horizontal="center" vertical="center" wrapText="1"/>
    </xf>
    <xf numFmtId="0" fontId="37" fillId="0" borderId="26" xfId="0" applyFont="1" applyBorder="1" applyAlignment="1">
      <alignment vertical="center" wrapText="1"/>
    </xf>
    <xf numFmtId="0" fontId="37" fillId="0" borderId="27" xfId="0" applyFont="1" applyBorder="1" applyAlignment="1">
      <alignment vertical="center" wrapText="1"/>
    </xf>
    <xf numFmtId="0" fontId="39" fillId="0" borderId="0" xfId="0" applyFont="1" applyBorder="1" applyAlignment="1">
      <alignment horizontal="left" vertical="center" wrapText="1"/>
    </xf>
    <xf numFmtId="0" fontId="0" fillId="0" borderId="0" xfId="0" applyFont="1" applyBorder="1" applyAlignment="1">
      <alignment horizontal="left" vertical="center" wrapText="1"/>
    </xf>
    <xf numFmtId="0" fontId="40"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37" fillId="0" borderId="28" xfId="0" applyFont="1" applyBorder="1" applyAlignment="1">
      <alignment vertical="center" wrapText="1"/>
    </xf>
    <xf numFmtId="0" fontId="41" fillId="0" borderId="29" xfId="0" applyFont="1" applyBorder="1" applyAlignment="1">
      <alignment vertical="center" wrapText="1"/>
    </xf>
    <xf numFmtId="0" fontId="37" fillId="0" borderId="30" xfId="0" applyFont="1" applyBorder="1" applyAlignment="1">
      <alignment vertical="center" wrapText="1"/>
    </xf>
    <xf numFmtId="0" fontId="37" fillId="0" borderId="0" xfId="0" applyFont="1" applyBorder="1" applyAlignment="1">
      <alignment vertical="top"/>
    </xf>
    <xf numFmtId="0" fontId="37" fillId="0" borderId="0" xfId="0" applyFont="1" applyAlignment="1">
      <alignment vertical="top"/>
    </xf>
    <xf numFmtId="0" fontId="37" fillId="0" borderId="23" xfId="0" applyFont="1" applyBorder="1" applyAlignment="1">
      <alignment horizontal="left" vertical="center"/>
    </xf>
    <xf numFmtId="0" fontId="37" fillId="0" borderId="24" xfId="0" applyFont="1" applyBorder="1" applyAlignment="1">
      <alignment horizontal="left" vertical="center"/>
    </xf>
    <xf numFmtId="0" fontId="37" fillId="0" borderId="25" xfId="0" applyFont="1" applyBorder="1" applyAlignment="1">
      <alignment horizontal="left" vertical="center"/>
    </xf>
    <xf numFmtId="0" fontId="37" fillId="0" borderId="26" xfId="0" applyFont="1" applyBorder="1" applyAlignment="1">
      <alignment horizontal="left" vertical="center"/>
    </xf>
    <xf numFmtId="0" fontId="37" fillId="0" borderId="27" xfId="0" applyFont="1" applyBorder="1" applyAlignment="1">
      <alignment horizontal="left" vertical="center"/>
    </xf>
    <xf numFmtId="0" fontId="39" fillId="0" borderId="0" xfId="0" applyFont="1" applyBorder="1" applyAlignment="1">
      <alignment horizontal="left" vertical="center"/>
    </xf>
    <xf numFmtId="0" fontId="42" fillId="0" borderId="0" xfId="0" applyFont="1" applyAlignment="1">
      <alignment horizontal="left" vertical="center"/>
    </xf>
    <xf numFmtId="0" fontId="39" fillId="0" borderId="29" xfId="0" applyFont="1" applyBorder="1" applyAlignment="1">
      <alignment horizontal="left" vertical="center"/>
    </xf>
    <xf numFmtId="0" fontId="39" fillId="0" borderId="29" xfId="0" applyFont="1" applyBorder="1" applyAlignment="1">
      <alignment horizontal="center" vertical="center"/>
    </xf>
    <xf numFmtId="0" fontId="42" fillId="0" borderId="29" xfId="0" applyFont="1" applyBorder="1" applyAlignment="1">
      <alignment horizontal="left" vertical="center"/>
    </xf>
    <xf numFmtId="0" fontId="43" fillId="0" borderId="0" xfId="0" applyFont="1" applyBorder="1" applyAlignment="1">
      <alignment horizontal="left" vertical="center"/>
    </xf>
    <xf numFmtId="0" fontId="40" fillId="0" borderId="0" xfId="0" applyFont="1" applyAlignment="1">
      <alignment horizontal="left" vertical="center"/>
    </xf>
    <xf numFmtId="0" fontId="32"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0"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37" fillId="0" borderId="28" xfId="0" applyFont="1" applyBorder="1" applyAlignment="1">
      <alignment horizontal="left" vertical="center"/>
    </xf>
    <xf numFmtId="0" fontId="41" fillId="0" borderId="29" xfId="0" applyFont="1" applyBorder="1" applyAlignment="1">
      <alignment horizontal="left" vertical="center"/>
    </xf>
    <xf numFmtId="0" fontId="37" fillId="0" borderId="30" xfId="0" applyFont="1" applyBorder="1" applyAlignment="1">
      <alignment horizontal="left" vertical="center"/>
    </xf>
    <xf numFmtId="0" fontId="37" fillId="0" borderId="0" xfId="0" applyFont="1" applyBorder="1" applyAlignment="1">
      <alignment horizontal="left" vertical="center"/>
    </xf>
    <xf numFmtId="0" fontId="41" fillId="0" borderId="0" xfId="0" applyFont="1" applyBorder="1" applyAlignment="1">
      <alignment horizontal="left" vertical="center"/>
    </xf>
    <xf numFmtId="0" fontId="42" fillId="0" borderId="0" xfId="0" applyFont="1" applyBorder="1" applyAlignment="1">
      <alignment horizontal="left" vertical="center"/>
    </xf>
    <xf numFmtId="0" fontId="40" fillId="0" borderId="29" xfId="0" applyFont="1" applyBorder="1" applyAlignment="1">
      <alignment horizontal="left" vertical="center"/>
    </xf>
    <xf numFmtId="0" fontId="37" fillId="0" borderId="0" xfId="0" applyFont="1" applyBorder="1" applyAlignment="1">
      <alignment horizontal="left" vertical="center" wrapText="1"/>
    </xf>
    <xf numFmtId="0" fontId="40" fillId="0" borderId="0" xfId="0" applyFont="1" applyBorder="1" applyAlignment="1">
      <alignment horizontal="left" vertical="center" wrapText="1"/>
    </xf>
    <xf numFmtId="0" fontId="40" fillId="0" borderId="0" xfId="0" applyFont="1" applyBorder="1" applyAlignment="1">
      <alignment horizontal="center" vertical="center" wrapText="1"/>
    </xf>
    <xf numFmtId="0" fontId="37" fillId="0" borderId="23" xfId="0" applyFont="1" applyBorder="1" applyAlignment="1">
      <alignment horizontal="left" vertical="center" wrapText="1"/>
    </xf>
    <xf numFmtId="0" fontId="37" fillId="0" borderId="24" xfId="0" applyFont="1" applyBorder="1" applyAlignment="1">
      <alignment horizontal="left" vertical="center" wrapText="1"/>
    </xf>
    <xf numFmtId="0" fontId="37" fillId="0" borderId="25" xfId="0" applyFont="1" applyBorder="1" applyAlignment="1">
      <alignment horizontal="left" vertical="center" wrapText="1"/>
    </xf>
    <xf numFmtId="0" fontId="37" fillId="0" borderId="26" xfId="0" applyFont="1" applyBorder="1" applyAlignment="1">
      <alignment horizontal="left" vertical="center" wrapText="1"/>
    </xf>
    <xf numFmtId="0" fontId="37"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0" fillId="0" borderId="26" xfId="0" applyFont="1" applyBorder="1" applyAlignment="1">
      <alignment horizontal="left" vertical="center" wrapText="1"/>
    </xf>
    <xf numFmtId="0" fontId="40" fillId="0" borderId="0" xfId="0" applyFont="1" applyBorder="1" applyAlignment="1">
      <alignment horizontal="left" vertical="center"/>
    </xf>
    <xf numFmtId="0" fontId="40" fillId="0" borderId="27" xfId="0" applyFont="1" applyBorder="1" applyAlignment="1">
      <alignment horizontal="left" vertical="center" wrapText="1"/>
    </xf>
    <xf numFmtId="0" fontId="40" fillId="0" borderId="27" xfId="0" applyFont="1" applyBorder="1" applyAlignment="1">
      <alignment horizontal="left" vertical="center"/>
    </xf>
    <xf numFmtId="0" fontId="40" fillId="0" borderId="28" xfId="0" applyFont="1" applyBorder="1" applyAlignment="1">
      <alignment horizontal="left" vertical="center" wrapText="1"/>
    </xf>
    <xf numFmtId="0" fontId="40" fillId="0" borderId="29" xfId="0" applyFont="1" applyBorder="1" applyAlignment="1">
      <alignment horizontal="left" vertical="center" wrapText="1"/>
    </xf>
    <xf numFmtId="0" fontId="40"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0" fillId="0" borderId="28" xfId="0" applyFont="1" applyBorder="1" applyAlignment="1">
      <alignment horizontal="left" vertical="center"/>
    </xf>
    <xf numFmtId="0" fontId="40" fillId="0" borderId="30" xfId="0" applyFont="1" applyBorder="1" applyAlignment="1">
      <alignment horizontal="left" vertical="center"/>
    </xf>
    <xf numFmtId="0" fontId="40" fillId="0" borderId="0" xfId="0" applyFont="1" applyBorder="1" applyAlignment="1">
      <alignment horizontal="center" vertical="center"/>
    </xf>
    <xf numFmtId="0" fontId="42" fillId="0" borderId="0" xfId="0" applyFont="1" applyAlignment="1">
      <alignment vertical="center"/>
    </xf>
    <xf numFmtId="0" fontId="39" fillId="0" borderId="0" xfId="0" applyFont="1" applyBorder="1" applyAlignment="1">
      <alignment vertical="center"/>
    </xf>
    <xf numFmtId="0" fontId="42" fillId="0" borderId="29" xfId="0" applyFont="1" applyBorder="1" applyAlignment="1">
      <alignment vertical="center"/>
    </xf>
    <xf numFmtId="0" fontId="39"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39" fillId="0" borderId="29" xfId="0" applyFont="1" applyBorder="1" applyAlignment="1">
      <alignment horizontal="left"/>
    </xf>
    <xf numFmtId="0" fontId="42" fillId="0" borderId="29" xfId="0" applyFont="1" applyBorder="1" applyAlignment="1">
      <alignment/>
    </xf>
    <xf numFmtId="0" fontId="37" fillId="0" borderId="26" xfId="0" applyFont="1" applyBorder="1" applyAlignment="1">
      <alignment vertical="top"/>
    </xf>
    <xf numFmtId="0" fontId="37" fillId="0" borderId="27" xfId="0" applyFont="1" applyBorder="1" applyAlignment="1">
      <alignment vertical="top"/>
    </xf>
    <xf numFmtId="0" fontId="37" fillId="0" borderId="28" xfId="0" applyFont="1" applyBorder="1" applyAlignment="1">
      <alignment vertical="top"/>
    </xf>
    <xf numFmtId="0" fontId="37" fillId="0" borderId="29" xfId="0" applyFont="1" applyBorder="1" applyAlignment="1">
      <alignment vertical="top"/>
    </xf>
    <xf numFmtId="0" fontId="37" fillId="0" borderId="30" xfId="0" applyFont="1" applyBorder="1" applyAlignment="1">
      <alignment vertical="top"/>
    </xf>
    <xf numFmtId="0" fontId="47" fillId="0" borderId="0" xfId="21" applyFont="1" applyAlignment="1">
      <alignment vertical="center"/>
      <protection/>
    </xf>
    <xf numFmtId="0" fontId="47" fillId="0" borderId="0" xfId="21" applyFont="1" applyAlignment="1">
      <alignment vertical="center"/>
      <protection/>
    </xf>
    <xf numFmtId="49" fontId="48" fillId="0" borderId="0" xfId="21" applyNumberFormat="1" applyFont="1" applyAlignment="1">
      <alignment horizontal="left" vertical="center"/>
      <protection/>
    </xf>
    <xf numFmtId="0" fontId="47" fillId="0" borderId="24" xfId="21" applyFont="1" applyBorder="1" applyAlignment="1">
      <alignment vertical="center"/>
      <protection/>
    </xf>
    <xf numFmtId="4" fontId="50" fillId="0" borderId="0" xfId="21" applyNumberFormat="1" applyFont="1" applyAlignment="1">
      <alignment horizontal="right" vertical="center"/>
      <protection/>
    </xf>
    <xf numFmtId="4" fontId="47" fillId="0" borderId="0" xfId="21" applyNumberFormat="1" applyFont="1" applyAlignment="1">
      <alignment horizontal="right" vertical="center"/>
      <protection/>
    </xf>
    <xf numFmtId="49" fontId="51" fillId="5" borderId="0" xfId="21" applyNumberFormat="1" applyFont="1" applyFill="1" applyAlignment="1">
      <alignment horizontal="right" vertical="center"/>
      <protection/>
    </xf>
    <xf numFmtId="49" fontId="47" fillId="0" borderId="0" xfId="21" applyNumberFormat="1" applyFont="1" applyAlignment="1">
      <alignment horizontal="right" vertical="center"/>
      <protection/>
    </xf>
    <xf numFmtId="49" fontId="50" fillId="0" borderId="0" xfId="21" applyNumberFormat="1" applyFont="1" applyAlignment="1">
      <alignment horizontal="right" vertical="center"/>
      <protection/>
    </xf>
    <xf numFmtId="4" fontId="50" fillId="0" borderId="29" xfId="21" applyNumberFormat="1" applyFont="1" applyBorder="1" applyAlignment="1">
      <alignment horizontal="right" vertical="center"/>
      <protection/>
    </xf>
    <xf numFmtId="49" fontId="50" fillId="0" borderId="29" xfId="21" applyNumberFormat="1" applyFont="1" applyBorder="1" applyAlignment="1">
      <alignment horizontal="left" vertical="center"/>
      <protection/>
    </xf>
    <xf numFmtId="4" fontId="51" fillId="5" borderId="0" xfId="21" applyNumberFormat="1" applyFont="1" applyFill="1" applyAlignment="1">
      <alignment horizontal="right" vertical="center"/>
      <protection/>
    </xf>
    <xf numFmtId="49" fontId="52" fillId="5" borderId="0" xfId="21" applyNumberFormat="1" applyFont="1" applyFill="1" applyAlignment="1">
      <alignment horizontal="left" vertical="center"/>
      <protection/>
    </xf>
    <xf numFmtId="49" fontId="51" fillId="5" borderId="0" xfId="21" applyNumberFormat="1" applyFont="1" applyFill="1" applyAlignment="1">
      <alignment horizontal="left" vertical="center"/>
      <protection/>
    </xf>
    <xf numFmtId="49" fontId="50" fillId="0" borderId="0" xfId="21" applyNumberFormat="1" applyFont="1" applyAlignment="1">
      <alignment horizontal="left" vertical="center"/>
      <protection/>
    </xf>
    <xf numFmtId="4" fontId="53" fillId="0" borderId="0" xfId="21" applyNumberFormat="1" applyFont="1" applyAlignment="1">
      <alignment horizontal="right" vertical="center"/>
      <protection/>
    </xf>
    <xf numFmtId="49" fontId="53" fillId="0" borderId="0" xfId="21" applyNumberFormat="1" applyFont="1" applyAlignment="1">
      <alignment horizontal="right" vertical="center"/>
      <protection/>
    </xf>
    <xf numFmtId="49" fontId="52" fillId="5" borderId="31" xfId="21" applyNumberFormat="1" applyFont="1" applyFill="1" applyBorder="1" applyAlignment="1">
      <alignment horizontal="left" vertical="center"/>
      <protection/>
    </xf>
    <xf numFmtId="49" fontId="51" fillId="5" borderId="31" xfId="21" applyNumberFormat="1" applyFont="1" applyFill="1" applyBorder="1" applyAlignment="1">
      <alignment horizontal="left" vertical="center"/>
      <protection/>
    </xf>
    <xf numFmtId="0" fontId="47" fillId="0" borderId="32" xfId="21" applyFont="1" applyBorder="1" applyAlignment="1">
      <alignment vertical="center"/>
      <protection/>
    </xf>
    <xf numFmtId="49" fontId="49" fillId="0" borderId="33" xfId="21" applyNumberFormat="1" applyFont="1" applyBorder="1" applyAlignment="1">
      <alignment horizontal="center" vertical="center"/>
      <protection/>
    </xf>
    <xf numFmtId="49" fontId="49" fillId="0" borderId="34" xfId="21" applyNumberFormat="1" applyFont="1" applyBorder="1" applyAlignment="1">
      <alignment horizontal="center" vertical="center"/>
      <protection/>
    </xf>
    <xf numFmtId="49" fontId="49" fillId="0" borderId="35" xfId="21" applyNumberFormat="1" applyFont="1" applyBorder="1" applyAlignment="1">
      <alignment horizontal="center" vertical="center"/>
      <protection/>
    </xf>
    <xf numFmtId="49" fontId="49" fillId="0" borderId="36" xfId="21" applyNumberFormat="1" applyFont="1" applyBorder="1" applyAlignment="1">
      <alignment horizontal="center" vertical="center"/>
      <protection/>
    </xf>
    <xf numFmtId="49" fontId="47" fillId="0" borderId="37" xfId="21" applyNumberFormat="1" applyFont="1" applyBorder="1" applyAlignment="1">
      <alignment horizontal="left" vertical="center"/>
      <protection/>
    </xf>
    <xf numFmtId="49" fontId="49" fillId="0" borderId="37" xfId="21" applyNumberFormat="1" applyFont="1" applyBorder="1" applyAlignment="1">
      <alignment horizontal="left" vertical="center"/>
      <protection/>
    </xf>
    <xf numFmtId="49" fontId="47" fillId="0" borderId="38" xfId="21" applyNumberFormat="1" applyFont="1" applyBorder="1" applyAlignment="1">
      <alignment horizontal="left" vertical="center"/>
      <protection/>
    </xf>
    <xf numFmtId="49" fontId="49" fillId="0" borderId="39" xfId="21" applyNumberFormat="1" applyFont="1" applyBorder="1" applyAlignment="1">
      <alignment horizontal="center" vertical="center"/>
      <protection/>
    </xf>
    <xf numFmtId="49" fontId="49" fillId="0" borderId="40" xfId="21" applyNumberFormat="1" applyFont="1" applyBorder="1" applyAlignment="1">
      <alignment horizontal="center" vertical="center"/>
      <protection/>
    </xf>
    <xf numFmtId="49" fontId="49" fillId="0" borderId="40" xfId="21" applyNumberFormat="1" applyFont="1" applyBorder="1" applyAlignment="1">
      <alignment horizontal="left" vertical="center"/>
      <protection/>
    </xf>
    <xf numFmtId="49" fontId="49" fillId="0" borderId="41" xfId="21" applyNumberFormat="1" applyFont="1" applyBorder="1" applyAlignment="1">
      <alignment horizontal="left" vertical="center"/>
      <protection/>
    </xf>
    <xf numFmtId="0" fontId="47" fillId="0" borderId="26" xfId="21" applyFont="1" applyBorder="1" applyAlignment="1">
      <alignment vertical="center"/>
      <protection/>
    </xf>
    <xf numFmtId="49" fontId="52" fillId="5" borderId="31" xfId="21" applyNumberFormat="1" applyFont="1" applyFill="1" applyBorder="1" applyAlignment="1">
      <alignment horizontal="left" vertical="center"/>
      <protection/>
    </xf>
    <xf numFmtId="49" fontId="51" fillId="5" borderId="31" xfId="21" applyNumberFormat="1" applyFont="1" applyFill="1" applyBorder="1" applyAlignment="1">
      <alignment horizontal="left" vertical="center"/>
      <protection/>
    </xf>
    <xf numFmtId="49" fontId="52" fillId="5" borderId="31" xfId="21" applyNumberFormat="1" applyFont="1" applyFill="1" applyBorder="1" applyAlignment="1" applyProtection="1">
      <alignment horizontal="left" vertical="center"/>
      <protection locked="0"/>
    </xf>
    <xf numFmtId="4" fontId="51" fillId="5" borderId="31" xfId="21" applyNumberFormat="1" applyFont="1" applyFill="1" applyBorder="1" applyAlignment="1">
      <alignment horizontal="right" vertical="center"/>
      <protection/>
    </xf>
    <xf numFmtId="49" fontId="51" fillId="5" borderId="31" xfId="21" applyNumberFormat="1" applyFont="1" applyFill="1" applyBorder="1" applyAlignment="1">
      <alignment horizontal="right" vertical="center"/>
      <protection/>
    </xf>
    <xf numFmtId="49" fontId="50" fillId="0" borderId="0" xfId="21" applyNumberFormat="1" applyFont="1" applyAlignment="1">
      <alignment horizontal="left" vertical="center"/>
      <protection/>
    </xf>
    <xf numFmtId="4" fontId="50" fillId="0" borderId="0" xfId="21" applyNumberFormat="1" applyFont="1" applyAlignment="1">
      <alignment horizontal="right" vertical="center"/>
      <protection/>
    </xf>
    <xf numFmtId="4" fontId="50" fillId="0" borderId="0" xfId="21" applyNumberFormat="1" applyFont="1" applyAlignment="1" applyProtection="1">
      <alignment horizontal="right" vertical="center"/>
      <protection locked="0"/>
    </xf>
    <xf numFmtId="49" fontId="52" fillId="5" borderId="0" xfId="21" applyNumberFormat="1" applyFont="1" applyFill="1" applyAlignment="1">
      <alignment horizontal="left" vertical="center"/>
      <protection/>
    </xf>
    <xf numFmtId="49" fontId="51" fillId="5" borderId="0" xfId="21" applyNumberFormat="1" applyFont="1" applyFill="1" applyAlignment="1">
      <alignment horizontal="left" vertical="center"/>
      <protection/>
    </xf>
    <xf numFmtId="49" fontId="52" fillId="5" borderId="0" xfId="21" applyNumberFormat="1" applyFont="1" applyFill="1" applyAlignment="1" applyProtection="1">
      <alignment horizontal="left" vertical="center"/>
      <protection locked="0"/>
    </xf>
    <xf numFmtId="4" fontId="51" fillId="5" borderId="0" xfId="21" applyNumberFormat="1" applyFont="1" applyFill="1" applyAlignment="1">
      <alignment horizontal="right" vertical="center"/>
      <protection/>
    </xf>
    <xf numFmtId="49" fontId="51" fillId="5" borderId="0" xfId="21" applyNumberFormat="1" applyFont="1" applyFill="1" applyAlignment="1">
      <alignment horizontal="right" vertical="center"/>
      <protection/>
    </xf>
    <xf numFmtId="49" fontId="53" fillId="0" borderId="0" xfId="21" applyNumberFormat="1" applyFont="1" applyAlignment="1">
      <alignment horizontal="left" vertical="center"/>
      <protection/>
    </xf>
    <xf numFmtId="4" fontId="53" fillId="0" borderId="0" xfId="21" applyNumberFormat="1" applyFont="1" applyAlignment="1">
      <alignment horizontal="right" vertical="center"/>
      <protection/>
    </xf>
    <xf numFmtId="4" fontId="53" fillId="0" borderId="0" xfId="21" applyNumberFormat="1" applyFont="1" applyAlignment="1" applyProtection="1">
      <alignment horizontal="right" vertical="center"/>
      <protection locked="0"/>
    </xf>
    <xf numFmtId="0" fontId="55" fillId="0" borderId="0" xfId="21" applyFont="1" applyAlignment="1">
      <alignment horizontal="left" vertical="center" wrapText="1"/>
      <protection/>
    </xf>
    <xf numFmtId="0" fontId="47" fillId="0" borderId="0" xfId="21" applyFont="1" applyAlignment="1" applyProtection="1">
      <alignment vertical="center"/>
      <protection locked="0"/>
    </xf>
    <xf numFmtId="49" fontId="50" fillId="0" borderId="29" xfId="21" applyNumberFormat="1" applyFont="1" applyBorder="1" applyAlignment="1">
      <alignment horizontal="left" vertical="center"/>
      <protection/>
    </xf>
    <xf numFmtId="4" fontId="50" fillId="0" borderId="29" xfId="21" applyNumberFormat="1" applyFont="1" applyBorder="1" applyAlignment="1">
      <alignment horizontal="right" vertical="center"/>
      <protection/>
    </xf>
    <xf numFmtId="4" fontId="50" fillId="0" borderId="29" xfId="21" applyNumberFormat="1" applyFont="1" applyBorder="1" applyAlignment="1" applyProtection="1">
      <alignment horizontal="right" vertical="center"/>
      <protection locked="0"/>
    </xf>
    <xf numFmtId="0" fontId="47" fillId="0" borderId="24" xfId="21" applyFont="1" applyBorder="1" applyAlignment="1" applyProtection="1">
      <alignment vertical="center"/>
      <protection locked="0"/>
    </xf>
    <xf numFmtId="4" fontId="49" fillId="0" borderId="24" xfId="21" applyNumberFormat="1" applyFont="1" applyBorder="1" applyAlignment="1">
      <alignment horizontal="right" vertical="center"/>
      <protection/>
    </xf>
    <xf numFmtId="0" fontId="47" fillId="0" borderId="24" xfId="21" applyFont="1" applyBorder="1" applyAlignment="1">
      <alignment vertical="center"/>
      <protection/>
    </xf>
    <xf numFmtId="49" fontId="48" fillId="0" borderId="0" xfId="21" applyNumberFormat="1" applyFont="1" applyAlignment="1" applyProtection="1">
      <alignment horizontal="left" vertical="center"/>
      <protection locked="0"/>
    </xf>
    <xf numFmtId="4" fontId="47" fillId="0" borderId="0" xfId="21" applyNumberFormat="1" applyFont="1" applyAlignment="1">
      <alignment vertical="center"/>
      <protection/>
    </xf>
    <xf numFmtId="0" fontId="4" fillId="0" borderId="0" xfId="22">
      <alignment/>
      <protection/>
    </xf>
    <xf numFmtId="0" fontId="4" fillId="0" borderId="42" xfId="22" applyFont="1" applyBorder="1" applyAlignment="1">
      <alignment vertical="center"/>
      <protection/>
    </xf>
    <xf numFmtId="49" fontId="4" fillId="0" borderId="43" xfId="22" applyNumberFormat="1" applyBorder="1" applyAlignment="1">
      <alignment vertical="center"/>
      <protection/>
    </xf>
    <xf numFmtId="49" fontId="4" fillId="0" borderId="0" xfId="22" applyNumberFormat="1">
      <alignment/>
      <protection/>
    </xf>
    <xf numFmtId="0" fontId="4" fillId="6" borderId="42" xfId="22" applyFont="1" applyFill="1" applyBorder="1" applyAlignment="1">
      <alignment vertical="center"/>
      <protection/>
    </xf>
    <xf numFmtId="49" fontId="4" fillId="6" borderId="43" xfId="22" applyNumberFormat="1" applyFill="1" applyBorder="1" applyAlignment="1">
      <alignment vertical="center"/>
      <protection/>
    </xf>
    <xf numFmtId="0" fontId="4" fillId="0" borderId="0" xfId="22" applyAlignment="1">
      <alignment horizontal="center"/>
      <protection/>
    </xf>
    <xf numFmtId="168" fontId="4" fillId="0" borderId="0" xfId="22" applyNumberFormat="1">
      <alignment/>
      <protection/>
    </xf>
    <xf numFmtId="0" fontId="4" fillId="7" borderId="42" xfId="22" applyFill="1" applyBorder="1">
      <alignment/>
      <protection/>
    </xf>
    <xf numFmtId="49" fontId="4" fillId="7" borderId="42" xfId="22" applyNumberFormat="1" applyFill="1" applyBorder="1">
      <alignment/>
      <protection/>
    </xf>
    <xf numFmtId="0" fontId="4" fillId="7" borderId="42" xfId="22" applyFill="1" applyBorder="1" applyAlignment="1">
      <alignment horizontal="center"/>
      <protection/>
    </xf>
    <xf numFmtId="168" fontId="4" fillId="7" borderId="42" xfId="22" applyNumberFormat="1" applyFill="1" applyBorder="1">
      <alignment/>
      <protection/>
    </xf>
    <xf numFmtId="0" fontId="4" fillId="7" borderId="44" xfId="22" applyFill="1" applyBorder="1">
      <alignment/>
      <protection/>
    </xf>
    <xf numFmtId="0" fontId="4" fillId="7" borderId="42" xfId="22" applyFill="1" applyBorder="1" applyAlignment="1">
      <alignment wrapText="1"/>
      <protection/>
    </xf>
    <xf numFmtId="0" fontId="4" fillId="0" borderId="0" xfId="22" applyAlignment="1">
      <alignment vertical="top"/>
      <protection/>
    </xf>
    <xf numFmtId="49" fontId="4" fillId="0" borderId="0" xfId="22" applyNumberFormat="1" applyAlignment="1">
      <alignment vertical="top"/>
      <protection/>
    </xf>
    <xf numFmtId="0" fontId="4" fillId="0" borderId="0" xfId="22" applyAlignment="1">
      <alignment horizontal="center" vertical="top"/>
      <protection/>
    </xf>
    <xf numFmtId="168" fontId="4" fillId="0" borderId="0" xfId="22" applyNumberFormat="1" applyAlignment="1">
      <alignment vertical="top"/>
      <protection/>
    </xf>
    <xf numFmtId="4" fontId="4" fillId="0" borderId="0" xfId="22" applyNumberFormat="1" applyAlignment="1">
      <alignment vertical="top"/>
      <protection/>
    </xf>
    <xf numFmtId="0" fontId="16" fillId="6" borderId="23" xfId="22" applyFont="1" applyFill="1" applyBorder="1" applyAlignment="1">
      <alignment vertical="top"/>
      <protection/>
    </xf>
    <xf numFmtId="49" fontId="16" fillId="6" borderId="24" xfId="22" applyNumberFormat="1" applyFont="1" applyFill="1" applyBorder="1" applyAlignment="1">
      <alignment vertical="top"/>
      <protection/>
    </xf>
    <xf numFmtId="49" fontId="16" fillId="6" borderId="24" xfId="22" applyNumberFormat="1" applyFont="1" applyFill="1" applyBorder="1" applyAlignment="1">
      <alignment horizontal="left" vertical="top" wrapText="1"/>
      <protection/>
    </xf>
    <xf numFmtId="0" fontId="16" fillId="6" borderId="24" xfId="22" applyFont="1" applyFill="1" applyBorder="1" applyAlignment="1">
      <alignment horizontal="center" vertical="top" shrinkToFit="1"/>
      <protection/>
    </xf>
    <xf numFmtId="168" fontId="16" fillId="6" borderId="24" xfId="22" applyNumberFormat="1" applyFont="1" applyFill="1" applyBorder="1" applyAlignment="1">
      <alignment vertical="top" shrinkToFit="1"/>
      <protection/>
    </xf>
    <xf numFmtId="4" fontId="16" fillId="6" borderId="24" xfId="22" applyNumberFormat="1" applyFont="1" applyFill="1" applyBorder="1" applyAlignment="1">
      <alignment vertical="top" shrinkToFit="1"/>
      <protection/>
    </xf>
    <xf numFmtId="4" fontId="16" fillId="6" borderId="25" xfId="22" applyNumberFormat="1" applyFont="1" applyFill="1" applyBorder="1" applyAlignment="1">
      <alignment vertical="top" shrinkToFit="1"/>
      <protection/>
    </xf>
    <xf numFmtId="4" fontId="16" fillId="6" borderId="0" xfId="22" applyNumberFormat="1" applyFont="1" applyFill="1" applyAlignment="1">
      <alignment vertical="top" shrinkToFit="1"/>
      <protection/>
    </xf>
    <xf numFmtId="49" fontId="4" fillId="6" borderId="24" xfId="22" applyNumberFormat="1" applyFill="1" applyBorder="1" applyAlignment="1">
      <alignment horizontal="left" vertical="top" wrapText="1"/>
      <protection/>
    </xf>
    <xf numFmtId="0" fontId="0" fillId="0" borderId="45" xfId="22" applyFont="1" applyBorder="1" applyAlignment="1">
      <alignment vertical="top"/>
      <protection/>
    </xf>
    <xf numFmtId="49" fontId="0" fillId="0" borderId="46" xfId="22" applyNumberFormat="1" applyFont="1" applyBorder="1" applyAlignment="1">
      <alignment vertical="top"/>
      <protection/>
    </xf>
    <xf numFmtId="49" fontId="0" fillId="0" borderId="46" xfId="22" applyNumberFormat="1" applyFont="1" applyBorder="1" applyAlignment="1">
      <alignment horizontal="left" vertical="top" wrapText="1"/>
      <protection/>
    </xf>
    <xf numFmtId="0" fontId="0" fillId="0" borderId="46" xfId="22" applyFont="1" applyBorder="1" applyAlignment="1">
      <alignment horizontal="center" vertical="top" shrinkToFit="1"/>
      <protection/>
    </xf>
    <xf numFmtId="168" fontId="0" fillId="0" borderId="46" xfId="22" applyNumberFormat="1" applyFont="1" applyBorder="1" applyAlignment="1">
      <alignment vertical="top" shrinkToFit="1"/>
      <protection/>
    </xf>
    <xf numFmtId="4" fontId="0" fillId="0" borderId="47" xfId="22" applyNumberFormat="1" applyFont="1" applyBorder="1" applyAlignment="1">
      <alignment vertical="top" shrinkToFit="1"/>
      <protection/>
    </xf>
    <xf numFmtId="4" fontId="0" fillId="0" borderId="0" xfId="22" applyNumberFormat="1" applyFont="1" applyAlignment="1">
      <alignment vertical="top" shrinkToFit="1"/>
      <protection/>
    </xf>
    <xf numFmtId="0" fontId="0" fillId="0" borderId="0" xfId="22" applyFont="1">
      <alignment/>
      <protection/>
    </xf>
    <xf numFmtId="49" fontId="0" fillId="0" borderId="48" xfId="22" applyNumberFormat="1" applyFont="1" applyBorder="1" applyAlignment="1">
      <alignment horizontal="left" vertical="top" wrapText="1"/>
      <protection/>
    </xf>
    <xf numFmtId="49" fontId="0" fillId="0" borderId="24" xfId="22" applyNumberFormat="1" applyFont="1" applyBorder="1" applyAlignment="1">
      <alignment vertical="top"/>
      <protection/>
    </xf>
    <xf numFmtId="49" fontId="0" fillId="0" borderId="24" xfId="22" applyNumberFormat="1" applyFont="1" applyBorder="1" applyAlignment="1">
      <alignment horizontal="left" vertical="top" wrapText="1"/>
      <protection/>
    </xf>
    <xf numFmtId="49" fontId="56" fillId="0" borderId="24" xfId="22" applyNumberFormat="1" applyFont="1" applyBorder="1" applyAlignment="1">
      <alignment vertical="top"/>
      <protection/>
    </xf>
    <xf numFmtId="0" fontId="0" fillId="0" borderId="43" xfId="22" applyFont="1" applyBorder="1" applyAlignment="1">
      <alignment vertical="top"/>
      <protection/>
    </xf>
    <xf numFmtId="49" fontId="0" fillId="0" borderId="43" xfId="22" applyNumberFormat="1" applyFont="1" applyBorder="1" applyAlignment="1">
      <alignment vertical="top"/>
      <protection/>
    </xf>
    <xf numFmtId="49" fontId="0" fillId="0" borderId="43" xfId="22" applyNumberFormat="1" applyFont="1" applyBorder="1" applyAlignment="1">
      <alignment horizontal="left" vertical="top" wrapText="1"/>
      <protection/>
    </xf>
    <xf numFmtId="0" fontId="0" fillId="0" borderId="43" xfId="22" applyFont="1" applyBorder="1" applyAlignment="1">
      <alignment horizontal="center" vertical="top" shrinkToFit="1"/>
      <protection/>
    </xf>
    <xf numFmtId="168" fontId="0" fillId="0" borderId="43" xfId="22" applyNumberFormat="1" applyFont="1" applyBorder="1" applyAlignment="1">
      <alignment vertical="top" shrinkToFit="1"/>
      <protection/>
    </xf>
    <xf numFmtId="4" fontId="0" fillId="0" borderId="43" xfId="22" applyNumberFormat="1" applyFont="1" applyBorder="1" applyAlignment="1">
      <alignment vertical="top" shrinkToFit="1"/>
      <protection/>
    </xf>
    <xf numFmtId="49" fontId="16" fillId="6" borderId="24" xfId="22" applyNumberFormat="1" applyFont="1" applyFill="1" applyBorder="1" applyAlignment="1">
      <alignment horizontal="left" vertical="top" wrapText="1"/>
      <protection/>
    </xf>
    <xf numFmtId="0" fontId="16" fillId="6" borderId="24" xfId="22" applyFont="1" applyFill="1" applyBorder="1" applyAlignment="1">
      <alignment horizontal="center" vertical="top" shrinkToFit="1"/>
      <protection/>
    </xf>
    <xf numFmtId="168" fontId="16" fillId="6" borderId="24" xfId="22" applyNumberFormat="1" applyFont="1" applyFill="1" applyBorder="1" applyAlignment="1">
      <alignment vertical="top" shrinkToFit="1"/>
      <protection/>
    </xf>
    <xf numFmtId="4" fontId="16" fillId="6" borderId="25" xfId="22" applyNumberFormat="1" applyFont="1" applyFill="1" applyBorder="1" applyAlignment="1">
      <alignment vertical="top" shrinkToFit="1"/>
      <protection/>
    </xf>
    <xf numFmtId="49" fontId="0" fillId="0" borderId="46" xfId="22" applyNumberFormat="1" applyFont="1" applyBorder="1" applyAlignment="1">
      <alignment horizontal="left" vertical="top" wrapText="1"/>
      <protection/>
    </xf>
    <xf numFmtId="0" fontId="0" fillId="0" borderId="46" xfId="22" applyFont="1" applyBorder="1" applyAlignment="1">
      <alignment horizontal="center" vertical="top" shrinkToFit="1"/>
      <protection/>
    </xf>
    <xf numFmtId="168" fontId="0" fillId="0" borderId="46" xfId="22" applyNumberFormat="1" applyFont="1" applyBorder="1" applyAlignment="1">
      <alignment vertical="top" shrinkToFit="1"/>
      <protection/>
    </xf>
    <xf numFmtId="4" fontId="0" fillId="0" borderId="47" xfId="22" applyNumberFormat="1" applyFont="1" applyBorder="1" applyAlignment="1">
      <alignment vertical="top" shrinkToFit="1"/>
      <protection/>
    </xf>
    <xf numFmtId="0" fontId="0" fillId="0" borderId="42" xfId="22" applyFont="1" applyBorder="1" applyAlignment="1">
      <alignment vertical="top"/>
      <protection/>
    </xf>
    <xf numFmtId="49" fontId="0" fillId="0" borderId="42" xfId="22" applyNumberFormat="1" applyFont="1" applyBorder="1" applyAlignment="1">
      <alignment vertical="top"/>
      <protection/>
    </xf>
    <xf numFmtId="49" fontId="0" fillId="0" borderId="42" xfId="22" applyNumberFormat="1" applyFont="1" applyBorder="1" applyAlignment="1">
      <alignment horizontal="left" vertical="top" wrapText="1"/>
      <protection/>
    </xf>
    <xf numFmtId="0" fontId="0" fillId="0" borderId="0" xfId="22" applyFont="1" applyAlignment="1">
      <alignment vertical="top"/>
      <protection/>
    </xf>
    <xf numFmtId="49" fontId="0" fillId="0" borderId="0" xfId="22" applyNumberFormat="1" applyFont="1" applyAlignment="1">
      <alignment vertical="top"/>
      <protection/>
    </xf>
    <xf numFmtId="49" fontId="0" fillId="0" borderId="0" xfId="22" applyNumberFormat="1" applyFont="1" applyAlignment="1">
      <alignment horizontal="left" vertical="top" wrapText="1"/>
      <protection/>
    </xf>
    <xf numFmtId="0" fontId="0" fillId="0" borderId="0" xfId="22" applyFont="1" applyAlignment="1">
      <alignment horizontal="center" vertical="top" shrinkToFit="1"/>
      <protection/>
    </xf>
    <xf numFmtId="168" fontId="0" fillId="0" borderId="0" xfId="22" applyNumberFormat="1" applyFont="1" applyAlignment="1">
      <alignment vertical="top" shrinkToFit="1"/>
      <protection/>
    </xf>
    <xf numFmtId="0" fontId="58" fillId="0" borderId="0" xfId="22" applyFont="1" applyAlignment="1">
      <alignment wrapText="1"/>
      <protection/>
    </xf>
    <xf numFmtId="0" fontId="4" fillId="0" borderId="0" xfId="22" applyAlignment="1">
      <alignment horizontal="left" vertical="top"/>
      <protection/>
    </xf>
    <xf numFmtId="49" fontId="4" fillId="0" borderId="0" xfId="22" applyNumberFormat="1" applyAlignment="1">
      <alignment horizontal="left" vertical="top"/>
      <protection/>
    </xf>
    <xf numFmtId="49" fontId="4" fillId="0" borderId="0" xfId="22" applyNumberFormat="1" applyAlignment="1">
      <alignment horizontal="left" vertical="top" wrapText="1"/>
      <protection/>
    </xf>
    <xf numFmtId="168" fontId="4" fillId="0" borderId="0" xfId="22" applyNumberFormat="1" applyAlignment="1">
      <alignment horizontal="left" vertical="top"/>
      <protection/>
    </xf>
    <xf numFmtId="49" fontId="4" fillId="0" borderId="0" xfId="22" applyNumberFormat="1" applyFont="1" applyAlignment="1">
      <alignment horizontal="left" vertical="top"/>
      <protection/>
    </xf>
    <xf numFmtId="0" fontId="4" fillId="0" borderId="0" xfId="22" applyFont="1" applyAlignment="1">
      <alignment horizontal="left" vertical="top"/>
      <protection/>
    </xf>
    <xf numFmtId="0" fontId="59" fillId="0" borderId="0" xfId="22" applyFont="1">
      <alignment/>
      <protection/>
    </xf>
    <xf numFmtId="0" fontId="6" fillId="6" borderId="49" xfId="22" applyFont="1" applyFill="1" applyBorder="1" applyAlignment="1">
      <alignment vertical="top"/>
      <protection/>
    </xf>
    <xf numFmtId="49" fontId="6" fillId="6" borderId="50" xfId="22" applyNumberFormat="1" applyFont="1" applyFill="1" applyBorder="1" applyAlignment="1">
      <alignment vertical="top"/>
      <protection/>
    </xf>
    <xf numFmtId="49" fontId="23" fillId="6" borderId="50" xfId="22" applyNumberFormat="1" applyFont="1" applyFill="1" applyBorder="1" applyAlignment="1">
      <alignment horizontal="left" vertical="top" wrapText="1"/>
      <protection/>
    </xf>
    <xf numFmtId="49" fontId="6" fillId="6" borderId="50" xfId="22" applyNumberFormat="1" applyFont="1" applyFill="1" applyBorder="1" applyAlignment="1">
      <alignment horizontal="left" vertical="top" wrapText="1"/>
      <protection/>
    </xf>
    <xf numFmtId="0" fontId="4" fillId="0" borderId="0" xfId="22">
      <alignment/>
      <protection/>
    </xf>
    <xf numFmtId="0" fontId="0" fillId="0" borderId="42" xfId="22" applyFont="1" applyBorder="1" applyAlignment="1">
      <alignment horizontal="center" vertical="top" shrinkToFit="1"/>
      <protection/>
    </xf>
    <xf numFmtId="168" fontId="0" fillId="0" borderId="42" xfId="22" applyNumberFormat="1" applyFont="1" applyBorder="1" applyAlignment="1">
      <alignment vertical="top" shrinkToFit="1"/>
      <protection/>
    </xf>
    <xf numFmtId="4" fontId="0" fillId="0" borderId="42" xfId="22" applyNumberFormat="1" applyFont="1" applyBorder="1" applyAlignment="1">
      <alignment vertical="top" shrinkToFit="1"/>
      <protection/>
    </xf>
    <xf numFmtId="0" fontId="4" fillId="0" borderId="0" xfId="22" applyAlignment="1">
      <alignment wrapText="1"/>
      <protection/>
    </xf>
    <xf numFmtId="0" fontId="4" fillId="0" borderId="0" xfId="22" applyAlignment="1">
      <alignment vertical="center"/>
      <protection/>
    </xf>
    <xf numFmtId="0" fontId="60" fillId="0" borderId="0" xfId="22" applyFont="1" applyAlignment="1">
      <alignment horizontal="right"/>
      <protection/>
    </xf>
    <xf numFmtId="0" fontId="60" fillId="0" borderId="0" xfId="22" applyFont="1">
      <alignment/>
      <protection/>
    </xf>
    <xf numFmtId="0" fontId="61" fillId="0" borderId="0" xfId="22" applyFont="1">
      <alignment/>
      <protection/>
    </xf>
    <xf numFmtId="0" fontId="60" fillId="0" borderId="0" xfId="22" applyFont="1" applyAlignment="1">
      <alignment vertical="center"/>
      <protection/>
    </xf>
    <xf numFmtId="169" fontId="5" fillId="0" borderId="51" xfId="22" applyNumberFormat="1" applyFont="1" applyBorder="1" applyAlignment="1">
      <alignment horizontal="right"/>
      <protection/>
    </xf>
    <xf numFmtId="0" fontId="4" fillId="0" borderId="52" xfId="22" applyBorder="1">
      <alignment/>
      <protection/>
    </xf>
    <xf numFmtId="0" fontId="5" fillId="0" borderId="52" xfId="22" applyFont="1" applyBorder="1">
      <alignment/>
      <protection/>
    </xf>
    <xf numFmtId="0" fontId="4" fillId="0" borderId="53" xfId="22" applyBorder="1">
      <alignment/>
      <protection/>
    </xf>
    <xf numFmtId="169" fontId="4" fillId="0" borderId="54" xfId="22" applyNumberFormat="1" applyFont="1" applyBorder="1" applyAlignment="1">
      <alignment horizontal="right"/>
      <protection/>
    </xf>
    <xf numFmtId="0" fontId="4" fillId="0" borderId="43" xfId="22" applyBorder="1" applyAlignment="1">
      <alignment horizontal="right"/>
      <protection/>
    </xf>
    <xf numFmtId="0" fontId="4" fillId="0" borderId="43" xfId="22" applyBorder="1" applyAlignment="1">
      <alignment horizontal="left"/>
      <protection/>
    </xf>
    <xf numFmtId="0" fontId="4" fillId="0" borderId="43" xfId="22" applyBorder="1">
      <alignment/>
      <protection/>
    </xf>
    <xf numFmtId="0" fontId="4" fillId="0" borderId="32" xfId="22" applyBorder="1">
      <alignment/>
      <protection/>
    </xf>
    <xf numFmtId="0" fontId="4" fillId="0" borderId="55" xfId="22" applyBorder="1">
      <alignment/>
      <protection/>
    </xf>
    <xf numFmtId="0" fontId="4" fillId="0" borderId="29" xfId="22" applyBorder="1">
      <alignment/>
      <protection/>
    </xf>
    <xf numFmtId="0" fontId="5" fillId="0" borderId="29" xfId="22" applyFont="1" applyBorder="1">
      <alignment/>
      <protection/>
    </xf>
    <xf numFmtId="0" fontId="4" fillId="0" borderId="56" xfId="22" applyBorder="1">
      <alignment/>
      <protection/>
    </xf>
    <xf numFmtId="169" fontId="4" fillId="0" borderId="0" xfId="22" applyNumberFormat="1">
      <alignment/>
      <protection/>
    </xf>
    <xf numFmtId="0" fontId="4" fillId="8" borderId="56" xfId="22" applyFill="1" applyBorder="1">
      <alignment/>
      <protection/>
    </xf>
    <xf numFmtId="0" fontId="4" fillId="8" borderId="0" xfId="22" applyFill="1">
      <alignment/>
      <protection/>
    </xf>
    <xf numFmtId="0" fontId="7" fillId="8" borderId="0" xfId="22" applyFont="1" applyFill="1">
      <alignment/>
      <protection/>
    </xf>
    <xf numFmtId="0" fontId="7" fillId="8" borderId="32" xfId="22" applyFont="1" applyFill="1" applyBorder="1">
      <alignment/>
      <protection/>
    </xf>
    <xf numFmtId="0" fontId="4" fillId="9" borderId="57" xfId="22" applyFill="1" applyBorder="1">
      <alignment/>
      <protection/>
    </xf>
    <xf numFmtId="0" fontId="4" fillId="9" borderId="58" xfId="22" applyFill="1" applyBorder="1">
      <alignment/>
      <protection/>
    </xf>
    <xf numFmtId="0" fontId="62" fillId="9" borderId="58" xfId="22" applyFont="1" applyFill="1" applyBorder="1">
      <alignment/>
      <protection/>
    </xf>
    <xf numFmtId="0" fontId="62" fillId="9" borderId="59" xfId="22" applyFont="1" applyFill="1" applyBorder="1">
      <alignment/>
      <protection/>
    </xf>
    <xf numFmtId="169" fontId="16" fillId="0" borderId="0" xfId="22" applyNumberFormat="1" applyFont="1" applyAlignment="1">
      <alignment horizontal="right"/>
      <protection/>
    </xf>
    <xf numFmtId="0" fontId="16" fillId="0" borderId="0" xfId="22" applyFont="1" applyAlignment="1">
      <alignment horizontal="right"/>
      <protection/>
    </xf>
    <xf numFmtId="0" fontId="16" fillId="0" borderId="0" xfId="22" applyFont="1" applyAlignment="1">
      <alignment horizontal="left"/>
      <protection/>
    </xf>
    <xf numFmtId="0" fontId="16" fillId="0" borderId="0" xfId="22" applyFont="1" applyAlignment="1">
      <alignment wrapText="1"/>
      <protection/>
    </xf>
    <xf numFmtId="0" fontId="16" fillId="0" borderId="0" xfId="22" applyFont="1" applyAlignment="1">
      <alignment horizontal="right" vertical="center"/>
      <protection/>
    </xf>
    <xf numFmtId="169" fontId="16" fillId="10" borderId="24" xfId="22" applyNumberFormat="1" applyFont="1" applyFill="1" applyBorder="1" applyAlignment="1">
      <alignment horizontal="right"/>
      <protection/>
    </xf>
    <xf numFmtId="0" fontId="4" fillId="0" borderId="24" xfId="22" applyFont="1" applyBorder="1">
      <alignment/>
      <protection/>
    </xf>
    <xf numFmtId="0" fontId="16" fillId="0" borderId="24" xfId="22" applyFont="1" applyBorder="1" applyAlignment="1">
      <alignment wrapText="1"/>
      <protection/>
    </xf>
    <xf numFmtId="0" fontId="4" fillId="0" borderId="24" xfId="22" applyFont="1" applyBorder="1" applyAlignment="1">
      <alignment vertical="center"/>
      <protection/>
    </xf>
    <xf numFmtId="0" fontId="23" fillId="11" borderId="0" xfId="22" applyFont="1" applyFill="1">
      <alignment/>
      <protection/>
    </xf>
    <xf numFmtId="0" fontId="16" fillId="11" borderId="0" xfId="22" applyFont="1" applyFill="1" applyAlignment="1">
      <alignment wrapText="1"/>
      <protection/>
    </xf>
    <xf numFmtId="0" fontId="23" fillId="11" borderId="0" xfId="22" applyFont="1" applyFill="1" applyAlignment="1">
      <alignment vertical="center"/>
      <protection/>
    </xf>
    <xf numFmtId="169" fontId="20" fillId="0" borderId="0" xfId="22" applyNumberFormat="1" applyFont="1" applyAlignment="1">
      <alignment horizontal="right"/>
      <protection/>
    </xf>
    <xf numFmtId="0" fontId="20" fillId="0" borderId="0" xfId="22" applyFont="1" applyAlignment="1">
      <alignment horizontal="center"/>
      <protection/>
    </xf>
    <xf numFmtId="0" fontId="20" fillId="0" borderId="0" xfId="22" applyFont="1" applyAlignment="1">
      <alignment horizontal="right"/>
      <protection/>
    </xf>
    <xf numFmtId="0" fontId="20" fillId="0" borderId="0" xfId="22" applyFont="1" applyAlignment="1">
      <alignment wrapText="1"/>
      <protection/>
    </xf>
    <xf numFmtId="0" fontId="20" fillId="0" borderId="0" xfId="22" applyFont="1" applyAlignment="1">
      <alignment vertical="center"/>
      <protection/>
    </xf>
    <xf numFmtId="0" fontId="20" fillId="0" borderId="29" xfId="22" applyFont="1" applyBorder="1" applyAlignment="1">
      <alignment horizontal="right"/>
      <protection/>
    </xf>
    <xf numFmtId="0" fontId="20" fillId="0" borderId="29" xfId="22" applyFont="1" applyBorder="1" applyAlignment="1">
      <alignment horizontal="center"/>
      <protection/>
    </xf>
    <xf numFmtId="0" fontId="20" fillId="0" borderId="29" xfId="22" applyFont="1" applyBorder="1" applyAlignment="1">
      <alignment wrapText="1"/>
      <protection/>
    </xf>
    <xf numFmtId="0" fontId="20" fillId="0" borderId="29" xfId="22" applyFont="1" applyBorder="1" applyAlignment="1">
      <alignment vertical="center"/>
      <protection/>
    </xf>
    <xf numFmtId="0" fontId="6" fillId="9" borderId="0" xfId="22" applyFont="1" applyFill="1" applyAlignment="1">
      <alignment horizontal="right"/>
      <protection/>
    </xf>
    <xf numFmtId="0" fontId="23" fillId="9" borderId="0" xfId="22" applyFont="1" applyFill="1">
      <alignment/>
      <protection/>
    </xf>
    <xf numFmtId="0" fontId="6" fillId="9" borderId="0" xfId="22" applyFont="1" applyFill="1" applyAlignment="1">
      <alignment wrapText="1"/>
      <protection/>
    </xf>
    <xf numFmtId="0" fontId="6" fillId="9" borderId="0" xfId="22" applyFont="1" applyFill="1" applyAlignment="1">
      <alignment vertical="center"/>
      <protection/>
    </xf>
    <xf numFmtId="0" fontId="23" fillId="9" borderId="0" xfId="22" applyFont="1" applyFill="1" applyProtection="1">
      <alignment/>
      <protection locked="0"/>
    </xf>
    <xf numFmtId="0" fontId="23" fillId="11" borderId="0" xfId="22" applyFont="1" applyFill="1" applyProtection="1">
      <alignment/>
      <protection locked="0"/>
    </xf>
    <xf numFmtId="0" fontId="4" fillId="0" borderId="24" xfId="22" applyFont="1" applyBorder="1" applyProtection="1">
      <alignment/>
      <protection locked="0"/>
    </xf>
    <xf numFmtId="0" fontId="16" fillId="0" borderId="0" xfId="22" applyFont="1" applyAlignment="1" applyProtection="1">
      <alignment horizontal="right"/>
      <protection locked="0"/>
    </xf>
    <xf numFmtId="0" fontId="4" fillId="0" borderId="0" xfId="22" applyProtection="1">
      <alignment/>
      <protection locked="0"/>
    </xf>
    <xf numFmtId="169" fontId="20" fillId="0" borderId="0" xfId="22" applyNumberFormat="1" applyFont="1" applyAlignment="1" applyProtection="1">
      <alignment horizontal="right"/>
      <protection locked="0"/>
    </xf>
    <xf numFmtId="0" fontId="20" fillId="0" borderId="29" xfId="22" applyFont="1" applyBorder="1" applyAlignment="1" applyProtection="1">
      <alignment horizontal="right"/>
      <protection locked="0"/>
    </xf>
    <xf numFmtId="0" fontId="47" fillId="0" borderId="0" xfId="21" applyFont="1" applyAlignment="1">
      <alignment horizontal="left" vertical="center" wrapText="1"/>
      <protection/>
    </xf>
    <xf numFmtId="169" fontId="5" fillId="0" borderId="52" xfId="22" applyNumberFormat="1" applyFont="1" applyBorder="1" applyAlignment="1">
      <alignment horizontal="right"/>
      <protection/>
    </xf>
    <xf numFmtId="169" fontId="4" fillId="0" borderId="43" xfId="22" applyNumberFormat="1" applyFont="1" applyBorder="1" applyAlignment="1">
      <alignment horizontal="right"/>
      <protection/>
    </xf>
    <xf numFmtId="9" fontId="4" fillId="0" borderId="43" xfId="22" applyNumberFormat="1" applyBorder="1" applyAlignment="1">
      <alignment horizontal="left"/>
      <protection/>
    </xf>
    <xf numFmtId="169" fontId="4" fillId="0" borderId="29" xfId="22" applyNumberFormat="1" applyBorder="1" applyAlignment="1">
      <alignment horizontal="right"/>
      <protection/>
    </xf>
    <xf numFmtId="0" fontId="4" fillId="9" borderId="29" xfId="22" applyFill="1" applyBorder="1">
      <alignment/>
      <protection/>
    </xf>
    <xf numFmtId="0" fontId="62" fillId="9" borderId="29" xfId="22" applyFont="1" applyFill="1" applyBorder="1">
      <alignment/>
      <protection/>
    </xf>
    <xf numFmtId="0" fontId="16" fillId="11" borderId="0" xfId="22" applyFont="1" applyFill="1">
      <alignment/>
      <protection/>
    </xf>
    <xf numFmtId="0" fontId="20" fillId="0" borderId="0" xfId="22" applyFont="1" applyAlignment="1">
      <alignment horizontal="left" vertical="center"/>
      <protection/>
    </xf>
    <xf numFmtId="0" fontId="47" fillId="0" borderId="0" xfId="25" applyFont="1" applyAlignment="1">
      <alignment vertical="center"/>
      <protection/>
    </xf>
    <xf numFmtId="49" fontId="48" fillId="0" borderId="0" xfId="25" applyNumberFormat="1" applyFont="1" applyAlignment="1">
      <alignment horizontal="left" vertical="center"/>
      <protection/>
    </xf>
    <xf numFmtId="4" fontId="49" fillId="0" borderId="24" xfId="25" applyNumberFormat="1" applyFont="1" applyBorder="1" applyAlignment="1">
      <alignment horizontal="right" vertical="center"/>
      <protection/>
    </xf>
    <xf numFmtId="0" fontId="47" fillId="0" borderId="24" xfId="25" applyFont="1" applyBorder="1" applyAlignment="1">
      <alignment vertical="center"/>
      <protection/>
    </xf>
    <xf numFmtId="4" fontId="50" fillId="0" borderId="0" xfId="25" applyNumberFormat="1" applyFont="1" applyAlignment="1">
      <alignment horizontal="right" vertical="center"/>
      <protection/>
    </xf>
    <xf numFmtId="4" fontId="47" fillId="0" borderId="0" xfId="25" applyNumberFormat="1" applyFont="1" applyAlignment="1">
      <alignment horizontal="right" vertical="center"/>
      <protection/>
    </xf>
    <xf numFmtId="49" fontId="51" fillId="5" borderId="0" xfId="25" applyNumberFormat="1" applyFont="1" applyFill="1" applyAlignment="1">
      <alignment horizontal="right" vertical="center"/>
      <protection/>
    </xf>
    <xf numFmtId="49" fontId="47" fillId="0" borderId="0" xfId="25" applyNumberFormat="1" applyFont="1" applyAlignment="1">
      <alignment horizontal="right" vertical="center"/>
      <protection/>
    </xf>
    <xf numFmtId="49" fontId="50" fillId="0" borderId="0" xfId="25" applyNumberFormat="1" applyFont="1" applyAlignment="1">
      <alignment horizontal="right" vertical="center"/>
      <protection/>
    </xf>
    <xf numFmtId="4" fontId="50" fillId="0" borderId="29" xfId="25" applyNumberFormat="1" applyFont="1" applyBorder="1" applyAlignment="1">
      <alignment horizontal="right" vertical="center"/>
      <protection/>
    </xf>
    <xf numFmtId="49" fontId="50" fillId="0" borderId="29" xfId="25" applyNumberFormat="1" applyFont="1" applyBorder="1" applyAlignment="1">
      <alignment horizontal="left" vertical="center"/>
      <protection/>
    </xf>
    <xf numFmtId="49" fontId="50" fillId="0" borderId="0" xfId="25" applyNumberFormat="1" applyFont="1" applyAlignment="1">
      <alignment horizontal="left" vertical="center"/>
      <protection/>
    </xf>
    <xf numFmtId="4" fontId="51" fillId="5" borderId="0" xfId="25" applyNumberFormat="1" applyFont="1" applyFill="1" applyAlignment="1">
      <alignment horizontal="right" vertical="center"/>
      <protection/>
    </xf>
    <xf numFmtId="49" fontId="52" fillId="5" borderId="0" xfId="25" applyNumberFormat="1" applyFont="1" applyFill="1" applyAlignment="1">
      <alignment horizontal="left" vertical="center"/>
      <protection/>
    </xf>
    <xf numFmtId="49" fontId="51" fillId="5" borderId="0" xfId="25" applyNumberFormat="1" applyFont="1" applyFill="1" applyAlignment="1">
      <alignment horizontal="left" vertical="center"/>
      <protection/>
    </xf>
    <xf numFmtId="4" fontId="53" fillId="0" borderId="0" xfId="25" applyNumberFormat="1" applyFont="1" applyAlignment="1">
      <alignment horizontal="right" vertical="center"/>
      <protection/>
    </xf>
    <xf numFmtId="49" fontId="53" fillId="0" borderId="0" xfId="25" applyNumberFormat="1" applyFont="1" applyAlignment="1">
      <alignment horizontal="right" vertical="center"/>
      <protection/>
    </xf>
    <xf numFmtId="49" fontId="53" fillId="0" borderId="0" xfId="25" applyNumberFormat="1" applyFont="1" applyAlignment="1">
      <alignment horizontal="left" vertical="center"/>
      <protection/>
    </xf>
    <xf numFmtId="0" fontId="55" fillId="0" borderId="0" xfId="25" applyFont="1" applyAlignment="1">
      <alignment horizontal="left" vertical="center" wrapText="1"/>
      <protection/>
    </xf>
    <xf numFmtId="4" fontId="51" fillId="5" borderId="31" xfId="25" applyNumberFormat="1" applyFont="1" applyFill="1" applyBorder="1" applyAlignment="1">
      <alignment horizontal="right" vertical="center"/>
      <protection/>
    </xf>
    <xf numFmtId="49" fontId="52" fillId="5" borderId="31" xfId="25" applyNumberFormat="1" applyFont="1" applyFill="1" applyBorder="1" applyAlignment="1">
      <alignment horizontal="left" vertical="center"/>
      <protection/>
    </xf>
    <xf numFmtId="49" fontId="51" fillId="5" borderId="31" xfId="25" applyNumberFormat="1" applyFont="1" applyFill="1" applyBorder="1" applyAlignment="1">
      <alignment horizontal="left" vertical="center"/>
      <protection/>
    </xf>
    <xf numFmtId="0" fontId="47" fillId="0" borderId="32" xfId="25" applyFont="1" applyBorder="1" applyAlignment="1">
      <alignment vertical="center"/>
      <protection/>
    </xf>
    <xf numFmtId="49" fontId="49" fillId="0" borderId="33" xfId="25" applyNumberFormat="1" applyFont="1" applyBorder="1" applyAlignment="1">
      <alignment horizontal="center" vertical="center"/>
      <protection/>
    </xf>
    <xf numFmtId="49" fontId="49" fillId="0" borderId="35" xfId="25" applyNumberFormat="1" applyFont="1" applyBorder="1" applyAlignment="1">
      <alignment horizontal="center" vertical="center"/>
      <protection/>
    </xf>
    <xf numFmtId="49" fontId="49" fillId="0" borderId="34" xfId="25" applyNumberFormat="1" applyFont="1" applyBorder="1" applyAlignment="1">
      <alignment horizontal="center" vertical="center"/>
      <protection/>
    </xf>
    <xf numFmtId="49" fontId="49" fillId="0" borderId="36" xfId="25" applyNumberFormat="1" applyFont="1" applyBorder="1" applyAlignment="1">
      <alignment horizontal="center" vertical="center"/>
      <protection/>
    </xf>
    <xf numFmtId="49" fontId="47" fillId="0" borderId="37" xfId="25" applyNumberFormat="1" applyFont="1" applyBorder="1" applyAlignment="1">
      <alignment horizontal="left" vertical="center"/>
      <protection/>
    </xf>
    <xf numFmtId="49" fontId="49" fillId="0" borderId="37" xfId="25" applyNumberFormat="1" applyFont="1" applyBorder="1" applyAlignment="1">
      <alignment horizontal="left" vertical="center"/>
      <protection/>
    </xf>
    <xf numFmtId="49" fontId="47" fillId="0" borderId="38" xfId="25" applyNumberFormat="1" applyFont="1" applyBorder="1" applyAlignment="1">
      <alignment horizontal="left" vertical="center"/>
      <protection/>
    </xf>
    <xf numFmtId="49" fontId="49" fillId="0" borderId="39" xfId="25" applyNumberFormat="1" applyFont="1" applyBorder="1" applyAlignment="1">
      <alignment horizontal="center" vertical="center"/>
      <protection/>
    </xf>
    <xf numFmtId="49" fontId="49" fillId="0" borderId="40" xfId="25" applyNumberFormat="1" applyFont="1" applyBorder="1" applyAlignment="1">
      <alignment horizontal="center" vertical="center"/>
      <protection/>
    </xf>
    <xf numFmtId="49" fontId="49" fillId="0" borderId="40" xfId="25" applyNumberFormat="1" applyFont="1" applyBorder="1" applyAlignment="1">
      <alignment horizontal="left" vertical="center"/>
      <protection/>
    </xf>
    <xf numFmtId="49" fontId="49" fillId="0" borderId="41" xfId="25" applyNumberFormat="1" applyFont="1" applyBorder="1" applyAlignment="1">
      <alignment horizontal="left" vertical="center"/>
      <protection/>
    </xf>
    <xf numFmtId="0" fontId="47" fillId="0" borderId="26" xfId="25" applyFont="1" applyBorder="1" applyAlignment="1">
      <alignment vertical="center"/>
      <protection/>
    </xf>
    <xf numFmtId="4" fontId="50" fillId="0" borderId="0" xfId="25" applyNumberFormat="1" applyFont="1" applyAlignment="1" applyProtection="1">
      <alignment horizontal="right" vertical="center"/>
      <protection locked="0"/>
    </xf>
    <xf numFmtId="0" fontId="47" fillId="0" borderId="0" xfId="25" applyFont="1" applyAlignment="1" applyProtection="1">
      <alignment vertical="center"/>
      <protection locked="0"/>
    </xf>
    <xf numFmtId="4" fontId="53" fillId="0" borderId="0" xfId="25" applyNumberFormat="1" applyFont="1" applyAlignment="1" applyProtection="1">
      <alignment horizontal="right" vertical="center"/>
      <protection locked="0"/>
    </xf>
    <xf numFmtId="49" fontId="52" fillId="5" borderId="0" xfId="25" applyNumberFormat="1" applyFont="1" applyFill="1" applyAlignment="1" applyProtection="1">
      <alignment horizontal="left" vertical="center"/>
      <protection locked="0"/>
    </xf>
    <xf numFmtId="4" fontId="50" fillId="0" borderId="29" xfId="25" applyNumberFormat="1" applyFont="1" applyBorder="1" applyAlignment="1" applyProtection="1">
      <alignment horizontal="right" vertical="center"/>
      <protection locked="0"/>
    </xf>
    <xf numFmtId="0" fontId="47" fillId="0" borderId="24" xfId="25" applyFont="1" applyBorder="1" applyAlignment="1" applyProtection="1">
      <alignment vertical="center"/>
      <protection locked="0"/>
    </xf>
    <xf numFmtId="0" fontId="0" fillId="0" borderId="0" xfId="0" applyBorder="1" applyAlignment="1">
      <alignment/>
    </xf>
    <xf numFmtId="0" fontId="2" fillId="0" borderId="0" xfId="26">
      <alignment/>
      <protection/>
    </xf>
    <xf numFmtId="0" fontId="2" fillId="0" borderId="0" xfId="26" applyAlignment="1">
      <alignment horizontal="center"/>
      <protection/>
    </xf>
    <xf numFmtId="0" fontId="63" fillId="0" borderId="0" xfId="26" applyFont="1" applyAlignment="1">
      <alignment wrapText="1"/>
      <protection/>
    </xf>
    <xf numFmtId="0" fontId="64" fillId="0" borderId="0" xfId="26" applyFont="1">
      <alignment/>
      <protection/>
    </xf>
    <xf numFmtId="0" fontId="65" fillId="0" borderId="0" xfId="26" applyFont="1">
      <alignment/>
      <protection/>
    </xf>
    <xf numFmtId="44" fontId="2" fillId="0" borderId="0" xfId="26" applyNumberFormat="1">
      <alignment/>
      <protection/>
    </xf>
    <xf numFmtId="0" fontId="66" fillId="0" borderId="60" xfId="26" applyFont="1" applyBorder="1" applyAlignment="1">
      <alignment wrapText="1"/>
      <protection/>
    </xf>
    <xf numFmtId="0" fontId="66" fillId="0" borderId="61" xfId="26" applyFont="1" applyBorder="1" applyAlignment="1">
      <alignment wrapText="1"/>
      <protection/>
    </xf>
    <xf numFmtId="0" fontId="66" fillId="0" borderId="0" xfId="26" applyFont="1" applyAlignment="1">
      <alignment horizontal="center"/>
      <protection/>
    </xf>
    <xf numFmtId="17" fontId="2" fillId="0" borderId="0" xfId="26" applyNumberFormat="1" applyAlignment="1">
      <alignment horizontal="center" wrapText="1"/>
      <protection/>
    </xf>
    <xf numFmtId="0" fontId="66" fillId="0" borderId="0" xfId="26" applyFont="1" applyAlignment="1">
      <alignment horizontal="left" wrapText="1"/>
      <protection/>
    </xf>
    <xf numFmtId="44" fontId="67" fillId="0" borderId="0" xfId="26" applyNumberFormat="1" applyFont="1">
      <alignment/>
      <protection/>
    </xf>
    <xf numFmtId="0" fontId="67" fillId="0" borderId="0" xfId="26" applyFont="1" applyAlignment="1">
      <alignment horizontal="left" wrapText="1"/>
      <protection/>
    </xf>
    <xf numFmtId="44" fontId="66" fillId="0" borderId="33" xfId="28" applyFont="1" applyFill="1" applyBorder="1" applyAlignment="1">
      <alignment horizontal="center"/>
    </xf>
    <xf numFmtId="0" fontId="66" fillId="0" borderId="35" xfId="29" applyFont="1" applyBorder="1" applyAlignment="1">
      <alignment horizontal="center"/>
      <protection/>
    </xf>
    <xf numFmtId="44" fontId="66" fillId="0" borderId="35" xfId="28" applyFont="1" applyFill="1" applyBorder="1" applyAlignment="1">
      <alignment horizontal="center"/>
    </xf>
    <xf numFmtId="0" fontId="2" fillId="0" borderId="35" xfId="26" applyBorder="1" applyAlignment="1">
      <alignment horizontal="center"/>
      <protection/>
    </xf>
    <xf numFmtId="170" fontId="69" fillId="0" borderId="35" xfId="26" applyNumberFormat="1" applyFont="1" applyBorder="1" applyAlignment="1" applyProtection="1">
      <alignment horizontal="center"/>
      <protection locked="0"/>
    </xf>
    <xf numFmtId="0" fontId="2" fillId="0" borderId="35" xfId="26" applyBorder="1" applyAlignment="1">
      <alignment horizontal="center" wrapText="1"/>
      <protection/>
    </xf>
    <xf numFmtId="49" fontId="2" fillId="0" borderId="34" xfId="26" applyNumberFormat="1" applyBorder="1" applyAlignment="1">
      <alignment horizontal="center"/>
      <protection/>
    </xf>
    <xf numFmtId="44" fontId="66" fillId="0" borderId="62" xfId="28" applyFont="1" applyFill="1" applyBorder="1" applyAlignment="1">
      <alignment horizontal="center"/>
    </xf>
    <xf numFmtId="0" fontId="66" fillId="0" borderId="42" xfId="29" applyFont="1" applyBorder="1" applyAlignment="1">
      <alignment horizontal="center"/>
      <protection/>
    </xf>
    <xf numFmtId="44" fontId="66" fillId="0" borderId="42" xfId="28" applyFont="1" applyFill="1" applyBorder="1" applyAlignment="1">
      <alignment horizontal="center"/>
    </xf>
    <xf numFmtId="0" fontId="2" fillId="0" borderId="42" xfId="26" applyBorder="1" applyAlignment="1">
      <alignment horizontal="center"/>
      <protection/>
    </xf>
    <xf numFmtId="170" fontId="69" fillId="0" borderId="42" xfId="26" applyNumberFormat="1" applyFont="1" applyBorder="1" applyAlignment="1" applyProtection="1">
      <alignment horizontal="center"/>
      <protection locked="0"/>
    </xf>
    <xf numFmtId="0" fontId="2" fillId="0" borderId="42" xfId="26" applyBorder="1" applyAlignment="1">
      <alignment horizontal="center" wrapText="1"/>
      <protection/>
    </xf>
    <xf numFmtId="0" fontId="2" fillId="0" borderId="42" xfId="26" applyBorder="1" applyAlignment="1">
      <alignment wrapText="1"/>
      <protection/>
    </xf>
    <xf numFmtId="49" fontId="2" fillId="0" borderId="63" xfId="26" applyNumberFormat="1" applyBorder="1" applyAlignment="1">
      <alignment horizontal="center"/>
      <protection/>
    </xf>
    <xf numFmtId="0" fontId="2" fillId="0" borderId="42" xfId="26" applyBorder="1" applyAlignment="1">
      <alignment horizontal="center" vertical="center"/>
      <protection/>
    </xf>
    <xf numFmtId="0" fontId="46" fillId="0" borderId="42" xfId="26" applyFont="1" applyBorder="1" applyAlignment="1">
      <alignment horizontal="center" wrapText="1"/>
      <protection/>
    </xf>
    <xf numFmtId="0" fontId="46" fillId="0" borderId="42" xfId="26" applyFont="1" applyBorder="1" applyAlignment="1">
      <alignment wrapText="1"/>
      <protection/>
    </xf>
    <xf numFmtId="0" fontId="2" fillId="0" borderId="63" xfId="26" applyBorder="1" applyAlignment="1">
      <alignment horizontal="center"/>
      <protection/>
    </xf>
    <xf numFmtId="49" fontId="2" fillId="0" borderId="42" xfId="26" applyNumberFormat="1" applyBorder="1" applyAlignment="1">
      <alignment wrapText="1"/>
      <protection/>
    </xf>
    <xf numFmtId="0" fontId="2" fillId="0" borderId="42" xfId="30" applyBorder="1" applyAlignment="1">
      <alignment horizontal="center" wrapText="1"/>
      <protection/>
    </xf>
    <xf numFmtId="0" fontId="2" fillId="0" borderId="42" xfId="30" applyBorder="1" applyAlignment="1">
      <alignment wrapText="1"/>
      <protection/>
    </xf>
    <xf numFmtId="0" fontId="66" fillId="0" borderId="42" xfId="26" applyFont="1" applyBorder="1" applyAlignment="1">
      <alignment wrapText="1"/>
      <protection/>
    </xf>
    <xf numFmtId="0" fontId="2" fillId="0" borderId="42" xfId="26" applyBorder="1" applyAlignment="1">
      <alignment horizontal="center" vertical="center" wrapText="1"/>
      <protection/>
    </xf>
    <xf numFmtId="0" fontId="2" fillId="0" borderId="42" xfId="26" applyBorder="1" applyAlignment="1">
      <alignment vertical="center" wrapText="1"/>
      <protection/>
    </xf>
    <xf numFmtId="0" fontId="2" fillId="0" borderId="0" xfId="26" applyAlignment="1">
      <alignment wrapText="1"/>
      <protection/>
    </xf>
    <xf numFmtId="0" fontId="66" fillId="0" borderId="42" xfId="26" applyFont="1" applyBorder="1" applyAlignment="1">
      <alignment horizontal="center"/>
      <protection/>
    </xf>
    <xf numFmtId="49" fontId="2" fillId="0" borderId="42" xfId="26" applyNumberFormat="1" applyBorder="1" applyAlignment="1">
      <alignment horizontal="center"/>
      <protection/>
    </xf>
    <xf numFmtId="44" fontId="69" fillId="0" borderId="42" xfId="26" applyNumberFormat="1" applyFont="1" applyBorder="1" applyAlignment="1" applyProtection="1">
      <alignment horizontal="center"/>
      <protection locked="0"/>
    </xf>
    <xf numFmtId="0" fontId="2" fillId="0" borderId="62" xfId="26" applyBorder="1">
      <alignment/>
      <protection/>
    </xf>
    <xf numFmtId="0" fontId="2" fillId="0" borderId="42" xfId="26" applyBorder="1">
      <alignment/>
      <protection/>
    </xf>
    <xf numFmtId="0" fontId="46" fillId="0" borderId="42" xfId="26" applyFont="1" applyBorder="1" applyAlignment="1">
      <alignment horizontal="center"/>
      <protection/>
    </xf>
    <xf numFmtId="44" fontId="67" fillId="0" borderId="64" xfId="27" applyFont="1" applyBorder="1" applyAlignment="1">
      <alignment horizontal="center" wrapText="1"/>
    </xf>
    <xf numFmtId="44" fontId="67" fillId="0" borderId="65" xfId="27" applyFont="1" applyBorder="1" applyAlignment="1">
      <alignment horizontal="center" wrapText="1"/>
    </xf>
    <xf numFmtId="0" fontId="67" fillId="0" borderId="65" xfId="26" applyFont="1" applyBorder="1" applyAlignment="1">
      <alignment horizontal="center"/>
      <protection/>
    </xf>
    <xf numFmtId="0" fontId="46" fillId="0" borderId="65" xfId="26" applyFont="1" applyBorder="1" applyAlignment="1">
      <alignment horizontal="center" wrapText="1"/>
      <protection/>
    </xf>
    <xf numFmtId="0" fontId="70" fillId="0" borderId="65" xfId="26" applyFont="1" applyBorder="1" applyAlignment="1">
      <alignment horizontal="center" wrapText="1"/>
      <protection/>
    </xf>
    <xf numFmtId="0" fontId="46" fillId="0" borderId="65" xfId="26" applyFont="1" applyBorder="1" applyAlignment="1">
      <alignment wrapText="1"/>
      <protection/>
    </xf>
    <xf numFmtId="0" fontId="46" fillId="0" borderId="66" xfId="26" applyFont="1" applyBorder="1" applyAlignment="1">
      <alignment horizontal="center"/>
      <protection/>
    </xf>
    <xf numFmtId="0" fontId="66" fillId="0" borderId="35" xfId="26" applyFont="1" applyBorder="1" applyAlignment="1">
      <alignment horizontal="center" wrapText="1"/>
      <protection/>
    </xf>
    <xf numFmtId="0" fontId="66" fillId="0" borderId="35" xfId="26" applyFont="1" applyBorder="1" applyAlignment="1">
      <alignment wrapText="1"/>
      <protection/>
    </xf>
    <xf numFmtId="0" fontId="66" fillId="0" borderId="42" xfId="26" applyFont="1" applyBorder="1" applyAlignment="1">
      <alignment horizontal="center" wrapText="1"/>
      <protection/>
    </xf>
    <xf numFmtId="14" fontId="2" fillId="0" borderId="42" xfId="26" applyNumberFormat="1" applyBorder="1" applyAlignment="1">
      <alignment horizontal="center" wrapText="1"/>
      <protection/>
    </xf>
    <xf numFmtId="14" fontId="2" fillId="0" borderId="42" xfId="26" applyNumberFormat="1" applyBorder="1" applyAlignment="1">
      <alignment wrapText="1"/>
      <protection/>
    </xf>
    <xf numFmtId="0" fontId="72" fillId="12" borderId="42" xfId="30" applyFont="1" applyFill="1" applyBorder="1" applyAlignment="1">
      <alignment wrapText="1"/>
      <protection/>
    </xf>
    <xf numFmtId="49" fontId="2" fillId="0" borderId="42" xfId="26" applyNumberFormat="1" applyBorder="1" applyAlignment="1">
      <alignment horizontal="center" wrapText="1"/>
      <protection/>
    </xf>
    <xf numFmtId="170" fontId="67" fillId="0" borderId="65" xfId="27" applyNumberFormat="1" applyFont="1" applyBorder="1" applyAlignment="1">
      <alignment horizontal="center" wrapText="1"/>
    </xf>
    <xf numFmtId="0" fontId="70" fillId="0" borderId="42" xfId="26" applyFont="1" applyBorder="1" applyAlignment="1">
      <alignment horizontal="center" wrapText="1"/>
      <protection/>
    </xf>
    <xf numFmtId="170" fontId="67" fillId="0" borderId="42" xfId="27" applyNumberFormat="1" applyFont="1" applyFill="1" applyBorder="1" applyAlignment="1" applyProtection="1">
      <alignment horizontal="center" wrapText="1"/>
      <protection locked="0"/>
    </xf>
    <xf numFmtId="0" fontId="67" fillId="0" borderId="42" xfId="26" applyFont="1" applyBorder="1" applyAlignment="1">
      <alignment horizontal="center"/>
      <protection/>
    </xf>
    <xf numFmtId="44" fontId="67" fillId="0" borderId="42" xfId="27" applyFont="1" applyBorder="1" applyAlignment="1" applyProtection="1">
      <alignment horizontal="center" wrapText="1"/>
      <protection/>
    </xf>
    <xf numFmtId="0" fontId="2" fillId="0" borderId="42" xfId="26" applyBorder="1" applyProtection="1">
      <alignment/>
      <protection locked="0"/>
    </xf>
    <xf numFmtId="44" fontId="66" fillId="0" borderId="42" xfId="28" applyFont="1" applyFill="1" applyBorder="1" applyAlignment="1" applyProtection="1">
      <alignment horizontal="center"/>
      <protection/>
    </xf>
    <xf numFmtId="0" fontId="63" fillId="0" borderId="42" xfId="0" applyFont="1" applyBorder="1" applyAlignment="1">
      <alignment wrapText="1"/>
    </xf>
    <xf numFmtId="0" fontId="66" fillId="0" borderId="42" xfId="0" applyFont="1" applyBorder="1" applyAlignment="1">
      <alignment wrapText="1"/>
    </xf>
    <xf numFmtId="44" fontId="66" fillId="0" borderId="0" xfId="27" applyFont="1" applyProtection="1">
      <protection/>
    </xf>
    <xf numFmtId="170" fontId="67" fillId="0" borderId="65" xfId="27" applyNumberFormat="1" applyFont="1" applyBorder="1" applyAlignment="1" applyProtection="1">
      <alignment horizontal="center" wrapText="1"/>
      <protection/>
    </xf>
    <xf numFmtId="44" fontId="67" fillId="0" borderId="65" xfId="27" applyFont="1" applyBorder="1" applyAlignment="1" applyProtection="1">
      <alignment horizontal="center" wrapText="1"/>
      <protection/>
    </xf>
    <xf numFmtId="44" fontId="67" fillId="0" borderId="64" xfId="27" applyFont="1" applyBorder="1" applyAlignment="1" applyProtection="1">
      <alignment horizontal="center" wrapText="1"/>
      <protection/>
    </xf>
    <xf numFmtId="44" fontId="66" fillId="0" borderId="62" xfId="28" applyFont="1" applyFill="1" applyBorder="1" applyAlignment="1" applyProtection="1">
      <alignment horizontal="center"/>
      <protection/>
    </xf>
    <xf numFmtId="0" fontId="66" fillId="0" borderId="42" xfId="0" applyFont="1" applyBorder="1" applyAlignment="1">
      <alignment vertical="center" wrapText="1"/>
    </xf>
    <xf numFmtId="44" fontId="66" fillId="0" borderId="35" xfId="28" applyFont="1" applyFill="1" applyBorder="1" applyAlignment="1" applyProtection="1">
      <alignment horizontal="center"/>
      <protection/>
    </xf>
    <xf numFmtId="44" fontId="66" fillId="0" borderId="33" xfId="28" applyFont="1" applyFill="1" applyBorder="1" applyAlignment="1" applyProtection="1">
      <alignment horizontal="center"/>
      <protection/>
    </xf>
    <xf numFmtId="0" fontId="2" fillId="0" borderId="0" xfId="26" applyProtection="1">
      <alignment/>
      <protection locked="0"/>
    </xf>
    <xf numFmtId="17" fontId="2" fillId="0" borderId="35" xfId="26" applyNumberFormat="1" applyBorder="1" applyAlignment="1">
      <alignment horizontal="center" wrapText="1"/>
      <protection/>
    </xf>
    <xf numFmtId="0" fontId="2" fillId="0" borderId="35" xfId="26" applyBorder="1" applyAlignment="1">
      <alignment horizontal="left" vertical="center" wrapText="1"/>
      <protection/>
    </xf>
    <xf numFmtId="17" fontId="2" fillId="0" borderId="42" xfId="26" applyNumberFormat="1" applyBorder="1" applyAlignment="1">
      <alignment horizontal="center" wrapText="1"/>
      <protection/>
    </xf>
    <xf numFmtId="0" fontId="2" fillId="0" borderId="42" xfId="26" applyBorder="1" applyAlignment="1">
      <alignment horizontal="left" vertical="center" wrapText="1"/>
      <protection/>
    </xf>
    <xf numFmtId="0" fontId="46" fillId="0" borderId="42" xfId="26" applyFont="1" applyBorder="1" applyAlignment="1">
      <alignment horizontal="left" vertical="center" wrapText="1"/>
      <protection/>
    </xf>
    <xf numFmtId="44" fontId="2" fillId="0" borderId="0" xfId="26" applyNumberFormat="1" applyAlignment="1">
      <alignment horizontal="center"/>
      <protection/>
    </xf>
    <xf numFmtId="44" fontId="66" fillId="0" borderId="42" xfId="27" applyFont="1" applyFill="1" applyBorder="1" applyAlignment="1" applyProtection="1">
      <alignment horizontal="center"/>
      <protection locked="0"/>
    </xf>
    <xf numFmtId="44" fontId="66" fillId="0" borderId="35" xfId="27" applyFont="1" applyFill="1" applyBorder="1" applyAlignment="1" applyProtection="1">
      <alignment horizontal="center"/>
      <protection locked="0"/>
    </xf>
    <xf numFmtId="0" fontId="73" fillId="0" borderId="42" xfId="26" applyFont="1" applyBorder="1" applyAlignment="1">
      <alignment vertical="center" wrapText="1"/>
      <protection/>
    </xf>
    <xf numFmtId="17" fontId="46" fillId="0" borderId="42" xfId="26" applyNumberFormat="1" applyFont="1" applyBorder="1" applyAlignment="1">
      <alignment wrapText="1"/>
      <protection/>
    </xf>
    <xf numFmtId="44" fontId="0" fillId="0" borderId="0" xfId="27" applyFont="1" applyAlignment="1">
      <alignment horizontal="center"/>
    </xf>
    <xf numFmtId="44" fontId="46" fillId="0" borderId="0" xfId="26" applyNumberFormat="1" applyFont="1" applyAlignment="1">
      <alignment horizontal="center"/>
      <protection/>
    </xf>
    <xf numFmtId="49" fontId="49" fillId="0" borderId="24" xfId="26" applyNumberFormat="1" applyFont="1" applyBorder="1" applyAlignment="1">
      <alignment horizontal="left"/>
      <protection/>
    </xf>
    <xf numFmtId="44" fontId="2" fillId="0" borderId="42" xfId="26" applyNumberFormat="1" applyBorder="1" applyAlignment="1">
      <alignment horizontal="center"/>
      <protection/>
    </xf>
    <xf numFmtId="14" fontId="47" fillId="0" borderId="42" xfId="26" applyNumberFormat="1" applyFont="1" applyBorder="1">
      <alignment/>
      <protection/>
    </xf>
    <xf numFmtId="49" fontId="47" fillId="0" borderId="42" xfId="26" applyNumberFormat="1" applyFont="1" applyBorder="1" applyAlignment="1">
      <alignment horizontal="left"/>
      <protection/>
    </xf>
    <xf numFmtId="49" fontId="47" fillId="0" borderId="42" xfId="26" applyNumberFormat="1" applyFont="1" applyBorder="1">
      <alignment/>
      <protection/>
    </xf>
    <xf numFmtId="49" fontId="47" fillId="0" borderId="42" xfId="26" applyNumberFormat="1" applyFont="1" applyBorder="1" applyAlignment="1">
      <alignment horizontal="left" wrapText="1"/>
      <protection/>
    </xf>
    <xf numFmtId="0" fontId="67" fillId="0" borderId="42" xfId="31" applyFont="1" applyBorder="1" applyAlignment="1">
      <alignment horizontal="center"/>
      <protection/>
    </xf>
    <xf numFmtId="0" fontId="49" fillId="0" borderId="42" xfId="26" applyFont="1" applyBorder="1">
      <alignment/>
      <protection/>
    </xf>
    <xf numFmtId="0" fontId="46" fillId="0" borderId="42" xfId="26" applyFont="1" applyBorder="1">
      <alignment/>
      <protection/>
    </xf>
    <xf numFmtId="49" fontId="47" fillId="0" borderId="0" xfId="26" applyNumberFormat="1" applyFont="1" applyAlignment="1">
      <alignment horizontal="left"/>
      <protection/>
    </xf>
    <xf numFmtId="0" fontId="1" fillId="0" borderId="0" xfId="26" applyFont="1">
      <alignment/>
      <protection/>
    </xf>
    <xf numFmtId="44" fontId="0" fillId="0" borderId="0" xfId="27" applyFont="1" applyAlignment="1" applyProtection="1">
      <alignment horizontal="center"/>
      <protection locked="0"/>
    </xf>
    <xf numFmtId="44" fontId="67" fillId="0" borderId="42" xfId="27" applyFont="1" applyFill="1" applyBorder="1" applyAlignment="1" applyProtection="1">
      <alignment horizontal="center" wrapText="1"/>
      <protection/>
    </xf>
    <xf numFmtId="44" fontId="0" fillId="0" borderId="42" xfId="27" applyFont="1" applyBorder="1" applyAlignment="1" applyProtection="1">
      <alignment horizontal="center"/>
      <protection locked="0"/>
    </xf>
    <xf numFmtId="170" fontId="67" fillId="0" borderId="42" xfId="27" applyNumberFormat="1" applyFont="1" applyBorder="1" applyAlignment="1" applyProtection="1">
      <alignment horizontal="center" wrapText="1"/>
      <protection/>
    </xf>
    <xf numFmtId="170" fontId="2" fillId="0" borderId="0" xfId="26" applyNumberFormat="1">
      <alignment/>
      <protection/>
    </xf>
    <xf numFmtId="0" fontId="66" fillId="0" borderId="0" xfId="26" applyFont="1" applyAlignment="1">
      <alignment wrapText="1"/>
      <protection/>
    </xf>
    <xf numFmtId="170" fontId="69" fillId="0" borderId="0" xfId="26" applyNumberFormat="1" applyFont="1" applyAlignment="1" applyProtection="1">
      <alignment horizontal="center"/>
      <protection locked="0"/>
    </xf>
    <xf numFmtId="4" fontId="0" fillId="0" borderId="46" xfId="22" applyNumberFormat="1" applyFont="1" applyBorder="1" applyAlignment="1" applyProtection="1">
      <alignment vertical="top" shrinkToFit="1"/>
      <protection locked="0"/>
    </xf>
    <xf numFmtId="4" fontId="16" fillId="6" borderId="24" xfId="22" applyNumberFormat="1" applyFont="1" applyFill="1" applyBorder="1" applyAlignment="1" applyProtection="1">
      <alignment vertical="top" shrinkToFit="1"/>
      <protection locked="0"/>
    </xf>
    <xf numFmtId="4" fontId="0" fillId="0" borderId="43" xfId="22" applyNumberFormat="1" applyFont="1" applyBorder="1" applyAlignment="1" applyProtection="1">
      <alignment vertical="top" shrinkToFit="1"/>
      <protection locked="0"/>
    </xf>
    <xf numFmtId="4" fontId="16" fillId="6" borderId="24" xfId="22" applyNumberFormat="1" applyFont="1" applyFill="1" applyBorder="1" applyAlignment="1" applyProtection="1">
      <alignment vertical="top" shrinkToFit="1"/>
      <protection locked="0"/>
    </xf>
    <xf numFmtId="4" fontId="0" fillId="0" borderId="46" xfId="22" applyNumberFormat="1" applyFont="1" applyBorder="1" applyAlignment="1" applyProtection="1">
      <alignment vertical="top" shrinkToFit="1"/>
      <protection locked="0"/>
    </xf>
    <xf numFmtId="4" fontId="0" fillId="0" borderId="42" xfId="22" applyNumberFormat="1" applyFont="1" applyBorder="1" applyAlignment="1" applyProtection="1">
      <alignment vertical="top" shrinkToFit="1"/>
      <protection locked="0"/>
    </xf>
    <xf numFmtId="4" fontId="50" fillId="0" borderId="0" xfId="21" applyNumberFormat="1" applyFont="1" applyAlignment="1" applyProtection="1">
      <alignment horizontal="right" vertical="center"/>
      <protection locked="0"/>
    </xf>
    <xf numFmtId="49" fontId="52" fillId="5" borderId="0" xfId="21" applyNumberFormat="1" applyFont="1" applyFill="1" applyAlignment="1" applyProtection="1">
      <alignment horizontal="left" vertical="center"/>
      <protection locked="0"/>
    </xf>
    <xf numFmtId="4" fontId="50" fillId="0" borderId="29" xfId="21" applyNumberFormat="1" applyFont="1" applyBorder="1" applyAlignment="1" applyProtection="1">
      <alignment horizontal="right" vertical="center"/>
      <protection locked="0"/>
    </xf>
    <xf numFmtId="170" fontId="69" fillId="0" borderId="42" xfId="26" applyNumberFormat="1" applyFont="1" applyBorder="1" applyAlignment="1" applyProtection="1">
      <alignment horizontal="center"/>
      <protection locked="0"/>
    </xf>
    <xf numFmtId="4" fontId="9" fillId="0" borderId="0" xfId="0" applyNumberFormat="1" applyFont="1" applyAlignment="1" applyProtection="1">
      <alignment vertical="center"/>
      <protection/>
    </xf>
    <xf numFmtId="0" fontId="9"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0" fillId="4" borderId="7" xfId="0" applyFont="1" applyFill="1" applyBorder="1" applyAlignment="1" applyProtection="1">
      <alignment horizontal="center" vertical="center"/>
      <protection/>
    </xf>
    <xf numFmtId="0" fontId="20" fillId="4" borderId="7" xfId="0" applyFont="1" applyFill="1" applyBorder="1" applyAlignment="1" applyProtection="1">
      <alignment horizontal="left" vertical="center"/>
      <protection/>
    </xf>
    <xf numFmtId="0" fontId="24" fillId="0" borderId="0" xfId="0" applyFont="1" applyAlignment="1" applyProtection="1">
      <alignment horizontal="left" vertical="center" wrapText="1"/>
      <protection/>
    </xf>
    <xf numFmtId="0" fontId="20" fillId="4" borderId="6" xfId="0" applyFont="1" applyFill="1" applyBorder="1" applyAlignment="1" applyProtection="1">
      <alignment horizontal="center" vertical="center"/>
      <protection/>
    </xf>
    <xf numFmtId="4" fontId="9" fillId="0" borderId="0" xfId="0" applyNumberFormat="1" applyFont="1" applyAlignment="1" applyProtection="1">
      <alignment horizontal="right" vertical="center"/>
      <protection/>
    </xf>
    <xf numFmtId="4" fontId="22" fillId="0" borderId="0" xfId="0" applyNumberFormat="1" applyFont="1" applyAlignment="1" applyProtection="1">
      <alignment horizontal="right" vertical="center"/>
      <protection/>
    </xf>
    <xf numFmtId="0" fontId="15" fillId="0" borderId="0" xfId="0" applyFont="1" applyAlignment="1">
      <alignment horizontal="left" vertical="top" wrapText="1"/>
    </xf>
    <xf numFmtId="0" fontId="15" fillId="0" borderId="0" xfId="0" applyFont="1" applyAlignment="1">
      <alignment horizontal="left" vertical="center"/>
    </xf>
    <xf numFmtId="0" fontId="17" fillId="0" borderId="0" xfId="0" applyFont="1" applyAlignment="1">
      <alignment horizontal="left" vertical="center"/>
    </xf>
    <xf numFmtId="0" fontId="4" fillId="0" borderId="0" xfId="0" applyFont="1" applyAlignment="1" applyProtection="1">
      <alignment horizontal="left" vertical="center"/>
      <protection/>
    </xf>
    <xf numFmtId="0" fontId="0" fillId="0" borderId="0" xfId="0" applyProtection="1">
      <protection/>
    </xf>
    <xf numFmtId="0" fontId="5" fillId="0" borderId="0" xfId="0" applyFont="1" applyAlignment="1" applyProtection="1">
      <alignment horizontal="left" vertical="top" wrapText="1"/>
      <protection/>
    </xf>
    <xf numFmtId="49" fontId="4" fillId="2" borderId="0" xfId="0" applyNumberFormat="1" applyFont="1" applyFill="1" applyAlignment="1" applyProtection="1">
      <alignment horizontal="left" vertical="center"/>
      <protection locked="0"/>
    </xf>
    <xf numFmtId="49" fontId="4" fillId="0" borderId="0" xfId="0" applyNumberFormat="1" applyFont="1" applyAlignment="1" applyProtection="1">
      <alignment horizontal="left" vertical="center"/>
      <protection/>
    </xf>
    <xf numFmtId="0" fontId="4" fillId="0" borderId="0" xfId="0" applyFont="1" applyAlignment="1" applyProtection="1">
      <alignment horizontal="left" vertical="center" wrapText="1"/>
      <protection/>
    </xf>
    <xf numFmtId="4" fontId="16"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3" fillId="0" borderId="0" xfId="0" applyFont="1" applyAlignment="1" applyProtection="1">
      <alignment horizontal="right" vertical="center"/>
      <protection/>
    </xf>
    <xf numFmtId="4" fontId="17" fillId="0" borderId="0" xfId="0" applyNumberFormat="1" applyFont="1" applyAlignment="1" applyProtection="1">
      <alignment vertical="center"/>
      <protection/>
    </xf>
    <xf numFmtId="0" fontId="3" fillId="0" borderId="0" xfId="0" applyFont="1" applyAlignment="1" applyProtection="1">
      <alignment vertical="center"/>
      <protection/>
    </xf>
    <xf numFmtId="164" fontId="3" fillId="0" borderId="0" xfId="0" applyNumberFormat="1" applyFont="1" applyAlignment="1" applyProtection="1">
      <alignment horizontal="left" vertical="center"/>
      <protection/>
    </xf>
    <xf numFmtId="4" fontId="6"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6" fillId="3" borderId="7" xfId="0" applyFont="1" applyFill="1" applyBorder="1" applyAlignment="1" applyProtection="1">
      <alignment horizontal="left" vertical="center"/>
      <protection/>
    </xf>
    <xf numFmtId="0" fontId="0" fillId="0" borderId="0" xfId="0"/>
    <xf numFmtId="4" fontId="25" fillId="0" borderId="0" xfId="0" applyNumberFormat="1" applyFont="1" applyAlignment="1" applyProtection="1">
      <alignment horizontal="right" vertical="center"/>
      <protection/>
    </xf>
    <xf numFmtId="0" fontId="25" fillId="0" borderId="0" xfId="0" applyFont="1" applyAlignment="1" applyProtection="1">
      <alignment vertical="center"/>
      <protection/>
    </xf>
    <xf numFmtId="0" fontId="20" fillId="4" borderId="7" xfId="0" applyFont="1" applyFill="1" applyBorder="1" applyAlignment="1" applyProtection="1">
      <alignment horizontal="right" vertical="center"/>
      <protection/>
    </xf>
    <xf numFmtId="165" fontId="4" fillId="0" borderId="0" xfId="0" applyNumberFormat="1" applyFont="1" applyAlignment="1" applyProtection="1">
      <alignment horizontal="left" vertical="center"/>
      <protection/>
    </xf>
    <xf numFmtId="0" fontId="4" fillId="0" borderId="0" xfId="0" applyFont="1" applyAlignment="1" applyProtection="1">
      <alignment vertical="center" wrapText="1"/>
      <protection/>
    </xf>
    <xf numFmtId="0" fontId="4" fillId="0" borderId="0" xfId="0" applyFont="1" applyAlignment="1" applyProtection="1">
      <alignment vertical="center"/>
      <protection/>
    </xf>
    <xf numFmtId="4" fontId="25" fillId="0" borderId="0" xfId="0" applyNumberFormat="1" applyFont="1" applyAlignment="1" applyProtection="1">
      <alignment vertical="center"/>
      <protection/>
    </xf>
    <xf numFmtId="0" fontId="18" fillId="0" borderId="17" xfId="0" applyFont="1" applyBorder="1" applyAlignment="1">
      <alignment horizontal="center" vertical="center"/>
    </xf>
    <xf numFmtId="0" fontId="18" fillId="0" borderId="10" xfId="0" applyFont="1" applyBorder="1" applyAlignment="1">
      <alignment horizontal="left" vertical="center"/>
    </xf>
    <xf numFmtId="0" fontId="19" fillId="0" borderId="18" xfId="0" applyFont="1" applyBorder="1" applyAlignment="1">
      <alignment horizontal="left" vertical="center"/>
    </xf>
    <xf numFmtId="0" fontId="19" fillId="0" borderId="0" xfId="0" applyFont="1" applyBorder="1" applyAlignment="1">
      <alignment horizontal="left" vertical="center"/>
    </xf>
    <xf numFmtId="0" fontId="19" fillId="0" borderId="18" xfId="0" applyFont="1" applyBorder="1" applyAlignment="1" applyProtection="1">
      <alignment horizontal="left" vertical="center"/>
      <protection/>
    </xf>
    <xf numFmtId="0" fontId="19" fillId="0" borderId="0" xfId="0" applyFont="1" applyBorder="1" applyAlignment="1" applyProtection="1">
      <alignment horizontal="left" vertical="center"/>
      <protection/>
    </xf>
    <xf numFmtId="0" fontId="5" fillId="0" borderId="0" xfId="0" applyFont="1" applyAlignment="1" applyProtection="1">
      <alignment horizontal="left" vertical="center" wrapText="1"/>
      <protection/>
    </xf>
    <xf numFmtId="0" fontId="5" fillId="0" borderId="0" xfId="0" applyFont="1" applyAlignment="1" applyProtection="1">
      <alignment vertical="center"/>
      <protection/>
    </xf>
    <xf numFmtId="4" fontId="22" fillId="0" borderId="0" xfId="0" applyNumberFormat="1" applyFont="1" applyAlignment="1" applyProtection="1">
      <alignment vertical="center"/>
      <protection/>
    </xf>
    <xf numFmtId="0" fontId="0" fillId="0" borderId="0" xfId="0" applyFont="1" applyAlignment="1" applyProtection="1">
      <alignment vertical="center"/>
      <protection/>
    </xf>
    <xf numFmtId="0" fontId="3" fillId="0" borderId="0" xfId="0" applyFont="1" applyAlignment="1" applyProtection="1">
      <alignment horizontal="left" vertical="center" wrapText="1"/>
      <protection/>
    </xf>
    <xf numFmtId="0" fontId="3" fillId="0" borderId="0" xfId="0" applyFont="1" applyAlignment="1" applyProtection="1">
      <alignment horizontal="left" vertical="center"/>
      <protection/>
    </xf>
    <xf numFmtId="0" fontId="3" fillId="0" borderId="0" xfId="0" applyFont="1" applyAlignment="1">
      <alignment horizontal="left" vertical="center" wrapText="1"/>
    </xf>
    <xf numFmtId="0" fontId="3" fillId="0" borderId="0" xfId="0" applyFont="1" applyAlignment="1">
      <alignment horizontal="left" vertical="center"/>
    </xf>
    <xf numFmtId="0" fontId="0" fillId="0" borderId="0" xfId="0" applyFont="1" applyAlignment="1">
      <alignment vertical="center"/>
    </xf>
    <xf numFmtId="0" fontId="5" fillId="0" borderId="0" xfId="0" applyFont="1" applyAlignment="1">
      <alignment horizontal="left" vertical="center" wrapText="1"/>
    </xf>
    <xf numFmtId="0" fontId="4" fillId="2" borderId="0" xfId="0" applyFont="1" applyFill="1" applyAlignment="1" applyProtection="1">
      <alignment horizontal="left" vertical="center"/>
      <protection locked="0"/>
    </xf>
    <xf numFmtId="0" fontId="4" fillId="0" borderId="0" xfId="0" applyFont="1" applyAlignment="1">
      <alignment horizontal="left" vertical="center"/>
    </xf>
    <xf numFmtId="0" fontId="4" fillId="0" borderId="0" xfId="0" applyFont="1" applyAlignment="1">
      <alignment horizontal="left" vertical="center" wrapText="1"/>
    </xf>
    <xf numFmtId="0" fontId="47" fillId="0" borderId="26" xfId="21" applyFont="1" applyBorder="1" applyAlignment="1">
      <alignment horizontal="left" vertical="center" wrapText="1"/>
      <protection/>
    </xf>
    <xf numFmtId="0" fontId="47" fillId="0" borderId="0" xfId="21" applyFont="1" applyAlignment="1">
      <alignment horizontal="left" vertical="center"/>
      <protection/>
    </xf>
    <xf numFmtId="0" fontId="47" fillId="0" borderId="26" xfId="21" applyFont="1" applyBorder="1" applyAlignment="1">
      <alignment horizontal="left" vertical="center"/>
      <protection/>
    </xf>
    <xf numFmtId="0" fontId="47" fillId="0" borderId="0" xfId="21" applyFont="1" applyAlignment="1">
      <alignment horizontal="left" vertical="center" wrapText="1"/>
      <protection/>
    </xf>
    <xf numFmtId="49" fontId="47" fillId="0" borderId="0" xfId="21" applyNumberFormat="1" applyFont="1" applyAlignment="1">
      <alignment horizontal="left" vertical="center"/>
      <protection/>
    </xf>
    <xf numFmtId="49" fontId="54" fillId="0" borderId="29" xfId="21" applyNumberFormat="1" applyFont="1" applyBorder="1" applyAlignment="1">
      <alignment horizontal="center"/>
      <protection/>
    </xf>
    <xf numFmtId="0" fontId="54" fillId="0" borderId="29" xfId="21" applyFont="1" applyBorder="1" applyAlignment="1">
      <alignment horizontal="center" vertical="center"/>
      <protection/>
    </xf>
    <xf numFmtId="0" fontId="47" fillId="0" borderId="23" xfId="21" applyFont="1" applyBorder="1" applyAlignment="1">
      <alignment horizontal="left" vertical="center" wrapText="1"/>
      <protection/>
    </xf>
    <xf numFmtId="0" fontId="47" fillId="0" borderId="24" xfId="21" applyFont="1" applyBorder="1" applyAlignment="1">
      <alignment horizontal="left" vertical="center"/>
      <protection/>
    </xf>
    <xf numFmtId="0" fontId="49" fillId="0" borderId="24" xfId="21" applyFont="1" applyBorder="1" applyAlignment="1">
      <alignment horizontal="left" vertical="center" wrapText="1"/>
      <protection/>
    </xf>
    <xf numFmtId="0" fontId="49" fillId="0" borderId="0" xfId="21" applyFont="1" applyAlignment="1">
      <alignment horizontal="left" vertical="center"/>
      <protection/>
    </xf>
    <xf numFmtId="49" fontId="47" fillId="0" borderId="24" xfId="21" applyNumberFormat="1" applyFont="1" applyBorder="1" applyAlignment="1">
      <alignment horizontal="left" vertical="center"/>
      <protection/>
    </xf>
    <xf numFmtId="0" fontId="47" fillId="0" borderId="24" xfId="21" applyFont="1" applyBorder="1" applyAlignment="1">
      <alignment horizontal="left" vertical="center" wrapText="1"/>
      <protection/>
    </xf>
    <xf numFmtId="49" fontId="49" fillId="0" borderId="24" xfId="21" applyNumberFormat="1" applyFont="1" applyBorder="1" applyAlignment="1">
      <alignment horizontal="left" vertical="center"/>
      <protection/>
    </xf>
    <xf numFmtId="0" fontId="49" fillId="0" borderId="24" xfId="21" applyFont="1" applyBorder="1" applyAlignment="1">
      <alignment horizontal="left" vertical="center"/>
      <protection/>
    </xf>
    <xf numFmtId="0" fontId="47" fillId="0" borderId="0" xfId="21" applyFont="1" applyAlignment="1">
      <alignment horizontal="left" vertical="center" wrapText="1"/>
      <protection/>
    </xf>
    <xf numFmtId="0" fontId="47" fillId="0" borderId="0" xfId="21" applyFont="1" applyAlignment="1">
      <alignment horizontal="left" vertical="center"/>
      <protection/>
    </xf>
    <xf numFmtId="0" fontId="47" fillId="0" borderId="67" xfId="21" applyFont="1" applyBorder="1" applyAlignment="1">
      <alignment horizontal="left" vertical="center"/>
      <protection/>
    </xf>
    <xf numFmtId="0" fontId="47" fillId="0" borderId="52" xfId="21" applyFont="1" applyBorder="1" applyAlignment="1">
      <alignment horizontal="left" vertical="center"/>
      <protection/>
    </xf>
    <xf numFmtId="8" fontId="47" fillId="0" borderId="0" xfId="21" applyNumberFormat="1" applyFont="1" applyAlignment="1">
      <alignment horizontal="left" vertical="center" wrapText="1"/>
      <protection/>
    </xf>
    <xf numFmtId="49" fontId="49" fillId="0" borderId="59" xfId="21" applyNumberFormat="1" applyFont="1" applyBorder="1" applyAlignment="1">
      <alignment horizontal="center" vertical="center"/>
      <protection/>
    </xf>
    <xf numFmtId="0" fontId="49" fillId="0" borderId="58" xfId="21" applyFont="1" applyBorder="1" applyAlignment="1">
      <alignment horizontal="center" vertical="center"/>
      <protection/>
    </xf>
    <xf numFmtId="0" fontId="49" fillId="0" borderId="57" xfId="21" applyFont="1" applyBorder="1" applyAlignment="1">
      <alignment horizontal="center" vertical="center"/>
      <protection/>
    </xf>
    <xf numFmtId="0" fontId="49" fillId="0" borderId="24" xfId="21" applyFont="1" applyBorder="1" applyAlignment="1">
      <alignment horizontal="left" vertical="center"/>
      <protection/>
    </xf>
    <xf numFmtId="49" fontId="4" fillId="0" borderId="0" xfId="22" applyNumberFormat="1" applyAlignment="1">
      <alignment horizontal="left" vertical="top" wrapText="1"/>
      <protection/>
    </xf>
    <xf numFmtId="169" fontId="12" fillId="6" borderId="50" xfId="22" applyNumberFormat="1" applyFont="1" applyFill="1" applyBorder="1" applyAlignment="1">
      <alignment horizontal="center" vertical="top" shrinkToFit="1"/>
      <protection/>
    </xf>
    <xf numFmtId="169" fontId="12" fillId="6" borderId="68" xfId="22" applyNumberFormat="1" applyFont="1" applyFill="1" applyBorder="1" applyAlignment="1">
      <alignment horizontal="center" vertical="top" shrinkToFit="1"/>
      <protection/>
    </xf>
    <xf numFmtId="0" fontId="6" fillId="0" borderId="0" xfId="22" applyFont="1" applyAlignment="1">
      <alignment horizontal="center"/>
      <protection/>
    </xf>
    <xf numFmtId="49" fontId="4" fillId="0" borderId="43" xfId="22" applyNumberFormat="1" applyBorder="1" applyAlignment="1">
      <alignment vertical="center"/>
      <protection/>
    </xf>
    <xf numFmtId="0" fontId="4" fillId="0" borderId="43" xfId="22" applyBorder="1" applyAlignment="1">
      <alignment vertical="center"/>
      <protection/>
    </xf>
    <xf numFmtId="0" fontId="4" fillId="0" borderId="69" xfId="22" applyBorder="1" applyAlignment="1">
      <alignment vertical="center"/>
      <protection/>
    </xf>
    <xf numFmtId="49" fontId="16" fillId="0" borderId="43" xfId="22" applyNumberFormat="1" applyFont="1" applyBorder="1" applyAlignment="1">
      <alignment vertical="center"/>
      <protection/>
    </xf>
    <xf numFmtId="49" fontId="4" fillId="6" borderId="43" xfId="22" applyNumberFormat="1" applyFill="1" applyBorder="1" applyAlignment="1">
      <alignment vertical="center"/>
      <protection/>
    </xf>
    <xf numFmtId="0" fontId="4" fillId="6" borderId="43" xfId="22" applyFill="1" applyBorder="1" applyAlignment="1">
      <alignment vertical="center"/>
      <protection/>
    </xf>
    <xf numFmtId="0" fontId="4" fillId="6" borderId="69" xfId="22" applyFill="1" applyBorder="1" applyAlignment="1">
      <alignment vertical="center"/>
      <protection/>
    </xf>
    <xf numFmtId="0" fontId="57" fillId="0" borderId="0" xfId="22" applyFont="1" applyAlignment="1">
      <alignment horizontal="left" vertical="top" wrapText="1"/>
      <protection/>
    </xf>
    <xf numFmtId="0" fontId="57" fillId="0" borderId="0" xfId="22" applyFont="1" applyAlignment="1">
      <alignment vertical="top" wrapText="1"/>
      <protection/>
    </xf>
    <xf numFmtId="0" fontId="19" fillId="0" borderId="0" xfId="0" applyFont="1" applyAlignment="1" applyProtection="1">
      <alignment horizontal="left" vertical="center"/>
      <protection/>
    </xf>
    <xf numFmtId="0" fontId="19" fillId="0" borderId="0" xfId="0" applyFont="1" applyAlignment="1">
      <alignment horizontal="left" vertical="center"/>
    </xf>
    <xf numFmtId="0" fontId="47" fillId="0" borderId="26" xfId="25" applyFont="1" applyBorder="1" applyAlignment="1">
      <alignment horizontal="left" vertical="center" wrapText="1"/>
      <protection/>
    </xf>
    <xf numFmtId="0" fontId="47" fillId="0" borderId="0" xfId="25" applyFont="1" applyAlignment="1">
      <alignment horizontal="left" vertical="center"/>
      <protection/>
    </xf>
    <xf numFmtId="0" fontId="47" fillId="0" borderId="26" xfId="25" applyFont="1" applyBorder="1" applyAlignment="1">
      <alignment horizontal="left" vertical="center"/>
      <protection/>
    </xf>
    <xf numFmtId="0" fontId="47" fillId="0" borderId="0" xfId="25" applyFont="1" applyAlignment="1">
      <alignment horizontal="left" vertical="center" wrapText="1"/>
      <protection/>
    </xf>
    <xf numFmtId="49" fontId="47" fillId="0" borderId="0" xfId="25" applyNumberFormat="1" applyFont="1" applyAlignment="1">
      <alignment horizontal="left" vertical="center"/>
      <protection/>
    </xf>
    <xf numFmtId="49" fontId="54" fillId="0" borderId="29" xfId="25" applyNumberFormat="1" applyFont="1" applyBorder="1" applyAlignment="1">
      <alignment horizontal="center"/>
      <protection/>
    </xf>
    <xf numFmtId="0" fontId="54" fillId="0" borderId="29" xfId="25" applyFont="1" applyBorder="1" applyAlignment="1">
      <alignment horizontal="center" vertical="center"/>
      <protection/>
    </xf>
    <xf numFmtId="0" fontId="47" fillId="0" borderId="23" xfId="25" applyFont="1" applyBorder="1" applyAlignment="1">
      <alignment horizontal="left" vertical="center" wrapText="1"/>
      <protection/>
    </xf>
    <xf numFmtId="0" fontId="47" fillId="0" borderId="24" xfId="25" applyFont="1" applyBorder="1" applyAlignment="1">
      <alignment horizontal="left" vertical="center"/>
      <protection/>
    </xf>
    <xf numFmtId="0" fontId="49" fillId="0" borderId="24" xfId="25" applyFont="1" applyBorder="1" applyAlignment="1">
      <alignment horizontal="left" vertical="center" wrapText="1"/>
      <protection/>
    </xf>
    <xf numFmtId="0" fontId="49" fillId="0" borderId="0" xfId="25" applyFont="1" applyAlignment="1">
      <alignment horizontal="left" vertical="center"/>
      <protection/>
    </xf>
    <xf numFmtId="49" fontId="47" fillId="0" borderId="24" xfId="25" applyNumberFormat="1" applyFont="1" applyBorder="1" applyAlignment="1">
      <alignment horizontal="left" vertical="center"/>
      <protection/>
    </xf>
    <xf numFmtId="0" fontId="47" fillId="0" borderId="24" xfId="25" applyFont="1" applyBorder="1" applyAlignment="1">
      <alignment horizontal="left" vertical="center" wrapText="1"/>
      <protection/>
    </xf>
    <xf numFmtId="0" fontId="47" fillId="0" borderId="0" xfId="25" applyFont="1" applyAlignment="1">
      <alignment horizontal="left" vertical="top" wrapText="1"/>
      <protection/>
    </xf>
    <xf numFmtId="0" fontId="47" fillId="0" borderId="67" xfId="25" applyFont="1" applyBorder="1" applyAlignment="1">
      <alignment horizontal="left" vertical="center"/>
      <protection/>
    </xf>
    <xf numFmtId="0" fontId="47" fillId="0" borderId="52" xfId="25" applyFont="1" applyBorder="1" applyAlignment="1">
      <alignment horizontal="left" vertical="center"/>
      <protection/>
    </xf>
    <xf numFmtId="8" fontId="47" fillId="0" borderId="0" xfId="25" applyNumberFormat="1" applyFont="1" applyAlignment="1">
      <alignment horizontal="left" vertical="center" wrapText="1"/>
      <protection/>
    </xf>
    <xf numFmtId="49" fontId="49" fillId="0" borderId="59" xfId="25" applyNumberFormat="1" applyFont="1" applyBorder="1" applyAlignment="1">
      <alignment horizontal="center" vertical="center"/>
      <protection/>
    </xf>
    <xf numFmtId="0" fontId="49" fillId="0" borderId="58" xfId="25" applyFont="1" applyBorder="1" applyAlignment="1">
      <alignment horizontal="center" vertical="center"/>
      <protection/>
    </xf>
    <xf numFmtId="0" fontId="49" fillId="0" borderId="57" xfId="25" applyFont="1" applyBorder="1" applyAlignment="1">
      <alignment horizontal="center" vertical="center"/>
      <protection/>
    </xf>
    <xf numFmtId="49" fontId="49" fillId="0" borderId="24" xfId="25" applyNumberFormat="1" applyFont="1" applyBorder="1" applyAlignment="1">
      <alignment horizontal="left" vertical="center"/>
      <protection/>
    </xf>
    <xf numFmtId="0" fontId="49" fillId="0" borderId="24" xfId="25" applyFont="1" applyBorder="1" applyAlignment="1">
      <alignment horizontal="left" vertical="center"/>
      <protection/>
    </xf>
    <xf numFmtId="44" fontId="66" fillId="0" borderId="42" xfId="28" applyFont="1" applyFill="1" applyBorder="1" applyAlignment="1" applyProtection="1">
      <alignment horizontal="center"/>
      <protection/>
    </xf>
    <xf numFmtId="0" fontId="66" fillId="0" borderId="42" xfId="29" applyFont="1" applyBorder="1" applyAlignment="1">
      <alignment horizontal="center"/>
      <protection/>
    </xf>
    <xf numFmtId="0" fontId="2" fillId="0" borderId="42" xfId="26" applyBorder="1" applyAlignment="1">
      <alignment horizontal="center"/>
      <protection/>
    </xf>
    <xf numFmtId="170" fontId="69" fillId="0" borderId="42" xfId="26" applyNumberFormat="1" applyFont="1" applyBorder="1" applyAlignment="1" applyProtection="1">
      <alignment horizontal="center"/>
      <protection locked="0"/>
    </xf>
    <xf numFmtId="49" fontId="2" fillId="0" borderId="42" xfId="26" applyNumberFormat="1" applyBorder="1" applyAlignment="1">
      <alignment horizontal="center"/>
      <protection/>
    </xf>
    <xf numFmtId="0" fontId="46" fillId="0" borderId="42" xfId="26" applyFont="1" applyBorder="1" applyAlignment="1">
      <alignment horizontal="center"/>
      <protection/>
    </xf>
    <xf numFmtId="0" fontId="2" fillId="0" borderId="42" xfId="26" applyBorder="1" applyAlignment="1">
      <alignment horizontal="justify" vertical="top" wrapText="1" shrinkToFit="1"/>
      <protection/>
    </xf>
    <xf numFmtId="0" fontId="2" fillId="0" borderId="42" xfId="26" applyBorder="1">
      <alignment/>
      <protection/>
    </xf>
    <xf numFmtId="0" fontId="2" fillId="0" borderId="42" xfId="26" applyBorder="1" applyAlignment="1" applyProtection="1">
      <alignment horizontal="center"/>
      <protection locked="0"/>
    </xf>
    <xf numFmtId="0" fontId="38" fillId="0" borderId="0" xfId="0" applyFont="1" applyBorder="1" applyAlignment="1">
      <alignment horizontal="center" vertical="center"/>
    </xf>
    <xf numFmtId="0" fontId="38" fillId="0" borderId="0" xfId="0" applyFont="1" applyBorder="1" applyAlignment="1">
      <alignment horizontal="center" vertical="center" wrapText="1"/>
    </xf>
    <xf numFmtId="0" fontId="39" fillId="0" borderId="29" xfId="0" applyFont="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left" vertical="top"/>
    </xf>
    <xf numFmtId="0" fontId="0" fillId="0" borderId="0" xfId="0" applyFont="1" applyBorder="1" applyAlignment="1">
      <alignment horizontal="left" vertical="center" wrapText="1"/>
    </xf>
    <xf numFmtId="0" fontId="39" fillId="0" borderId="29" xfId="0" applyFont="1" applyBorder="1" applyAlignment="1">
      <alignment horizontal="left" wrapText="1"/>
    </xf>
    <xf numFmtId="49" fontId="0" fillId="0" borderId="0" xfId="0" applyNumberFormat="1" applyFont="1" applyBorder="1" applyAlignment="1">
      <alignment horizontal="left" vertical="center" wrapText="1"/>
    </xf>
    <xf numFmtId="4" fontId="51" fillId="5" borderId="31" xfId="21" applyNumberFormat="1" applyFont="1" applyFill="1" applyBorder="1" applyAlignment="1" applyProtection="1">
      <alignment horizontal="right" vertical="center"/>
      <protection/>
    </xf>
    <xf numFmtId="4" fontId="50" fillId="0" borderId="0" xfId="21" applyNumberFormat="1" applyFont="1" applyAlignment="1" applyProtection="1">
      <alignment horizontal="right" vertical="center"/>
      <protection/>
    </xf>
    <xf numFmtId="4" fontId="51" fillId="5" borderId="0" xfId="21" applyNumberFormat="1" applyFont="1" applyFill="1" applyAlignment="1" applyProtection="1">
      <alignment horizontal="right" vertical="center"/>
      <protection/>
    </xf>
    <xf numFmtId="4" fontId="50" fillId="0" borderId="29" xfId="21" applyNumberFormat="1" applyFont="1" applyBorder="1" applyAlignment="1" applyProtection="1">
      <alignment horizontal="right" vertical="center"/>
      <protection/>
    </xf>
    <xf numFmtId="49" fontId="49" fillId="0" borderId="24" xfId="21" applyNumberFormat="1" applyFont="1" applyBorder="1" applyAlignment="1" applyProtection="1">
      <alignment horizontal="left" vertical="center"/>
      <protection/>
    </xf>
    <xf numFmtId="0" fontId="49" fillId="0" borderId="24" xfId="21" applyFont="1" applyBorder="1" applyAlignment="1" applyProtection="1">
      <alignment horizontal="left" vertical="center"/>
      <protection/>
    </xf>
    <xf numFmtId="4" fontId="49" fillId="0" borderId="24" xfId="21" applyNumberFormat="1" applyFont="1" applyBorder="1" applyAlignment="1" applyProtection="1">
      <alignment horizontal="right" vertical="center"/>
      <protection/>
    </xf>
    <xf numFmtId="169" fontId="4" fillId="0" borderId="55" xfId="22" applyNumberFormat="1" applyBorder="1" applyAlignment="1" applyProtection="1">
      <alignment horizontal="right"/>
      <protection locked="0"/>
    </xf>
    <xf numFmtId="169" fontId="16" fillId="10" borderId="24" xfId="22" applyNumberFormat="1" applyFont="1" applyFill="1" applyBorder="1" applyAlignment="1" applyProtection="1">
      <alignment horizontal="right"/>
      <protection locked="0"/>
    </xf>
    <xf numFmtId="169" fontId="4" fillId="0" borderId="29" xfId="22" applyNumberFormat="1" applyBorder="1" applyAlignment="1" applyProtection="1">
      <alignment horizontal="right"/>
      <protection locked="0"/>
    </xf>
    <xf numFmtId="169" fontId="4" fillId="0" borderId="29" xfId="22" applyNumberFormat="1" applyBorder="1" applyAlignment="1" applyProtection="1">
      <alignment horizontal="right"/>
      <protection/>
    </xf>
    <xf numFmtId="169" fontId="4" fillId="0" borderId="55" xfId="22" applyNumberFormat="1" applyBorder="1" applyAlignment="1" applyProtection="1">
      <alignment horizontal="right"/>
      <protection/>
    </xf>
  </cellXfs>
  <cellStyles count="18">
    <cellStyle name="Normal" xfId="0"/>
    <cellStyle name="Percent" xfId="15"/>
    <cellStyle name="Currency" xfId="16"/>
    <cellStyle name="Currency [0]" xfId="17"/>
    <cellStyle name="Comma" xfId="18"/>
    <cellStyle name="Comma [0]" xfId="19"/>
    <cellStyle name="Hypertextový odkaz" xfId="20"/>
    <cellStyle name="Normální 2" xfId="21"/>
    <cellStyle name="Normální 3" xfId="22"/>
    <cellStyle name="Normální 4" xfId="23"/>
    <cellStyle name="normální 2 2" xfId="24"/>
    <cellStyle name="Normální 2 3" xfId="25"/>
    <cellStyle name="Normální 4 2" xfId="26"/>
    <cellStyle name="Měna 2" xfId="27"/>
    <cellStyle name="měny_MV-PR-0338#00-5% a 19%" xfId="28"/>
    <cellStyle name="normální_MV-PR-0338#00-5% a 19%" xfId="29"/>
    <cellStyle name="Normální 6" xfId="30"/>
    <cellStyle name="Excel Built-in Normal" xfId="31"/>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externalLink" Target="externalLinks/externalLink2.xml" /><Relationship Id="rId38" Type="http://schemas.openxmlformats.org/officeDocument/2006/relationships/externalLink" Target="externalLinks/externalLink3.xml" /><Relationship Id="rId39" Type="http://schemas.openxmlformats.org/officeDocument/2006/relationships/externalLink" Target="externalLinks/externalLink4.xml" /><Relationship Id="rId40" Type="http://schemas.openxmlformats.org/officeDocument/2006/relationships/externalLink" Target="externalLinks/externalLink5.xml" /><Relationship Id="rId4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ofese\NSZ.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ofese\PZT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rofese\SLB.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rofese\EP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BUILDpowerS\Templates\Rozpocty\Sablon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kapitulace"/>
    </sheetNames>
    <sheetDataSet>
      <sheetData sheetId="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kapitulace"/>
    </sheetNames>
    <sheetDataSet>
      <sheetData sheetId="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kapitulace"/>
    </sheetNames>
    <sheetDataSet>
      <sheetData sheetId="0"/>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kapitulace"/>
    </sheetNames>
    <sheetDataSet>
      <sheetData sheetId="0"/>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77"/>
  <sheetViews>
    <sheetView showGridLines="0" tabSelected="1" workbookViewId="0" topLeftCell="A49">
      <selection activeCell="AD20" sqref="AD20"/>
    </sheetView>
  </sheetViews>
  <sheetFormatPr defaultColWidth="9.140625" defaultRowHeight="12"/>
  <cols>
    <col min="1" max="1" width="8.8515625" style="1" customWidth="1"/>
    <col min="2" max="2" width="1.7109375" style="1" customWidth="1"/>
    <col min="3" max="3" width="4.421875" style="1" customWidth="1"/>
    <col min="4" max="33" width="2.8515625" style="1" customWidth="1"/>
    <col min="34" max="34" width="3.421875" style="1" customWidth="1"/>
    <col min="35" max="35" width="42.28125" style="1" customWidth="1"/>
    <col min="36" max="37" width="2.421875" style="1" customWidth="1"/>
    <col min="38" max="38" width="8.8515625" style="1" customWidth="1"/>
    <col min="39" max="39" width="3.421875" style="1" customWidth="1"/>
    <col min="40" max="40" width="14.28125" style="1" customWidth="1"/>
    <col min="41" max="41" width="8.00390625" style="1" customWidth="1"/>
    <col min="42" max="42" width="4.421875" style="1" customWidth="1"/>
    <col min="43" max="43" width="16.7109375" style="1" customWidth="1"/>
    <col min="44" max="44" width="14.421875" style="1" customWidth="1"/>
    <col min="45" max="47" width="27.7109375" style="1" hidden="1" customWidth="1"/>
    <col min="48" max="49" width="23.140625" style="1" hidden="1" customWidth="1"/>
    <col min="50" max="51" width="26.7109375" style="1" hidden="1" customWidth="1"/>
    <col min="52" max="52" width="23.140625" style="1" hidden="1" customWidth="1"/>
    <col min="53" max="53" width="20.421875" style="1" hidden="1" customWidth="1"/>
    <col min="54" max="54" width="26.7109375" style="1" hidden="1" customWidth="1"/>
    <col min="55" max="55" width="23.140625" style="1" hidden="1" customWidth="1"/>
    <col min="56" max="56" width="20.421875" style="1" hidden="1" customWidth="1"/>
    <col min="57" max="57" width="71.140625" style="1" customWidth="1"/>
    <col min="71" max="91" width="9.140625" style="1" hidden="1" customWidth="1"/>
  </cols>
  <sheetData>
    <row r="1" spans="1:74" ht="12">
      <c r="A1" s="14" t="s">
        <v>0</v>
      </c>
      <c r="AZ1" s="14" t="s">
        <v>1</v>
      </c>
      <c r="BA1" s="14" t="s">
        <v>2</v>
      </c>
      <c r="BB1" s="14" t="s">
        <v>3</v>
      </c>
      <c r="BT1" s="14" t="s">
        <v>4</v>
      </c>
      <c r="BU1" s="14" t="s">
        <v>4</v>
      </c>
      <c r="BV1" s="14" t="s">
        <v>5</v>
      </c>
    </row>
    <row r="2" spans="44:72" s="1" customFormat="1" ht="36.95" customHeight="1">
      <c r="AR2" s="682"/>
      <c r="AS2" s="682"/>
      <c r="AT2" s="682"/>
      <c r="AU2" s="682"/>
      <c r="AV2" s="682"/>
      <c r="AW2" s="682"/>
      <c r="AX2" s="682"/>
      <c r="AY2" s="682"/>
      <c r="AZ2" s="682"/>
      <c r="BA2" s="682"/>
      <c r="BB2" s="682"/>
      <c r="BC2" s="682"/>
      <c r="BD2" s="682"/>
      <c r="BE2" s="682"/>
      <c r="BS2" s="15" t="s">
        <v>6</v>
      </c>
      <c r="BT2" s="15" t="s">
        <v>7</v>
      </c>
    </row>
    <row r="3" spans="2:72" s="1" customFormat="1" ht="6.95" customHeight="1">
      <c r="B3" s="16"/>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8"/>
      <c r="BS3" s="15" t="s">
        <v>6</v>
      </c>
      <c r="BT3" s="15" t="s">
        <v>8</v>
      </c>
    </row>
    <row r="4" spans="2:71" s="1" customFormat="1" ht="24.95" customHeight="1">
      <c r="B4" s="19"/>
      <c r="C4" s="20"/>
      <c r="D4" s="21" t="s">
        <v>9</v>
      </c>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18"/>
      <c r="AS4" s="22" t="s">
        <v>10</v>
      </c>
      <c r="BE4" s="23" t="s">
        <v>11</v>
      </c>
      <c r="BS4" s="15" t="s">
        <v>12</v>
      </c>
    </row>
    <row r="5" spans="2:71" s="1" customFormat="1" ht="12" customHeight="1">
      <c r="B5" s="19"/>
      <c r="C5" s="20"/>
      <c r="D5" s="24" t="s">
        <v>13</v>
      </c>
      <c r="E5" s="20"/>
      <c r="F5" s="20"/>
      <c r="G5" s="20"/>
      <c r="H5" s="20"/>
      <c r="I5" s="20"/>
      <c r="J5" s="20"/>
      <c r="K5" s="666" t="s">
        <v>14</v>
      </c>
      <c r="L5" s="667"/>
      <c r="M5" s="667"/>
      <c r="N5" s="667"/>
      <c r="O5" s="667"/>
      <c r="P5" s="667"/>
      <c r="Q5" s="667"/>
      <c r="R5" s="667"/>
      <c r="S5" s="667"/>
      <c r="T5" s="667"/>
      <c r="U5" s="667"/>
      <c r="V5" s="667"/>
      <c r="W5" s="667"/>
      <c r="X5" s="667"/>
      <c r="Y5" s="667"/>
      <c r="Z5" s="667"/>
      <c r="AA5" s="667"/>
      <c r="AB5" s="667"/>
      <c r="AC5" s="667"/>
      <c r="AD5" s="667"/>
      <c r="AE5" s="667"/>
      <c r="AF5" s="667"/>
      <c r="AG5" s="667"/>
      <c r="AH5" s="667"/>
      <c r="AI5" s="667"/>
      <c r="AJ5" s="667"/>
      <c r="AK5" s="667"/>
      <c r="AL5" s="667"/>
      <c r="AM5" s="667"/>
      <c r="AN5" s="667"/>
      <c r="AO5" s="667"/>
      <c r="AP5" s="20"/>
      <c r="AQ5" s="20"/>
      <c r="AR5" s="18"/>
      <c r="BE5" s="663" t="s">
        <v>15</v>
      </c>
      <c r="BS5" s="15" t="s">
        <v>6</v>
      </c>
    </row>
    <row r="6" spans="2:71" s="1" customFormat="1" ht="36.95" customHeight="1">
      <c r="B6" s="19"/>
      <c r="C6" s="20"/>
      <c r="D6" s="26" t="s">
        <v>16</v>
      </c>
      <c r="E6" s="20"/>
      <c r="F6" s="20"/>
      <c r="G6" s="20"/>
      <c r="H6" s="20"/>
      <c r="I6" s="20"/>
      <c r="J6" s="20"/>
      <c r="K6" s="668" t="s">
        <v>17</v>
      </c>
      <c r="L6" s="667"/>
      <c r="M6" s="667"/>
      <c r="N6" s="667"/>
      <c r="O6" s="667"/>
      <c r="P6" s="667"/>
      <c r="Q6" s="667"/>
      <c r="R6" s="667"/>
      <c r="S6" s="667"/>
      <c r="T6" s="667"/>
      <c r="U6" s="667"/>
      <c r="V6" s="667"/>
      <c r="W6" s="667"/>
      <c r="X6" s="667"/>
      <c r="Y6" s="667"/>
      <c r="Z6" s="667"/>
      <c r="AA6" s="667"/>
      <c r="AB6" s="667"/>
      <c r="AC6" s="667"/>
      <c r="AD6" s="667"/>
      <c r="AE6" s="667"/>
      <c r="AF6" s="667"/>
      <c r="AG6" s="667"/>
      <c r="AH6" s="667"/>
      <c r="AI6" s="667"/>
      <c r="AJ6" s="667"/>
      <c r="AK6" s="667"/>
      <c r="AL6" s="667"/>
      <c r="AM6" s="667"/>
      <c r="AN6" s="667"/>
      <c r="AO6" s="667"/>
      <c r="AP6" s="20"/>
      <c r="AQ6" s="20"/>
      <c r="AR6" s="18"/>
      <c r="BE6" s="664"/>
      <c r="BS6" s="15" t="s">
        <v>6</v>
      </c>
    </row>
    <row r="7" spans="2:71" s="1" customFormat="1" ht="12" customHeight="1">
      <c r="B7" s="19"/>
      <c r="C7" s="20"/>
      <c r="D7" s="27" t="s">
        <v>18</v>
      </c>
      <c r="E7" s="20"/>
      <c r="F7" s="20"/>
      <c r="G7" s="20"/>
      <c r="H7" s="20"/>
      <c r="I7" s="20"/>
      <c r="J7" s="20"/>
      <c r="K7" s="25" t="s">
        <v>19</v>
      </c>
      <c r="L7" s="20"/>
      <c r="M7" s="20"/>
      <c r="N7" s="20"/>
      <c r="O7" s="20"/>
      <c r="P7" s="20"/>
      <c r="Q7" s="20"/>
      <c r="R7" s="20"/>
      <c r="S7" s="20"/>
      <c r="T7" s="20"/>
      <c r="U7" s="20"/>
      <c r="V7" s="20"/>
      <c r="W7" s="20"/>
      <c r="X7" s="20"/>
      <c r="Y7" s="20"/>
      <c r="Z7" s="20"/>
      <c r="AA7" s="20"/>
      <c r="AB7" s="20"/>
      <c r="AC7" s="20"/>
      <c r="AD7" s="20"/>
      <c r="AE7" s="20"/>
      <c r="AF7" s="20"/>
      <c r="AG7" s="20"/>
      <c r="AH7" s="20"/>
      <c r="AI7" s="20"/>
      <c r="AJ7" s="20"/>
      <c r="AK7" s="27" t="s">
        <v>20</v>
      </c>
      <c r="AL7" s="20"/>
      <c r="AM7" s="20"/>
      <c r="AN7" s="25" t="s">
        <v>19</v>
      </c>
      <c r="AO7" s="20"/>
      <c r="AP7" s="20"/>
      <c r="AQ7" s="20"/>
      <c r="AR7" s="18"/>
      <c r="BE7" s="664"/>
      <c r="BS7" s="15" t="s">
        <v>6</v>
      </c>
    </row>
    <row r="8" spans="2:71" s="1" customFormat="1" ht="12" customHeight="1">
      <c r="B8" s="19"/>
      <c r="C8" s="20"/>
      <c r="D8" s="27" t="s">
        <v>21</v>
      </c>
      <c r="E8" s="20"/>
      <c r="F8" s="20"/>
      <c r="G8" s="20"/>
      <c r="H8" s="20"/>
      <c r="I8" s="20"/>
      <c r="J8" s="20"/>
      <c r="K8" s="25" t="s">
        <v>22</v>
      </c>
      <c r="L8" s="20"/>
      <c r="M8" s="20"/>
      <c r="N8" s="20"/>
      <c r="O8" s="20"/>
      <c r="P8" s="20"/>
      <c r="Q8" s="20"/>
      <c r="R8" s="20"/>
      <c r="S8" s="20"/>
      <c r="T8" s="20"/>
      <c r="U8" s="20"/>
      <c r="V8" s="20"/>
      <c r="W8" s="20"/>
      <c r="X8" s="20"/>
      <c r="Y8" s="20"/>
      <c r="Z8" s="20"/>
      <c r="AA8" s="20"/>
      <c r="AB8" s="20"/>
      <c r="AC8" s="20"/>
      <c r="AD8" s="20"/>
      <c r="AE8" s="20"/>
      <c r="AF8" s="20"/>
      <c r="AG8" s="20"/>
      <c r="AH8" s="20"/>
      <c r="AI8" s="20"/>
      <c r="AJ8" s="20"/>
      <c r="AK8" s="27" t="s">
        <v>23</v>
      </c>
      <c r="AL8" s="20"/>
      <c r="AM8" s="20"/>
      <c r="AN8" s="29" t="s">
        <v>29</v>
      </c>
      <c r="AO8" s="20"/>
      <c r="AP8" s="20"/>
      <c r="AQ8" s="20"/>
      <c r="AR8" s="18"/>
      <c r="BE8" s="664"/>
      <c r="BS8" s="15" t="s">
        <v>6</v>
      </c>
    </row>
    <row r="9" spans="2:71" s="1" customFormat="1" ht="14.45" customHeight="1">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18"/>
      <c r="BE9" s="664"/>
      <c r="BS9" s="15" t="s">
        <v>6</v>
      </c>
    </row>
    <row r="10" spans="2:71" s="1" customFormat="1" ht="12" customHeight="1">
      <c r="B10" s="19"/>
      <c r="C10" s="20"/>
      <c r="D10" s="27" t="s">
        <v>24</v>
      </c>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7" t="s">
        <v>25</v>
      </c>
      <c r="AL10" s="20"/>
      <c r="AM10" s="20"/>
      <c r="AN10" s="25" t="s">
        <v>19</v>
      </c>
      <c r="AO10" s="20"/>
      <c r="AP10" s="20"/>
      <c r="AQ10" s="20"/>
      <c r="AR10" s="18"/>
      <c r="BE10" s="664"/>
      <c r="BS10" s="15" t="s">
        <v>6</v>
      </c>
    </row>
    <row r="11" spans="2:71" s="1" customFormat="1" ht="18.4" customHeight="1">
      <c r="B11" s="19"/>
      <c r="C11" s="20"/>
      <c r="D11" s="20"/>
      <c r="E11" s="25" t="s">
        <v>26</v>
      </c>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7" t="s">
        <v>27</v>
      </c>
      <c r="AL11" s="20"/>
      <c r="AM11" s="20"/>
      <c r="AN11" s="25" t="s">
        <v>19</v>
      </c>
      <c r="AO11" s="20"/>
      <c r="AP11" s="20"/>
      <c r="AQ11" s="20"/>
      <c r="AR11" s="18"/>
      <c r="BE11" s="664"/>
      <c r="BS11" s="15" t="s">
        <v>6</v>
      </c>
    </row>
    <row r="12" spans="2:71" s="1" customFormat="1" ht="6.95" customHeight="1">
      <c r="B12" s="19"/>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18"/>
      <c r="BE12" s="664"/>
      <c r="BS12" s="15" t="s">
        <v>6</v>
      </c>
    </row>
    <row r="13" spans="2:71" s="1" customFormat="1" ht="12" customHeight="1">
      <c r="B13" s="19"/>
      <c r="C13" s="20"/>
      <c r="D13" s="27" t="s">
        <v>28</v>
      </c>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7" t="s">
        <v>25</v>
      </c>
      <c r="AL13" s="20"/>
      <c r="AM13" s="20"/>
      <c r="AN13" s="29" t="s">
        <v>29</v>
      </c>
      <c r="AO13" s="20"/>
      <c r="AP13" s="20"/>
      <c r="AQ13" s="20"/>
      <c r="AR13" s="18"/>
      <c r="BE13" s="664"/>
      <c r="BS13" s="15" t="s">
        <v>6</v>
      </c>
    </row>
    <row r="14" spans="2:71" ht="12.75">
      <c r="B14" s="19"/>
      <c r="C14" s="20"/>
      <c r="D14" s="20"/>
      <c r="E14" s="669" t="s">
        <v>29</v>
      </c>
      <c r="F14" s="670"/>
      <c r="G14" s="670"/>
      <c r="H14" s="670"/>
      <c r="I14" s="670"/>
      <c r="J14" s="670"/>
      <c r="K14" s="670"/>
      <c r="L14" s="670"/>
      <c r="M14" s="670"/>
      <c r="N14" s="670"/>
      <c r="O14" s="670"/>
      <c r="P14" s="670"/>
      <c r="Q14" s="670"/>
      <c r="R14" s="670"/>
      <c r="S14" s="670"/>
      <c r="T14" s="670"/>
      <c r="U14" s="670"/>
      <c r="V14" s="670"/>
      <c r="W14" s="670"/>
      <c r="X14" s="670"/>
      <c r="Y14" s="670"/>
      <c r="Z14" s="670"/>
      <c r="AA14" s="670"/>
      <c r="AB14" s="670"/>
      <c r="AC14" s="670"/>
      <c r="AD14" s="670"/>
      <c r="AE14" s="670"/>
      <c r="AF14" s="670"/>
      <c r="AG14" s="670"/>
      <c r="AH14" s="670"/>
      <c r="AI14" s="670"/>
      <c r="AJ14" s="670"/>
      <c r="AK14" s="27" t="s">
        <v>27</v>
      </c>
      <c r="AL14" s="20"/>
      <c r="AM14" s="20"/>
      <c r="AN14" s="29" t="s">
        <v>29</v>
      </c>
      <c r="AO14" s="20"/>
      <c r="AP14" s="20"/>
      <c r="AQ14" s="20"/>
      <c r="AR14" s="18"/>
      <c r="BE14" s="664"/>
      <c r="BS14" s="15" t="s">
        <v>6</v>
      </c>
    </row>
    <row r="15" spans="2:71" s="1" customFormat="1" ht="6.95" customHeight="1">
      <c r="B15" s="19"/>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18"/>
      <c r="BE15" s="664"/>
      <c r="BS15" s="15" t="s">
        <v>4</v>
      </c>
    </row>
    <row r="16" spans="2:71" s="1" customFormat="1" ht="12" customHeight="1">
      <c r="B16" s="19"/>
      <c r="C16" s="20"/>
      <c r="D16" s="27" t="s">
        <v>30</v>
      </c>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7" t="s">
        <v>25</v>
      </c>
      <c r="AL16" s="20"/>
      <c r="AM16" s="20"/>
      <c r="AN16" s="25" t="s">
        <v>19</v>
      </c>
      <c r="AO16" s="20"/>
      <c r="AP16" s="20"/>
      <c r="AQ16" s="20"/>
      <c r="AR16" s="18"/>
      <c r="BE16" s="664"/>
      <c r="BS16" s="15" t="s">
        <v>4</v>
      </c>
    </row>
    <row r="17" spans="2:71" s="1" customFormat="1" ht="18.4" customHeight="1">
      <c r="B17" s="19"/>
      <c r="C17" s="20"/>
      <c r="D17" s="20"/>
      <c r="E17" s="25" t="s">
        <v>31</v>
      </c>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7" t="s">
        <v>27</v>
      </c>
      <c r="AL17" s="20"/>
      <c r="AM17" s="20"/>
      <c r="AN17" s="25" t="s">
        <v>19</v>
      </c>
      <c r="AO17" s="20"/>
      <c r="AP17" s="20"/>
      <c r="AQ17" s="20"/>
      <c r="AR17" s="18"/>
      <c r="BE17" s="664"/>
      <c r="BS17" s="15" t="s">
        <v>32</v>
      </c>
    </row>
    <row r="18" spans="2:71" s="1" customFormat="1" ht="6.95" customHeight="1">
      <c r="B18" s="19"/>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18"/>
      <c r="BE18" s="664"/>
      <c r="BS18" s="15" t="s">
        <v>6</v>
      </c>
    </row>
    <row r="19" spans="2:71" s="1" customFormat="1" ht="12" customHeight="1">
      <c r="B19" s="19"/>
      <c r="C19" s="20"/>
      <c r="D19" s="27" t="s">
        <v>33</v>
      </c>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7" t="s">
        <v>25</v>
      </c>
      <c r="AL19" s="20"/>
      <c r="AM19" s="20"/>
      <c r="AN19" s="25" t="s">
        <v>19</v>
      </c>
      <c r="AO19" s="20"/>
      <c r="AP19" s="20"/>
      <c r="AQ19" s="20"/>
      <c r="AR19" s="18"/>
      <c r="BE19" s="664"/>
      <c r="BS19" s="15" t="s">
        <v>6</v>
      </c>
    </row>
    <row r="20" spans="2:71" s="1" customFormat="1" ht="18.4" customHeight="1">
      <c r="B20" s="19"/>
      <c r="C20" s="20"/>
      <c r="D20" s="20"/>
      <c r="E20" s="25" t="s">
        <v>31</v>
      </c>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7" t="s">
        <v>27</v>
      </c>
      <c r="AL20" s="20"/>
      <c r="AM20" s="20"/>
      <c r="AN20" s="25" t="s">
        <v>19</v>
      </c>
      <c r="AO20" s="20"/>
      <c r="AP20" s="20"/>
      <c r="AQ20" s="20"/>
      <c r="AR20" s="18"/>
      <c r="BE20" s="664"/>
      <c r="BS20" s="15" t="s">
        <v>4</v>
      </c>
    </row>
    <row r="21" spans="2:57" s="1" customFormat="1" ht="6.95" customHeight="1">
      <c r="B21" s="19"/>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18"/>
      <c r="BE21" s="664"/>
    </row>
    <row r="22" spans="2:57" s="1" customFormat="1" ht="12" customHeight="1">
      <c r="B22" s="19"/>
      <c r="C22" s="20"/>
      <c r="D22" s="27" t="s">
        <v>34</v>
      </c>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18"/>
      <c r="BE22" s="664"/>
    </row>
    <row r="23" spans="2:57" s="1" customFormat="1" ht="48" customHeight="1">
      <c r="B23" s="19"/>
      <c r="C23" s="20"/>
      <c r="D23" s="20"/>
      <c r="E23" s="671" t="s">
        <v>35</v>
      </c>
      <c r="F23" s="671"/>
      <c r="G23" s="671"/>
      <c r="H23" s="671"/>
      <c r="I23" s="671"/>
      <c r="J23" s="671"/>
      <c r="K23" s="671"/>
      <c r="L23" s="671"/>
      <c r="M23" s="671"/>
      <c r="N23" s="671"/>
      <c r="O23" s="671"/>
      <c r="P23" s="671"/>
      <c r="Q23" s="671"/>
      <c r="R23" s="671"/>
      <c r="S23" s="671"/>
      <c r="T23" s="671"/>
      <c r="U23" s="671"/>
      <c r="V23" s="671"/>
      <c r="W23" s="671"/>
      <c r="X23" s="671"/>
      <c r="Y23" s="671"/>
      <c r="Z23" s="671"/>
      <c r="AA23" s="671"/>
      <c r="AB23" s="671"/>
      <c r="AC23" s="671"/>
      <c r="AD23" s="671"/>
      <c r="AE23" s="671"/>
      <c r="AF23" s="671"/>
      <c r="AG23" s="671"/>
      <c r="AH23" s="671"/>
      <c r="AI23" s="671"/>
      <c r="AJ23" s="671"/>
      <c r="AK23" s="671"/>
      <c r="AL23" s="671"/>
      <c r="AM23" s="671"/>
      <c r="AN23" s="671"/>
      <c r="AO23" s="20"/>
      <c r="AP23" s="20"/>
      <c r="AQ23" s="20"/>
      <c r="AR23" s="18"/>
      <c r="BE23" s="664"/>
    </row>
    <row r="24" spans="2:57" s="1" customFormat="1" ht="6.95" customHeight="1">
      <c r="B24" s="19"/>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18"/>
      <c r="BE24" s="664"/>
    </row>
    <row r="25" spans="2:57" s="1" customFormat="1" ht="6.95" customHeight="1">
      <c r="B25" s="19"/>
      <c r="C25" s="20"/>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20"/>
      <c r="AQ25" s="20"/>
      <c r="AR25" s="18"/>
      <c r="BE25" s="664"/>
    </row>
    <row r="26" spans="1:57" s="2" customFormat="1" ht="25.9" customHeight="1">
      <c r="A26" s="32"/>
      <c r="B26" s="33"/>
      <c r="C26" s="34"/>
      <c r="D26" s="35" t="s">
        <v>36</v>
      </c>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672">
        <f>ROUND(AG54,2)</f>
        <v>0</v>
      </c>
      <c r="AL26" s="673"/>
      <c r="AM26" s="673"/>
      <c r="AN26" s="673"/>
      <c r="AO26" s="673"/>
      <c r="AP26" s="34"/>
      <c r="AQ26" s="34"/>
      <c r="AR26" s="37"/>
      <c r="BE26" s="664"/>
    </row>
    <row r="27" spans="1:57" s="2" customFormat="1" ht="6.95" customHeight="1">
      <c r="A27" s="32"/>
      <c r="B27" s="33"/>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7"/>
      <c r="BE27" s="664"/>
    </row>
    <row r="28" spans="1:57" s="2" customFormat="1" ht="12.75">
      <c r="A28" s="32"/>
      <c r="B28" s="33"/>
      <c r="C28" s="34"/>
      <c r="D28" s="34"/>
      <c r="E28" s="34"/>
      <c r="F28" s="34"/>
      <c r="G28" s="34"/>
      <c r="H28" s="34"/>
      <c r="I28" s="34"/>
      <c r="J28" s="34"/>
      <c r="K28" s="34"/>
      <c r="L28" s="674" t="s">
        <v>37</v>
      </c>
      <c r="M28" s="674"/>
      <c r="N28" s="674"/>
      <c r="O28" s="674"/>
      <c r="P28" s="674"/>
      <c r="Q28" s="34"/>
      <c r="R28" s="34"/>
      <c r="S28" s="34"/>
      <c r="T28" s="34"/>
      <c r="U28" s="34"/>
      <c r="V28" s="34"/>
      <c r="W28" s="674" t="s">
        <v>38</v>
      </c>
      <c r="X28" s="674"/>
      <c r="Y28" s="674"/>
      <c r="Z28" s="674"/>
      <c r="AA28" s="674"/>
      <c r="AB28" s="674"/>
      <c r="AC28" s="674"/>
      <c r="AD28" s="674"/>
      <c r="AE28" s="674"/>
      <c r="AF28" s="34"/>
      <c r="AG28" s="34"/>
      <c r="AH28" s="34"/>
      <c r="AI28" s="34"/>
      <c r="AJ28" s="34"/>
      <c r="AK28" s="674" t="s">
        <v>39</v>
      </c>
      <c r="AL28" s="674"/>
      <c r="AM28" s="674"/>
      <c r="AN28" s="674"/>
      <c r="AO28" s="674"/>
      <c r="AP28" s="34"/>
      <c r="AQ28" s="34"/>
      <c r="AR28" s="37"/>
      <c r="BE28" s="664"/>
    </row>
    <row r="29" spans="2:57" s="3" customFormat="1" ht="14.45" customHeight="1">
      <c r="B29" s="38"/>
      <c r="C29" s="39"/>
      <c r="D29" s="27" t="s">
        <v>40</v>
      </c>
      <c r="E29" s="39"/>
      <c r="F29" s="27" t="s">
        <v>41</v>
      </c>
      <c r="G29" s="39"/>
      <c r="H29" s="39"/>
      <c r="I29" s="39"/>
      <c r="J29" s="39"/>
      <c r="K29" s="39"/>
      <c r="L29" s="677">
        <v>0.21</v>
      </c>
      <c r="M29" s="676"/>
      <c r="N29" s="676"/>
      <c r="O29" s="676"/>
      <c r="P29" s="676"/>
      <c r="Q29" s="39"/>
      <c r="R29" s="39"/>
      <c r="S29" s="39"/>
      <c r="T29" s="39"/>
      <c r="U29" s="39"/>
      <c r="V29" s="39"/>
      <c r="W29" s="675">
        <f>ROUND(AZ54,2)</f>
        <v>0</v>
      </c>
      <c r="X29" s="676"/>
      <c r="Y29" s="676"/>
      <c r="Z29" s="676"/>
      <c r="AA29" s="676"/>
      <c r="AB29" s="676"/>
      <c r="AC29" s="676"/>
      <c r="AD29" s="676"/>
      <c r="AE29" s="676"/>
      <c r="AF29" s="39"/>
      <c r="AG29" s="39"/>
      <c r="AH29" s="39"/>
      <c r="AI29" s="39"/>
      <c r="AJ29" s="39"/>
      <c r="AK29" s="675">
        <f>ROUND(AV54,2)</f>
        <v>0</v>
      </c>
      <c r="AL29" s="676"/>
      <c r="AM29" s="676"/>
      <c r="AN29" s="676"/>
      <c r="AO29" s="676"/>
      <c r="AP29" s="39"/>
      <c r="AQ29" s="39"/>
      <c r="AR29" s="40"/>
      <c r="BE29" s="665"/>
    </row>
    <row r="30" spans="2:57" s="3" customFormat="1" ht="14.45" customHeight="1">
      <c r="B30" s="38"/>
      <c r="C30" s="39"/>
      <c r="D30" s="39"/>
      <c r="E30" s="39"/>
      <c r="F30" s="27" t="s">
        <v>42</v>
      </c>
      <c r="G30" s="39"/>
      <c r="H30" s="39"/>
      <c r="I30" s="39"/>
      <c r="J30" s="39"/>
      <c r="K30" s="39"/>
      <c r="L30" s="677">
        <v>0.15</v>
      </c>
      <c r="M30" s="676"/>
      <c r="N30" s="676"/>
      <c r="O30" s="676"/>
      <c r="P30" s="676"/>
      <c r="Q30" s="39"/>
      <c r="R30" s="39"/>
      <c r="S30" s="39"/>
      <c r="T30" s="39"/>
      <c r="U30" s="39"/>
      <c r="V30" s="39"/>
      <c r="W30" s="675">
        <f>ROUND(BA54,2)</f>
        <v>0</v>
      </c>
      <c r="X30" s="676"/>
      <c r="Y30" s="676"/>
      <c r="Z30" s="676"/>
      <c r="AA30" s="676"/>
      <c r="AB30" s="676"/>
      <c r="AC30" s="676"/>
      <c r="AD30" s="676"/>
      <c r="AE30" s="676"/>
      <c r="AF30" s="39"/>
      <c r="AG30" s="39"/>
      <c r="AH30" s="39"/>
      <c r="AI30" s="39"/>
      <c r="AJ30" s="39"/>
      <c r="AK30" s="675">
        <f>ROUND(AW54,2)</f>
        <v>0</v>
      </c>
      <c r="AL30" s="676"/>
      <c r="AM30" s="676"/>
      <c r="AN30" s="676"/>
      <c r="AO30" s="676"/>
      <c r="AP30" s="39"/>
      <c r="AQ30" s="39"/>
      <c r="AR30" s="40"/>
      <c r="BE30" s="665"/>
    </row>
    <row r="31" spans="2:57" s="3" customFormat="1" ht="14.45" customHeight="1" hidden="1">
      <c r="B31" s="38"/>
      <c r="C31" s="39"/>
      <c r="D31" s="39"/>
      <c r="E31" s="39"/>
      <c r="F31" s="27" t="s">
        <v>43</v>
      </c>
      <c r="G31" s="39"/>
      <c r="H31" s="39"/>
      <c r="I31" s="39"/>
      <c r="J31" s="39"/>
      <c r="K31" s="39"/>
      <c r="L31" s="677">
        <v>0.21</v>
      </c>
      <c r="M31" s="676"/>
      <c r="N31" s="676"/>
      <c r="O31" s="676"/>
      <c r="P31" s="676"/>
      <c r="Q31" s="39"/>
      <c r="R31" s="39"/>
      <c r="S31" s="39"/>
      <c r="T31" s="39"/>
      <c r="U31" s="39"/>
      <c r="V31" s="39"/>
      <c r="W31" s="675">
        <f>ROUND(BB54,2)</f>
        <v>0</v>
      </c>
      <c r="X31" s="676"/>
      <c r="Y31" s="676"/>
      <c r="Z31" s="676"/>
      <c r="AA31" s="676"/>
      <c r="AB31" s="676"/>
      <c r="AC31" s="676"/>
      <c r="AD31" s="676"/>
      <c r="AE31" s="676"/>
      <c r="AF31" s="39"/>
      <c r="AG31" s="39"/>
      <c r="AH31" s="39"/>
      <c r="AI31" s="39"/>
      <c r="AJ31" s="39"/>
      <c r="AK31" s="675">
        <v>0</v>
      </c>
      <c r="AL31" s="676"/>
      <c r="AM31" s="676"/>
      <c r="AN31" s="676"/>
      <c r="AO31" s="676"/>
      <c r="AP31" s="39"/>
      <c r="AQ31" s="39"/>
      <c r="AR31" s="40"/>
      <c r="BE31" s="665"/>
    </row>
    <row r="32" spans="2:57" s="3" customFormat="1" ht="14.45" customHeight="1" hidden="1">
      <c r="B32" s="38"/>
      <c r="C32" s="39"/>
      <c r="D32" s="39"/>
      <c r="E32" s="39"/>
      <c r="F32" s="27" t="s">
        <v>44</v>
      </c>
      <c r="G32" s="39"/>
      <c r="H32" s="39"/>
      <c r="I32" s="39"/>
      <c r="J32" s="39"/>
      <c r="K32" s="39"/>
      <c r="L32" s="677">
        <v>0.15</v>
      </c>
      <c r="M32" s="676"/>
      <c r="N32" s="676"/>
      <c r="O32" s="676"/>
      <c r="P32" s="676"/>
      <c r="Q32" s="39"/>
      <c r="R32" s="39"/>
      <c r="S32" s="39"/>
      <c r="T32" s="39"/>
      <c r="U32" s="39"/>
      <c r="V32" s="39"/>
      <c r="W32" s="675">
        <f>ROUND(BC54,2)</f>
        <v>0</v>
      </c>
      <c r="X32" s="676"/>
      <c r="Y32" s="676"/>
      <c r="Z32" s="676"/>
      <c r="AA32" s="676"/>
      <c r="AB32" s="676"/>
      <c r="AC32" s="676"/>
      <c r="AD32" s="676"/>
      <c r="AE32" s="676"/>
      <c r="AF32" s="39"/>
      <c r="AG32" s="39"/>
      <c r="AH32" s="39"/>
      <c r="AI32" s="39"/>
      <c r="AJ32" s="39"/>
      <c r="AK32" s="675">
        <v>0</v>
      </c>
      <c r="AL32" s="676"/>
      <c r="AM32" s="676"/>
      <c r="AN32" s="676"/>
      <c r="AO32" s="676"/>
      <c r="AP32" s="39"/>
      <c r="AQ32" s="39"/>
      <c r="AR32" s="40"/>
      <c r="BE32" s="665"/>
    </row>
    <row r="33" spans="2:44" s="3" customFormat="1" ht="14.45" customHeight="1" hidden="1">
      <c r="B33" s="38"/>
      <c r="C33" s="39"/>
      <c r="D33" s="39"/>
      <c r="E33" s="39"/>
      <c r="F33" s="27" t="s">
        <v>45</v>
      </c>
      <c r="G33" s="39"/>
      <c r="H33" s="39"/>
      <c r="I33" s="39"/>
      <c r="J33" s="39"/>
      <c r="K33" s="39"/>
      <c r="L33" s="677">
        <v>0</v>
      </c>
      <c r="M33" s="676"/>
      <c r="N33" s="676"/>
      <c r="O33" s="676"/>
      <c r="P33" s="676"/>
      <c r="Q33" s="39"/>
      <c r="R33" s="39"/>
      <c r="S33" s="39"/>
      <c r="T33" s="39"/>
      <c r="U33" s="39"/>
      <c r="V33" s="39"/>
      <c r="W33" s="675">
        <f>ROUND(BD54,2)</f>
        <v>0</v>
      </c>
      <c r="X33" s="676"/>
      <c r="Y33" s="676"/>
      <c r="Z33" s="676"/>
      <c r="AA33" s="676"/>
      <c r="AB33" s="676"/>
      <c r="AC33" s="676"/>
      <c r="AD33" s="676"/>
      <c r="AE33" s="676"/>
      <c r="AF33" s="39"/>
      <c r="AG33" s="39"/>
      <c r="AH33" s="39"/>
      <c r="AI33" s="39"/>
      <c r="AJ33" s="39"/>
      <c r="AK33" s="675">
        <v>0</v>
      </c>
      <c r="AL33" s="676"/>
      <c r="AM33" s="676"/>
      <c r="AN33" s="676"/>
      <c r="AO33" s="676"/>
      <c r="AP33" s="39"/>
      <c r="AQ33" s="39"/>
      <c r="AR33" s="40"/>
    </row>
    <row r="34" spans="1:57" s="2" customFormat="1" ht="6.95" customHeight="1">
      <c r="A34" s="32"/>
      <c r="B34" s="33"/>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7"/>
      <c r="BE34" s="32"/>
    </row>
    <row r="35" spans="1:57" s="2" customFormat="1" ht="25.9" customHeight="1">
      <c r="A35" s="32"/>
      <c r="B35" s="33"/>
      <c r="C35" s="41"/>
      <c r="D35" s="42" t="s">
        <v>46</v>
      </c>
      <c r="E35" s="43"/>
      <c r="F35" s="43"/>
      <c r="G35" s="43"/>
      <c r="H35" s="43"/>
      <c r="I35" s="43"/>
      <c r="J35" s="43"/>
      <c r="K35" s="43"/>
      <c r="L35" s="43"/>
      <c r="M35" s="43"/>
      <c r="N35" s="43"/>
      <c r="O35" s="43"/>
      <c r="P35" s="43"/>
      <c r="Q35" s="43"/>
      <c r="R35" s="43"/>
      <c r="S35" s="43"/>
      <c r="T35" s="44" t="s">
        <v>47</v>
      </c>
      <c r="U35" s="43"/>
      <c r="V35" s="43"/>
      <c r="W35" s="43"/>
      <c r="X35" s="681" t="s">
        <v>48</v>
      </c>
      <c r="Y35" s="679"/>
      <c r="Z35" s="679"/>
      <c r="AA35" s="679"/>
      <c r="AB35" s="679"/>
      <c r="AC35" s="43"/>
      <c r="AD35" s="43"/>
      <c r="AE35" s="43"/>
      <c r="AF35" s="43"/>
      <c r="AG35" s="43"/>
      <c r="AH35" s="43"/>
      <c r="AI35" s="43"/>
      <c r="AJ35" s="43"/>
      <c r="AK35" s="678">
        <f>SUM(AK26:AK33)</f>
        <v>0</v>
      </c>
      <c r="AL35" s="679"/>
      <c r="AM35" s="679"/>
      <c r="AN35" s="679"/>
      <c r="AO35" s="680"/>
      <c r="AP35" s="41"/>
      <c r="AQ35" s="41"/>
      <c r="AR35" s="37"/>
      <c r="BE35" s="32"/>
    </row>
    <row r="36" spans="1:57" s="2" customFormat="1" ht="6.95" customHeight="1">
      <c r="A36" s="32"/>
      <c r="B36" s="33"/>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7"/>
      <c r="BE36" s="32"/>
    </row>
    <row r="37" spans="1:57" s="2" customFormat="1" ht="6.95" customHeight="1">
      <c r="A37" s="32"/>
      <c r="B37" s="45"/>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37"/>
      <c r="BE37" s="32"/>
    </row>
    <row r="41" spans="1:57" s="2" customFormat="1" ht="6.95" customHeight="1">
      <c r="A41" s="32"/>
      <c r="B41" s="47"/>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37"/>
      <c r="BE41" s="32"/>
    </row>
    <row r="42" spans="1:57" s="2" customFormat="1" ht="24.95" customHeight="1">
      <c r="A42" s="32"/>
      <c r="B42" s="33"/>
      <c r="C42" s="21" t="s">
        <v>49</v>
      </c>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7"/>
      <c r="BE42" s="32"/>
    </row>
    <row r="43" spans="1:57" s="2" customFormat="1" ht="6.95" customHeight="1">
      <c r="A43" s="32"/>
      <c r="B43" s="33"/>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7"/>
      <c r="BE43" s="32"/>
    </row>
    <row r="44" spans="2:44" s="4" customFormat="1" ht="12" customHeight="1">
      <c r="B44" s="49"/>
      <c r="C44" s="27" t="s">
        <v>13</v>
      </c>
      <c r="D44" s="50"/>
      <c r="E44" s="50"/>
      <c r="F44" s="50"/>
      <c r="G44" s="50"/>
      <c r="H44" s="50"/>
      <c r="I44" s="50"/>
      <c r="J44" s="50"/>
      <c r="K44" s="50"/>
      <c r="L44" s="50" t="str">
        <f>K5</f>
        <v>S-19040</v>
      </c>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1"/>
    </row>
    <row r="45" spans="2:44" s="5" customFormat="1" ht="36.95" customHeight="1">
      <c r="B45" s="52"/>
      <c r="C45" s="53" t="s">
        <v>16</v>
      </c>
      <c r="D45" s="54"/>
      <c r="E45" s="54"/>
      <c r="F45" s="54"/>
      <c r="G45" s="54"/>
      <c r="H45" s="54"/>
      <c r="I45" s="54"/>
      <c r="J45" s="54"/>
      <c r="K45" s="54"/>
      <c r="L45" s="696" t="str">
        <f>K6</f>
        <v>Úpravy gastroprovozu Úřadu vlády ČR v 1.pp Strakovy akademie</v>
      </c>
      <c r="M45" s="697"/>
      <c r="N45" s="697"/>
      <c r="O45" s="697"/>
      <c r="P45" s="697"/>
      <c r="Q45" s="697"/>
      <c r="R45" s="697"/>
      <c r="S45" s="697"/>
      <c r="T45" s="697"/>
      <c r="U45" s="697"/>
      <c r="V45" s="697"/>
      <c r="W45" s="697"/>
      <c r="X45" s="697"/>
      <c r="Y45" s="697"/>
      <c r="Z45" s="697"/>
      <c r="AA45" s="697"/>
      <c r="AB45" s="697"/>
      <c r="AC45" s="697"/>
      <c r="AD45" s="697"/>
      <c r="AE45" s="697"/>
      <c r="AF45" s="697"/>
      <c r="AG45" s="697"/>
      <c r="AH45" s="697"/>
      <c r="AI45" s="697"/>
      <c r="AJ45" s="697"/>
      <c r="AK45" s="697"/>
      <c r="AL45" s="697"/>
      <c r="AM45" s="697"/>
      <c r="AN45" s="697"/>
      <c r="AO45" s="697"/>
      <c r="AP45" s="54"/>
      <c r="AQ45" s="54"/>
      <c r="AR45" s="55"/>
    </row>
    <row r="46" spans="1:57" s="2" customFormat="1" ht="6.95" customHeight="1">
      <c r="A46" s="32"/>
      <c r="B46" s="33"/>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7"/>
      <c r="BE46" s="32"/>
    </row>
    <row r="47" spans="1:57" s="2" customFormat="1" ht="12" customHeight="1">
      <c r="A47" s="32"/>
      <c r="B47" s="33"/>
      <c r="C47" s="27" t="s">
        <v>21</v>
      </c>
      <c r="D47" s="34"/>
      <c r="E47" s="34"/>
      <c r="F47" s="34"/>
      <c r="G47" s="34"/>
      <c r="H47" s="34"/>
      <c r="I47" s="34"/>
      <c r="J47" s="34"/>
      <c r="K47" s="34"/>
      <c r="L47" s="56" t="str">
        <f>IF(K8="","",K8)</f>
        <v xml:space="preserve">Praha </v>
      </c>
      <c r="M47" s="34"/>
      <c r="N47" s="34"/>
      <c r="O47" s="34"/>
      <c r="P47" s="34"/>
      <c r="Q47" s="34"/>
      <c r="R47" s="34"/>
      <c r="S47" s="34"/>
      <c r="T47" s="34"/>
      <c r="U47" s="34"/>
      <c r="V47" s="34"/>
      <c r="W47" s="34"/>
      <c r="X47" s="34"/>
      <c r="Y47" s="34"/>
      <c r="Z47" s="34"/>
      <c r="AA47" s="34"/>
      <c r="AB47" s="34"/>
      <c r="AC47" s="34"/>
      <c r="AD47" s="34"/>
      <c r="AE47" s="34"/>
      <c r="AF47" s="34"/>
      <c r="AG47" s="34"/>
      <c r="AH47" s="34"/>
      <c r="AI47" s="27" t="s">
        <v>23</v>
      </c>
      <c r="AJ47" s="34"/>
      <c r="AK47" s="34"/>
      <c r="AL47" s="34"/>
      <c r="AM47" s="686" t="str">
        <f>IF(AN8="","",AN8)</f>
        <v>Vyplň údaj</v>
      </c>
      <c r="AN47" s="686"/>
      <c r="AO47" s="34"/>
      <c r="AP47" s="34"/>
      <c r="AQ47" s="34"/>
      <c r="AR47" s="37"/>
      <c r="BE47" s="32"/>
    </row>
    <row r="48" spans="1:57" s="2" customFormat="1" ht="6.95" customHeight="1">
      <c r="A48" s="32"/>
      <c r="B48" s="33"/>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7"/>
      <c r="BE48" s="32"/>
    </row>
    <row r="49" spans="1:57" s="2" customFormat="1" ht="15.6" customHeight="1">
      <c r="A49" s="32"/>
      <c r="B49" s="33"/>
      <c r="C49" s="27" t="s">
        <v>24</v>
      </c>
      <c r="D49" s="34"/>
      <c r="E49" s="34"/>
      <c r="F49" s="34"/>
      <c r="G49" s="34"/>
      <c r="H49" s="34"/>
      <c r="I49" s="34"/>
      <c r="J49" s="34"/>
      <c r="K49" s="34"/>
      <c r="L49" s="50" t="str">
        <f>IF(E11="","",E11)</f>
        <v xml:space="preserve">Úřad vlády České republiky </v>
      </c>
      <c r="M49" s="34"/>
      <c r="N49" s="34"/>
      <c r="O49" s="34"/>
      <c r="P49" s="34"/>
      <c r="Q49" s="34"/>
      <c r="R49" s="34"/>
      <c r="S49" s="34"/>
      <c r="T49" s="34"/>
      <c r="U49" s="34"/>
      <c r="V49" s="34"/>
      <c r="W49" s="34"/>
      <c r="X49" s="34"/>
      <c r="Y49" s="34"/>
      <c r="Z49" s="34"/>
      <c r="AA49" s="34"/>
      <c r="AB49" s="34"/>
      <c r="AC49" s="34"/>
      <c r="AD49" s="34"/>
      <c r="AE49" s="34"/>
      <c r="AF49" s="34"/>
      <c r="AG49" s="34"/>
      <c r="AH49" s="34"/>
      <c r="AI49" s="27" t="s">
        <v>30</v>
      </c>
      <c r="AJ49" s="34"/>
      <c r="AK49" s="34"/>
      <c r="AL49" s="34"/>
      <c r="AM49" s="687" t="str">
        <f>IF(E17="","",E17)</f>
        <v>Ateliér Simona Group</v>
      </c>
      <c r="AN49" s="688"/>
      <c r="AO49" s="688"/>
      <c r="AP49" s="688"/>
      <c r="AQ49" s="34"/>
      <c r="AR49" s="37"/>
      <c r="AS49" s="690" t="s">
        <v>50</v>
      </c>
      <c r="AT49" s="691"/>
      <c r="AU49" s="58"/>
      <c r="AV49" s="58"/>
      <c r="AW49" s="58"/>
      <c r="AX49" s="58"/>
      <c r="AY49" s="58"/>
      <c r="AZ49" s="58"/>
      <c r="BA49" s="58"/>
      <c r="BB49" s="58"/>
      <c r="BC49" s="58"/>
      <c r="BD49" s="59"/>
      <c r="BE49" s="32"/>
    </row>
    <row r="50" spans="1:57" s="2" customFormat="1" ht="15.6" customHeight="1">
      <c r="A50" s="32"/>
      <c r="B50" s="33"/>
      <c r="C50" s="27" t="s">
        <v>28</v>
      </c>
      <c r="D50" s="34"/>
      <c r="E50" s="34"/>
      <c r="F50" s="34"/>
      <c r="G50" s="34"/>
      <c r="H50" s="34"/>
      <c r="I50" s="34"/>
      <c r="J50" s="34"/>
      <c r="K50" s="34"/>
      <c r="L50" s="50" t="str">
        <f>IF(E14="Vyplň údaj","",E14)</f>
        <v/>
      </c>
      <c r="M50" s="34"/>
      <c r="N50" s="34"/>
      <c r="O50" s="34"/>
      <c r="P50" s="34"/>
      <c r="Q50" s="34"/>
      <c r="R50" s="34"/>
      <c r="S50" s="34"/>
      <c r="T50" s="34"/>
      <c r="U50" s="34"/>
      <c r="V50" s="34"/>
      <c r="W50" s="34"/>
      <c r="X50" s="34"/>
      <c r="Y50" s="34"/>
      <c r="Z50" s="34"/>
      <c r="AA50" s="34"/>
      <c r="AB50" s="34"/>
      <c r="AC50" s="34"/>
      <c r="AD50" s="34"/>
      <c r="AE50" s="34"/>
      <c r="AF50" s="34"/>
      <c r="AG50" s="34"/>
      <c r="AH50" s="34"/>
      <c r="AI50" s="27" t="s">
        <v>33</v>
      </c>
      <c r="AJ50" s="34"/>
      <c r="AK50" s="34"/>
      <c r="AL50" s="34"/>
      <c r="AM50" s="687" t="str">
        <f>IF(E20="","",E20)</f>
        <v>Ateliér Simona Group</v>
      </c>
      <c r="AN50" s="688"/>
      <c r="AO50" s="688"/>
      <c r="AP50" s="688"/>
      <c r="AQ50" s="34"/>
      <c r="AR50" s="37"/>
      <c r="AS50" s="692"/>
      <c r="AT50" s="693"/>
      <c r="AU50" s="60"/>
      <c r="AV50" s="60"/>
      <c r="AW50" s="60"/>
      <c r="AX50" s="60"/>
      <c r="AY50" s="60"/>
      <c r="AZ50" s="60"/>
      <c r="BA50" s="60"/>
      <c r="BB50" s="60"/>
      <c r="BC50" s="60"/>
      <c r="BD50" s="61"/>
      <c r="BE50" s="32"/>
    </row>
    <row r="51" spans="1:57" s="2" customFormat="1" ht="10.9" customHeight="1">
      <c r="A51" s="32"/>
      <c r="B51" s="33"/>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7"/>
      <c r="AS51" s="694"/>
      <c r="AT51" s="695"/>
      <c r="AU51" s="62"/>
      <c r="AV51" s="62"/>
      <c r="AW51" s="62"/>
      <c r="AX51" s="62"/>
      <c r="AY51" s="62"/>
      <c r="AZ51" s="62"/>
      <c r="BA51" s="62"/>
      <c r="BB51" s="62"/>
      <c r="BC51" s="62"/>
      <c r="BD51" s="63"/>
      <c r="BE51" s="32"/>
    </row>
    <row r="52" spans="1:57" s="2" customFormat="1" ht="29.25" customHeight="1">
      <c r="A52" s="32"/>
      <c r="B52" s="33"/>
      <c r="C52" s="660" t="s">
        <v>51</v>
      </c>
      <c r="D52" s="658"/>
      <c r="E52" s="658"/>
      <c r="F52" s="658"/>
      <c r="G52" s="658"/>
      <c r="H52" s="64"/>
      <c r="I52" s="657" t="s">
        <v>52</v>
      </c>
      <c r="J52" s="658"/>
      <c r="K52" s="658"/>
      <c r="L52" s="658"/>
      <c r="M52" s="658"/>
      <c r="N52" s="658"/>
      <c r="O52" s="658"/>
      <c r="P52" s="658"/>
      <c r="Q52" s="658"/>
      <c r="R52" s="658"/>
      <c r="S52" s="658"/>
      <c r="T52" s="658"/>
      <c r="U52" s="658"/>
      <c r="V52" s="658"/>
      <c r="W52" s="658"/>
      <c r="X52" s="658"/>
      <c r="Y52" s="658"/>
      <c r="Z52" s="658"/>
      <c r="AA52" s="658"/>
      <c r="AB52" s="658"/>
      <c r="AC52" s="658"/>
      <c r="AD52" s="658"/>
      <c r="AE52" s="658"/>
      <c r="AF52" s="658"/>
      <c r="AG52" s="685" t="s">
        <v>53</v>
      </c>
      <c r="AH52" s="658"/>
      <c r="AI52" s="658"/>
      <c r="AJ52" s="658"/>
      <c r="AK52" s="658"/>
      <c r="AL52" s="658"/>
      <c r="AM52" s="658"/>
      <c r="AN52" s="657" t="s">
        <v>54</v>
      </c>
      <c r="AO52" s="658"/>
      <c r="AP52" s="658"/>
      <c r="AQ52" s="65" t="s">
        <v>55</v>
      </c>
      <c r="AR52" s="37"/>
      <c r="AS52" s="66" t="s">
        <v>56</v>
      </c>
      <c r="AT52" s="67" t="s">
        <v>57</v>
      </c>
      <c r="AU52" s="67" t="s">
        <v>58</v>
      </c>
      <c r="AV52" s="67" t="s">
        <v>59</v>
      </c>
      <c r="AW52" s="67" t="s">
        <v>60</v>
      </c>
      <c r="AX52" s="67" t="s">
        <v>61</v>
      </c>
      <c r="AY52" s="67" t="s">
        <v>62</v>
      </c>
      <c r="AZ52" s="67" t="s">
        <v>63</v>
      </c>
      <c r="BA52" s="67" t="s">
        <v>64</v>
      </c>
      <c r="BB52" s="67" t="s">
        <v>65</v>
      </c>
      <c r="BC52" s="67" t="s">
        <v>66</v>
      </c>
      <c r="BD52" s="68" t="s">
        <v>67</v>
      </c>
      <c r="BE52" s="32"/>
    </row>
    <row r="53" spans="1:57" s="2" customFormat="1" ht="10.9" customHeight="1">
      <c r="A53" s="32"/>
      <c r="B53" s="33"/>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7"/>
      <c r="AS53" s="69"/>
      <c r="AT53" s="70"/>
      <c r="AU53" s="70"/>
      <c r="AV53" s="70"/>
      <c r="AW53" s="70"/>
      <c r="AX53" s="70"/>
      <c r="AY53" s="70"/>
      <c r="AZ53" s="70"/>
      <c r="BA53" s="70"/>
      <c r="BB53" s="70"/>
      <c r="BC53" s="70"/>
      <c r="BD53" s="71"/>
      <c r="BE53" s="32"/>
    </row>
    <row r="54" spans="2:90" s="6" customFormat="1" ht="32.45" customHeight="1">
      <c r="B54" s="72"/>
      <c r="C54" s="73" t="s">
        <v>68</v>
      </c>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662">
        <f>ROUND(AG55+AG57+AG74,2)</f>
        <v>0</v>
      </c>
      <c r="AH54" s="662"/>
      <c r="AI54" s="662"/>
      <c r="AJ54" s="662"/>
      <c r="AK54" s="662"/>
      <c r="AL54" s="662"/>
      <c r="AM54" s="662"/>
      <c r="AN54" s="698">
        <f aca="true" t="shared" si="0" ref="AN54:AN75">SUM(AG54,AT54)</f>
        <v>0</v>
      </c>
      <c r="AO54" s="698"/>
      <c r="AP54" s="698"/>
      <c r="AQ54" s="76" t="s">
        <v>19</v>
      </c>
      <c r="AR54" s="77"/>
      <c r="AS54" s="78">
        <f>ROUND(AS55+AS57+AS74,2)</f>
        <v>0</v>
      </c>
      <c r="AT54" s="79">
        <f aca="true" t="shared" si="1" ref="AT54:AT75">ROUND(SUM(AV54:AW54),2)</f>
        <v>0</v>
      </c>
      <c r="AU54" s="80">
        <f>ROUND(AU55+AU57+AU74,5)</f>
        <v>0</v>
      </c>
      <c r="AV54" s="79">
        <f>ROUND(AZ54*L29,2)</f>
        <v>0</v>
      </c>
      <c r="AW54" s="79">
        <f>ROUND(BA54*L30,2)</f>
        <v>0</v>
      </c>
      <c r="AX54" s="79">
        <f>ROUND(BB54*L29,2)</f>
        <v>0</v>
      </c>
      <c r="AY54" s="79">
        <f>ROUND(BC54*L30,2)</f>
        <v>0</v>
      </c>
      <c r="AZ54" s="79">
        <f>ROUND(AZ55+AZ57+AZ74,2)</f>
        <v>0</v>
      </c>
      <c r="BA54" s="79">
        <f>ROUND(BA55+BA57+BA74,2)</f>
        <v>0</v>
      </c>
      <c r="BB54" s="79">
        <f>ROUND(BB55+BB57+BB74,2)</f>
        <v>0</v>
      </c>
      <c r="BC54" s="79">
        <f>ROUND(BC55+BC57+BC74,2)</f>
        <v>0</v>
      </c>
      <c r="BD54" s="81">
        <f>ROUND(BD55+BD57+BD74,2)</f>
        <v>0</v>
      </c>
      <c r="BS54" s="82" t="s">
        <v>69</v>
      </c>
      <c r="BT54" s="82" t="s">
        <v>70</v>
      </c>
      <c r="BU54" s="83" t="s">
        <v>71</v>
      </c>
      <c r="BV54" s="82" t="s">
        <v>72</v>
      </c>
      <c r="BW54" s="82" t="s">
        <v>5</v>
      </c>
      <c r="BX54" s="82" t="s">
        <v>73</v>
      </c>
      <c r="CL54" s="82" t="s">
        <v>19</v>
      </c>
    </row>
    <row r="55" spans="2:91" s="7" customFormat="1" ht="15">
      <c r="B55" s="84"/>
      <c r="C55" s="85"/>
      <c r="D55" s="659" t="s">
        <v>74</v>
      </c>
      <c r="E55" s="659"/>
      <c r="F55" s="659"/>
      <c r="G55" s="659"/>
      <c r="H55" s="659"/>
      <c r="I55" s="86"/>
      <c r="J55" s="659" t="s">
        <v>75</v>
      </c>
      <c r="K55" s="659"/>
      <c r="L55" s="659"/>
      <c r="M55" s="659"/>
      <c r="N55" s="659"/>
      <c r="O55" s="659"/>
      <c r="P55" s="659"/>
      <c r="Q55" s="659"/>
      <c r="R55" s="659"/>
      <c r="S55" s="659"/>
      <c r="T55" s="659"/>
      <c r="U55" s="659"/>
      <c r="V55" s="659"/>
      <c r="W55" s="659"/>
      <c r="X55" s="659"/>
      <c r="Y55" s="659"/>
      <c r="Z55" s="659"/>
      <c r="AA55" s="659"/>
      <c r="AB55" s="659"/>
      <c r="AC55" s="659"/>
      <c r="AD55" s="659"/>
      <c r="AE55" s="659"/>
      <c r="AF55" s="659"/>
      <c r="AG55" s="683">
        <f>ROUND(AG56,2)</f>
        <v>0</v>
      </c>
      <c r="AH55" s="684"/>
      <c r="AI55" s="684"/>
      <c r="AJ55" s="684"/>
      <c r="AK55" s="684"/>
      <c r="AL55" s="684"/>
      <c r="AM55" s="684"/>
      <c r="AN55" s="689">
        <f t="shared" si="0"/>
        <v>0</v>
      </c>
      <c r="AO55" s="684"/>
      <c r="AP55" s="684"/>
      <c r="AQ55" s="87" t="s">
        <v>76</v>
      </c>
      <c r="AR55" s="88"/>
      <c r="AS55" s="89">
        <f>ROUND(AS56,2)</f>
        <v>0</v>
      </c>
      <c r="AT55" s="90">
        <f t="shared" si="1"/>
        <v>0</v>
      </c>
      <c r="AU55" s="91">
        <f>ROUND(AU56,5)</f>
        <v>0</v>
      </c>
      <c r="AV55" s="90">
        <f>ROUND(AZ55*L29,2)</f>
        <v>0</v>
      </c>
      <c r="AW55" s="90">
        <f>ROUND(BA55*L30,2)</f>
        <v>0</v>
      </c>
      <c r="AX55" s="90">
        <f>ROUND(BB55*L29,2)</f>
        <v>0</v>
      </c>
      <c r="AY55" s="90">
        <f>ROUND(BC55*L30,2)</f>
        <v>0</v>
      </c>
      <c r="AZ55" s="90">
        <f>ROUND(AZ56,2)</f>
        <v>0</v>
      </c>
      <c r="BA55" s="90">
        <f>ROUND(BA56,2)</f>
        <v>0</v>
      </c>
      <c r="BB55" s="90">
        <f>ROUND(BB56,2)</f>
        <v>0</v>
      </c>
      <c r="BC55" s="90">
        <f>ROUND(BC56,2)</f>
        <v>0</v>
      </c>
      <c r="BD55" s="92">
        <f>ROUND(BD56,2)</f>
        <v>0</v>
      </c>
      <c r="BS55" s="93" t="s">
        <v>69</v>
      </c>
      <c r="BT55" s="93" t="s">
        <v>77</v>
      </c>
      <c r="BU55" s="93" t="s">
        <v>71</v>
      </c>
      <c r="BV55" s="93" t="s">
        <v>72</v>
      </c>
      <c r="BW55" s="93" t="s">
        <v>78</v>
      </c>
      <c r="BX55" s="93" t="s">
        <v>5</v>
      </c>
      <c r="CL55" s="93" t="s">
        <v>19</v>
      </c>
      <c r="CM55" s="93" t="s">
        <v>79</v>
      </c>
    </row>
    <row r="56" spans="1:90" s="4" customFormat="1" ht="22.5">
      <c r="A56" s="94" t="s">
        <v>80</v>
      </c>
      <c r="B56" s="49"/>
      <c r="C56" s="95"/>
      <c r="D56" s="95"/>
      <c r="E56" s="656" t="s">
        <v>81</v>
      </c>
      <c r="F56" s="656"/>
      <c r="G56" s="656"/>
      <c r="H56" s="656"/>
      <c r="I56" s="656"/>
      <c r="J56" s="95"/>
      <c r="K56" s="656" t="s">
        <v>82</v>
      </c>
      <c r="L56" s="656"/>
      <c r="M56" s="656"/>
      <c r="N56" s="656"/>
      <c r="O56" s="656"/>
      <c r="P56" s="656"/>
      <c r="Q56" s="656"/>
      <c r="R56" s="656"/>
      <c r="S56" s="656"/>
      <c r="T56" s="656"/>
      <c r="U56" s="656"/>
      <c r="V56" s="656"/>
      <c r="W56" s="656"/>
      <c r="X56" s="656"/>
      <c r="Y56" s="656"/>
      <c r="Z56" s="656"/>
      <c r="AA56" s="656"/>
      <c r="AB56" s="656"/>
      <c r="AC56" s="656"/>
      <c r="AD56" s="656"/>
      <c r="AE56" s="656"/>
      <c r="AF56" s="656"/>
      <c r="AG56" s="654">
        <f>'D.1.1 ASR'!J32</f>
        <v>0</v>
      </c>
      <c r="AH56" s="655"/>
      <c r="AI56" s="655"/>
      <c r="AJ56" s="655"/>
      <c r="AK56" s="655"/>
      <c r="AL56" s="655"/>
      <c r="AM56" s="655"/>
      <c r="AN56" s="654">
        <f t="shared" si="0"/>
        <v>0</v>
      </c>
      <c r="AO56" s="655"/>
      <c r="AP56" s="655"/>
      <c r="AQ56" s="96" t="s">
        <v>83</v>
      </c>
      <c r="AR56" s="51"/>
      <c r="AS56" s="97">
        <v>0</v>
      </c>
      <c r="AT56" s="98">
        <f t="shared" si="1"/>
        <v>0</v>
      </c>
      <c r="AU56" s="99">
        <f>'D.1.1 ASR'!P115</f>
        <v>0</v>
      </c>
      <c r="AV56" s="98">
        <f>'D.1.1 ASR'!J35</f>
        <v>0</v>
      </c>
      <c r="AW56" s="98">
        <f>'D.1.1 ASR'!J36</f>
        <v>0</v>
      </c>
      <c r="AX56" s="98">
        <f>'D.1.1 ASR'!J37</f>
        <v>0</v>
      </c>
      <c r="AY56" s="98">
        <f>'D.1.1 ASR'!J38</f>
        <v>0</v>
      </c>
      <c r="AZ56" s="98">
        <f>'D.1.1 ASR'!F35</f>
        <v>0</v>
      </c>
      <c r="BA56" s="98">
        <f>'D.1.1 ASR'!F36</f>
        <v>0</v>
      </c>
      <c r="BB56" s="98">
        <f>'D.1.1 ASR'!F37</f>
        <v>0</v>
      </c>
      <c r="BC56" s="98">
        <f>'D.1.1 ASR'!F38</f>
        <v>0</v>
      </c>
      <c r="BD56" s="100">
        <f>'D.1.1 ASR'!F39</f>
        <v>0</v>
      </c>
      <c r="BT56" s="101" t="s">
        <v>79</v>
      </c>
      <c r="BV56" s="101" t="s">
        <v>72</v>
      </c>
      <c r="BW56" s="101" t="s">
        <v>84</v>
      </c>
      <c r="BX56" s="101" t="s">
        <v>78</v>
      </c>
      <c r="CL56" s="101" t="s">
        <v>19</v>
      </c>
    </row>
    <row r="57" spans="2:91" s="7" customFormat="1" ht="15">
      <c r="B57" s="84"/>
      <c r="C57" s="85"/>
      <c r="D57" s="659" t="s">
        <v>85</v>
      </c>
      <c r="E57" s="659"/>
      <c r="F57" s="659"/>
      <c r="G57" s="659"/>
      <c r="H57" s="659"/>
      <c r="I57" s="86"/>
      <c r="J57" s="659" t="s">
        <v>86</v>
      </c>
      <c r="K57" s="659"/>
      <c r="L57" s="659"/>
      <c r="M57" s="659"/>
      <c r="N57" s="659"/>
      <c r="O57" s="659"/>
      <c r="P57" s="659"/>
      <c r="Q57" s="659"/>
      <c r="R57" s="659"/>
      <c r="S57" s="659"/>
      <c r="T57" s="659"/>
      <c r="U57" s="659"/>
      <c r="V57" s="659"/>
      <c r="W57" s="659"/>
      <c r="X57" s="659"/>
      <c r="Y57" s="659"/>
      <c r="Z57" s="659"/>
      <c r="AA57" s="659"/>
      <c r="AB57" s="659"/>
      <c r="AC57" s="659"/>
      <c r="AD57" s="659"/>
      <c r="AE57" s="659"/>
      <c r="AF57" s="659"/>
      <c r="AG57" s="683">
        <f>ROUND(AG58+SUM(AG59:AG61)+AG66+AG67+AG73,2)</f>
        <v>0</v>
      </c>
      <c r="AH57" s="684"/>
      <c r="AI57" s="684"/>
      <c r="AJ57" s="684"/>
      <c r="AK57" s="684"/>
      <c r="AL57" s="684"/>
      <c r="AM57" s="684"/>
      <c r="AN57" s="689">
        <f t="shared" si="0"/>
        <v>0</v>
      </c>
      <c r="AO57" s="684"/>
      <c r="AP57" s="684"/>
      <c r="AQ57" s="87" t="s">
        <v>76</v>
      </c>
      <c r="AR57" s="88"/>
      <c r="AS57" s="89">
        <f>ROUND(AS58+SUM(AS59:AS61)+AS66+AS67+AS73,2)</f>
        <v>0</v>
      </c>
      <c r="AT57" s="90">
        <f t="shared" si="1"/>
        <v>0</v>
      </c>
      <c r="AU57" s="91">
        <f>ROUND(AU58+SUM(AU59:AU61)+AU66+AU67+AU73,5)</f>
        <v>0</v>
      </c>
      <c r="AV57" s="90">
        <f>ROUND(AZ57*L29,2)</f>
        <v>0</v>
      </c>
      <c r="AW57" s="90">
        <f>ROUND(BA57*L30,2)</f>
        <v>0</v>
      </c>
      <c r="AX57" s="90">
        <f>ROUND(BB57*L29,2)</f>
        <v>0</v>
      </c>
      <c r="AY57" s="90">
        <f>ROUND(BC57*L30,2)</f>
        <v>0</v>
      </c>
      <c r="AZ57" s="90">
        <f>ROUND(AZ58+SUM(AZ59:AZ61)+AZ66+AZ67+AZ73,2)</f>
        <v>0</v>
      </c>
      <c r="BA57" s="90">
        <f>ROUND(BA58+SUM(BA59:BA61)+BA66+BA67+BA73,2)</f>
        <v>0</v>
      </c>
      <c r="BB57" s="90">
        <f>ROUND(BB58+SUM(BB59:BB61)+BB66+BB67+BB73,2)</f>
        <v>0</v>
      </c>
      <c r="BC57" s="90">
        <f>ROUND(BC58+SUM(BC59:BC61)+BC66+BC67+BC73,2)</f>
        <v>0</v>
      </c>
      <c r="BD57" s="92">
        <f>ROUND(BD58+SUM(BD59:BD61)+BD66+BD67+BD73,2)</f>
        <v>0</v>
      </c>
      <c r="BS57" s="93" t="s">
        <v>69</v>
      </c>
      <c r="BT57" s="93" t="s">
        <v>77</v>
      </c>
      <c r="BU57" s="93" t="s">
        <v>71</v>
      </c>
      <c r="BV57" s="93" t="s">
        <v>72</v>
      </c>
      <c r="BW57" s="93" t="s">
        <v>87</v>
      </c>
      <c r="BX57" s="93" t="s">
        <v>5</v>
      </c>
      <c r="CL57" s="93" t="s">
        <v>19</v>
      </c>
      <c r="CM57" s="93" t="s">
        <v>79</v>
      </c>
    </row>
    <row r="58" spans="1:90" s="4" customFormat="1" ht="22.5">
      <c r="A58" s="94" t="s">
        <v>80</v>
      </c>
      <c r="B58" s="49"/>
      <c r="C58" s="95"/>
      <c r="D58" s="95"/>
      <c r="E58" s="656" t="s">
        <v>88</v>
      </c>
      <c r="F58" s="656"/>
      <c r="G58" s="656"/>
      <c r="H58" s="656"/>
      <c r="I58" s="656"/>
      <c r="J58" s="95"/>
      <c r="K58" s="656" t="s">
        <v>89</v>
      </c>
      <c r="L58" s="656"/>
      <c r="M58" s="656"/>
      <c r="N58" s="656"/>
      <c r="O58" s="656"/>
      <c r="P58" s="656"/>
      <c r="Q58" s="656"/>
      <c r="R58" s="656"/>
      <c r="S58" s="656"/>
      <c r="T58" s="656"/>
      <c r="U58" s="656"/>
      <c r="V58" s="656"/>
      <c r="W58" s="656"/>
      <c r="X58" s="656"/>
      <c r="Y58" s="656"/>
      <c r="Z58" s="656"/>
      <c r="AA58" s="656"/>
      <c r="AB58" s="656"/>
      <c r="AC58" s="656"/>
      <c r="AD58" s="656"/>
      <c r="AE58" s="656"/>
      <c r="AF58" s="656"/>
      <c r="AG58" s="654">
        <f>'D.1.4.01 ZTI'!J32</f>
        <v>0</v>
      </c>
      <c r="AH58" s="655"/>
      <c r="AI58" s="655"/>
      <c r="AJ58" s="655"/>
      <c r="AK58" s="655"/>
      <c r="AL58" s="655"/>
      <c r="AM58" s="655"/>
      <c r="AN58" s="654">
        <f t="shared" si="0"/>
        <v>0</v>
      </c>
      <c r="AO58" s="655"/>
      <c r="AP58" s="655"/>
      <c r="AQ58" s="96" t="s">
        <v>83</v>
      </c>
      <c r="AR58" s="51"/>
      <c r="AS58" s="97">
        <v>0</v>
      </c>
      <c r="AT58" s="98">
        <f t="shared" si="1"/>
        <v>0</v>
      </c>
      <c r="AU58" s="99">
        <f>'D.1.4.01 ZTI'!P87</f>
        <v>0</v>
      </c>
      <c r="AV58" s="98">
        <f>'D.1.4.01 ZTI'!J35</f>
        <v>0</v>
      </c>
      <c r="AW58" s="98">
        <f>'D.1.4.01 ZTI'!J36</f>
        <v>0</v>
      </c>
      <c r="AX58" s="98">
        <f>'D.1.4.01 ZTI'!J37</f>
        <v>0</v>
      </c>
      <c r="AY58" s="98">
        <f>'D.1.4.01 ZTI'!J38</f>
        <v>0</v>
      </c>
      <c r="AZ58" s="98">
        <f>'D.1.4.01 ZTI'!F35</f>
        <v>0</v>
      </c>
      <c r="BA58" s="98">
        <f>'D.1.4.01 ZTI'!F36</f>
        <v>0</v>
      </c>
      <c r="BB58" s="98">
        <f>'D.1.4.01 ZTI'!F37</f>
        <v>0</v>
      </c>
      <c r="BC58" s="98">
        <f>'D.1.4.01 ZTI'!F38</f>
        <v>0</v>
      </c>
      <c r="BD58" s="100">
        <f>'D.1.4.01 ZTI'!F39</f>
        <v>0</v>
      </c>
      <c r="BT58" s="101" t="s">
        <v>79</v>
      </c>
      <c r="BV58" s="101" t="s">
        <v>72</v>
      </c>
      <c r="BW58" s="101" t="s">
        <v>90</v>
      </c>
      <c r="BX58" s="101" t="s">
        <v>87</v>
      </c>
      <c r="CL58" s="101" t="s">
        <v>19</v>
      </c>
    </row>
    <row r="59" spans="1:90" s="4" customFormat="1" ht="22.5">
      <c r="A59" s="94" t="s">
        <v>80</v>
      </c>
      <c r="B59" s="49"/>
      <c r="C59" s="95"/>
      <c r="D59" s="95"/>
      <c r="E59" s="656" t="s">
        <v>91</v>
      </c>
      <c r="F59" s="656"/>
      <c r="G59" s="656"/>
      <c r="H59" s="656"/>
      <c r="I59" s="656"/>
      <c r="J59" s="95"/>
      <c r="K59" s="656" t="s">
        <v>92</v>
      </c>
      <c r="L59" s="656"/>
      <c r="M59" s="656"/>
      <c r="N59" s="656"/>
      <c r="O59" s="656"/>
      <c r="P59" s="656"/>
      <c r="Q59" s="656"/>
      <c r="R59" s="656"/>
      <c r="S59" s="656"/>
      <c r="T59" s="656"/>
      <c r="U59" s="656"/>
      <c r="V59" s="656"/>
      <c r="W59" s="656"/>
      <c r="X59" s="656"/>
      <c r="Y59" s="656"/>
      <c r="Z59" s="656"/>
      <c r="AA59" s="656"/>
      <c r="AB59" s="656"/>
      <c r="AC59" s="656"/>
      <c r="AD59" s="656"/>
      <c r="AE59" s="656"/>
      <c r="AF59" s="656"/>
      <c r="AG59" s="654">
        <f>'D.1.4.02 UT'!J32</f>
        <v>0</v>
      </c>
      <c r="AH59" s="655"/>
      <c r="AI59" s="655"/>
      <c r="AJ59" s="655"/>
      <c r="AK59" s="655"/>
      <c r="AL59" s="655"/>
      <c r="AM59" s="655"/>
      <c r="AN59" s="654">
        <f t="shared" si="0"/>
        <v>0</v>
      </c>
      <c r="AO59" s="655"/>
      <c r="AP59" s="655"/>
      <c r="AQ59" s="96" t="s">
        <v>83</v>
      </c>
      <c r="AR59" s="51"/>
      <c r="AS59" s="97">
        <v>0</v>
      </c>
      <c r="AT59" s="98">
        <f t="shared" si="1"/>
        <v>0</v>
      </c>
      <c r="AU59" s="99">
        <f>'D.1.4.02 UT'!P87</f>
        <v>0</v>
      </c>
      <c r="AV59" s="98">
        <f>'D.1.4.02 UT'!J35</f>
        <v>0</v>
      </c>
      <c r="AW59" s="98">
        <f>'D.1.4.02 UT'!J36</f>
        <v>0</v>
      </c>
      <c r="AX59" s="98">
        <f>'D.1.4.02 UT'!J37</f>
        <v>0</v>
      </c>
      <c r="AY59" s="98">
        <f>'D.1.4.02 UT'!J38</f>
        <v>0</v>
      </c>
      <c r="AZ59" s="98">
        <f>'D.1.4.02 UT'!F35</f>
        <v>0</v>
      </c>
      <c r="BA59" s="98">
        <f>'D.1.4.02 UT'!F36</f>
        <v>0</v>
      </c>
      <c r="BB59" s="98">
        <f>'D.1.4.02 UT'!F37</f>
        <v>0</v>
      </c>
      <c r="BC59" s="98">
        <f>'D.1.4.02 UT'!F38</f>
        <v>0</v>
      </c>
      <c r="BD59" s="100">
        <f>'D.1.4.02 UT'!F39</f>
        <v>0</v>
      </c>
      <c r="BT59" s="101" t="s">
        <v>79</v>
      </c>
      <c r="BV59" s="101" t="s">
        <v>72</v>
      </c>
      <c r="BW59" s="101" t="s">
        <v>93</v>
      </c>
      <c r="BX59" s="101" t="s">
        <v>87</v>
      </c>
      <c r="CL59" s="101" t="s">
        <v>19</v>
      </c>
    </row>
    <row r="60" spans="1:90" s="4" customFormat="1" ht="22.5">
      <c r="A60" s="94" t="s">
        <v>80</v>
      </c>
      <c r="B60" s="49"/>
      <c r="C60" s="95"/>
      <c r="D60" s="95"/>
      <c r="E60" s="656" t="s">
        <v>94</v>
      </c>
      <c r="F60" s="656"/>
      <c r="G60" s="656"/>
      <c r="H60" s="656"/>
      <c r="I60" s="656"/>
      <c r="J60" s="95"/>
      <c r="K60" s="656" t="s">
        <v>95</v>
      </c>
      <c r="L60" s="656"/>
      <c r="M60" s="656"/>
      <c r="N60" s="656"/>
      <c r="O60" s="656"/>
      <c r="P60" s="656"/>
      <c r="Q60" s="656"/>
      <c r="R60" s="656"/>
      <c r="S60" s="656"/>
      <c r="T60" s="656"/>
      <c r="U60" s="656"/>
      <c r="V60" s="656"/>
      <c r="W60" s="656"/>
      <c r="X60" s="656"/>
      <c r="Y60" s="656"/>
      <c r="Z60" s="656"/>
      <c r="AA60" s="656"/>
      <c r="AB60" s="656"/>
      <c r="AC60" s="656"/>
      <c r="AD60" s="656"/>
      <c r="AE60" s="656"/>
      <c r="AF60" s="656"/>
      <c r="AG60" s="654">
        <f>'D.1.4.03 ELE'!J32</f>
        <v>0</v>
      </c>
      <c r="AH60" s="655"/>
      <c r="AI60" s="655"/>
      <c r="AJ60" s="655"/>
      <c r="AK60" s="655"/>
      <c r="AL60" s="655"/>
      <c r="AM60" s="655"/>
      <c r="AN60" s="654">
        <f t="shared" si="0"/>
        <v>0</v>
      </c>
      <c r="AO60" s="655"/>
      <c r="AP60" s="655"/>
      <c r="AQ60" s="96" t="s">
        <v>83</v>
      </c>
      <c r="AR60" s="51"/>
      <c r="AS60" s="97">
        <v>0</v>
      </c>
      <c r="AT60" s="98">
        <f t="shared" si="1"/>
        <v>0</v>
      </c>
      <c r="AU60" s="99">
        <f>'D.1.4.03 ELE'!P87</f>
        <v>0</v>
      </c>
      <c r="AV60" s="98">
        <f>'D.1.4.03 ELE'!J35</f>
        <v>0</v>
      </c>
      <c r="AW60" s="98">
        <f>'D.1.4.03 ELE'!J36</f>
        <v>0</v>
      </c>
      <c r="AX60" s="98">
        <f>'D.1.4.03 ELE'!J37</f>
        <v>0</v>
      </c>
      <c r="AY60" s="98">
        <f>'D.1.4.03 ELE'!J38</f>
        <v>0</v>
      </c>
      <c r="AZ60" s="98">
        <f>'D.1.4.03 ELE'!F35</f>
        <v>0</v>
      </c>
      <c r="BA60" s="98">
        <f>'D.1.4.03 ELE'!F36</f>
        <v>0</v>
      </c>
      <c r="BB60" s="98">
        <f>'D.1.4.03 ELE'!F37</f>
        <v>0</v>
      </c>
      <c r="BC60" s="98">
        <f>'D.1.4.03 ELE'!F38</f>
        <v>0</v>
      </c>
      <c r="BD60" s="100">
        <f>'D.1.4.03 ELE'!F39</f>
        <v>0</v>
      </c>
      <c r="BT60" s="101" t="s">
        <v>79</v>
      </c>
      <c r="BV60" s="101" t="s">
        <v>72</v>
      </c>
      <c r="BW60" s="101" t="s">
        <v>96</v>
      </c>
      <c r="BX60" s="101" t="s">
        <v>87</v>
      </c>
      <c r="CL60" s="101" t="s">
        <v>19</v>
      </c>
    </row>
    <row r="61" spans="2:90" s="4" customFormat="1" ht="12.75">
      <c r="B61" s="49"/>
      <c r="C61" s="95"/>
      <c r="D61" s="95"/>
      <c r="E61" s="656" t="s">
        <v>97</v>
      </c>
      <c r="F61" s="656"/>
      <c r="G61" s="656"/>
      <c r="H61" s="656"/>
      <c r="I61" s="656"/>
      <c r="J61" s="95"/>
      <c r="K61" s="656" t="s">
        <v>98</v>
      </c>
      <c r="L61" s="656"/>
      <c r="M61" s="656"/>
      <c r="N61" s="656"/>
      <c r="O61" s="656"/>
      <c r="P61" s="656"/>
      <c r="Q61" s="656"/>
      <c r="R61" s="656"/>
      <c r="S61" s="656"/>
      <c r="T61" s="656"/>
      <c r="U61" s="656"/>
      <c r="V61" s="656"/>
      <c r="W61" s="656"/>
      <c r="X61" s="656"/>
      <c r="Y61" s="656"/>
      <c r="Z61" s="656"/>
      <c r="AA61" s="656"/>
      <c r="AB61" s="656"/>
      <c r="AC61" s="656"/>
      <c r="AD61" s="656"/>
      <c r="AE61" s="656"/>
      <c r="AF61" s="656"/>
      <c r="AG61" s="661">
        <f>ROUND(SUM(AG62:AG65),2)</f>
        <v>0</v>
      </c>
      <c r="AH61" s="655"/>
      <c r="AI61" s="655"/>
      <c r="AJ61" s="655"/>
      <c r="AK61" s="655"/>
      <c r="AL61" s="655"/>
      <c r="AM61" s="655"/>
      <c r="AN61" s="654">
        <f t="shared" si="0"/>
        <v>0</v>
      </c>
      <c r="AO61" s="655"/>
      <c r="AP61" s="655"/>
      <c r="AQ61" s="96" t="s">
        <v>83</v>
      </c>
      <c r="AR61" s="51"/>
      <c r="AS61" s="97">
        <f>ROUND(SUM(AS62:AS65),2)</f>
        <v>0</v>
      </c>
      <c r="AT61" s="98">
        <f t="shared" si="1"/>
        <v>0</v>
      </c>
      <c r="AU61" s="99">
        <f>ROUND(SUM(AU62:AU65),5)</f>
        <v>0</v>
      </c>
      <c r="AV61" s="98">
        <f>ROUND(AZ61*L29,2)</f>
        <v>0</v>
      </c>
      <c r="AW61" s="98">
        <f>ROUND(BA61*L30,2)</f>
        <v>0</v>
      </c>
      <c r="AX61" s="98">
        <f>ROUND(BB61*L29,2)</f>
        <v>0</v>
      </c>
      <c r="AY61" s="98">
        <f>ROUND(BC61*L30,2)</f>
        <v>0</v>
      </c>
      <c r="AZ61" s="98">
        <f>ROUND(SUM(AZ62:AZ65),2)</f>
        <v>0</v>
      </c>
      <c r="BA61" s="98">
        <f>ROUND(SUM(BA62:BA65),2)</f>
        <v>0</v>
      </c>
      <c r="BB61" s="98">
        <f>ROUND(SUM(BB62:BB65),2)</f>
        <v>0</v>
      </c>
      <c r="BC61" s="98">
        <f>ROUND(SUM(BC62:BC65),2)</f>
        <v>0</v>
      </c>
      <c r="BD61" s="100">
        <f>ROUND(SUM(BD62:BD65),2)</f>
        <v>0</v>
      </c>
      <c r="BS61" s="101" t="s">
        <v>69</v>
      </c>
      <c r="BT61" s="101" t="s">
        <v>79</v>
      </c>
      <c r="BU61" s="101" t="s">
        <v>71</v>
      </c>
      <c r="BV61" s="101" t="s">
        <v>72</v>
      </c>
      <c r="BW61" s="101" t="s">
        <v>99</v>
      </c>
      <c r="BX61" s="101" t="s">
        <v>87</v>
      </c>
      <c r="CL61" s="101" t="s">
        <v>19</v>
      </c>
    </row>
    <row r="62" spans="1:90" s="4" customFormat="1" ht="22.5">
      <c r="A62" s="94" t="s">
        <v>80</v>
      </c>
      <c r="B62" s="49"/>
      <c r="C62" s="95"/>
      <c r="D62" s="95"/>
      <c r="E62" s="95"/>
      <c r="F62" s="656" t="s">
        <v>100</v>
      </c>
      <c r="G62" s="656"/>
      <c r="H62" s="656"/>
      <c r="I62" s="656"/>
      <c r="J62" s="656"/>
      <c r="K62" s="95"/>
      <c r="L62" s="656" t="s">
        <v>101</v>
      </c>
      <c r="M62" s="656"/>
      <c r="N62" s="656"/>
      <c r="O62" s="656"/>
      <c r="P62" s="656"/>
      <c r="Q62" s="656"/>
      <c r="R62" s="656"/>
      <c r="S62" s="656"/>
      <c r="T62" s="656"/>
      <c r="U62" s="656"/>
      <c r="V62" s="656"/>
      <c r="W62" s="656"/>
      <c r="X62" s="656"/>
      <c r="Y62" s="656"/>
      <c r="Z62" s="656"/>
      <c r="AA62" s="656"/>
      <c r="AB62" s="656"/>
      <c r="AC62" s="656"/>
      <c r="AD62" s="656"/>
      <c r="AE62" s="656"/>
      <c r="AF62" s="656"/>
      <c r="AG62" s="654">
        <f>'D.1.4.04 EPS'!J34</f>
        <v>0</v>
      </c>
      <c r="AH62" s="655"/>
      <c r="AI62" s="655"/>
      <c r="AJ62" s="655"/>
      <c r="AK62" s="655"/>
      <c r="AL62" s="655"/>
      <c r="AM62" s="655"/>
      <c r="AN62" s="654">
        <f t="shared" si="0"/>
        <v>0</v>
      </c>
      <c r="AO62" s="655"/>
      <c r="AP62" s="655"/>
      <c r="AQ62" s="96" t="s">
        <v>83</v>
      </c>
      <c r="AR62" s="51"/>
      <c r="AS62" s="97">
        <v>0</v>
      </c>
      <c r="AT62" s="98">
        <f t="shared" si="1"/>
        <v>0</v>
      </c>
      <c r="AU62" s="99">
        <f>'D.1.4.04 EPS'!P93</f>
        <v>0</v>
      </c>
      <c r="AV62" s="98">
        <f>'D.1.4.04 EPS'!J37</f>
        <v>0</v>
      </c>
      <c r="AW62" s="98">
        <f>'D.1.4.04 EPS'!J38</f>
        <v>0</v>
      </c>
      <c r="AX62" s="98">
        <f>'D.1.4.04 EPS'!J39</f>
        <v>0</v>
      </c>
      <c r="AY62" s="98">
        <f>'D.1.4.04 EPS'!J40</f>
        <v>0</v>
      </c>
      <c r="AZ62" s="98">
        <f>'D.1.4.04 EPS'!F37</f>
        <v>0</v>
      </c>
      <c r="BA62" s="98">
        <f>'D.1.4.04 EPS'!F38</f>
        <v>0</v>
      </c>
      <c r="BB62" s="98">
        <f>'D.1.4.04 EPS'!F39</f>
        <v>0</v>
      </c>
      <c r="BC62" s="98">
        <f>'D.1.4.04 EPS'!F40</f>
        <v>0</v>
      </c>
      <c r="BD62" s="100">
        <f>'D.1.4.04 EPS'!F41</f>
        <v>0</v>
      </c>
      <c r="BT62" s="101" t="s">
        <v>102</v>
      </c>
      <c r="BV62" s="101" t="s">
        <v>72</v>
      </c>
      <c r="BW62" s="101" t="s">
        <v>103</v>
      </c>
      <c r="BX62" s="101" t="s">
        <v>99</v>
      </c>
      <c r="CL62" s="101" t="s">
        <v>19</v>
      </c>
    </row>
    <row r="63" spans="1:90" s="4" customFormat="1" ht="22.5">
      <c r="A63" s="94" t="s">
        <v>80</v>
      </c>
      <c r="B63" s="49"/>
      <c r="C63" s="95"/>
      <c r="D63" s="95"/>
      <c r="E63" s="95"/>
      <c r="F63" s="656" t="s">
        <v>104</v>
      </c>
      <c r="G63" s="656"/>
      <c r="H63" s="656"/>
      <c r="I63" s="656"/>
      <c r="J63" s="656"/>
      <c r="K63" s="95"/>
      <c r="L63" s="656" t="s">
        <v>105</v>
      </c>
      <c r="M63" s="656"/>
      <c r="N63" s="656"/>
      <c r="O63" s="656"/>
      <c r="P63" s="656"/>
      <c r="Q63" s="656"/>
      <c r="R63" s="656"/>
      <c r="S63" s="656"/>
      <c r="T63" s="656"/>
      <c r="U63" s="656"/>
      <c r="V63" s="656"/>
      <c r="W63" s="656"/>
      <c r="X63" s="656"/>
      <c r="Y63" s="656"/>
      <c r="Z63" s="656"/>
      <c r="AA63" s="656"/>
      <c r="AB63" s="656"/>
      <c r="AC63" s="656"/>
      <c r="AD63" s="656"/>
      <c r="AE63" s="656"/>
      <c r="AF63" s="656"/>
      <c r="AG63" s="654">
        <f>'D.1.4.04 NZS'!J34</f>
        <v>0</v>
      </c>
      <c r="AH63" s="655"/>
      <c r="AI63" s="655"/>
      <c r="AJ63" s="655"/>
      <c r="AK63" s="655"/>
      <c r="AL63" s="655"/>
      <c r="AM63" s="655"/>
      <c r="AN63" s="654">
        <f t="shared" si="0"/>
        <v>0</v>
      </c>
      <c r="AO63" s="655"/>
      <c r="AP63" s="655"/>
      <c r="AQ63" s="96" t="s">
        <v>83</v>
      </c>
      <c r="AR63" s="51"/>
      <c r="AS63" s="97">
        <v>0</v>
      </c>
      <c r="AT63" s="98">
        <f t="shared" si="1"/>
        <v>0</v>
      </c>
      <c r="AU63" s="99">
        <f>'D.1.4.04 NZS'!P93</f>
        <v>0</v>
      </c>
      <c r="AV63" s="98">
        <f>'D.1.4.04 NZS'!J37</f>
        <v>0</v>
      </c>
      <c r="AW63" s="98">
        <f>'D.1.4.04 NZS'!J38</f>
        <v>0</v>
      </c>
      <c r="AX63" s="98">
        <f>'D.1.4.04 NZS'!J39</f>
        <v>0</v>
      </c>
      <c r="AY63" s="98">
        <f>'D.1.4.04 NZS'!J40</f>
        <v>0</v>
      </c>
      <c r="AZ63" s="98">
        <f>'D.1.4.04 NZS'!F37</f>
        <v>0</v>
      </c>
      <c r="BA63" s="98">
        <f>'D.1.4.04 NZS'!F38</f>
        <v>0</v>
      </c>
      <c r="BB63" s="98">
        <f>'D.1.4.04 NZS'!F39</f>
        <v>0</v>
      </c>
      <c r="BC63" s="98">
        <f>'D.1.4.04 NZS'!F40</f>
        <v>0</v>
      </c>
      <c r="BD63" s="100">
        <f>'D.1.4.04 NZS'!F41</f>
        <v>0</v>
      </c>
      <c r="BT63" s="101" t="s">
        <v>102</v>
      </c>
      <c r="BV63" s="101" t="s">
        <v>72</v>
      </c>
      <c r="BW63" s="101" t="s">
        <v>106</v>
      </c>
      <c r="BX63" s="101" t="s">
        <v>99</v>
      </c>
      <c r="CL63" s="101" t="s">
        <v>19</v>
      </c>
    </row>
    <row r="64" spans="1:90" s="4" customFormat="1" ht="22.5">
      <c r="A64" s="94" t="s">
        <v>80</v>
      </c>
      <c r="B64" s="49"/>
      <c r="C64" s="95"/>
      <c r="D64" s="95"/>
      <c r="E64" s="95"/>
      <c r="F64" s="656" t="s">
        <v>107</v>
      </c>
      <c r="G64" s="656"/>
      <c r="H64" s="656"/>
      <c r="I64" s="656"/>
      <c r="J64" s="656"/>
      <c r="K64" s="95"/>
      <c r="L64" s="656" t="s">
        <v>108</v>
      </c>
      <c r="M64" s="656"/>
      <c r="N64" s="656"/>
      <c r="O64" s="656"/>
      <c r="P64" s="656"/>
      <c r="Q64" s="656"/>
      <c r="R64" s="656"/>
      <c r="S64" s="656"/>
      <c r="T64" s="656"/>
      <c r="U64" s="656"/>
      <c r="V64" s="656"/>
      <c r="W64" s="656"/>
      <c r="X64" s="656"/>
      <c r="Y64" s="656"/>
      <c r="Z64" s="656"/>
      <c r="AA64" s="656"/>
      <c r="AB64" s="656"/>
      <c r="AC64" s="656"/>
      <c r="AD64" s="656"/>
      <c r="AE64" s="656"/>
      <c r="AF64" s="656"/>
      <c r="AG64" s="654">
        <f>'D.1.4.04 PZTS'!J34</f>
        <v>0</v>
      </c>
      <c r="AH64" s="655"/>
      <c r="AI64" s="655"/>
      <c r="AJ64" s="655"/>
      <c r="AK64" s="655"/>
      <c r="AL64" s="655"/>
      <c r="AM64" s="655"/>
      <c r="AN64" s="654">
        <f t="shared" si="0"/>
        <v>0</v>
      </c>
      <c r="AO64" s="655"/>
      <c r="AP64" s="655"/>
      <c r="AQ64" s="96" t="s">
        <v>83</v>
      </c>
      <c r="AR64" s="51"/>
      <c r="AS64" s="97">
        <v>0</v>
      </c>
      <c r="AT64" s="98">
        <f t="shared" si="1"/>
        <v>0</v>
      </c>
      <c r="AU64" s="99">
        <f>'D.1.4.04 PZTS'!P93</f>
        <v>0</v>
      </c>
      <c r="AV64" s="98">
        <f>'D.1.4.04 PZTS'!J37</f>
        <v>0</v>
      </c>
      <c r="AW64" s="98">
        <f>'D.1.4.04 PZTS'!J38</f>
        <v>0</v>
      </c>
      <c r="AX64" s="98">
        <f>'D.1.4.04 PZTS'!J39</f>
        <v>0</v>
      </c>
      <c r="AY64" s="98">
        <f>'D.1.4.04 PZTS'!J40</f>
        <v>0</v>
      </c>
      <c r="AZ64" s="98">
        <f>'D.1.4.04 PZTS'!F37</f>
        <v>0</v>
      </c>
      <c r="BA64" s="98">
        <f>'D.1.4.04 PZTS'!F38</f>
        <v>0</v>
      </c>
      <c r="BB64" s="98">
        <f>'D.1.4.04 PZTS'!F39</f>
        <v>0</v>
      </c>
      <c r="BC64" s="98">
        <f>'D.1.4.04 PZTS'!F40</f>
        <v>0</v>
      </c>
      <c r="BD64" s="100">
        <f>'D.1.4.04 PZTS'!F41</f>
        <v>0</v>
      </c>
      <c r="BT64" s="101" t="s">
        <v>102</v>
      </c>
      <c r="BV64" s="101" t="s">
        <v>72</v>
      </c>
      <c r="BW64" s="101" t="s">
        <v>109</v>
      </c>
      <c r="BX64" s="101" t="s">
        <v>99</v>
      </c>
      <c r="CL64" s="101" t="s">
        <v>19</v>
      </c>
    </row>
    <row r="65" spans="1:90" s="4" customFormat="1" ht="22.5">
      <c r="A65" s="94" t="s">
        <v>80</v>
      </c>
      <c r="B65" s="49"/>
      <c r="C65" s="95"/>
      <c r="D65" s="95"/>
      <c r="E65" s="95"/>
      <c r="F65" s="656" t="s">
        <v>110</v>
      </c>
      <c r="G65" s="656"/>
      <c r="H65" s="656"/>
      <c r="I65" s="656"/>
      <c r="J65" s="656"/>
      <c r="K65" s="95"/>
      <c r="L65" s="656" t="s">
        <v>111</v>
      </c>
      <c r="M65" s="656"/>
      <c r="N65" s="656"/>
      <c r="O65" s="656"/>
      <c r="P65" s="656"/>
      <c r="Q65" s="656"/>
      <c r="R65" s="656"/>
      <c r="S65" s="656"/>
      <c r="T65" s="656"/>
      <c r="U65" s="656"/>
      <c r="V65" s="656"/>
      <c r="W65" s="656"/>
      <c r="X65" s="656"/>
      <c r="Y65" s="656"/>
      <c r="Z65" s="656"/>
      <c r="AA65" s="656"/>
      <c r="AB65" s="656"/>
      <c r="AC65" s="656"/>
      <c r="AD65" s="656"/>
      <c r="AE65" s="656"/>
      <c r="AF65" s="656"/>
      <c r="AG65" s="654">
        <f>'D.1.4.04 SLB'!J34</f>
        <v>0</v>
      </c>
      <c r="AH65" s="655"/>
      <c r="AI65" s="655"/>
      <c r="AJ65" s="655"/>
      <c r="AK65" s="655"/>
      <c r="AL65" s="655"/>
      <c r="AM65" s="655"/>
      <c r="AN65" s="654">
        <f t="shared" si="0"/>
        <v>0</v>
      </c>
      <c r="AO65" s="655"/>
      <c r="AP65" s="655"/>
      <c r="AQ65" s="96" t="s">
        <v>83</v>
      </c>
      <c r="AR65" s="51"/>
      <c r="AS65" s="97">
        <v>0</v>
      </c>
      <c r="AT65" s="98">
        <f t="shared" si="1"/>
        <v>0</v>
      </c>
      <c r="AU65" s="99">
        <f>'D.1.4.04 SLB'!P93</f>
        <v>0</v>
      </c>
      <c r="AV65" s="98">
        <f>'D.1.4.04 SLB'!J37</f>
        <v>0</v>
      </c>
      <c r="AW65" s="98">
        <f>'D.1.4.04 SLB'!J38</f>
        <v>0</v>
      </c>
      <c r="AX65" s="98">
        <f>'D.1.4.04 SLB'!J39</f>
        <v>0</v>
      </c>
      <c r="AY65" s="98">
        <f>'D.1.4.04 SLB'!J40</f>
        <v>0</v>
      </c>
      <c r="AZ65" s="98">
        <f>'D.1.4.04 SLB'!F37</f>
        <v>0</v>
      </c>
      <c r="BA65" s="98">
        <f>'D.1.4.04 SLB'!F38</f>
        <v>0</v>
      </c>
      <c r="BB65" s="98">
        <f>'D.1.4.04 SLB'!F39</f>
        <v>0</v>
      </c>
      <c r="BC65" s="98">
        <f>'D.1.4.04 SLB'!F40</f>
        <v>0</v>
      </c>
      <c r="BD65" s="100">
        <f>'D.1.4.04 SLB'!F41</f>
        <v>0</v>
      </c>
      <c r="BT65" s="101" t="s">
        <v>102</v>
      </c>
      <c r="BV65" s="101" t="s">
        <v>72</v>
      </c>
      <c r="BW65" s="101" t="s">
        <v>112</v>
      </c>
      <c r="BX65" s="101" t="s">
        <v>99</v>
      </c>
      <c r="CL65" s="101" t="s">
        <v>19</v>
      </c>
    </row>
    <row r="66" spans="1:90" s="4" customFormat="1" ht="22.5">
      <c r="A66" s="94" t="s">
        <v>80</v>
      </c>
      <c r="B66" s="49"/>
      <c r="C66" s="95"/>
      <c r="D66" s="95"/>
      <c r="E66" s="656" t="s">
        <v>113</v>
      </c>
      <c r="F66" s="656"/>
      <c r="G66" s="656"/>
      <c r="H66" s="656"/>
      <c r="I66" s="656"/>
      <c r="J66" s="95"/>
      <c r="K66" s="656" t="s">
        <v>114</v>
      </c>
      <c r="L66" s="656"/>
      <c r="M66" s="656"/>
      <c r="N66" s="656"/>
      <c r="O66" s="656"/>
      <c r="P66" s="656"/>
      <c r="Q66" s="656"/>
      <c r="R66" s="656"/>
      <c r="S66" s="656"/>
      <c r="T66" s="656"/>
      <c r="U66" s="656"/>
      <c r="V66" s="656"/>
      <c r="W66" s="656"/>
      <c r="X66" s="656"/>
      <c r="Y66" s="656"/>
      <c r="Z66" s="656"/>
      <c r="AA66" s="656"/>
      <c r="AB66" s="656"/>
      <c r="AC66" s="656"/>
      <c r="AD66" s="656"/>
      <c r="AE66" s="656"/>
      <c r="AF66" s="656"/>
      <c r="AG66" s="654">
        <f>'D.1.4.05 VZT'!J32</f>
        <v>0</v>
      </c>
      <c r="AH66" s="655"/>
      <c r="AI66" s="655"/>
      <c r="AJ66" s="655"/>
      <c r="AK66" s="655"/>
      <c r="AL66" s="655"/>
      <c r="AM66" s="655"/>
      <c r="AN66" s="654">
        <f t="shared" si="0"/>
        <v>0</v>
      </c>
      <c r="AO66" s="655"/>
      <c r="AP66" s="655"/>
      <c r="AQ66" s="96" t="s">
        <v>83</v>
      </c>
      <c r="AR66" s="51"/>
      <c r="AS66" s="97">
        <v>0</v>
      </c>
      <c r="AT66" s="98">
        <f t="shared" si="1"/>
        <v>0</v>
      </c>
      <c r="AU66" s="99">
        <f>'D.1.4.05 VZT'!P87</f>
        <v>0</v>
      </c>
      <c r="AV66" s="98">
        <f>'D.1.4.05 VZT'!J35</f>
        <v>0</v>
      </c>
      <c r="AW66" s="98">
        <f>'D.1.4.05 VZT'!J36</f>
        <v>0</v>
      </c>
      <c r="AX66" s="98">
        <f>'D.1.4.05 VZT'!J37</f>
        <v>0</v>
      </c>
      <c r="AY66" s="98">
        <f>'D.1.4.05 VZT'!J38</f>
        <v>0</v>
      </c>
      <c r="AZ66" s="98">
        <f>'D.1.4.05 VZT'!F35</f>
        <v>0</v>
      </c>
      <c r="BA66" s="98">
        <f>'D.1.4.05 VZT'!F36</f>
        <v>0</v>
      </c>
      <c r="BB66" s="98">
        <f>'D.1.4.05 VZT'!F37</f>
        <v>0</v>
      </c>
      <c r="BC66" s="98">
        <f>'D.1.4.05 VZT'!F38</f>
        <v>0</v>
      </c>
      <c r="BD66" s="100">
        <f>'D.1.4.05 VZT'!F39</f>
        <v>0</v>
      </c>
      <c r="BT66" s="101" t="s">
        <v>79</v>
      </c>
      <c r="BV66" s="101" t="s">
        <v>72</v>
      </c>
      <c r="BW66" s="101" t="s">
        <v>115</v>
      </c>
      <c r="BX66" s="101" t="s">
        <v>87</v>
      </c>
      <c r="CL66" s="101" t="s">
        <v>19</v>
      </c>
    </row>
    <row r="67" spans="2:90" s="4" customFormat="1" ht="12.75">
      <c r="B67" s="49"/>
      <c r="C67" s="95"/>
      <c r="D67" s="95"/>
      <c r="E67" s="656" t="s">
        <v>116</v>
      </c>
      <c r="F67" s="656"/>
      <c r="G67" s="656"/>
      <c r="H67" s="656"/>
      <c r="I67" s="656"/>
      <c r="J67" s="95"/>
      <c r="K67" s="656" t="s">
        <v>117</v>
      </c>
      <c r="L67" s="656"/>
      <c r="M67" s="656"/>
      <c r="N67" s="656"/>
      <c r="O67" s="656"/>
      <c r="P67" s="656"/>
      <c r="Q67" s="656"/>
      <c r="R67" s="656"/>
      <c r="S67" s="656"/>
      <c r="T67" s="656"/>
      <c r="U67" s="656"/>
      <c r="V67" s="656"/>
      <c r="W67" s="656"/>
      <c r="X67" s="656"/>
      <c r="Y67" s="656"/>
      <c r="Z67" s="656"/>
      <c r="AA67" s="656"/>
      <c r="AB67" s="656"/>
      <c r="AC67" s="656"/>
      <c r="AD67" s="656"/>
      <c r="AE67" s="656"/>
      <c r="AF67" s="656"/>
      <c r="AG67" s="661">
        <f>ROUND(SUM(AG68:AG72),2)</f>
        <v>0</v>
      </c>
      <c r="AH67" s="655"/>
      <c r="AI67" s="655"/>
      <c r="AJ67" s="655"/>
      <c r="AK67" s="655"/>
      <c r="AL67" s="655"/>
      <c r="AM67" s="655"/>
      <c r="AN67" s="654">
        <f t="shared" si="0"/>
        <v>0</v>
      </c>
      <c r="AO67" s="655"/>
      <c r="AP67" s="655"/>
      <c r="AQ67" s="96" t="s">
        <v>83</v>
      </c>
      <c r="AR67" s="51"/>
      <c r="AS67" s="97">
        <f>ROUND(SUM(AS68:AS72),2)</f>
        <v>0</v>
      </c>
      <c r="AT67" s="98">
        <f t="shared" si="1"/>
        <v>0</v>
      </c>
      <c r="AU67" s="99">
        <f>ROUND(SUM(AU68:AU72),5)</f>
        <v>0</v>
      </c>
      <c r="AV67" s="98">
        <f>ROUND(AZ67*L29,2)</f>
        <v>0</v>
      </c>
      <c r="AW67" s="98">
        <f>ROUND(BA67*L30,2)</f>
        <v>0</v>
      </c>
      <c r="AX67" s="98">
        <f>ROUND(BB67*L29,2)</f>
        <v>0</v>
      </c>
      <c r="AY67" s="98">
        <f>ROUND(BC67*L30,2)</f>
        <v>0</v>
      </c>
      <c r="AZ67" s="98">
        <f>ROUND(SUM(AZ68:AZ72),2)</f>
        <v>0</v>
      </c>
      <c r="BA67" s="98">
        <f>ROUND(SUM(BA68:BA72),2)</f>
        <v>0</v>
      </c>
      <c r="BB67" s="98">
        <f>ROUND(SUM(BB68:BB72),2)</f>
        <v>0</v>
      </c>
      <c r="BC67" s="98">
        <f>ROUND(SUM(BC68:BC72),2)</f>
        <v>0</v>
      </c>
      <c r="BD67" s="100">
        <f>ROUND(SUM(BD68:BD72),2)</f>
        <v>0</v>
      </c>
      <c r="BS67" s="101" t="s">
        <v>69</v>
      </c>
      <c r="BT67" s="101" t="s">
        <v>79</v>
      </c>
      <c r="BU67" s="101" t="s">
        <v>71</v>
      </c>
      <c r="BV67" s="101" t="s">
        <v>72</v>
      </c>
      <c r="BW67" s="101" t="s">
        <v>118</v>
      </c>
      <c r="BX67" s="101" t="s">
        <v>87</v>
      </c>
      <c r="CL67" s="101" t="s">
        <v>19</v>
      </c>
    </row>
    <row r="68" spans="1:90" s="4" customFormat="1" ht="22.5">
      <c r="A68" s="94" t="s">
        <v>80</v>
      </c>
      <c r="B68" s="49"/>
      <c r="C68" s="95"/>
      <c r="D68" s="95"/>
      <c r="E68" s="95"/>
      <c r="F68" s="656" t="s">
        <v>119</v>
      </c>
      <c r="G68" s="656"/>
      <c r="H68" s="656"/>
      <c r="I68" s="656"/>
      <c r="J68" s="656"/>
      <c r="K68" s="95"/>
      <c r="L68" s="656" t="s">
        <v>117</v>
      </c>
      <c r="M68" s="656"/>
      <c r="N68" s="656"/>
      <c r="O68" s="656"/>
      <c r="P68" s="656"/>
      <c r="Q68" s="656"/>
      <c r="R68" s="656"/>
      <c r="S68" s="656"/>
      <c r="T68" s="656"/>
      <c r="U68" s="656"/>
      <c r="V68" s="656"/>
      <c r="W68" s="656"/>
      <c r="X68" s="656"/>
      <c r="Y68" s="656"/>
      <c r="Z68" s="656"/>
      <c r="AA68" s="656"/>
      <c r="AB68" s="656"/>
      <c r="AC68" s="656"/>
      <c r="AD68" s="656"/>
      <c r="AE68" s="656"/>
      <c r="AF68" s="656"/>
      <c r="AG68" s="654">
        <f>'D.1.4.06 GASTRO'!J34</f>
        <v>0</v>
      </c>
      <c r="AH68" s="655"/>
      <c r="AI68" s="655"/>
      <c r="AJ68" s="655"/>
      <c r="AK68" s="655"/>
      <c r="AL68" s="655"/>
      <c r="AM68" s="655"/>
      <c r="AN68" s="654">
        <f t="shared" si="0"/>
        <v>0</v>
      </c>
      <c r="AO68" s="655"/>
      <c r="AP68" s="655"/>
      <c r="AQ68" s="96" t="s">
        <v>83</v>
      </c>
      <c r="AR68" s="51"/>
      <c r="AS68" s="97">
        <v>0</v>
      </c>
      <c r="AT68" s="98">
        <f t="shared" si="1"/>
        <v>0</v>
      </c>
      <c r="AU68" s="99">
        <f>'D.1.4.06 GASTRO'!P93</f>
        <v>0</v>
      </c>
      <c r="AV68" s="98">
        <f>'D.1.4.06 GASTRO'!J37</f>
        <v>0</v>
      </c>
      <c r="AW68" s="98">
        <f>'D.1.4.06 GASTRO'!J38</f>
        <v>0</v>
      </c>
      <c r="AX68" s="98">
        <f>'D.1.4.06 GASTRO'!J39</f>
        <v>0</v>
      </c>
      <c r="AY68" s="98">
        <f>'D.1.4.06 GASTRO'!J40</f>
        <v>0</v>
      </c>
      <c r="AZ68" s="98">
        <f>'D.1.4.06 GASTRO'!F37</f>
        <v>0</v>
      </c>
      <c r="BA68" s="98">
        <f>'D.1.4.06 GASTRO'!F38</f>
        <v>0</v>
      </c>
      <c r="BB68" s="98">
        <f>'D.1.4.06 GASTRO'!F39</f>
        <v>0</v>
      </c>
      <c r="BC68" s="98">
        <f>'D.1.4.06 GASTRO'!F40</f>
        <v>0</v>
      </c>
      <c r="BD68" s="100">
        <f>'D.1.4.06 GASTRO'!F41</f>
        <v>0</v>
      </c>
      <c r="BT68" s="101" t="s">
        <v>102</v>
      </c>
      <c r="BV68" s="101" t="s">
        <v>72</v>
      </c>
      <c r="BW68" s="101" t="s">
        <v>120</v>
      </c>
      <c r="BX68" s="101" t="s">
        <v>118</v>
      </c>
      <c r="CL68" s="101" t="s">
        <v>19</v>
      </c>
    </row>
    <row r="69" spans="1:90" s="4" customFormat="1" ht="22.5">
      <c r="A69" s="94" t="s">
        <v>80</v>
      </c>
      <c r="B69" s="49"/>
      <c r="C69" s="95"/>
      <c r="D69" s="95"/>
      <c r="E69" s="95"/>
      <c r="F69" s="656" t="s">
        <v>121</v>
      </c>
      <c r="G69" s="656"/>
      <c r="H69" s="656"/>
      <c r="I69" s="656"/>
      <c r="J69" s="656"/>
      <c r="K69" s="95"/>
      <c r="L69" s="656" t="s">
        <v>122</v>
      </c>
      <c r="M69" s="656"/>
      <c r="N69" s="656"/>
      <c r="O69" s="656"/>
      <c r="P69" s="656"/>
      <c r="Q69" s="656"/>
      <c r="R69" s="656"/>
      <c r="S69" s="656"/>
      <c r="T69" s="656"/>
      <c r="U69" s="656"/>
      <c r="V69" s="656"/>
      <c r="W69" s="656"/>
      <c r="X69" s="656"/>
      <c r="Y69" s="656"/>
      <c r="Z69" s="656"/>
      <c r="AA69" s="656"/>
      <c r="AB69" s="656"/>
      <c r="AC69" s="656"/>
      <c r="AD69" s="656"/>
      <c r="AE69" s="656"/>
      <c r="AF69" s="656"/>
      <c r="AG69" s="654">
        <f>'D.1.4.06 GASTRO OS'!J34</f>
        <v>0</v>
      </c>
      <c r="AH69" s="655"/>
      <c r="AI69" s="655"/>
      <c r="AJ69" s="655"/>
      <c r="AK69" s="655"/>
      <c r="AL69" s="655"/>
      <c r="AM69" s="655"/>
      <c r="AN69" s="654">
        <f t="shared" si="0"/>
        <v>0</v>
      </c>
      <c r="AO69" s="655"/>
      <c r="AP69" s="655"/>
      <c r="AQ69" s="96" t="s">
        <v>83</v>
      </c>
      <c r="AR69" s="51"/>
      <c r="AS69" s="97">
        <v>0</v>
      </c>
      <c r="AT69" s="98">
        <f t="shared" si="1"/>
        <v>0</v>
      </c>
      <c r="AU69" s="99">
        <f>'D.1.4.06 GASTRO OS'!P93</f>
        <v>0</v>
      </c>
      <c r="AV69" s="98">
        <f>'D.1.4.06 GASTRO OS'!J37</f>
        <v>0</v>
      </c>
      <c r="AW69" s="98">
        <f>'D.1.4.06 GASTRO OS'!J38</f>
        <v>0</v>
      </c>
      <c r="AX69" s="98">
        <f>'D.1.4.06 GASTRO OS'!J39</f>
        <v>0</v>
      </c>
      <c r="AY69" s="98">
        <f>'D.1.4.06 GASTRO OS'!J40</f>
        <v>0</v>
      </c>
      <c r="AZ69" s="98">
        <f>'D.1.4.06 GASTRO OS'!F37</f>
        <v>0</v>
      </c>
      <c r="BA69" s="98">
        <f>'D.1.4.06 GASTRO OS'!F38</f>
        <v>0</v>
      </c>
      <c r="BB69" s="98">
        <f>'D.1.4.06 GASTRO OS'!F39</f>
        <v>0</v>
      </c>
      <c r="BC69" s="98">
        <f>'D.1.4.06 GASTRO OS'!F40</f>
        <v>0</v>
      </c>
      <c r="BD69" s="100">
        <f>'D.1.4.06 GASTRO OS'!F41</f>
        <v>0</v>
      </c>
      <c r="BT69" s="101" t="s">
        <v>102</v>
      </c>
      <c r="BV69" s="101" t="s">
        <v>72</v>
      </c>
      <c r="BW69" s="101" t="s">
        <v>123</v>
      </c>
      <c r="BX69" s="101" t="s">
        <v>118</v>
      </c>
      <c r="CL69" s="101" t="s">
        <v>19</v>
      </c>
    </row>
    <row r="70" spans="1:90" s="4" customFormat="1" ht="22.5">
      <c r="A70" s="94" t="s">
        <v>80</v>
      </c>
      <c r="B70" s="49"/>
      <c r="C70" s="95"/>
      <c r="D70" s="95"/>
      <c r="E70" s="95"/>
      <c r="F70" s="656" t="s">
        <v>124</v>
      </c>
      <c r="G70" s="656"/>
      <c r="H70" s="656"/>
      <c r="I70" s="656"/>
      <c r="J70" s="656"/>
      <c r="K70" s="95"/>
      <c r="L70" s="656" t="s">
        <v>125</v>
      </c>
      <c r="M70" s="656"/>
      <c r="N70" s="656"/>
      <c r="O70" s="656"/>
      <c r="P70" s="656"/>
      <c r="Q70" s="656"/>
      <c r="R70" s="656"/>
      <c r="S70" s="656"/>
      <c r="T70" s="656"/>
      <c r="U70" s="656"/>
      <c r="V70" s="656"/>
      <c r="W70" s="656"/>
      <c r="X70" s="656"/>
      <c r="Y70" s="656"/>
      <c r="Z70" s="656"/>
      <c r="AA70" s="656"/>
      <c r="AB70" s="656"/>
      <c r="AC70" s="656"/>
      <c r="AD70" s="656"/>
      <c r="AE70" s="656"/>
      <c r="AF70" s="656"/>
      <c r="AG70" s="654">
        <f>'D.1.4.06 HACCP'!J34</f>
        <v>0</v>
      </c>
      <c r="AH70" s="655"/>
      <c r="AI70" s="655"/>
      <c r="AJ70" s="655"/>
      <c r="AK70" s="655"/>
      <c r="AL70" s="655"/>
      <c r="AM70" s="655"/>
      <c r="AN70" s="654">
        <f t="shared" si="0"/>
        <v>0</v>
      </c>
      <c r="AO70" s="655"/>
      <c r="AP70" s="655"/>
      <c r="AQ70" s="96" t="s">
        <v>83</v>
      </c>
      <c r="AR70" s="51"/>
      <c r="AS70" s="97">
        <v>0</v>
      </c>
      <c r="AT70" s="98">
        <f t="shared" si="1"/>
        <v>0</v>
      </c>
      <c r="AU70" s="99">
        <f>'D.1.4.06 HACCP'!P93</f>
        <v>0</v>
      </c>
      <c r="AV70" s="98">
        <f>'D.1.4.06 HACCP'!J37</f>
        <v>0</v>
      </c>
      <c r="AW70" s="98">
        <f>'D.1.4.06 HACCP'!J38</f>
        <v>0</v>
      </c>
      <c r="AX70" s="98">
        <f>'D.1.4.06 HACCP'!J39</f>
        <v>0</v>
      </c>
      <c r="AY70" s="98">
        <f>'D.1.4.06 HACCP'!J40</f>
        <v>0</v>
      </c>
      <c r="AZ70" s="98">
        <f>'D.1.4.06 HACCP'!F37</f>
        <v>0</v>
      </c>
      <c r="BA70" s="98">
        <f>'D.1.4.06 HACCP'!F38</f>
        <v>0</v>
      </c>
      <c r="BB70" s="98">
        <f>'D.1.4.06 HACCP'!F39</f>
        <v>0</v>
      </c>
      <c r="BC70" s="98">
        <f>'D.1.4.06 HACCP'!F40</f>
        <v>0</v>
      </c>
      <c r="BD70" s="100">
        <f>'D.1.4.06 HACCP'!F41</f>
        <v>0</v>
      </c>
      <c r="BT70" s="101" t="s">
        <v>102</v>
      </c>
      <c r="BV70" s="101" t="s">
        <v>72</v>
      </c>
      <c r="BW70" s="101" t="s">
        <v>126</v>
      </c>
      <c r="BX70" s="101" t="s">
        <v>118</v>
      </c>
      <c r="CL70" s="101" t="s">
        <v>19</v>
      </c>
    </row>
    <row r="71" spans="1:90" s="4" customFormat="1" ht="22.5">
      <c r="A71" s="94" t="s">
        <v>80</v>
      </c>
      <c r="B71" s="49"/>
      <c r="C71" s="95"/>
      <c r="D71" s="95"/>
      <c r="E71" s="95"/>
      <c r="F71" s="656" t="s">
        <v>127</v>
      </c>
      <c r="G71" s="656"/>
      <c r="H71" s="656"/>
      <c r="I71" s="656"/>
      <c r="J71" s="656"/>
      <c r="K71" s="95"/>
      <c r="L71" s="656" t="s">
        <v>128</v>
      </c>
      <c r="M71" s="656"/>
      <c r="N71" s="656"/>
      <c r="O71" s="656"/>
      <c r="P71" s="656"/>
      <c r="Q71" s="656"/>
      <c r="R71" s="656"/>
      <c r="S71" s="656"/>
      <c r="T71" s="656"/>
      <c r="U71" s="656"/>
      <c r="V71" s="656"/>
      <c r="W71" s="656"/>
      <c r="X71" s="656"/>
      <c r="Y71" s="656"/>
      <c r="Z71" s="656"/>
      <c r="AA71" s="656"/>
      <c r="AB71" s="656"/>
      <c r="AC71" s="656"/>
      <c r="AD71" s="656"/>
      <c r="AE71" s="656"/>
      <c r="AF71" s="656"/>
      <c r="AG71" s="654">
        <f>'D.1.4.06 G-DEM'!J34</f>
        <v>0</v>
      </c>
      <c r="AH71" s="655"/>
      <c r="AI71" s="655"/>
      <c r="AJ71" s="655"/>
      <c r="AK71" s="655"/>
      <c r="AL71" s="655"/>
      <c r="AM71" s="655"/>
      <c r="AN71" s="654">
        <f t="shared" si="0"/>
        <v>0</v>
      </c>
      <c r="AO71" s="655"/>
      <c r="AP71" s="655"/>
      <c r="AQ71" s="96" t="s">
        <v>83</v>
      </c>
      <c r="AR71" s="51"/>
      <c r="AS71" s="97">
        <v>0</v>
      </c>
      <c r="AT71" s="98">
        <f t="shared" si="1"/>
        <v>0</v>
      </c>
      <c r="AU71" s="99">
        <f>'D.1.4.06 G-DEM'!P93</f>
        <v>0</v>
      </c>
      <c r="AV71" s="98">
        <f>'D.1.4.06 G-DEM'!J37</f>
        <v>0</v>
      </c>
      <c r="AW71" s="98">
        <f>'D.1.4.06 G-DEM'!J38</f>
        <v>0</v>
      </c>
      <c r="AX71" s="98">
        <f>'D.1.4.06 G-DEM'!J39</f>
        <v>0</v>
      </c>
      <c r="AY71" s="98">
        <f>'D.1.4.06 G-DEM'!J40</f>
        <v>0</v>
      </c>
      <c r="AZ71" s="98">
        <f>'D.1.4.06 G-DEM'!F37</f>
        <v>0</v>
      </c>
      <c r="BA71" s="98">
        <f>'D.1.4.06 G-DEM'!F38</f>
        <v>0</v>
      </c>
      <c r="BB71" s="98">
        <f>'D.1.4.06 G-DEM'!F39</f>
        <v>0</v>
      </c>
      <c r="BC71" s="98">
        <f>'D.1.4.06 G-DEM'!F40</f>
        <v>0</v>
      </c>
      <c r="BD71" s="100">
        <f>'D.1.4.06 G-DEM'!F41</f>
        <v>0</v>
      </c>
      <c r="BT71" s="101" t="s">
        <v>102</v>
      </c>
      <c r="BV71" s="101" t="s">
        <v>72</v>
      </c>
      <c r="BW71" s="101" t="s">
        <v>129</v>
      </c>
      <c r="BX71" s="101" t="s">
        <v>118</v>
      </c>
      <c r="CL71" s="101" t="s">
        <v>19</v>
      </c>
    </row>
    <row r="72" spans="1:90" s="4" customFormat="1" ht="22.5">
      <c r="A72" s="94" t="s">
        <v>80</v>
      </c>
      <c r="B72" s="49"/>
      <c r="C72" s="95"/>
      <c r="D72" s="95"/>
      <c r="E72" s="95"/>
      <c r="F72" s="656" t="s">
        <v>130</v>
      </c>
      <c r="G72" s="656"/>
      <c r="H72" s="656"/>
      <c r="I72" s="656"/>
      <c r="J72" s="656"/>
      <c r="K72" s="95"/>
      <c r="L72" s="656" t="s">
        <v>131</v>
      </c>
      <c r="M72" s="656"/>
      <c r="N72" s="656"/>
      <c r="O72" s="656"/>
      <c r="P72" s="656"/>
      <c r="Q72" s="656"/>
      <c r="R72" s="656"/>
      <c r="S72" s="656"/>
      <c r="T72" s="656"/>
      <c r="U72" s="656"/>
      <c r="V72" s="656"/>
      <c r="W72" s="656"/>
      <c r="X72" s="656"/>
      <c r="Y72" s="656"/>
      <c r="Z72" s="656"/>
      <c r="AA72" s="656"/>
      <c r="AB72" s="656"/>
      <c r="AC72" s="656"/>
      <c r="AD72" s="656"/>
      <c r="AE72" s="656"/>
      <c r="AF72" s="656"/>
      <c r="AG72" s="654">
        <f>'D.1.4.06 G-DEM TG'!J34</f>
        <v>0</v>
      </c>
      <c r="AH72" s="655"/>
      <c r="AI72" s="655"/>
      <c r="AJ72" s="655"/>
      <c r="AK72" s="655"/>
      <c r="AL72" s="655"/>
      <c r="AM72" s="655"/>
      <c r="AN72" s="654">
        <f t="shared" si="0"/>
        <v>0</v>
      </c>
      <c r="AO72" s="655"/>
      <c r="AP72" s="655"/>
      <c r="AQ72" s="96" t="s">
        <v>83</v>
      </c>
      <c r="AR72" s="51"/>
      <c r="AS72" s="97">
        <v>0</v>
      </c>
      <c r="AT72" s="98">
        <f t="shared" si="1"/>
        <v>0</v>
      </c>
      <c r="AU72" s="99">
        <f>'D.1.4.06 G-DEM TG'!P93</f>
        <v>0</v>
      </c>
      <c r="AV72" s="98">
        <f>'D.1.4.06 G-DEM TG'!J37</f>
        <v>0</v>
      </c>
      <c r="AW72" s="98">
        <f>'D.1.4.06 G-DEM TG'!J38</f>
        <v>0</v>
      </c>
      <c r="AX72" s="98">
        <f>'D.1.4.06 G-DEM TG'!J39</f>
        <v>0</v>
      </c>
      <c r="AY72" s="98">
        <f>'D.1.4.06 G-DEM TG'!J40</f>
        <v>0</v>
      </c>
      <c r="AZ72" s="98">
        <f>'D.1.4.06 G-DEM TG'!F37</f>
        <v>0</v>
      </c>
      <c r="BA72" s="98">
        <f>'D.1.4.06 G-DEM TG'!F38</f>
        <v>0</v>
      </c>
      <c r="BB72" s="98">
        <f>'D.1.4.06 G-DEM TG'!F39</f>
        <v>0</v>
      </c>
      <c r="BC72" s="98">
        <f>'D.1.4.06 G-DEM TG'!F40</f>
        <v>0</v>
      </c>
      <c r="BD72" s="100">
        <f>'D.1.4.06 G-DEM TG'!F41</f>
        <v>0</v>
      </c>
      <c r="BT72" s="101" t="s">
        <v>102</v>
      </c>
      <c r="BV72" s="101" t="s">
        <v>72</v>
      </c>
      <c r="BW72" s="101" t="s">
        <v>132</v>
      </c>
      <c r="BX72" s="101" t="s">
        <v>118</v>
      </c>
      <c r="CL72" s="101" t="s">
        <v>19</v>
      </c>
    </row>
    <row r="73" spans="1:90" s="4" customFormat="1" ht="22.5">
      <c r="A73" s="94" t="s">
        <v>80</v>
      </c>
      <c r="B73" s="49"/>
      <c r="C73" s="95"/>
      <c r="D73" s="95"/>
      <c r="E73" s="656" t="s">
        <v>133</v>
      </c>
      <c r="F73" s="656"/>
      <c r="G73" s="656"/>
      <c r="H73" s="656"/>
      <c r="I73" s="656"/>
      <c r="J73" s="95"/>
      <c r="K73" s="656" t="s">
        <v>134</v>
      </c>
      <c r="L73" s="656"/>
      <c r="M73" s="656"/>
      <c r="N73" s="656"/>
      <c r="O73" s="656"/>
      <c r="P73" s="656"/>
      <c r="Q73" s="656"/>
      <c r="R73" s="656"/>
      <c r="S73" s="656"/>
      <c r="T73" s="656"/>
      <c r="U73" s="656"/>
      <c r="V73" s="656"/>
      <c r="W73" s="656"/>
      <c r="X73" s="656"/>
      <c r="Y73" s="656"/>
      <c r="Z73" s="656"/>
      <c r="AA73" s="656"/>
      <c r="AB73" s="656"/>
      <c r="AC73" s="656"/>
      <c r="AD73" s="656"/>
      <c r="AE73" s="656"/>
      <c r="AF73" s="656"/>
      <c r="AG73" s="654">
        <f>'D.1.4.07 SERVIS'!J32</f>
        <v>0</v>
      </c>
      <c r="AH73" s="655"/>
      <c r="AI73" s="655"/>
      <c r="AJ73" s="655"/>
      <c r="AK73" s="655"/>
      <c r="AL73" s="655"/>
      <c r="AM73" s="655"/>
      <c r="AN73" s="654">
        <f t="shared" si="0"/>
        <v>0</v>
      </c>
      <c r="AO73" s="655"/>
      <c r="AP73" s="655"/>
      <c r="AQ73" s="96" t="s">
        <v>83</v>
      </c>
      <c r="AR73" s="51"/>
      <c r="AS73" s="97">
        <v>0</v>
      </c>
      <c r="AT73" s="98">
        <f t="shared" si="1"/>
        <v>0</v>
      </c>
      <c r="AU73" s="99">
        <f>'D.1.4.07 SERVIS'!P87</f>
        <v>0</v>
      </c>
      <c r="AV73" s="98">
        <f>'D.1.4.07 SERVIS'!J35</f>
        <v>0</v>
      </c>
      <c r="AW73" s="98">
        <f>'D.1.4.07 SERVIS'!J36</f>
        <v>0</v>
      </c>
      <c r="AX73" s="98">
        <f>'D.1.4.07 SERVIS'!J37</f>
        <v>0</v>
      </c>
      <c r="AY73" s="98">
        <f>'D.1.4.07 SERVIS'!J38</f>
        <v>0</v>
      </c>
      <c r="AZ73" s="98">
        <f>'D.1.4.07 SERVIS'!F35</f>
        <v>0</v>
      </c>
      <c r="BA73" s="98">
        <f>'D.1.4.07 SERVIS'!F36</f>
        <v>0</v>
      </c>
      <c r="BB73" s="98">
        <f>'D.1.4.07 SERVIS'!F37</f>
        <v>0</v>
      </c>
      <c r="BC73" s="98">
        <f>'D.1.4.07 SERVIS'!F38</f>
        <v>0</v>
      </c>
      <c r="BD73" s="100">
        <f>'D.1.4.07 SERVIS'!F39</f>
        <v>0</v>
      </c>
      <c r="BT73" s="101" t="s">
        <v>79</v>
      </c>
      <c r="BV73" s="101" t="s">
        <v>72</v>
      </c>
      <c r="BW73" s="101" t="s">
        <v>135</v>
      </c>
      <c r="BX73" s="101" t="s">
        <v>87</v>
      </c>
      <c r="CL73" s="101" t="s">
        <v>19</v>
      </c>
    </row>
    <row r="74" spans="2:91" s="7" customFormat="1" ht="15">
      <c r="B74" s="84"/>
      <c r="C74" s="85"/>
      <c r="D74" s="659" t="s">
        <v>136</v>
      </c>
      <c r="E74" s="659"/>
      <c r="F74" s="659"/>
      <c r="G74" s="659"/>
      <c r="H74" s="659"/>
      <c r="I74" s="86"/>
      <c r="J74" s="659" t="s">
        <v>137</v>
      </c>
      <c r="K74" s="659"/>
      <c r="L74" s="659"/>
      <c r="M74" s="659"/>
      <c r="N74" s="659"/>
      <c r="O74" s="659"/>
      <c r="P74" s="659"/>
      <c r="Q74" s="659"/>
      <c r="R74" s="659"/>
      <c r="S74" s="659"/>
      <c r="T74" s="659"/>
      <c r="U74" s="659"/>
      <c r="V74" s="659"/>
      <c r="W74" s="659"/>
      <c r="X74" s="659"/>
      <c r="Y74" s="659"/>
      <c r="Z74" s="659"/>
      <c r="AA74" s="659"/>
      <c r="AB74" s="659"/>
      <c r="AC74" s="659"/>
      <c r="AD74" s="659"/>
      <c r="AE74" s="659"/>
      <c r="AF74" s="659"/>
      <c r="AG74" s="683">
        <f>ROUND(AG75,2)</f>
        <v>0</v>
      </c>
      <c r="AH74" s="684"/>
      <c r="AI74" s="684"/>
      <c r="AJ74" s="684"/>
      <c r="AK74" s="684"/>
      <c r="AL74" s="684"/>
      <c r="AM74" s="684"/>
      <c r="AN74" s="689">
        <f t="shared" si="0"/>
        <v>0</v>
      </c>
      <c r="AO74" s="684"/>
      <c r="AP74" s="684"/>
      <c r="AQ74" s="87" t="s">
        <v>136</v>
      </c>
      <c r="AR74" s="88"/>
      <c r="AS74" s="89">
        <f>ROUND(AS75,2)</f>
        <v>0</v>
      </c>
      <c r="AT74" s="90">
        <f t="shared" si="1"/>
        <v>0</v>
      </c>
      <c r="AU74" s="91">
        <f>ROUND(AU75,5)</f>
        <v>0</v>
      </c>
      <c r="AV74" s="90">
        <f>ROUND(AZ74*L29,2)</f>
        <v>0</v>
      </c>
      <c r="AW74" s="90">
        <f>ROUND(BA74*L30,2)</f>
        <v>0</v>
      </c>
      <c r="AX74" s="90">
        <f>ROUND(BB74*L29,2)</f>
        <v>0</v>
      </c>
      <c r="AY74" s="90">
        <f>ROUND(BC74*L30,2)</f>
        <v>0</v>
      </c>
      <c r="AZ74" s="90">
        <f>ROUND(AZ75,2)</f>
        <v>0</v>
      </c>
      <c r="BA74" s="90">
        <f>ROUND(BA75,2)</f>
        <v>0</v>
      </c>
      <c r="BB74" s="90">
        <f>ROUND(BB75,2)</f>
        <v>0</v>
      </c>
      <c r="BC74" s="90">
        <f>ROUND(BC75,2)</f>
        <v>0</v>
      </c>
      <c r="BD74" s="92">
        <f>ROUND(BD75,2)</f>
        <v>0</v>
      </c>
      <c r="BS74" s="93" t="s">
        <v>69</v>
      </c>
      <c r="BT74" s="93" t="s">
        <v>77</v>
      </c>
      <c r="BU74" s="93" t="s">
        <v>71</v>
      </c>
      <c r="BV74" s="93" t="s">
        <v>72</v>
      </c>
      <c r="BW74" s="93" t="s">
        <v>138</v>
      </c>
      <c r="BX74" s="93" t="s">
        <v>5</v>
      </c>
      <c r="CL74" s="93" t="s">
        <v>19</v>
      </c>
      <c r="CM74" s="93" t="s">
        <v>79</v>
      </c>
    </row>
    <row r="75" spans="1:90" s="4" customFormat="1" ht="22.5">
      <c r="A75" s="94" t="s">
        <v>80</v>
      </c>
      <c r="B75" s="49"/>
      <c r="C75" s="95"/>
      <c r="D75" s="95"/>
      <c r="E75" s="656" t="s">
        <v>136</v>
      </c>
      <c r="F75" s="656"/>
      <c r="G75" s="656"/>
      <c r="H75" s="656"/>
      <c r="I75" s="656"/>
      <c r="J75" s="95"/>
      <c r="K75" s="656" t="s">
        <v>139</v>
      </c>
      <c r="L75" s="656"/>
      <c r="M75" s="656"/>
      <c r="N75" s="656"/>
      <c r="O75" s="656"/>
      <c r="P75" s="656"/>
      <c r="Q75" s="656"/>
      <c r="R75" s="656"/>
      <c r="S75" s="656"/>
      <c r="T75" s="656"/>
      <c r="U75" s="656"/>
      <c r="V75" s="656"/>
      <c r="W75" s="656"/>
      <c r="X75" s="656"/>
      <c r="Y75" s="656"/>
      <c r="Z75" s="656"/>
      <c r="AA75" s="656"/>
      <c r="AB75" s="656"/>
      <c r="AC75" s="656"/>
      <c r="AD75" s="656"/>
      <c r="AE75" s="656"/>
      <c r="AF75" s="656"/>
      <c r="AG75" s="654">
        <f>'VON - Soupis prací - Vedl...'!J32</f>
        <v>0</v>
      </c>
      <c r="AH75" s="655"/>
      <c r="AI75" s="655"/>
      <c r="AJ75" s="655"/>
      <c r="AK75" s="655"/>
      <c r="AL75" s="655"/>
      <c r="AM75" s="655"/>
      <c r="AN75" s="654">
        <f t="shared" si="0"/>
        <v>0</v>
      </c>
      <c r="AO75" s="655"/>
      <c r="AP75" s="655"/>
      <c r="AQ75" s="96" t="s">
        <v>83</v>
      </c>
      <c r="AR75" s="51"/>
      <c r="AS75" s="102">
        <v>0</v>
      </c>
      <c r="AT75" s="103">
        <f t="shared" si="1"/>
        <v>0</v>
      </c>
      <c r="AU75" s="104">
        <f>'VON - Soupis prací - Vedl...'!P91</f>
        <v>0</v>
      </c>
      <c r="AV75" s="103">
        <f>'VON - Soupis prací - Vedl...'!J35</f>
        <v>0</v>
      </c>
      <c r="AW75" s="103">
        <f>'VON - Soupis prací - Vedl...'!J36</f>
        <v>0</v>
      </c>
      <c r="AX75" s="103">
        <f>'VON - Soupis prací - Vedl...'!J37</f>
        <v>0</v>
      </c>
      <c r="AY75" s="103">
        <f>'VON - Soupis prací - Vedl...'!J38</f>
        <v>0</v>
      </c>
      <c r="AZ75" s="103">
        <f>'VON - Soupis prací - Vedl...'!F35</f>
        <v>0</v>
      </c>
      <c r="BA75" s="103">
        <f>'VON - Soupis prací - Vedl...'!F36</f>
        <v>0</v>
      </c>
      <c r="BB75" s="103">
        <f>'VON - Soupis prací - Vedl...'!F37</f>
        <v>0</v>
      </c>
      <c r="BC75" s="103">
        <f>'VON - Soupis prací - Vedl...'!F38</f>
        <v>0</v>
      </c>
      <c r="BD75" s="105">
        <f>'VON - Soupis prací - Vedl...'!F39</f>
        <v>0</v>
      </c>
      <c r="BT75" s="101" t="s">
        <v>79</v>
      </c>
      <c r="BV75" s="101" t="s">
        <v>72</v>
      </c>
      <c r="BW75" s="101" t="s">
        <v>140</v>
      </c>
      <c r="BX75" s="101" t="s">
        <v>138</v>
      </c>
      <c r="CL75" s="101" t="s">
        <v>19</v>
      </c>
    </row>
    <row r="76" spans="1:57" s="2" customFormat="1" ht="30" customHeight="1">
      <c r="A76" s="32"/>
      <c r="B76" s="33"/>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7"/>
      <c r="AS76" s="32"/>
      <c r="AT76" s="32"/>
      <c r="AU76" s="32"/>
      <c r="AV76" s="32"/>
      <c r="AW76" s="32"/>
      <c r="AX76" s="32"/>
      <c r="AY76" s="32"/>
      <c r="AZ76" s="32"/>
      <c r="BA76" s="32"/>
      <c r="BB76" s="32"/>
      <c r="BC76" s="32"/>
      <c r="BD76" s="32"/>
      <c r="BE76" s="32"/>
    </row>
    <row r="77" spans="1:57" s="2" customFormat="1" ht="6.95" customHeight="1">
      <c r="A77" s="32"/>
      <c r="B77" s="45"/>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37"/>
      <c r="AS77" s="32"/>
      <c r="AT77" s="32"/>
      <c r="AU77" s="32"/>
      <c r="AV77" s="32"/>
      <c r="AW77" s="32"/>
      <c r="AX77" s="32"/>
      <c r="AY77" s="32"/>
      <c r="AZ77" s="32"/>
      <c r="BA77" s="32"/>
      <c r="BB77" s="32"/>
      <c r="BC77" s="32"/>
      <c r="BD77" s="32"/>
      <c r="BE77" s="32"/>
    </row>
  </sheetData>
  <sheetProtection algorithmName="SHA-512" hashValue="Z0dOKdEllcF0cMV0q/supyq6Sj8WfSQKzlhtIc4qmNkzacy9HZTlMvC1k1K+HNH/yFYDuRiF5jq0rmz8NfV4gA==" saltValue="lPhzZR41LQtgyRm7oEsH363UUdU1uTukhJYxtJtJzDdkCSTJFBQrery1Zhnlb3mOmecMYXDDm1pGi8Tzi3PUhA==" spinCount="100000" sheet="1" objects="1" scenarios="1" formatColumns="0" formatRows="0"/>
  <mergeCells count="122">
    <mergeCell ref="AN75:AP75"/>
    <mergeCell ref="AG75:AM75"/>
    <mergeCell ref="AN54:AP54"/>
    <mergeCell ref="AN70:AP70"/>
    <mergeCell ref="AG70:AM70"/>
    <mergeCell ref="AN71:AP71"/>
    <mergeCell ref="AG71:AM71"/>
    <mergeCell ref="AN72:AP72"/>
    <mergeCell ref="AG72:AM72"/>
    <mergeCell ref="AN73:AP73"/>
    <mergeCell ref="AG73:AM73"/>
    <mergeCell ref="AN74:AP74"/>
    <mergeCell ref="AG74:AM74"/>
    <mergeCell ref="AG65:AM65"/>
    <mergeCell ref="AN66:AP66"/>
    <mergeCell ref="AG66:AM66"/>
    <mergeCell ref="AN67:AP67"/>
    <mergeCell ref="AG67:AM67"/>
    <mergeCell ref="AN68:AP68"/>
    <mergeCell ref="AG68:AM68"/>
    <mergeCell ref="AN69:AP69"/>
    <mergeCell ref="AG69:AM69"/>
    <mergeCell ref="AG63:AM63"/>
    <mergeCell ref="AG62:AM62"/>
    <mergeCell ref="W32:AE32"/>
    <mergeCell ref="AK32:AO32"/>
    <mergeCell ref="L33:P33"/>
    <mergeCell ref="W33:AE33"/>
    <mergeCell ref="AK33:AO33"/>
    <mergeCell ref="AK35:AO35"/>
    <mergeCell ref="X35:AB35"/>
    <mergeCell ref="AR2:BE2"/>
    <mergeCell ref="AG57:AM57"/>
    <mergeCell ref="AG52:AM52"/>
    <mergeCell ref="AG56:AM56"/>
    <mergeCell ref="AG55:AM55"/>
    <mergeCell ref="AM47:AN47"/>
    <mergeCell ref="AM49:AP49"/>
    <mergeCell ref="AM50:AP50"/>
    <mergeCell ref="AN52:AP52"/>
    <mergeCell ref="AN57:AP57"/>
    <mergeCell ref="AN56:AP56"/>
    <mergeCell ref="AN55:AP55"/>
    <mergeCell ref="AS49:AT51"/>
    <mergeCell ref="L45:AO45"/>
    <mergeCell ref="D74:H74"/>
    <mergeCell ref="J74:AF74"/>
    <mergeCell ref="E75:I75"/>
    <mergeCell ref="K75:AF75"/>
    <mergeCell ref="AG54:AM54"/>
    <mergeCell ref="BE5:BE32"/>
    <mergeCell ref="K5:AO5"/>
    <mergeCell ref="K6:AO6"/>
    <mergeCell ref="E14:AJ14"/>
    <mergeCell ref="E23:AN23"/>
    <mergeCell ref="AK26:AO26"/>
    <mergeCell ref="L28:P28"/>
    <mergeCell ref="W28:AE28"/>
    <mergeCell ref="AK28:AO28"/>
    <mergeCell ref="AK29:AO29"/>
    <mergeCell ref="W29:AE29"/>
    <mergeCell ref="L29:P29"/>
    <mergeCell ref="AK30:AO30"/>
    <mergeCell ref="W30:AE30"/>
    <mergeCell ref="L30:P30"/>
    <mergeCell ref="W31:AE31"/>
    <mergeCell ref="L31:P31"/>
    <mergeCell ref="AK31:AO31"/>
    <mergeCell ref="L32:P32"/>
    <mergeCell ref="F69:J69"/>
    <mergeCell ref="L69:AF69"/>
    <mergeCell ref="F70:J70"/>
    <mergeCell ref="L70:AF70"/>
    <mergeCell ref="F71:J71"/>
    <mergeCell ref="L71:AF71"/>
    <mergeCell ref="F72:J72"/>
    <mergeCell ref="L72:AF72"/>
    <mergeCell ref="E73:I73"/>
    <mergeCell ref="K73:AF73"/>
    <mergeCell ref="F65:J65"/>
    <mergeCell ref="L65:AF65"/>
    <mergeCell ref="E66:I66"/>
    <mergeCell ref="K66:AF66"/>
    <mergeCell ref="E67:I67"/>
    <mergeCell ref="K67:AF67"/>
    <mergeCell ref="F68:J68"/>
    <mergeCell ref="L68:AF68"/>
    <mergeCell ref="AG64:AM64"/>
    <mergeCell ref="AG61:AM61"/>
    <mergeCell ref="AG60:AM60"/>
    <mergeCell ref="AG58:AM58"/>
    <mergeCell ref="AG59:AM59"/>
    <mergeCell ref="AN58:AP58"/>
    <mergeCell ref="AN63:AP63"/>
    <mergeCell ref="AN60:AP60"/>
    <mergeCell ref="AN61:AP61"/>
    <mergeCell ref="AN59:AP59"/>
    <mergeCell ref="AN62:AP62"/>
    <mergeCell ref="AN64:AP64"/>
    <mergeCell ref="AN65:AP65"/>
    <mergeCell ref="F63:J63"/>
    <mergeCell ref="F64:J64"/>
    <mergeCell ref="I52:AF52"/>
    <mergeCell ref="J57:AF57"/>
    <mergeCell ref="J55:AF55"/>
    <mergeCell ref="K60:AF60"/>
    <mergeCell ref="K59:AF59"/>
    <mergeCell ref="K56:AF56"/>
    <mergeCell ref="K58:AF58"/>
    <mergeCell ref="K61:AF61"/>
    <mergeCell ref="L62:AF62"/>
    <mergeCell ref="L63:AF63"/>
    <mergeCell ref="L64:AF64"/>
    <mergeCell ref="C52:G52"/>
    <mergeCell ref="D57:H57"/>
    <mergeCell ref="D55:H55"/>
    <mergeCell ref="E56:I56"/>
    <mergeCell ref="E59:I59"/>
    <mergeCell ref="E61:I61"/>
    <mergeCell ref="E60:I60"/>
    <mergeCell ref="E58:I58"/>
    <mergeCell ref="F62:J62"/>
  </mergeCells>
  <hyperlinks>
    <hyperlink ref="A56" location="'D.1.1.1 - Soupis prací - ...'!C2" display="/"/>
    <hyperlink ref="A58" location="'D.1.4.01 - Soupis prací -...'!C2" display="/"/>
    <hyperlink ref="A59" location="'D.1.4.02 - Soupis prací -...'!C2" display="/"/>
    <hyperlink ref="A60" location="'D.1.4.03 - Soupis prací -...'!C2" display="/"/>
    <hyperlink ref="A62" location="'D.1.4.04.1 - Soupis prací...'!C2" display="/"/>
    <hyperlink ref="A63" location="'D.1.4.04.2 - Soupis prací...'!C2" display="/"/>
    <hyperlink ref="A64" location="'D.1.4.04.3 - Soupis prací...'!C2" display="/"/>
    <hyperlink ref="A65" location="'D.1.4.04.4 - Soupis prací...'!C2" display="/"/>
    <hyperlink ref="A66" location="'D.1.4.05 - Soupis prací -...'!C2" display="/"/>
    <hyperlink ref="A68" location="'D.1.4.06.1 - Soupis prací...'!C2" display="/"/>
    <hyperlink ref="A69" location="'D.1.4.06.2 - Soupis prací...'!C2" display="/"/>
    <hyperlink ref="A70" location="'D.1.4.06.3 - Soupis prací...'!C2" display="/"/>
    <hyperlink ref="A71" location="'D.1.4.06.4 - Soupis prací...'!C2" display="/"/>
    <hyperlink ref="A72" location="'D.1.4.06.5 - Soupis prací...'!C2" display="/"/>
    <hyperlink ref="A73" location="'D.1.4.07 - Soupis prací -...'!C2" display="/"/>
    <hyperlink ref="A75" location="'VON - Soupis prací - Vedl...'!C2" display="/"/>
  </hyperlinks>
  <printOptions/>
  <pageMargins left="0.39375" right="0.39375" top="0.39375" bottom="0.39375" header="0" footer="0"/>
  <pageSetup blackAndWhite="1" fitToHeight="100" fitToWidth="1" horizontalDpi="600" verticalDpi="600" orientation="landscape" paperSize="9" r:id="rId2"/>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02AE3-78AE-413E-BF0D-B16D36AAD4A4}">
  <sheetPr>
    <tabColor rgb="FFFFFF00"/>
  </sheetPr>
  <dimension ref="A1:I109"/>
  <sheetViews>
    <sheetView workbookViewId="0" topLeftCell="A74">
      <selection activeCell="L109" sqref="L109"/>
    </sheetView>
  </sheetViews>
  <sheetFormatPr defaultColWidth="9.140625" defaultRowHeight="12"/>
  <cols>
    <col min="1" max="1" width="17.140625" style="427" customWidth="1"/>
    <col min="2" max="2" width="51.00390625" style="426" customWidth="1"/>
    <col min="3" max="3" width="6.7109375" style="422" customWidth="1"/>
    <col min="4" max="4" width="5.421875" style="422" customWidth="1"/>
    <col min="5" max="5" width="16.00390625" style="422" customWidth="1"/>
    <col min="6" max="6" width="17.140625" style="422" customWidth="1"/>
    <col min="7" max="7" width="13.28125" style="422" bestFit="1" customWidth="1"/>
    <col min="8" max="16384" width="9.28125" style="422" customWidth="1"/>
  </cols>
  <sheetData>
    <row r="1" spans="1:6" ht="15.75">
      <c r="A1" s="478" t="s">
        <v>2257</v>
      </c>
      <c r="B1" s="477"/>
      <c r="C1" s="476"/>
      <c r="D1" s="476"/>
      <c r="E1" s="479"/>
      <c r="F1" s="475" t="s">
        <v>2256</v>
      </c>
    </row>
    <row r="2" spans="1:6" ht="15">
      <c r="A2" s="465"/>
      <c r="B2" s="464" t="s">
        <v>2255</v>
      </c>
      <c r="C2" s="463"/>
      <c r="D2" s="463"/>
      <c r="E2" s="480"/>
      <c r="F2" s="463"/>
    </row>
    <row r="3" spans="1:6" ht="12">
      <c r="A3" s="462"/>
      <c r="B3" s="461" t="s">
        <v>1946</v>
      </c>
      <c r="C3" s="460"/>
      <c r="D3" s="460"/>
      <c r="E3" s="481"/>
      <c r="F3" s="459">
        <v>0</v>
      </c>
    </row>
    <row r="4" spans="1:6" ht="12">
      <c r="A4" s="458" t="s">
        <v>2164</v>
      </c>
      <c r="B4" s="457" t="s">
        <v>1737</v>
      </c>
      <c r="C4" s="456"/>
      <c r="D4" s="456"/>
      <c r="E4" s="482"/>
      <c r="F4" s="454">
        <f>F3*0.21</f>
        <v>0</v>
      </c>
    </row>
    <row r="5" ht="12">
      <c r="E5" s="483"/>
    </row>
    <row r="6" spans="1:6" ht="15">
      <c r="A6" s="465"/>
      <c r="B6" s="464" t="s">
        <v>2254</v>
      </c>
      <c r="C6" s="463"/>
      <c r="D6" s="463"/>
      <c r="E6" s="480"/>
      <c r="F6" s="463"/>
    </row>
    <row r="7" spans="1:6" ht="12">
      <c r="A7" s="474" t="s">
        <v>2029</v>
      </c>
      <c r="B7" s="473" t="s">
        <v>2220</v>
      </c>
      <c r="C7" s="472" t="s">
        <v>2219</v>
      </c>
      <c r="D7" s="472" t="s">
        <v>183</v>
      </c>
      <c r="E7" s="471" t="s">
        <v>2218</v>
      </c>
      <c r="F7" s="471" t="s">
        <v>1946</v>
      </c>
    </row>
    <row r="8" spans="1:6" ht="12">
      <c r="A8" s="470" t="s">
        <v>2253</v>
      </c>
      <c r="B8" s="469" t="s">
        <v>2252</v>
      </c>
      <c r="C8" s="468">
        <v>1</v>
      </c>
      <c r="D8" s="467" t="s">
        <v>2057</v>
      </c>
      <c r="E8" s="484">
        <v>0</v>
      </c>
      <c r="F8" s="466">
        <f>E8*C8</f>
        <v>0</v>
      </c>
    </row>
    <row r="9" spans="1:6" ht="12">
      <c r="A9" s="470" t="s">
        <v>2251</v>
      </c>
      <c r="B9" s="469" t="s">
        <v>2250</v>
      </c>
      <c r="C9" s="468">
        <v>1</v>
      </c>
      <c r="D9" s="467" t="s">
        <v>2057</v>
      </c>
      <c r="E9" s="484">
        <v>0</v>
      </c>
      <c r="F9" s="466">
        <f aca="true" t="shared" si="0" ref="F9:F32">E9*C9</f>
        <v>0</v>
      </c>
    </row>
    <row r="10" spans="1:6" ht="12">
      <c r="A10" s="470">
        <v>802371</v>
      </c>
      <c r="B10" s="469" t="s">
        <v>2249</v>
      </c>
      <c r="C10" s="468">
        <v>18</v>
      </c>
      <c r="D10" s="467" t="s">
        <v>2057</v>
      </c>
      <c r="E10" s="484">
        <v>0</v>
      </c>
      <c r="F10" s="466">
        <f t="shared" si="0"/>
        <v>0</v>
      </c>
    </row>
    <row r="11" spans="1:6" ht="12">
      <c r="A11" s="470">
        <v>802177</v>
      </c>
      <c r="B11" s="469" t="s">
        <v>2248</v>
      </c>
      <c r="C11" s="468">
        <v>2</v>
      </c>
      <c r="D11" s="467" t="s">
        <v>2057</v>
      </c>
      <c r="E11" s="484">
        <v>0</v>
      </c>
      <c r="F11" s="466">
        <f t="shared" si="0"/>
        <v>0</v>
      </c>
    </row>
    <row r="12" spans="1:6" ht="12">
      <c r="A12" s="470">
        <v>805590</v>
      </c>
      <c r="B12" s="469" t="s">
        <v>2247</v>
      </c>
      <c r="C12" s="468">
        <v>20</v>
      </c>
      <c r="D12" s="467" t="s">
        <v>2057</v>
      </c>
      <c r="E12" s="484">
        <v>0</v>
      </c>
      <c r="F12" s="466">
        <f t="shared" si="0"/>
        <v>0</v>
      </c>
    </row>
    <row r="13" spans="1:6" ht="12">
      <c r="A13" s="470">
        <v>805572.5</v>
      </c>
      <c r="B13" s="469" t="s">
        <v>2246</v>
      </c>
      <c r="C13" s="468">
        <v>20</v>
      </c>
      <c r="D13" s="467" t="s">
        <v>2057</v>
      </c>
      <c r="E13" s="484">
        <v>0</v>
      </c>
      <c r="F13" s="466">
        <f t="shared" si="0"/>
        <v>0</v>
      </c>
    </row>
    <row r="14" spans="1:6" ht="12">
      <c r="A14" s="470">
        <v>805570</v>
      </c>
      <c r="B14" s="469" t="s">
        <v>2245</v>
      </c>
      <c r="C14" s="468">
        <v>2</v>
      </c>
      <c r="D14" s="467" t="s">
        <v>2240</v>
      </c>
      <c r="E14" s="484">
        <v>0</v>
      </c>
      <c r="F14" s="466">
        <f t="shared" si="0"/>
        <v>0</v>
      </c>
    </row>
    <row r="15" spans="1:6" ht="12">
      <c r="A15" s="470">
        <v>805576</v>
      </c>
      <c r="B15" s="469" t="s">
        <v>2244</v>
      </c>
      <c r="C15" s="468">
        <v>2</v>
      </c>
      <c r="D15" s="467" t="s">
        <v>2240</v>
      </c>
      <c r="E15" s="484">
        <v>0</v>
      </c>
      <c r="F15" s="466">
        <f t="shared" si="0"/>
        <v>0</v>
      </c>
    </row>
    <row r="16" spans="1:6" ht="12">
      <c r="A16" s="470">
        <v>804905</v>
      </c>
      <c r="B16" s="469" t="s">
        <v>2243</v>
      </c>
      <c r="C16" s="468">
        <v>2</v>
      </c>
      <c r="D16" s="467" t="s">
        <v>2057</v>
      </c>
      <c r="E16" s="484">
        <v>0</v>
      </c>
      <c r="F16" s="466">
        <f t="shared" si="0"/>
        <v>0</v>
      </c>
    </row>
    <row r="17" spans="1:6" ht="12">
      <c r="A17" s="470">
        <v>704900</v>
      </c>
      <c r="B17" s="469" t="s">
        <v>2242</v>
      </c>
      <c r="C17" s="468">
        <v>2</v>
      </c>
      <c r="D17" s="467" t="s">
        <v>2057</v>
      </c>
      <c r="E17" s="484">
        <v>0</v>
      </c>
      <c r="F17" s="466">
        <f t="shared" si="0"/>
        <v>0</v>
      </c>
    </row>
    <row r="18" spans="1:6" ht="12">
      <c r="A18" s="470">
        <v>704910</v>
      </c>
      <c r="B18" s="469" t="s">
        <v>2241</v>
      </c>
      <c r="C18" s="468">
        <v>1</v>
      </c>
      <c r="D18" s="467" t="s">
        <v>2240</v>
      </c>
      <c r="E18" s="484">
        <v>0</v>
      </c>
      <c r="F18" s="466">
        <f t="shared" si="0"/>
        <v>0</v>
      </c>
    </row>
    <row r="19" spans="1:6" ht="12">
      <c r="A19" s="470">
        <v>769911</v>
      </c>
      <c r="B19" s="469" t="s">
        <v>2239</v>
      </c>
      <c r="C19" s="468">
        <v>1</v>
      </c>
      <c r="D19" s="467" t="s">
        <v>2057</v>
      </c>
      <c r="E19" s="484">
        <v>0</v>
      </c>
      <c r="F19" s="466">
        <f t="shared" si="0"/>
        <v>0</v>
      </c>
    </row>
    <row r="20" spans="1:6" ht="12">
      <c r="A20" s="470">
        <v>808623</v>
      </c>
      <c r="B20" s="469" t="s">
        <v>2238</v>
      </c>
      <c r="C20" s="468">
        <v>2</v>
      </c>
      <c r="D20" s="467" t="s">
        <v>2057</v>
      </c>
      <c r="E20" s="484">
        <v>0</v>
      </c>
      <c r="F20" s="466">
        <f t="shared" si="0"/>
        <v>0</v>
      </c>
    </row>
    <row r="21" spans="1:6" ht="12">
      <c r="A21" s="470">
        <v>788600</v>
      </c>
      <c r="B21" s="469" t="s">
        <v>2234</v>
      </c>
      <c r="C21" s="468">
        <v>2</v>
      </c>
      <c r="D21" s="467" t="s">
        <v>2057</v>
      </c>
      <c r="E21" s="484">
        <v>0</v>
      </c>
      <c r="F21" s="466">
        <f t="shared" si="0"/>
        <v>0</v>
      </c>
    </row>
    <row r="22" spans="1:6" ht="12">
      <c r="A22" s="470">
        <v>808630.1</v>
      </c>
      <c r="B22" s="469" t="s">
        <v>2237</v>
      </c>
      <c r="C22" s="468">
        <v>1</v>
      </c>
      <c r="D22" s="467" t="s">
        <v>2057</v>
      </c>
      <c r="E22" s="484">
        <v>0</v>
      </c>
      <c r="F22" s="466">
        <f t="shared" si="0"/>
        <v>0</v>
      </c>
    </row>
    <row r="23" spans="1:6" ht="12">
      <c r="A23" s="470">
        <v>788612</v>
      </c>
      <c r="B23" s="469" t="s">
        <v>2236</v>
      </c>
      <c r="C23" s="468">
        <v>1</v>
      </c>
      <c r="D23" s="467" t="s">
        <v>2057</v>
      </c>
      <c r="E23" s="484">
        <v>0</v>
      </c>
      <c r="F23" s="466">
        <f t="shared" si="0"/>
        <v>0</v>
      </c>
    </row>
    <row r="24" spans="1:6" ht="12">
      <c r="A24" s="470">
        <v>781336</v>
      </c>
      <c r="B24" s="469" t="s">
        <v>2235</v>
      </c>
      <c r="C24" s="468">
        <v>1</v>
      </c>
      <c r="D24" s="467" t="s">
        <v>2057</v>
      </c>
      <c r="E24" s="484">
        <v>0</v>
      </c>
      <c r="F24" s="466">
        <f t="shared" si="0"/>
        <v>0</v>
      </c>
    </row>
    <row r="25" spans="1:6" ht="12">
      <c r="A25" s="470">
        <v>788600</v>
      </c>
      <c r="B25" s="469" t="s">
        <v>2234</v>
      </c>
      <c r="C25" s="468">
        <v>1</v>
      </c>
      <c r="D25" s="467" t="s">
        <v>2057</v>
      </c>
      <c r="E25" s="484">
        <v>0</v>
      </c>
      <c r="F25" s="466">
        <f t="shared" si="0"/>
        <v>0</v>
      </c>
    </row>
    <row r="26" spans="1:6" ht="12">
      <c r="A26" s="470" t="s">
        <v>2233</v>
      </c>
      <c r="B26" s="469" t="s">
        <v>2232</v>
      </c>
      <c r="C26" s="468">
        <v>28</v>
      </c>
      <c r="D26" s="467" t="s">
        <v>310</v>
      </c>
      <c r="E26" s="484">
        <v>0</v>
      </c>
      <c r="F26" s="466">
        <f t="shared" si="0"/>
        <v>0</v>
      </c>
    </row>
    <row r="27" spans="1:6" ht="12">
      <c r="A27" s="470" t="s">
        <v>2231</v>
      </c>
      <c r="B27" s="469" t="s">
        <v>2230</v>
      </c>
      <c r="C27" s="468">
        <v>1</v>
      </c>
      <c r="D27" s="467" t="s">
        <v>2196</v>
      </c>
      <c r="E27" s="484">
        <v>0</v>
      </c>
      <c r="F27" s="466">
        <f t="shared" si="0"/>
        <v>0</v>
      </c>
    </row>
    <row r="28" spans="1:6" ht="12">
      <c r="A28" s="470"/>
      <c r="B28" s="469" t="s">
        <v>2229</v>
      </c>
      <c r="C28" s="468">
        <v>1</v>
      </c>
      <c r="D28" s="467" t="s">
        <v>2196</v>
      </c>
      <c r="E28" s="484">
        <v>0</v>
      </c>
      <c r="F28" s="466">
        <f t="shared" si="0"/>
        <v>0</v>
      </c>
    </row>
    <row r="29" spans="1:6" ht="12">
      <c r="A29" s="470" t="s">
        <v>2228</v>
      </c>
      <c r="B29" s="469" t="s">
        <v>2227</v>
      </c>
      <c r="C29" s="468">
        <v>5</v>
      </c>
      <c r="D29" s="467" t="s">
        <v>2057</v>
      </c>
      <c r="E29" s="484">
        <v>0</v>
      </c>
      <c r="F29" s="466">
        <f t="shared" si="0"/>
        <v>0</v>
      </c>
    </row>
    <row r="30" spans="1:6" ht="24">
      <c r="A30" s="470" t="s">
        <v>2226</v>
      </c>
      <c r="B30" s="469" t="s">
        <v>2225</v>
      </c>
      <c r="C30" s="468">
        <v>1</v>
      </c>
      <c r="D30" s="467" t="s">
        <v>2057</v>
      </c>
      <c r="E30" s="484">
        <v>0</v>
      </c>
      <c r="F30" s="466">
        <f t="shared" si="0"/>
        <v>0</v>
      </c>
    </row>
    <row r="31" spans="1:6" ht="24">
      <c r="A31" s="470" t="s">
        <v>2224</v>
      </c>
      <c r="B31" s="469" t="s">
        <v>2223</v>
      </c>
      <c r="C31" s="468">
        <v>2</v>
      </c>
      <c r="D31" s="467" t="s">
        <v>2057</v>
      </c>
      <c r="E31" s="484">
        <v>0</v>
      </c>
      <c r="F31" s="466">
        <f t="shared" si="0"/>
        <v>0</v>
      </c>
    </row>
    <row r="32" spans="1:6" ht="12">
      <c r="A32" s="470"/>
      <c r="B32" s="469" t="s">
        <v>2222</v>
      </c>
      <c r="C32" s="468">
        <v>24</v>
      </c>
      <c r="D32" s="467" t="s">
        <v>2057</v>
      </c>
      <c r="E32" s="484">
        <v>0</v>
      </c>
      <c r="F32" s="466">
        <f t="shared" si="0"/>
        <v>0</v>
      </c>
    </row>
    <row r="33" spans="1:6" ht="12">
      <c r="A33" s="462"/>
      <c r="B33" s="461" t="s">
        <v>1946</v>
      </c>
      <c r="C33" s="460"/>
      <c r="D33" s="460"/>
      <c r="E33" s="481"/>
      <c r="F33" s="459">
        <f>SUM(F8:F32)</f>
        <v>0</v>
      </c>
    </row>
    <row r="34" spans="1:6" ht="12">
      <c r="A34" s="458" t="s">
        <v>2164</v>
      </c>
      <c r="B34" s="457" t="s">
        <v>1737</v>
      </c>
      <c r="C34" s="456"/>
      <c r="D34" s="456"/>
      <c r="E34" s="482"/>
      <c r="F34" s="454">
        <f>F33*0.21</f>
        <v>0</v>
      </c>
    </row>
    <row r="35" ht="12">
      <c r="E35" s="483"/>
    </row>
    <row r="36" spans="1:6" ht="15">
      <c r="A36" s="465"/>
      <c r="B36" s="464" t="s">
        <v>2221</v>
      </c>
      <c r="C36" s="463"/>
      <c r="D36" s="463"/>
      <c r="E36" s="480"/>
      <c r="F36" s="463"/>
    </row>
    <row r="37" spans="1:6" ht="12">
      <c r="A37" s="474" t="s">
        <v>2029</v>
      </c>
      <c r="B37" s="473" t="s">
        <v>2220</v>
      </c>
      <c r="C37" s="472" t="s">
        <v>2219</v>
      </c>
      <c r="D37" s="472" t="s">
        <v>183</v>
      </c>
      <c r="E37" s="485" t="s">
        <v>2218</v>
      </c>
      <c r="F37" s="471" t="s">
        <v>1946</v>
      </c>
    </row>
    <row r="38" spans="1:6" ht="12">
      <c r="A38" s="470" t="s">
        <v>2217</v>
      </c>
      <c r="B38" s="469" t="s">
        <v>2216</v>
      </c>
      <c r="C38" s="468">
        <v>490</v>
      </c>
      <c r="D38" s="467" t="s">
        <v>310</v>
      </c>
      <c r="E38" s="484">
        <v>0</v>
      </c>
      <c r="F38" s="466">
        <f aca="true" t="shared" si="1" ref="F38:F63">E38*C38</f>
        <v>0</v>
      </c>
    </row>
    <row r="39" spans="1:6" ht="12">
      <c r="A39" s="470" t="s">
        <v>2258</v>
      </c>
      <c r="B39" s="469" t="s">
        <v>2215</v>
      </c>
      <c r="C39" s="468">
        <v>224</v>
      </c>
      <c r="D39" s="467" t="s">
        <v>310</v>
      </c>
      <c r="E39" s="484">
        <v>0</v>
      </c>
      <c r="F39" s="466">
        <f t="shared" si="1"/>
        <v>0</v>
      </c>
    </row>
    <row r="40" spans="1:6" ht="12">
      <c r="A40" s="470" t="s">
        <v>2259</v>
      </c>
      <c r="B40" s="469" t="s">
        <v>2214</v>
      </c>
      <c r="C40" s="468">
        <v>30</v>
      </c>
      <c r="D40" s="467" t="s">
        <v>310</v>
      </c>
      <c r="E40" s="484">
        <v>0</v>
      </c>
      <c r="F40" s="466">
        <f t="shared" si="1"/>
        <v>0</v>
      </c>
    </row>
    <row r="41" spans="1:6" ht="12">
      <c r="A41" s="470" t="s">
        <v>2213</v>
      </c>
      <c r="B41" s="469" t="s">
        <v>2212</v>
      </c>
      <c r="C41" s="468">
        <v>150</v>
      </c>
      <c r="D41" s="467" t="s">
        <v>2057</v>
      </c>
      <c r="E41" s="484">
        <v>0</v>
      </c>
      <c r="F41" s="466">
        <f t="shared" si="1"/>
        <v>0</v>
      </c>
    </row>
    <row r="42" spans="1:6" ht="12">
      <c r="A42" s="470" t="s">
        <v>2211</v>
      </c>
      <c r="B42" s="469" t="s">
        <v>2210</v>
      </c>
      <c r="C42" s="468">
        <v>150</v>
      </c>
      <c r="D42" s="467" t="s">
        <v>2057</v>
      </c>
      <c r="E42" s="484">
        <v>0</v>
      </c>
      <c r="F42" s="466">
        <f t="shared" si="1"/>
        <v>0</v>
      </c>
    </row>
    <row r="43" spans="1:6" ht="12">
      <c r="A43" s="470" t="s">
        <v>2209</v>
      </c>
      <c r="B43" s="469" t="s">
        <v>2208</v>
      </c>
      <c r="C43" s="468">
        <v>3</v>
      </c>
      <c r="D43" s="467" t="s">
        <v>2057</v>
      </c>
      <c r="E43" s="484">
        <v>0</v>
      </c>
      <c r="F43" s="466">
        <f t="shared" si="1"/>
        <v>0</v>
      </c>
    </row>
    <row r="44" spans="1:6" ht="24">
      <c r="A44" s="470" t="s">
        <v>2207</v>
      </c>
      <c r="B44" s="469" t="s">
        <v>2206</v>
      </c>
      <c r="C44" s="468">
        <v>4</v>
      </c>
      <c r="D44" s="467" t="s">
        <v>2057</v>
      </c>
      <c r="E44" s="484">
        <v>0</v>
      </c>
      <c r="F44" s="466">
        <f t="shared" si="1"/>
        <v>0</v>
      </c>
    </row>
    <row r="45" spans="1:6" ht="12">
      <c r="A45" s="470" t="s">
        <v>2205</v>
      </c>
      <c r="B45" s="469" t="s">
        <v>2204</v>
      </c>
      <c r="C45" s="468">
        <v>42</v>
      </c>
      <c r="D45" s="467" t="s">
        <v>310</v>
      </c>
      <c r="E45" s="484">
        <v>0</v>
      </c>
      <c r="F45" s="466">
        <f t="shared" si="1"/>
        <v>0</v>
      </c>
    </row>
    <row r="46" spans="1:6" ht="12">
      <c r="A46" s="470">
        <v>19857</v>
      </c>
      <c r="B46" s="469" t="s">
        <v>2203</v>
      </c>
      <c r="C46" s="468">
        <v>395</v>
      </c>
      <c r="D46" s="467" t="s">
        <v>310</v>
      </c>
      <c r="E46" s="484">
        <v>0</v>
      </c>
      <c r="F46" s="466">
        <f t="shared" si="1"/>
        <v>0</v>
      </c>
    </row>
    <row r="47" spans="1:6" ht="12">
      <c r="A47" s="470" t="s">
        <v>2202</v>
      </c>
      <c r="B47" s="469" t="s">
        <v>2201</v>
      </c>
      <c r="C47" s="468">
        <v>40</v>
      </c>
      <c r="D47" s="467" t="s">
        <v>2057</v>
      </c>
      <c r="E47" s="484">
        <v>0</v>
      </c>
      <c r="F47" s="466">
        <f t="shared" si="1"/>
        <v>0</v>
      </c>
    </row>
    <row r="48" spans="1:6" ht="12">
      <c r="A48" s="470" t="s">
        <v>2200</v>
      </c>
      <c r="B48" s="469" t="s">
        <v>2199</v>
      </c>
      <c r="C48" s="468">
        <v>9</v>
      </c>
      <c r="D48" s="467" t="s">
        <v>2057</v>
      </c>
      <c r="E48" s="484">
        <v>0</v>
      </c>
      <c r="F48" s="466">
        <f t="shared" si="1"/>
        <v>0</v>
      </c>
    </row>
    <row r="49" spans="1:6" ht="12">
      <c r="A49" s="470" t="s">
        <v>2260</v>
      </c>
      <c r="B49" s="469" t="s">
        <v>2197</v>
      </c>
      <c r="C49" s="468">
        <v>0.09</v>
      </c>
      <c r="D49" s="467" t="s">
        <v>2196</v>
      </c>
      <c r="E49" s="484">
        <v>0</v>
      </c>
      <c r="F49" s="466">
        <f t="shared" si="1"/>
        <v>0</v>
      </c>
    </row>
    <row r="50" spans="1:6" ht="12">
      <c r="A50" s="470">
        <v>3488604</v>
      </c>
      <c r="B50" s="469" t="s">
        <v>2195</v>
      </c>
      <c r="C50" s="468">
        <v>18</v>
      </c>
      <c r="D50" s="467" t="s">
        <v>2057</v>
      </c>
      <c r="E50" s="484">
        <v>0</v>
      </c>
      <c r="F50" s="466">
        <f t="shared" si="1"/>
        <v>0</v>
      </c>
    </row>
    <row r="51" spans="1:6" ht="24">
      <c r="A51" s="470" t="s">
        <v>2194</v>
      </c>
      <c r="B51" s="469" t="s">
        <v>2193</v>
      </c>
      <c r="C51" s="468">
        <v>80</v>
      </c>
      <c r="D51" s="467" t="s">
        <v>310</v>
      </c>
      <c r="E51" s="484">
        <v>0</v>
      </c>
      <c r="F51" s="466">
        <f t="shared" si="1"/>
        <v>0</v>
      </c>
    </row>
    <row r="52" spans="1:6" ht="12">
      <c r="A52" s="470" t="s">
        <v>2180</v>
      </c>
      <c r="B52" s="469" t="s">
        <v>2179</v>
      </c>
      <c r="C52" s="468">
        <v>80</v>
      </c>
      <c r="D52" s="467" t="s">
        <v>2057</v>
      </c>
      <c r="E52" s="484">
        <v>0</v>
      </c>
      <c r="F52" s="466">
        <f t="shared" si="1"/>
        <v>0</v>
      </c>
    </row>
    <row r="53" spans="1:6" ht="12">
      <c r="A53" s="470" t="s">
        <v>2192</v>
      </c>
      <c r="B53" s="469" t="s">
        <v>2191</v>
      </c>
      <c r="C53" s="468">
        <v>3</v>
      </c>
      <c r="D53" s="467" t="s">
        <v>2057</v>
      </c>
      <c r="E53" s="484">
        <v>0</v>
      </c>
      <c r="F53" s="466">
        <f t="shared" si="1"/>
        <v>0</v>
      </c>
    </row>
    <row r="54" spans="1:6" ht="12">
      <c r="A54" s="470" t="s">
        <v>2180</v>
      </c>
      <c r="B54" s="469" t="s">
        <v>2179</v>
      </c>
      <c r="C54" s="468">
        <v>10</v>
      </c>
      <c r="D54" s="467" t="s">
        <v>2057</v>
      </c>
      <c r="E54" s="484">
        <v>0</v>
      </c>
      <c r="F54" s="466">
        <f t="shared" si="1"/>
        <v>0</v>
      </c>
    </row>
    <row r="55" spans="1:6" ht="12">
      <c r="A55" s="470" t="s">
        <v>2190</v>
      </c>
      <c r="B55" s="469" t="s">
        <v>2189</v>
      </c>
      <c r="C55" s="468">
        <v>150</v>
      </c>
      <c r="D55" s="467" t="s">
        <v>2057</v>
      </c>
      <c r="E55" s="484">
        <v>0</v>
      </c>
      <c r="F55" s="466">
        <f t="shared" si="1"/>
        <v>0</v>
      </c>
    </row>
    <row r="56" spans="1:6" ht="12">
      <c r="A56" s="470" t="s">
        <v>2188</v>
      </c>
      <c r="B56" s="469" t="s">
        <v>2187</v>
      </c>
      <c r="C56" s="468">
        <v>150</v>
      </c>
      <c r="D56" s="467" t="s">
        <v>2057</v>
      </c>
      <c r="E56" s="484">
        <v>0</v>
      </c>
      <c r="F56" s="466">
        <f t="shared" si="1"/>
        <v>0</v>
      </c>
    </row>
    <row r="57" spans="1:6" ht="12">
      <c r="A57" s="470" t="s">
        <v>2186</v>
      </c>
      <c r="B57" s="469" t="s">
        <v>2185</v>
      </c>
      <c r="C57" s="468">
        <v>80</v>
      </c>
      <c r="D57" s="467" t="s">
        <v>2057</v>
      </c>
      <c r="E57" s="484">
        <v>0</v>
      </c>
      <c r="F57" s="466">
        <f t="shared" si="1"/>
        <v>0</v>
      </c>
    </row>
    <row r="58" spans="1:6" ht="12">
      <c r="A58" s="470" t="s">
        <v>2184</v>
      </c>
      <c r="B58" s="469" t="s">
        <v>2183</v>
      </c>
      <c r="C58" s="468">
        <v>80</v>
      </c>
      <c r="D58" s="467" t="s">
        <v>2057</v>
      </c>
      <c r="E58" s="484">
        <v>0</v>
      </c>
      <c r="F58" s="466">
        <f t="shared" si="1"/>
        <v>0</v>
      </c>
    </row>
    <row r="59" spans="1:6" ht="12">
      <c r="A59" s="470" t="s">
        <v>2182</v>
      </c>
      <c r="B59" s="469" t="s">
        <v>2181</v>
      </c>
      <c r="C59" s="468">
        <v>270</v>
      </c>
      <c r="D59" s="467" t="s">
        <v>2057</v>
      </c>
      <c r="E59" s="484">
        <v>0</v>
      </c>
      <c r="F59" s="466">
        <f t="shared" si="1"/>
        <v>0</v>
      </c>
    </row>
    <row r="60" spans="1:6" ht="12">
      <c r="A60" s="470" t="s">
        <v>2180</v>
      </c>
      <c r="B60" s="469" t="s">
        <v>2179</v>
      </c>
      <c r="C60" s="468">
        <v>80</v>
      </c>
      <c r="D60" s="467" t="s">
        <v>2057</v>
      </c>
      <c r="E60" s="484">
        <v>0</v>
      </c>
      <c r="F60" s="466">
        <f t="shared" si="1"/>
        <v>0</v>
      </c>
    </row>
    <row r="61" spans="1:6" ht="12">
      <c r="A61" s="470" t="s">
        <v>2178</v>
      </c>
      <c r="B61" s="469" t="s">
        <v>2177</v>
      </c>
      <c r="C61" s="468">
        <v>80</v>
      </c>
      <c r="D61" s="467" t="s">
        <v>2057</v>
      </c>
      <c r="E61" s="484">
        <v>0</v>
      </c>
      <c r="F61" s="466">
        <f t="shared" si="1"/>
        <v>0</v>
      </c>
    </row>
    <row r="62" spans="1:6" ht="12">
      <c r="A62" s="470" t="s">
        <v>2176</v>
      </c>
      <c r="B62" s="469" t="s">
        <v>2175</v>
      </c>
      <c r="C62" s="468">
        <v>60</v>
      </c>
      <c r="D62" s="467" t="s">
        <v>310</v>
      </c>
      <c r="E62" s="484">
        <v>0</v>
      </c>
      <c r="F62" s="466">
        <f t="shared" si="1"/>
        <v>0</v>
      </c>
    </row>
    <row r="63" spans="1:6" ht="12">
      <c r="A63" s="470" t="s">
        <v>2174</v>
      </c>
      <c r="B63" s="469" t="s">
        <v>2173</v>
      </c>
      <c r="C63" s="468">
        <v>1</v>
      </c>
      <c r="D63" s="467" t="s">
        <v>2172</v>
      </c>
      <c r="E63" s="484">
        <v>0</v>
      </c>
      <c r="F63" s="466">
        <f t="shared" si="1"/>
        <v>0</v>
      </c>
    </row>
    <row r="64" spans="1:6" ht="12">
      <c r="A64" s="462"/>
      <c r="B64" s="461" t="s">
        <v>1946</v>
      </c>
      <c r="C64" s="460"/>
      <c r="D64" s="460"/>
      <c r="E64" s="460"/>
      <c r="F64" s="459">
        <f>SUM(F38:F63)</f>
        <v>0</v>
      </c>
    </row>
    <row r="65" spans="1:6" ht="12">
      <c r="A65" s="458" t="s">
        <v>2164</v>
      </c>
      <c r="B65" s="457" t="s">
        <v>1737</v>
      </c>
      <c r="C65" s="456"/>
      <c r="D65" s="456"/>
      <c r="E65" s="455"/>
      <c r="F65" s="454">
        <f>F64*0.21</f>
        <v>0</v>
      </c>
    </row>
    <row r="67" spans="1:6" ht="15">
      <c r="A67" s="465"/>
      <c r="B67" s="464" t="s">
        <v>2171</v>
      </c>
      <c r="C67" s="463"/>
      <c r="D67" s="463"/>
      <c r="E67" s="463"/>
      <c r="F67" s="463"/>
    </row>
    <row r="68" spans="1:6" ht="12">
      <c r="A68" s="462"/>
      <c r="B68" s="461" t="s">
        <v>1946</v>
      </c>
      <c r="C68" s="460"/>
      <c r="D68" s="460"/>
      <c r="E68" s="460"/>
      <c r="F68" s="795">
        <v>0</v>
      </c>
    </row>
    <row r="69" spans="1:6" ht="12">
      <c r="A69" s="458" t="s">
        <v>2164</v>
      </c>
      <c r="B69" s="457" t="s">
        <v>1737</v>
      </c>
      <c r="C69" s="456"/>
      <c r="D69" s="456"/>
      <c r="E69" s="455"/>
      <c r="F69" s="454">
        <f>F68*0.21</f>
        <v>0</v>
      </c>
    </row>
    <row r="71" spans="1:6" ht="15">
      <c r="A71" s="465"/>
      <c r="B71" s="464" t="s">
        <v>2170</v>
      </c>
      <c r="C71" s="463"/>
      <c r="D71" s="463"/>
      <c r="E71" s="463"/>
      <c r="F71" s="463"/>
    </row>
    <row r="72" spans="1:6" ht="12">
      <c r="A72" s="462"/>
      <c r="B72" s="461" t="s">
        <v>1946</v>
      </c>
      <c r="C72" s="460"/>
      <c r="D72" s="460"/>
      <c r="E72" s="460"/>
      <c r="F72" s="795">
        <v>0</v>
      </c>
    </row>
    <row r="73" spans="1:6" ht="12">
      <c r="A73" s="458" t="s">
        <v>2164</v>
      </c>
      <c r="B73" s="457" t="s">
        <v>1737</v>
      </c>
      <c r="C73" s="456"/>
      <c r="D73" s="456"/>
      <c r="E73" s="455"/>
      <c r="F73" s="454">
        <f>F72*0.21</f>
        <v>0</v>
      </c>
    </row>
    <row r="75" spans="1:6" ht="15">
      <c r="A75" s="465"/>
      <c r="B75" s="464" t="s">
        <v>2169</v>
      </c>
      <c r="C75" s="463"/>
      <c r="D75" s="463"/>
      <c r="E75" s="463"/>
      <c r="F75" s="463"/>
    </row>
    <row r="76" spans="1:6" ht="12">
      <c r="A76" s="462"/>
      <c r="B76" s="461" t="s">
        <v>1946</v>
      </c>
      <c r="C76" s="460"/>
      <c r="D76" s="460"/>
      <c r="E76" s="460"/>
      <c r="F76" s="795">
        <v>0</v>
      </c>
    </row>
    <row r="77" spans="1:6" ht="12">
      <c r="A77" s="458" t="s">
        <v>2164</v>
      </c>
      <c r="B77" s="457" t="s">
        <v>1737</v>
      </c>
      <c r="C77" s="456"/>
      <c r="D77" s="456"/>
      <c r="E77" s="455"/>
      <c r="F77" s="454">
        <f>F76*0.21</f>
        <v>0</v>
      </c>
    </row>
    <row r="79" spans="1:6" ht="15">
      <c r="A79" s="465"/>
      <c r="B79" s="464" t="s">
        <v>2168</v>
      </c>
      <c r="C79" s="463"/>
      <c r="D79" s="463"/>
      <c r="E79" s="463"/>
      <c r="F79" s="463"/>
    </row>
    <row r="80" spans="1:6" ht="12">
      <c r="A80" s="462"/>
      <c r="B80" s="461" t="s">
        <v>1946</v>
      </c>
      <c r="C80" s="460"/>
      <c r="D80" s="460"/>
      <c r="E80" s="460"/>
      <c r="F80" s="795">
        <v>0</v>
      </c>
    </row>
    <row r="81" spans="1:6" ht="12">
      <c r="A81" s="458" t="s">
        <v>2164</v>
      </c>
      <c r="B81" s="457" t="s">
        <v>1737</v>
      </c>
      <c r="C81" s="456"/>
      <c r="D81" s="456"/>
      <c r="E81" s="455"/>
      <c r="F81" s="454">
        <f>F80*0.21</f>
        <v>0</v>
      </c>
    </row>
    <row r="83" spans="1:6" ht="15">
      <c r="A83" s="465"/>
      <c r="B83" s="464" t="s">
        <v>2167</v>
      </c>
      <c r="C83" s="463"/>
      <c r="D83" s="463"/>
      <c r="E83" s="463"/>
      <c r="F83" s="463"/>
    </row>
    <row r="84" spans="1:6" ht="12">
      <c r="A84" s="462"/>
      <c r="B84" s="461" t="s">
        <v>1946</v>
      </c>
      <c r="C84" s="460"/>
      <c r="D84" s="460"/>
      <c r="E84" s="460"/>
      <c r="F84" s="795">
        <v>0</v>
      </c>
    </row>
    <row r="85" spans="1:6" ht="12">
      <c r="A85" s="458" t="s">
        <v>2164</v>
      </c>
      <c r="B85" s="457" t="s">
        <v>1737</v>
      </c>
      <c r="C85" s="456"/>
      <c r="D85" s="456"/>
      <c r="E85" s="455"/>
      <c r="F85" s="454">
        <f>F84*0.21</f>
        <v>0</v>
      </c>
    </row>
    <row r="87" spans="1:6" ht="15">
      <c r="A87" s="465"/>
      <c r="B87" s="464" t="s">
        <v>2166</v>
      </c>
      <c r="C87" s="463"/>
      <c r="D87" s="463"/>
      <c r="E87" s="463"/>
      <c r="F87" s="463"/>
    </row>
    <row r="88" spans="1:6" ht="12">
      <c r="A88" s="462"/>
      <c r="B88" s="461" t="s">
        <v>1946</v>
      </c>
      <c r="C88" s="460"/>
      <c r="D88" s="460"/>
      <c r="E88" s="460"/>
      <c r="F88" s="795">
        <v>0</v>
      </c>
    </row>
    <row r="89" spans="1:6" ht="12">
      <c r="A89" s="458" t="s">
        <v>2164</v>
      </c>
      <c r="B89" s="457" t="s">
        <v>1737</v>
      </c>
      <c r="C89" s="456"/>
      <c r="D89" s="456"/>
      <c r="E89" s="455"/>
      <c r="F89" s="454">
        <f>F88*0.21</f>
        <v>0</v>
      </c>
    </row>
    <row r="91" spans="1:6" ht="15">
      <c r="A91" s="465"/>
      <c r="B91" s="464" t="s">
        <v>2165</v>
      </c>
      <c r="C91" s="463"/>
      <c r="D91" s="463"/>
      <c r="E91" s="463"/>
      <c r="F91" s="463"/>
    </row>
    <row r="92" spans="1:6" ht="12">
      <c r="A92" s="462"/>
      <c r="B92" s="461" t="s">
        <v>1946</v>
      </c>
      <c r="C92" s="460"/>
      <c r="D92" s="460"/>
      <c r="E92" s="460"/>
      <c r="F92" s="795">
        <v>0</v>
      </c>
    </row>
    <row r="93" spans="1:6" ht="12">
      <c r="A93" s="458" t="s">
        <v>2164</v>
      </c>
      <c r="B93" s="457" t="s">
        <v>1737</v>
      </c>
      <c r="C93" s="456"/>
      <c r="D93" s="456"/>
      <c r="E93" s="455"/>
      <c r="F93" s="454">
        <f>F92*0.21</f>
        <v>0</v>
      </c>
    </row>
    <row r="94" ht="13.5" thickBot="1"/>
    <row r="95" spans="1:6" ht="20.25">
      <c r="A95" s="453" t="s">
        <v>2163</v>
      </c>
      <c r="B95" s="452"/>
      <c r="C95" s="451"/>
      <c r="D95" s="451"/>
      <c r="E95" s="451"/>
      <c r="F95" s="450"/>
    </row>
    <row r="96" spans="1:9" ht="14.25">
      <c r="A96" s="449" t="s">
        <v>2162</v>
      </c>
      <c r="B96" s="448" t="s">
        <v>2161</v>
      </c>
      <c r="C96" s="447"/>
      <c r="D96" s="447"/>
      <c r="E96" s="447"/>
      <c r="F96" s="446"/>
      <c r="I96" s="445"/>
    </row>
    <row r="97" spans="1:6" ht="12">
      <c r="A97" s="440"/>
      <c r="B97" s="442" t="s">
        <v>2160</v>
      </c>
      <c r="C97" s="442"/>
      <c r="D97" s="442"/>
      <c r="E97" s="442"/>
      <c r="F97" s="798">
        <f>F64+F33</f>
        <v>0</v>
      </c>
    </row>
    <row r="98" spans="1:6" ht="12">
      <c r="A98" s="440"/>
      <c r="B98" s="442" t="s">
        <v>2159</v>
      </c>
      <c r="C98" s="442"/>
      <c r="D98" s="442"/>
      <c r="E98" s="442"/>
      <c r="F98" s="798">
        <f>F68+F72+F76+F80+F88+F3+F84+F92</f>
        <v>0</v>
      </c>
    </row>
    <row r="99" spans="1:6" ht="12">
      <c r="A99" s="440"/>
      <c r="B99" s="442" t="s">
        <v>2158</v>
      </c>
      <c r="C99" s="442"/>
      <c r="D99" s="442"/>
      <c r="E99" s="442"/>
      <c r="F99" s="794">
        <v>0</v>
      </c>
    </row>
    <row r="100" spans="1:6" ht="12">
      <c r="A100" s="440"/>
      <c r="B100" s="442" t="s">
        <v>2157</v>
      </c>
      <c r="C100" s="442"/>
      <c r="D100" s="442"/>
      <c r="E100" s="442"/>
      <c r="F100" s="794">
        <v>0</v>
      </c>
    </row>
    <row r="101" spans="1:6" ht="12">
      <c r="A101" s="440"/>
      <c r="B101" s="442" t="s">
        <v>2156</v>
      </c>
      <c r="C101" s="442"/>
      <c r="D101" s="442"/>
      <c r="E101" s="442"/>
      <c r="F101" s="794">
        <v>0</v>
      </c>
    </row>
    <row r="102" spans="1:6" ht="12">
      <c r="A102" s="440"/>
      <c r="B102" s="442" t="s">
        <v>2155</v>
      </c>
      <c r="C102" s="442"/>
      <c r="D102" s="442"/>
      <c r="E102" s="442"/>
      <c r="F102" s="794">
        <v>0</v>
      </c>
    </row>
    <row r="103" spans="1:6" ht="15.75" thickBot="1">
      <c r="A103" s="435"/>
      <c r="B103" s="434" t="s">
        <v>2034</v>
      </c>
      <c r="C103" s="433"/>
      <c r="D103" s="433"/>
      <c r="E103" s="433"/>
      <c r="F103" s="432">
        <f>SUM(F97:F102)</f>
        <v>0</v>
      </c>
    </row>
    <row r="104" spans="1:6" ht="12">
      <c r="A104" s="440"/>
      <c r="B104" s="422"/>
      <c r="F104" s="444"/>
    </row>
    <row r="105" spans="1:6" ht="15">
      <c r="A105" s="440"/>
      <c r="B105" s="443" t="s">
        <v>2154</v>
      </c>
      <c r="C105" s="442"/>
      <c r="D105" s="442"/>
      <c r="E105" s="442"/>
      <c r="F105" s="441"/>
    </row>
    <row r="106" spans="1:6" ht="12">
      <c r="A106" s="440"/>
      <c r="B106" s="439" t="s">
        <v>1737</v>
      </c>
      <c r="C106" s="437"/>
      <c r="D106" s="438"/>
      <c r="E106" s="437"/>
      <c r="F106" s="436">
        <f>F103*0.21</f>
        <v>0</v>
      </c>
    </row>
    <row r="107" spans="1:6" ht="15.75" thickBot="1">
      <c r="A107" s="435"/>
      <c r="B107" s="434" t="s">
        <v>2153</v>
      </c>
      <c r="C107" s="433"/>
      <c r="D107" s="433"/>
      <c r="E107" s="433"/>
      <c r="F107" s="432">
        <f>SUM(F103:F106)</f>
        <v>0</v>
      </c>
    </row>
    <row r="109" spans="1:6" ht="153">
      <c r="A109" s="431"/>
      <c r="B109" s="486" t="s">
        <v>1987</v>
      </c>
      <c r="C109" s="430"/>
      <c r="D109" s="429"/>
      <c r="E109" s="428"/>
      <c r="F109" s="428"/>
    </row>
  </sheetData>
  <sheetProtection algorithmName="SHA-512" hashValue="nTFvBlJxy1vSrcm+F0SAvHbIRr2ivQWP1MvX+tMiTWlgtkNU0rg5XowjAN6hNShdeG64mQOiEgkWzFYOprMQ/w==" saltValue="xTtqrfPDldOORe6lmGF2Gg==" spinCount="100000" sheet="1" objects="1" scenarios="1"/>
  <printOptions horizontalCentered="1"/>
  <pageMargins left="0.3937007874015748" right="0.2362204724409449" top="0.3937007874015748" bottom="0.3937007874015748"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2:BM97"/>
  <sheetViews>
    <sheetView showGridLines="0" workbookViewId="0" topLeftCell="A75">
      <selection activeCell="I97" sqref="I97"/>
    </sheetView>
  </sheetViews>
  <sheetFormatPr defaultColWidth="9.140625" defaultRowHeight="12"/>
  <cols>
    <col min="1" max="1" width="8.8515625" style="1" customWidth="1"/>
    <col min="2" max="2" width="1.1484375" style="1" customWidth="1"/>
    <col min="3" max="4" width="4.421875" style="1" customWidth="1"/>
    <col min="5" max="5" width="18.28125" style="1" customWidth="1"/>
    <col min="6" max="6" width="108.00390625" style="1" customWidth="1"/>
    <col min="7" max="7" width="8.00390625" style="1" customWidth="1"/>
    <col min="8" max="8" width="12.28125" style="1" customWidth="1"/>
    <col min="9" max="11" width="21.421875" style="1" customWidth="1"/>
    <col min="12" max="12" width="10.00390625" style="1" customWidth="1"/>
    <col min="13" max="13" width="11.421875" style="1" hidden="1" customWidth="1"/>
    <col min="14" max="14" width="9.140625" style="1" hidden="1" customWidth="1"/>
    <col min="15" max="20" width="15.140625" style="1" hidden="1" customWidth="1"/>
    <col min="21" max="21" width="17.421875" style="1" hidden="1" customWidth="1"/>
    <col min="22" max="22" width="13.140625" style="1" customWidth="1"/>
    <col min="23" max="23" width="17.421875" style="1" customWidth="1"/>
    <col min="24" max="24" width="13.140625" style="1" customWidth="1"/>
    <col min="25" max="25" width="16.00390625" style="1" customWidth="1"/>
    <col min="26" max="26" width="11.7109375" style="1" customWidth="1"/>
    <col min="27" max="27" width="16.00390625" style="1" customWidth="1"/>
    <col min="28" max="28" width="17.421875" style="1" customWidth="1"/>
    <col min="29" max="29" width="11.7109375" style="1" customWidth="1"/>
    <col min="30" max="30" width="16.00390625" style="1" customWidth="1"/>
    <col min="31" max="31" width="17.421875" style="1" customWidth="1"/>
    <col min="44" max="65" width="9.140625" style="1" hidden="1" customWidth="1"/>
  </cols>
  <sheetData>
    <row r="1" ht="12"/>
    <row r="2" spans="12:46" s="1" customFormat="1" ht="36.95" customHeight="1">
      <c r="L2" s="682"/>
      <c r="M2" s="682"/>
      <c r="N2" s="682"/>
      <c r="O2" s="682"/>
      <c r="P2" s="682"/>
      <c r="Q2" s="682"/>
      <c r="R2" s="682"/>
      <c r="S2" s="682"/>
      <c r="T2" s="682"/>
      <c r="U2" s="682"/>
      <c r="V2" s="682"/>
      <c r="AT2" s="15" t="s">
        <v>106</v>
      </c>
    </row>
    <row r="3" spans="2:46" s="1" customFormat="1" ht="6.95" customHeight="1">
      <c r="B3" s="106"/>
      <c r="C3" s="107"/>
      <c r="D3" s="107"/>
      <c r="E3" s="107"/>
      <c r="F3" s="107"/>
      <c r="G3" s="107"/>
      <c r="H3" s="107"/>
      <c r="I3" s="107"/>
      <c r="J3" s="107"/>
      <c r="K3" s="107"/>
      <c r="L3" s="18"/>
      <c r="AT3" s="15" t="s">
        <v>79</v>
      </c>
    </row>
    <row r="4" spans="2:46" s="1" customFormat="1" ht="24.95" customHeight="1">
      <c r="B4" s="18"/>
      <c r="D4" s="108" t="s">
        <v>141</v>
      </c>
      <c r="L4" s="18"/>
      <c r="M4" s="109" t="s">
        <v>10</v>
      </c>
      <c r="AT4" s="15" t="s">
        <v>4</v>
      </c>
    </row>
    <row r="5" spans="2:12" s="1" customFormat="1" ht="6.95" customHeight="1">
      <c r="B5" s="18"/>
      <c r="L5" s="18"/>
    </row>
    <row r="6" spans="2:12" s="1" customFormat="1" ht="12" customHeight="1">
      <c r="B6" s="18"/>
      <c r="D6" s="110" t="s">
        <v>16</v>
      </c>
      <c r="L6" s="18"/>
    </row>
    <row r="7" spans="2:12" s="1" customFormat="1" ht="14.45" customHeight="1">
      <c r="B7" s="18"/>
      <c r="E7" s="702" t="str">
        <f>'Rekapitulace stavby'!K6</f>
        <v>Úpravy gastroprovozu Úřadu vlády ČR v 1.pp Strakovy akademie</v>
      </c>
      <c r="F7" s="703"/>
      <c r="G7" s="703"/>
      <c r="H7" s="703"/>
      <c r="L7" s="18"/>
    </row>
    <row r="8" spans="2:12" ht="12.75">
      <c r="B8" s="18"/>
      <c r="D8" s="110" t="s">
        <v>142</v>
      </c>
      <c r="L8" s="18"/>
    </row>
    <row r="9" spans="2:12" s="1" customFormat="1" ht="14.45" customHeight="1">
      <c r="B9" s="18"/>
      <c r="E9" s="702" t="s">
        <v>1429</v>
      </c>
      <c r="F9" s="682"/>
      <c r="G9" s="682"/>
      <c r="H9" s="682"/>
      <c r="L9" s="18"/>
    </row>
    <row r="10" spans="2:12" s="1" customFormat="1" ht="12" customHeight="1">
      <c r="B10" s="18"/>
      <c r="D10" s="110" t="s">
        <v>144</v>
      </c>
      <c r="L10" s="18"/>
    </row>
    <row r="11" spans="1:31" s="2" customFormat="1" ht="14.45" customHeight="1">
      <c r="A11" s="32"/>
      <c r="B11" s="37"/>
      <c r="C11" s="32"/>
      <c r="D11" s="32"/>
      <c r="E11" s="747" t="s">
        <v>1449</v>
      </c>
      <c r="F11" s="704"/>
      <c r="G11" s="704"/>
      <c r="H11" s="704"/>
      <c r="I11" s="32"/>
      <c r="J11" s="32"/>
      <c r="K11" s="32"/>
      <c r="L11" s="111"/>
      <c r="S11" s="32"/>
      <c r="T11" s="32"/>
      <c r="U11" s="32"/>
      <c r="V11" s="32"/>
      <c r="W11" s="32"/>
      <c r="X11" s="32"/>
      <c r="Y11" s="32"/>
      <c r="Z11" s="32"/>
      <c r="AA11" s="32"/>
      <c r="AB11" s="32"/>
      <c r="AC11" s="32"/>
      <c r="AD11" s="32"/>
      <c r="AE11" s="32"/>
    </row>
    <row r="12" spans="1:31" s="2" customFormat="1" ht="12" customHeight="1">
      <c r="A12" s="32"/>
      <c r="B12" s="37"/>
      <c r="C12" s="32"/>
      <c r="D12" s="110" t="s">
        <v>1450</v>
      </c>
      <c r="E12" s="32"/>
      <c r="F12" s="32"/>
      <c r="G12" s="32"/>
      <c r="H12" s="32"/>
      <c r="I12" s="32"/>
      <c r="J12" s="32"/>
      <c r="K12" s="32"/>
      <c r="L12" s="111"/>
      <c r="S12" s="32"/>
      <c r="T12" s="32"/>
      <c r="U12" s="32"/>
      <c r="V12" s="32"/>
      <c r="W12" s="32"/>
      <c r="X12" s="32"/>
      <c r="Y12" s="32"/>
      <c r="Z12" s="32"/>
      <c r="AA12" s="32"/>
      <c r="AB12" s="32"/>
      <c r="AC12" s="32"/>
      <c r="AD12" s="32"/>
      <c r="AE12" s="32"/>
    </row>
    <row r="13" spans="1:31" s="2" customFormat="1" ht="14.45" customHeight="1">
      <c r="A13" s="32"/>
      <c r="B13" s="37"/>
      <c r="C13" s="32"/>
      <c r="D13" s="32"/>
      <c r="E13" s="705" t="s">
        <v>1455</v>
      </c>
      <c r="F13" s="704"/>
      <c r="G13" s="704"/>
      <c r="H13" s="704"/>
      <c r="I13" s="32"/>
      <c r="J13" s="32"/>
      <c r="K13" s="32"/>
      <c r="L13" s="111"/>
      <c r="S13" s="32"/>
      <c r="T13" s="32"/>
      <c r="U13" s="32"/>
      <c r="V13" s="32"/>
      <c r="W13" s="32"/>
      <c r="X13" s="32"/>
      <c r="Y13" s="32"/>
      <c r="Z13" s="32"/>
      <c r="AA13" s="32"/>
      <c r="AB13" s="32"/>
      <c r="AC13" s="32"/>
      <c r="AD13" s="32"/>
      <c r="AE13" s="32"/>
    </row>
    <row r="14" spans="1:31" s="2" customFormat="1" ht="12">
      <c r="A14" s="32"/>
      <c r="B14" s="37"/>
      <c r="C14" s="32"/>
      <c r="D14" s="32"/>
      <c r="E14" s="32"/>
      <c r="F14" s="32"/>
      <c r="G14" s="32"/>
      <c r="H14" s="32"/>
      <c r="I14" s="32"/>
      <c r="J14" s="32"/>
      <c r="K14" s="32"/>
      <c r="L14" s="111"/>
      <c r="S14" s="32"/>
      <c r="T14" s="32"/>
      <c r="U14" s="32"/>
      <c r="V14" s="32"/>
      <c r="W14" s="32"/>
      <c r="X14" s="32"/>
      <c r="Y14" s="32"/>
      <c r="Z14" s="32"/>
      <c r="AA14" s="32"/>
      <c r="AB14" s="32"/>
      <c r="AC14" s="32"/>
      <c r="AD14" s="32"/>
      <c r="AE14" s="32"/>
    </row>
    <row r="15" spans="1:31" s="2" customFormat="1" ht="12" customHeight="1">
      <c r="A15" s="32"/>
      <c r="B15" s="37"/>
      <c r="C15" s="32"/>
      <c r="D15" s="110" t="s">
        <v>18</v>
      </c>
      <c r="E15" s="32"/>
      <c r="F15" s="101" t="s">
        <v>19</v>
      </c>
      <c r="G15" s="32"/>
      <c r="H15" s="32"/>
      <c r="I15" s="110" t="s">
        <v>20</v>
      </c>
      <c r="J15" s="101" t="s">
        <v>19</v>
      </c>
      <c r="K15" s="32"/>
      <c r="L15" s="111"/>
      <c r="S15" s="32"/>
      <c r="T15" s="32"/>
      <c r="U15" s="32"/>
      <c r="V15" s="32"/>
      <c r="W15" s="32"/>
      <c r="X15" s="32"/>
      <c r="Y15" s="32"/>
      <c r="Z15" s="32"/>
      <c r="AA15" s="32"/>
      <c r="AB15" s="32"/>
      <c r="AC15" s="32"/>
      <c r="AD15" s="32"/>
      <c r="AE15" s="32"/>
    </row>
    <row r="16" spans="1:31" s="2" customFormat="1" ht="12" customHeight="1">
      <c r="A16" s="32"/>
      <c r="B16" s="37"/>
      <c r="C16" s="32"/>
      <c r="D16" s="110" t="s">
        <v>21</v>
      </c>
      <c r="E16" s="32"/>
      <c r="F16" s="101" t="s">
        <v>146</v>
      </c>
      <c r="G16" s="32"/>
      <c r="H16" s="32"/>
      <c r="I16" s="110" t="s">
        <v>23</v>
      </c>
      <c r="J16" s="112" t="str">
        <f>'Rekapitulace stavby'!AN8</f>
        <v>Vyplň údaj</v>
      </c>
      <c r="K16" s="32"/>
      <c r="L16" s="111"/>
      <c r="S16" s="32"/>
      <c r="T16" s="32"/>
      <c r="U16" s="32"/>
      <c r="V16" s="32"/>
      <c r="W16" s="32"/>
      <c r="X16" s="32"/>
      <c r="Y16" s="32"/>
      <c r="Z16" s="32"/>
      <c r="AA16" s="32"/>
      <c r="AB16" s="32"/>
      <c r="AC16" s="32"/>
      <c r="AD16" s="32"/>
      <c r="AE16" s="32"/>
    </row>
    <row r="17" spans="1:31" s="2" customFormat="1" ht="10.9" customHeight="1">
      <c r="A17" s="32"/>
      <c r="B17" s="37"/>
      <c r="C17" s="32"/>
      <c r="D17" s="32"/>
      <c r="E17" s="32"/>
      <c r="F17" s="32"/>
      <c r="G17" s="32"/>
      <c r="H17" s="32"/>
      <c r="I17" s="32"/>
      <c r="J17" s="32"/>
      <c r="K17" s="32"/>
      <c r="L17" s="111"/>
      <c r="S17" s="32"/>
      <c r="T17" s="32"/>
      <c r="U17" s="32"/>
      <c r="V17" s="32"/>
      <c r="W17" s="32"/>
      <c r="X17" s="32"/>
      <c r="Y17" s="32"/>
      <c r="Z17" s="32"/>
      <c r="AA17" s="32"/>
      <c r="AB17" s="32"/>
      <c r="AC17" s="32"/>
      <c r="AD17" s="32"/>
      <c r="AE17" s="32"/>
    </row>
    <row r="18" spans="1:31" s="2" customFormat="1" ht="12" customHeight="1">
      <c r="A18" s="32"/>
      <c r="B18" s="37"/>
      <c r="C18" s="32"/>
      <c r="D18" s="110" t="s">
        <v>24</v>
      </c>
      <c r="E18" s="32"/>
      <c r="F18" s="32"/>
      <c r="G18" s="32"/>
      <c r="H18" s="32"/>
      <c r="I18" s="110" t="s">
        <v>25</v>
      </c>
      <c r="J18" s="101" t="s">
        <v>19</v>
      </c>
      <c r="K18" s="32"/>
      <c r="L18" s="111"/>
      <c r="S18" s="32"/>
      <c r="T18" s="32"/>
      <c r="U18" s="32"/>
      <c r="V18" s="32"/>
      <c r="W18" s="32"/>
      <c r="X18" s="32"/>
      <c r="Y18" s="32"/>
      <c r="Z18" s="32"/>
      <c r="AA18" s="32"/>
      <c r="AB18" s="32"/>
      <c r="AC18" s="32"/>
      <c r="AD18" s="32"/>
      <c r="AE18" s="32"/>
    </row>
    <row r="19" spans="1:31" s="2" customFormat="1" ht="18" customHeight="1">
      <c r="A19" s="32"/>
      <c r="B19" s="37"/>
      <c r="C19" s="32"/>
      <c r="D19" s="32"/>
      <c r="E19" s="101" t="s">
        <v>26</v>
      </c>
      <c r="F19" s="32"/>
      <c r="G19" s="32"/>
      <c r="H19" s="32"/>
      <c r="I19" s="110" t="s">
        <v>27</v>
      </c>
      <c r="J19" s="101" t="s">
        <v>19</v>
      </c>
      <c r="K19" s="32"/>
      <c r="L19" s="111"/>
      <c r="S19" s="32"/>
      <c r="T19" s="32"/>
      <c r="U19" s="32"/>
      <c r="V19" s="32"/>
      <c r="W19" s="32"/>
      <c r="X19" s="32"/>
      <c r="Y19" s="32"/>
      <c r="Z19" s="32"/>
      <c r="AA19" s="32"/>
      <c r="AB19" s="32"/>
      <c r="AC19" s="32"/>
      <c r="AD19" s="32"/>
      <c r="AE19" s="32"/>
    </row>
    <row r="20" spans="1:31" s="2" customFormat="1" ht="6.95" customHeight="1">
      <c r="A20" s="32"/>
      <c r="B20" s="37"/>
      <c r="C20" s="32"/>
      <c r="D20" s="32"/>
      <c r="E20" s="32"/>
      <c r="F20" s="32"/>
      <c r="G20" s="32"/>
      <c r="H20" s="32"/>
      <c r="I20" s="32"/>
      <c r="J20" s="32"/>
      <c r="K20" s="32"/>
      <c r="L20" s="111"/>
      <c r="S20" s="32"/>
      <c r="T20" s="32"/>
      <c r="U20" s="32"/>
      <c r="V20" s="32"/>
      <c r="W20" s="32"/>
      <c r="X20" s="32"/>
      <c r="Y20" s="32"/>
      <c r="Z20" s="32"/>
      <c r="AA20" s="32"/>
      <c r="AB20" s="32"/>
      <c r="AC20" s="32"/>
      <c r="AD20" s="32"/>
      <c r="AE20" s="32"/>
    </row>
    <row r="21" spans="1:31" s="2" customFormat="1" ht="12" customHeight="1">
      <c r="A21" s="32"/>
      <c r="B21" s="37"/>
      <c r="C21" s="32"/>
      <c r="D21" s="110" t="s">
        <v>28</v>
      </c>
      <c r="E21" s="32"/>
      <c r="F21" s="32"/>
      <c r="G21" s="32"/>
      <c r="H21" s="32"/>
      <c r="I21" s="110" t="s">
        <v>25</v>
      </c>
      <c r="J21" s="28" t="str">
        <f>'Rekapitulace stavby'!AN13</f>
        <v>Vyplň údaj</v>
      </c>
      <c r="K21" s="32"/>
      <c r="L21" s="111"/>
      <c r="S21" s="32"/>
      <c r="T21" s="32"/>
      <c r="U21" s="32"/>
      <c r="V21" s="32"/>
      <c r="W21" s="32"/>
      <c r="X21" s="32"/>
      <c r="Y21" s="32"/>
      <c r="Z21" s="32"/>
      <c r="AA21" s="32"/>
      <c r="AB21" s="32"/>
      <c r="AC21" s="32"/>
      <c r="AD21" s="32"/>
      <c r="AE21" s="32"/>
    </row>
    <row r="22" spans="1:31" s="2" customFormat="1" ht="18" customHeight="1">
      <c r="A22" s="32"/>
      <c r="B22" s="37"/>
      <c r="C22" s="32"/>
      <c r="D22" s="32"/>
      <c r="E22" s="706" t="str">
        <f>'Rekapitulace stavby'!E14</f>
        <v>Vyplň údaj</v>
      </c>
      <c r="F22" s="707"/>
      <c r="G22" s="707"/>
      <c r="H22" s="707"/>
      <c r="I22" s="110" t="s">
        <v>27</v>
      </c>
      <c r="J22" s="28" t="str">
        <f>'Rekapitulace stavby'!AN14</f>
        <v>Vyplň údaj</v>
      </c>
      <c r="K22" s="32"/>
      <c r="L22" s="111"/>
      <c r="S22" s="32"/>
      <c r="T22" s="32"/>
      <c r="U22" s="32"/>
      <c r="V22" s="32"/>
      <c r="W22" s="32"/>
      <c r="X22" s="32"/>
      <c r="Y22" s="32"/>
      <c r="Z22" s="32"/>
      <c r="AA22" s="32"/>
      <c r="AB22" s="32"/>
      <c r="AC22" s="32"/>
      <c r="AD22" s="32"/>
      <c r="AE22" s="32"/>
    </row>
    <row r="23" spans="1:31" s="2" customFormat="1" ht="6.95" customHeight="1">
      <c r="A23" s="32"/>
      <c r="B23" s="37"/>
      <c r="C23" s="32"/>
      <c r="D23" s="32"/>
      <c r="E23" s="32"/>
      <c r="F23" s="32"/>
      <c r="G23" s="32"/>
      <c r="H23" s="32"/>
      <c r="I23" s="32"/>
      <c r="J23" s="32"/>
      <c r="K23" s="32"/>
      <c r="L23" s="111"/>
      <c r="S23" s="32"/>
      <c r="T23" s="32"/>
      <c r="U23" s="32"/>
      <c r="V23" s="32"/>
      <c r="W23" s="32"/>
      <c r="X23" s="32"/>
      <c r="Y23" s="32"/>
      <c r="Z23" s="32"/>
      <c r="AA23" s="32"/>
      <c r="AB23" s="32"/>
      <c r="AC23" s="32"/>
      <c r="AD23" s="32"/>
      <c r="AE23" s="32"/>
    </row>
    <row r="24" spans="1:31" s="2" customFormat="1" ht="12" customHeight="1">
      <c r="A24" s="32"/>
      <c r="B24" s="37"/>
      <c r="C24" s="32"/>
      <c r="D24" s="110" t="s">
        <v>30</v>
      </c>
      <c r="E24" s="32"/>
      <c r="F24" s="32"/>
      <c r="G24" s="32"/>
      <c r="H24" s="32"/>
      <c r="I24" s="110" t="s">
        <v>25</v>
      </c>
      <c r="J24" s="101" t="s">
        <v>19</v>
      </c>
      <c r="K24" s="32"/>
      <c r="L24" s="111"/>
      <c r="S24" s="32"/>
      <c r="T24" s="32"/>
      <c r="U24" s="32"/>
      <c r="V24" s="32"/>
      <c r="W24" s="32"/>
      <c r="X24" s="32"/>
      <c r="Y24" s="32"/>
      <c r="Z24" s="32"/>
      <c r="AA24" s="32"/>
      <c r="AB24" s="32"/>
      <c r="AC24" s="32"/>
      <c r="AD24" s="32"/>
      <c r="AE24" s="32"/>
    </row>
    <row r="25" spans="1:31" s="2" customFormat="1" ht="18" customHeight="1">
      <c r="A25" s="32"/>
      <c r="B25" s="37"/>
      <c r="C25" s="32"/>
      <c r="D25" s="32"/>
      <c r="E25" s="101" t="s">
        <v>31</v>
      </c>
      <c r="F25" s="32"/>
      <c r="G25" s="32"/>
      <c r="H25" s="32"/>
      <c r="I25" s="110" t="s">
        <v>27</v>
      </c>
      <c r="J25" s="101" t="s">
        <v>19</v>
      </c>
      <c r="K25" s="32"/>
      <c r="L25" s="111"/>
      <c r="S25" s="32"/>
      <c r="T25" s="32"/>
      <c r="U25" s="32"/>
      <c r="V25" s="32"/>
      <c r="W25" s="32"/>
      <c r="X25" s="32"/>
      <c r="Y25" s="32"/>
      <c r="Z25" s="32"/>
      <c r="AA25" s="32"/>
      <c r="AB25" s="32"/>
      <c r="AC25" s="32"/>
      <c r="AD25" s="32"/>
      <c r="AE25" s="32"/>
    </row>
    <row r="26" spans="1:31" s="2" customFormat="1" ht="6.95" customHeight="1">
      <c r="A26" s="32"/>
      <c r="B26" s="37"/>
      <c r="C26" s="32"/>
      <c r="D26" s="32"/>
      <c r="E26" s="32"/>
      <c r="F26" s="32"/>
      <c r="G26" s="32"/>
      <c r="H26" s="32"/>
      <c r="I26" s="32"/>
      <c r="J26" s="32"/>
      <c r="K26" s="32"/>
      <c r="L26" s="111"/>
      <c r="S26" s="32"/>
      <c r="T26" s="32"/>
      <c r="U26" s="32"/>
      <c r="V26" s="32"/>
      <c r="W26" s="32"/>
      <c r="X26" s="32"/>
      <c r="Y26" s="32"/>
      <c r="Z26" s="32"/>
      <c r="AA26" s="32"/>
      <c r="AB26" s="32"/>
      <c r="AC26" s="32"/>
      <c r="AD26" s="32"/>
      <c r="AE26" s="32"/>
    </row>
    <row r="27" spans="1:31" s="2" customFormat="1" ht="12" customHeight="1">
      <c r="A27" s="32"/>
      <c r="B27" s="37"/>
      <c r="C27" s="32"/>
      <c r="D27" s="110" t="s">
        <v>33</v>
      </c>
      <c r="E27" s="32"/>
      <c r="F27" s="32"/>
      <c r="G27" s="32"/>
      <c r="H27" s="32"/>
      <c r="I27" s="110" t="s">
        <v>25</v>
      </c>
      <c r="J27" s="101" t="s">
        <v>19</v>
      </c>
      <c r="K27" s="32"/>
      <c r="L27" s="111"/>
      <c r="S27" s="32"/>
      <c r="T27" s="32"/>
      <c r="U27" s="32"/>
      <c r="V27" s="32"/>
      <c r="W27" s="32"/>
      <c r="X27" s="32"/>
      <c r="Y27" s="32"/>
      <c r="Z27" s="32"/>
      <c r="AA27" s="32"/>
      <c r="AB27" s="32"/>
      <c r="AC27" s="32"/>
      <c r="AD27" s="32"/>
      <c r="AE27" s="32"/>
    </row>
    <row r="28" spans="1:31" s="2" customFormat="1" ht="18" customHeight="1">
      <c r="A28" s="32"/>
      <c r="B28" s="37"/>
      <c r="C28" s="32"/>
      <c r="D28" s="32"/>
      <c r="E28" s="101" t="s">
        <v>31</v>
      </c>
      <c r="F28" s="32"/>
      <c r="G28" s="32"/>
      <c r="H28" s="32"/>
      <c r="I28" s="110" t="s">
        <v>27</v>
      </c>
      <c r="J28" s="101" t="s">
        <v>19</v>
      </c>
      <c r="K28" s="32"/>
      <c r="L28" s="111"/>
      <c r="S28" s="32"/>
      <c r="T28" s="32"/>
      <c r="U28" s="32"/>
      <c r="V28" s="32"/>
      <c r="W28" s="32"/>
      <c r="X28" s="32"/>
      <c r="Y28" s="32"/>
      <c r="Z28" s="32"/>
      <c r="AA28" s="32"/>
      <c r="AB28" s="32"/>
      <c r="AC28" s="32"/>
      <c r="AD28" s="32"/>
      <c r="AE28" s="32"/>
    </row>
    <row r="29" spans="1:31" s="2" customFormat="1" ht="6.95" customHeight="1">
      <c r="A29" s="32"/>
      <c r="B29" s="37"/>
      <c r="C29" s="32"/>
      <c r="D29" s="32"/>
      <c r="E29" s="32"/>
      <c r="F29" s="32"/>
      <c r="G29" s="32"/>
      <c r="H29" s="32"/>
      <c r="I29" s="32"/>
      <c r="J29" s="32"/>
      <c r="K29" s="32"/>
      <c r="L29" s="111"/>
      <c r="S29" s="32"/>
      <c r="T29" s="32"/>
      <c r="U29" s="32"/>
      <c r="V29" s="32"/>
      <c r="W29" s="32"/>
      <c r="X29" s="32"/>
      <c r="Y29" s="32"/>
      <c r="Z29" s="32"/>
      <c r="AA29" s="32"/>
      <c r="AB29" s="32"/>
      <c r="AC29" s="32"/>
      <c r="AD29" s="32"/>
      <c r="AE29" s="32"/>
    </row>
    <row r="30" spans="1:31" s="2" customFormat="1" ht="12" customHeight="1">
      <c r="A30" s="32"/>
      <c r="B30" s="37"/>
      <c r="C30" s="32"/>
      <c r="D30" s="110" t="s">
        <v>34</v>
      </c>
      <c r="E30" s="32"/>
      <c r="F30" s="32"/>
      <c r="G30" s="32"/>
      <c r="H30" s="32"/>
      <c r="I30" s="32"/>
      <c r="J30" s="32"/>
      <c r="K30" s="32"/>
      <c r="L30" s="111"/>
      <c r="S30" s="32"/>
      <c r="T30" s="32"/>
      <c r="U30" s="32"/>
      <c r="V30" s="32"/>
      <c r="W30" s="32"/>
      <c r="X30" s="32"/>
      <c r="Y30" s="32"/>
      <c r="Z30" s="32"/>
      <c r="AA30" s="32"/>
      <c r="AB30" s="32"/>
      <c r="AC30" s="32"/>
      <c r="AD30" s="32"/>
      <c r="AE30" s="32"/>
    </row>
    <row r="31" spans="1:31" s="8" customFormat="1" ht="14.45" customHeight="1">
      <c r="A31" s="113"/>
      <c r="B31" s="114"/>
      <c r="C31" s="113"/>
      <c r="D31" s="113"/>
      <c r="E31" s="708" t="s">
        <v>19</v>
      </c>
      <c r="F31" s="708"/>
      <c r="G31" s="708"/>
      <c r="H31" s="708"/>
      <c r="I31" s="113"/>
      <c r="J31" s="113"/>
      <c r="K31" s="113"/>
      <c r="L31" s="115"/>
      <c r="S31" s="113"/>
      <c r="T31" s="113"/>
      <c r="U31" s="113"/>
      <c r="V31" s="113"/>
      <c r="W31" s="113"/>
      <c r="X31" s="113"/>
      <c r="Y31" s="113"/>
      <c r="Z31" s="113"/>
      <c r="AA31" s="113"/>
      <c r="AB31" s="113"/>
      <c r="AC31" s="113"/>
      <c r="AD31" s="113"/>
      <c r="AE31" s="113"/>
    </row>
    <row r="32" spans="1:31" s="2" customFormat="1" ht="6.95" customHeight="1">
      <c r="A32" s="32"/>
      <c r="B32" s="37"/>
      <c r="C32" s="32"/>
      <c r="D32" s="32"/>
      <c r="E32" s="32"/>
      <c r="F32" s="32"/>
      <c r="G32" s="32"/>
      <c r="H32" s="32"/>
      <c r="I32" s="32"/>
      <c r="J32" s="32"/>
      <c r="K32" s="32"/>
      <c r="L32" s="111"/>
      <c r="S32" s="32"/>
      <c r="T32" s="32"/>
      <c r="U32" s="32"/>
      <c r="V32" s="32"/>
      <c r="W32" s="32"/>
      <c r="X32" s="32"/>
      <c r="Y32" s="32"/>
      <c r="Z32" s="32"/>
      <c r="AA32" s="32"/>
      <c r="AB32" s="32"/>
      <c r="AC32" s="32"/>
      <c r="AD32" s="32"/>
      <c r="AE32" s="32"/>
    </row>
    <row r="33" spans="1:31" s="2" customFormat="1" ht="6.95" customHeight="1">
      <c r="A33" s="32"/>
      <c r="B33" s="37"/>
      <c r="C33" s="32"/>
      <c r="D33" s="116"/>
      <c r="E33" s="116"/>
      <c r="F33" s="116"/>
      <c r="G33" s="116"/>
      <c r="H33" s="116"/>
      <c r="I33" s="116"/>
      <c r="J33" s="116"/>
      <c r="K33" s="116"/>
      <c r="L33" s="111"/>
      <c r="S33" s="32"/>
      <c r="T33" s="32"/>
      <c r="U33" s="32"/>
      <c r="V33" s="32"/>
      <c r="W33" s="32"/>
      <c r="X33" s="32"/>
      <c r="Y33" s="32"/>
      <c r="Z33" s="32"/>
      <c r="AA33" s="32"/>
      <c r="AB33" s="32"/>
      <c r="AC33" s="32"/>
      <c r="AD33" s="32"/>
      <c r="AE33" s="32"/>
    </row>
    <row r="34" spans="1:31" s="2" customFormat="1" ht="25.35" customHeight="1">
      <c r="A34" s="32"/>
      <c r="B34" s="37"/>
      <c r="C34" s="32"/>
      <c r="D34" s="117" t="s">
        <v>36</v>
      </c>
      <c r="E34" s="32"/>
      <c r="F34" s="32"/>
      <c r="G34" s="32"/>
      <c r="H34" s="32"/>
      <c r="I34" s="32"/>
      <c r="J34" s="118">
        <f>ROUND(J93,2)</f>
        <v>0</v>
      </c>
      <c r="K34" s="32"/>
      <c r="L34" s="111"/>
      <c r="S34" s="32"/>
      <c r="T34" s="32"/>
      <c r="U34" s="32"/>
      <c r="V34" s="32"/>
      <c r="W34" s="32"/>
      <c r="X34" s="32"/>
      <c r="Y34" s="32"/>
      <c r="Z34" s="32"/>
      <c r="AA34" s="32"/>
      <c r="AB34" s="32"/>
      <c r="AC34" s="32"/>
      <c r="AD34" s="32"/>
      <c r="AE34" s="32"/>
    </row>
    <row r="35" spans="1:31" s="2" customFormat="1" ht="6.95" customHeight="1">
      <c r="A35" s="32"/>
      <c r="B35" s="37"/>
      <c r="C35" s="32"/>
      <c r="D35" s="116"/>
      <c r="E35" s="116"/>
      <c r="F35" s="116"/>
      <c r="G35" s="116"/>
      <c r="H35" s="116"/>
      <c r="I35" s="116"/>
      <c r="J35" s="116"/>
      <c r="K35" s="116"/>
      <c r="L35" s="111"/>
      <c r="S35" s="32"/>
      <c r="T35" s="32"/>
      <c r="U35" s="32"/>
      <c r="V35" s="32"/>
      <c r="W35" s="32"/>
      <c r="X35" s="32"/>
      <c r="Y35" s="32"/>
      <c r="Z35" s="32"/>
      <c r="AA35" s="32"/>
      <c r="AB35" s="32"/>
      <c r="AC35" s="32"/>
      <c r="AD35" s="32"/>
      <c r="AE35" s="32"/>
    </row>
    <row r="36" spans="1:31" s="2" customFormat="1" ht="14.45" customHeight="1">
      <c r="A36" s="32"/>
      <c r="B36" s="37"/>
      <c r="C36" s="32"/>
      <c r="D36" s="32"/>
      <c r="E36" s="32"/>
      <c r="F36" s="119" t="s">
        <v>38</v>
      </c>
      <c r="G36" s="32"/>
      <c r="H36" s="32"/>
      <c r="I36" s="119" t="s">
        <v>37</v>
      </c>
      <c r="J36" s="119" t="s">
        <v>39</v>
      </c>
      <c r="K36" s="32"/>
      <c r="L36" s="111"/>
      <c r="S36" s="32"/>
      <c r="T36" s="32"/>
      <c r="U36" s="32"/>
      <c r="V36" s="32"/>
      <c r="W36" s="32"/>
      <c r="X36" s="32"/>
      <c r="Y36" s="32"/>
      <c r="Z36" s="32"/>
      <c r="AA36" s="32"/>
      <c r="AB36" s="32"/>
      <c r="AC36" s="32"/>
      <c r="AD36" s="32"/>
      <c r="AE36" s="32"/>
    </row>
    <row r="37" spans="1:31" s="2" customFormat="1" ht="14.45" customHeight="1">
      <c r="A37" s="32"/>
      <c r="B37" s="37"/>
      <c r="C37" s="32"/>
      <c r="D37" s="120" t="s">
        <v>40</v>
      </c>
      <c r="E37" s="110" t="s">
        <v>41</v>
      </c>
      <c r="F37" s="121">
        <f>ROUND((SUM(BE93:BE96)),2)</f>
        <v>0</v>
      </c>
      <c r="G37" s="32"/>
      <c r="H37" s="32"/>
      <c r="I37" s="122">
        <v>0.21</v>
      </c>
      <c r="J37" s="121">
        <f>ROUND(((SUM(BE93:BE96))*I37),2)</f>
        <v>0</v>
      </c>
      <c r="K37" s="32"/>
      <c r="L37" s="111"/>
      <c r="S37" s="32"/>
      <c r="T37" s="32"/>
      <c r="U37" s="32"/>
      <c r="V37" s="32"/>
      <c r="W37" s="32"/>
      <c r="X37" s="32"/>
      <c r="Y37" s="32"/>
      <c r="Z37" s="32"/>
      <c r="AA37" s="32"/>
      <c r="AB37" s="32"/>
      <c r="AC37" s="32"/>
      <c r="AD37" s="32"/>
      <c r="AE37" s="32"/>
    </row>
    <row r="38" spans="1:31" s="2" customFormat="1" ht="14.45" customHeight="1">
      <c r="A38" s="32"/>
      <c r="B38" s="37"/>
      <c r="C38" s="32"/>
      <c r="D38" s="32"/>
      <c r="E38" s="110" t="s">
        <v>42</v>
      </c>
      <c r="F38" s="121">
        <f>ROUND((SUM(BF93:BF96)),2)</f>
        <v>0</v>
      </c>
      <c r="G38" s="32"/>
      <c r="H38" s="32"/>
      <c r="I38" s="122">
        <v>0.15</v>
      </c>
      <c r="J38" s="121">
        <f>ROUND(((SUM(BF93:BF96))*I38),2)</f>
        <v>0</v>
      </c>
      <c r="K38" s="32"/>
      <c r="L38" s="111"/>
      <c r="S38" s="32"/>
      <c r="T38" s="32"/>
      <c r="U38" s="32"/>
      <c r="V38" s="32"/>
      <c r="W38" s="32"/>
      <c r="X38" s="32"/>
      <c r="Y38" s="32"/>
      <c r="Z38" s="32"/>
      <c r="AA38" s="32"/>
      <c r="AB38" s="32"/>
      <c r="AC38" s="32"/>
      <c r="AD38" s="32"/>
      <c r="AE38" s="32"/>
    </row>
    <row r="39" spans="1:31" s="2" customFormat="1" ht="14.45" customHeight="1" hidden="1">
      <c r="A39" s="32"/>
      <c r="B39" s="37"/>
      <c r="C39" s="32"/>
      <c r="D39" s="32"/>
      <c r="E39" s="110" t="s">
        <v>43</v>
      </c>
      <c r="F39" s="121">
        <f>ROUND((SUM(BG93:BG96)),2)</f>
        <v>0</v>
      </c>
      <c r="G39" s="32"/>
      <c r="H39" s="32"/>
      <c r="I39" s="122">
        <v>0.21</v>
      </c>
      <c r="J39" s="121">
        <f>0</f>
        <v>0</v>
      </c>
      <c r="K39" s="32"/>
      <c r="L39" s="111"/>
      <c r="S39" s="32"/>
      <c r="T39" s="32"/>
      <c r="U39" s="32"/>
      <c r="V39" s="32"/>
      <c r="W39" s="32"/>
      <c r="X39" s="32"/>
      <c r="Y39" s="32"/>
      <c r="Z39" s="32"/>
      <c r="AA39" s="32"/>
      <c r="AB39" s="32"/>
      <c r="AC39" s="32"/>
      <c r="AD39" s="32"/>
      <c r="AE39" s="32"/>
    </row>
    <row r="40" spans="1:31" s="2" customFormat="1" ht="14.45" customHeight="1" hidden="1">
      <c r="A40" s="32"/>
      <c r="B40" s="37"/>
      <c r="C40" s="32"/>
      <c r="D40" s="32"/>
      <c r="E40" s="110" t="s">
        <v>44</v>
      </c>
      <c r="F40" s="121">
        <f>ROUND((SUM(BH93:BH96)),2)</f>
        <v>0</v>
      </c>
      <c r="G40" s="32"/>
      <c r="H40" s="32"/>
      <c r="I40" s="122">
        <v>0.15</v>
      </c>
      <c r="J40" s="121">
        <f>0</f>
        <v>0</v>
      </c>
      <c r="K40" s="32"/>
      <c r="L40" s="111"/>
      <c r="S40" s="32"/>
      <c r="T40" s="32"/>
      <c r="U40" s="32"/>
      <c r="V40" s="32"/>
      <c r="W40" s="32"/>
      <c r="X40" s="32"/>
      <c r="Y40" s="32"/>
      <c r="Z40" s="32"/>
      <c r="AA40" s="32"/>
      <c r="AB40" s="32"/>
      <c r="AC40" s="32"/>
      <c r="AD40" s="32"/>
      <c r="AE40" s="32"/>
    </row>
    <row r="41" spans="1:31" s="2" customFormat="1" ht="14.45" customHeight="1" hidden="1">
      <c r="A41" s="32"/>
      <c r="B41" s="37"/>
      <c r="C41" s="32"/>
      <c r="D41" s="32"/>
      <c r="E41" s="110" t="s">
        <v>45</v>
      </c>
      <c r="F41" s="121">
        <f>ROUND((SUM(BI93:BI96)),2)</f>
        <v>0</v>
      </c>
      <c r="G41" s="32"/>
      <c r="H41" s="32"/>
      <c r="I41" s="122">
        <v>0</v>
      </c>
      <c r="J41" s="121">
        <f>0</f>
        <v>0</v>
      </c>
      <c r="K41" s="32"/>
      <c r="L41" s="111"/>
      <c r="S41" s="32"/>
      <c r="T41" s="32"/>
      <c r="U41" s="32"/>
      <c r="V41" s="32"/>
      <c r="W41" s="32"/>
      <c r="X41" s="32"/>
      <c r="Y41" s="32"/>
      <c r="Z41" s="32"/>
      <c r="AA41" s="32"/>
      <c r="AB41" s="32"/>
      <c r="AC41" s="32"/>
      <c r="AD41" s="32"/>
      <c r="AE41" s="32"/>
    </row>
    <row r="42" spans="1:31" s="2" customFormat="1" ht="6.95" customHeight="1">
      <c r="A42" s="32"/>
      <c r="B42" s="37"/>
      <c r="C42" s="32"/>
      <c r="D42" s="32"/>
      <c r="E42" s="32"/>
      <c r="F42" s="32"/>
      <c r="G42" s="32"/>
      <c r="H42" s="32"/>
      <c r="I42" s="32"/>
      <c r="J42" s="32"/>
      <c r="K42" s="32"/>
      <c r="L42" s="111"/>
      <c r="S42" s="32"/>
      <c r="T42" s="32"/>
      <c r="U42" s="32"/>
      <c r="V42" s="32"/>
      <c r="W42" s="32"/>
      <c r="X42" s="32"/>
      <c r="Y42" s="32"/>
      <c r="Z42" s="32"/>
      <c r="AA42" s="32"/>
      <c r="AB42" s="32"/>
      <c r="AC42" s="32"/>
      <c r="AD42" s="32"/>
      <c r="AE42" s="32"/>
    </row>
    <row r="43" spans="1:31" s="2" customFormat="1" ht="25.35" customHeight="1">
      <c r="A43" s="32"/>
      <c r="B43" s="37"/>
      <c r="C43" s="123"/>
      <c r="D43" s="124" t="s">
        <v>46</v>
      </c>
      <c r="E43" s="125"/>
      <c r="F43" s="125"/>
      <c r="G43" s="126" t="s">
        <v>47</v>
      </c>
      <c r="H43" s="127" t="s">
        <v>48</v>
      </c>
      <c r="I43" s="125"/>
      <c r="J43" s="128">
        <f>SUM(J34:J41)</f>
        <v>0</v>
      </c>
      <c r="K43" s="129"/>
      <c r="L43" s="111"/>
      <c r="S43" s="32"/>
      <c r="T43" s="32"/>
      <c r="U43" s="32"/>
      <c r="V43" s="32"/>
      <c r="W43" s="32"/>
      <c r="X43" s="32"/>
      <c r="Y43" s="32"/>
      <c r="Z43" s="32"/>
      <c r="AA43" s="32"/>
      <c r="AB43" s="32"/>
      <c r="AC43" s="32"/>
      <c r="AD43" s="32"/>
      <c r="AE43" s="32"/>
    </row>
    <row r="44" spans="1:31" s="2" customFormat="1" ht="14.45" customHeight="1">
      <c r="A44" s="32"/>
      <c r="B44" s="130"/>
      <c r="C44" s="131"/>
      <c r="D44" s="131"/>
      <c r="E44" s="131"/>
      <c r="F44" s="131"/>
      <c r="G44" s="131"/>
      <c r="H44" s="131"/>
      <c r="I44" s="131"/>
      <c r="J44" s="131"/>
      <c r="K44" s="131"/>
      <c r="L44" s="111"/>
      <c r="S44" s="32"/>
      <c r="T44" s="32"/>
      <c r="U44" s="32"/>
      <c r="V44" s="32"/>
      <c r="W44" s="32"/>
      <c r="X44" s="32"/>
      <c r="Y44" s="32"/>
      <c r="Z44" s="32"/>
      <c r="AA44" s="32"/>
      <c r="AB44" s="32"/>
      <c r="AC44" s="32"/>
      <c r="AD44" s="32"/>
      <c r="AE44" s="32"/>
    </row>
    <row r="48" spans="1:31" s="2" customFormat="1" ht="6.95" customHeight="1">
      <c r="A48" s="32"/>
      <c r="B48" s="132"/>
      <c r="C48" s="133"/>
      <c r="D48" s="133"/>
      <c r="E48" s="133"/>
      <c r="F48" s="133"/>
      <c r="G48" s="133"/>
      <c r="H48" s="133"/>
      <c r="I48" s="133"/>
      <c r="J48" s="133"/>
      <c r="K48" s="133"/>
      <c r="L48" s="111"/>
      <c r="S48" s="32"/>
      <c r="T48" s="32"/>
      <c r="U48" s="32"/>
      <c r="V48" s="32"/>
      <c r="W48" s="32"/>
      <c r="X48" s="32"/>
      <c r="Y48" s="32"/>
      <c r="Z48" s="32"/>
      <c r="AA48" s="32"/>
      <c r="AB48" s="32"/>
      <c r="AC48" s="32"/>
      <c r="AD48" s="32"/>
      <c r="AE48" s="32"/>
    </row>
    <row r="49" spans="1:31" s="2" customFormat="1" ht="24.95" customHeight="1">
      <c r="A49" s="32"/>
      <c r="B49" s="33"/>
      <c r="C49" s="21" t="s">
        <v>147</v>
      </c>
      <c r="D49" s="34"/>
      <c r="E49" s="34"/>
      <c r="F49" s="34"/>
      <c r="G49" s="34"/>
      <c r="H49" s="34"/>
      <c r="I49" s="34"/>
      <c r="J49" s="34"/>
      <c r="K49" s="34"/>
      <c r="L49" s="111"/>
      <c r="S49" s="32"/>
      <c r="T49" s="32"/>
      <c r="U49" s="32"/>
      <c r="V49" s="32"/>
      <c r="W49" s="32"/>
      <c r="X49" s="32"/>
      <c r="Y49" s="32"/>
      <c r="Z49" s="32"/>
      <c r="AA49" s="32"/>
      <c r="AB49" s="32"/>
      <c r="AC49" s="32"/>
      <c r="AD49" s="32"/>
      <c r="AE49" s="32"/>
    </row>
    <row r="50" spans="1:31" s="2" customFormat="1" ht="6.95" customHeight="1">
      <c r="A50" s="32"/>
      <c r="B50" s="33"/>
      <c r="C50" s="34"/>
      <c r="D50" s="34"/>
      <c r="E50" s="34"/>
      <c r="F50" s="34"/>
      <c r="G50" s="34"/>
      <c r="H50" s="34"/>
      <c r="I50" s="34"/>
      <c r="J50" s="34"/>
      <c r="K50" s="34"/>
      <c r="L50" s="111"/>
      <c r="S50" s="32"/>
      <c r="T50" s="32"/>
      <c r="U50" s="32"/>
      <c r="V50" s="32"/>
      <c r="W50" s="32"/>
      <c r="X50" s="32"/>
      <c r="Y50" s="32"/>
      <c r="Z50" s="32"/>
      <c r="AA50" s="32"/>
      <c r="AB50" s="32"/>
      <c r="AC50" s="32"/>
      <c r="AD50" s="32"/>
      <c r="AE50" s="32"/>
    </row>
    <row r="51" spans="1:31" s="2" customFormat="1" ht="12" customHeight="1">
      <c r="A51" s="32"/>
      <c r="B51" s="33"/>
      <c r="C51" s="27" t="s">
        <v>16</v>
      </c>
      <c r="D51" s="34"/>
      <c r="E51" s="34"/>
      <c r="F51" s="34"/>
      <c r="G51" s="34"/>
      <c r="H51" s="34"/>
      <c r="I51" s="34"/>
      <c r="J51" s="34"/>
      <c r="K51" s="34"/>
      <c r="L51" s="111"/>
      <c r="S51" s="32"/>
      <c r="T51" s="32"/>
      <c r="U51" s="32"/>
      <c r="V51" s="32"/>
      <c r="W51" s="32"/>
      <c r="X51" s="32"/>
      <c r="Y51" s="32"/>
      <c r="Z51" s="32"/>
      <c r="AA51" s="32"/>
      <c r="AB51" s="32"/>
      <c r="AC51" s="32"/>
      <c r="AD51" s="32"/>
      <c r="AE51" s="32"/>
    </row>
    <row r="52" spans="1:31" s="2" customFormat="1" ht="14.45" customHeight="1">
      <c r="A52" s="32"/>
      <c r="B52" s="33"/>
      <c r="C52" s="34"/>
      <c r="D52" s="34"/>
      <c r="E52" s="700" t="str">
        <f>E7</f>
        <v>Úpravy gastroprovozu Úřadu vlády ČR v 1.pp Strakovy akademie</v>
      </c>
      <c r="F52" s="701"/>
      <c r="G52" s="701"/>
      <c r="H52" s="701"/>
      <c r="I52" s="34"/>
      <c r="J52" s="34"/>
      <c r="K52" s="34"/>
      <c r="L52" s="111"/>
      <c r="S52" s="32"/>
      <c r="T52" s="32"/>
      <c r="U52" s="32"/>
      <c r="V52" s="32"/>
      <c r="W52" s="32"/>
      <c r="X52" s="32"/>
      <c r="Y52" s="32"/>
      <c r="Z52" s="32"/>
      <c r="AA52" s="32"/>
      <c r="AB52" s="32"/>
      <c r="AC52" s="32"/>
      <c r="AD52" s="32"/>
      <c r="AE52" s="32"/>
    </row>
    <row r="53" spans="2:12" s="1" customFormat="1" ht="12" customHeight="1">
      <c r="B53" s="19"/>
      <c r="C53" s="27" t="s">
        <v>142</v>
      </c>
      <c r="D53" s="20"/>
      <c r="E53" s="20"/>
      <c r="F53" s="20"/>
      <c r="G53" s="20"/>
      <c r="H53" s="20"/>
      <c r="I53" s="20"/>
      <c r="J53" s="20"/>
      <c r="K53" s="20"/>
      <c r="L53" s="18"/>
    </row>
    <row r="54" spans="2:12" s="1" customFormat="1" ht="14.45" customHeight="1">
      <c r="B54" s="19"/>
      <c r="C54" s="20"/>
      <c r="D54" s="20"/>
      <c r="E54" s="700" t="s">
        <v>1429</v>
      </c>
      <c r="F54" s="667"/>
      <c r="G54" s="667"/>
      <c r="H54" s="667"/>
      <c r="I54" s="20"/>
      <c r="J54" s="20"/>
      <c r="K54" s="20"/>
      <c r="L54" s="18"/>
    </row>
    <row r="55" spans="2:12" s="1" customFormat="1" ht="12" customHeight="1">
      <c r="B55" s="19"/>
      <c r="C55" s="27" t="s">
        <v>144</v>
      </c>
      <c r="D55" s="20"/>
      <c r="E55" s="20"/>
      <c r="F55" s="20"/>
      <c r="G55" s="20"/>
      <c r="H55" s="20"/>
      <c r="I55" s="20"/>
      <c r="J55" s="20"/>
      <c r="K55" s="20"/>
      <c r="L55" s="18"/>
    </row>
    <row r="56" spans="1:31" s="2" customFormat="1" ht="14.45" customHeight="1">
      <c r="A56" s="32"/>
      <c r="B56" s="33"/>
      <c r="C56" s="34"/>
      <c r="D56" s="34"/>
      <c r="E56" s="746" t="s">
        <v>1449</v>
      </c>
      <c r="F56" s="699"/>
      <c r="G56" s="699"/>
      <c r="H56" s="699"/>
      <c r="I56" s="34"/>
      <c r="J56" s="34"/>
      <c r="K56" s="34"/>
      <c r="L56" s="111"/>
      <c r="S56" s="32"/>
      <c r="T56" s="32"/>
      <c r="U56" s="32"/>
      <c r="V56" s="32"/>
      <c r="W56" s="32"/>
      <c r="X56" s="32"/>
      <c r="Y56" s="32"/>
      <c r="Z56" s="32"/>
      <c r="AA56" s="32"/>
      <c r="AB56" s="32"/>
      <c r="AC56" s="32"/>
      <c r="AD56" s="32"/>
      <c r="AE56" s="32"/>
    </row>
    <row r="57" spans="1:31" s="2" customFormat="1" ht="12" customHeight="1">
      <c r="A57" s="32"/>
      <c r="B57" s="33"/>
      <c r="C57" s="27" t="s">
        <v>1450</v>
      </c>
      <c r="D57" s="34"/>
      <c r="E57" s="34"/>
      <c r="F57" s="34"/>
      <c r="G57" s="34"/>
      <c r="H57" s="34"/>
      <c r="I57" s="34"/>
      <c r="J57" s="34"/>
      <c r="K57" s="34"/>
      <c r="L57" s="111"/>
      <c r="S57" s="32"/>
      <c r="T57" s="32"/>
      <c r="U57" s="32"/>
      <c r="V57" s="32"/>
      <c r="W57" s="32"/>
      <c r="X57" s="32"/>
      <c r="Y57" s="32"/>
      <c r="Z57" s="32"/>
      <c r="AA57" s="32"/>
      <c r="AB57" s="32"/>
      <c r="AC57" s="32"/>
      <c r="AD57" s="32"/>
      <c r="AE57" s="32"/>
    </row>
    <row r="58" spans="1:31" s="2" customFormat="1" ht="14.45" customHeight="1">
      <c r="A58" s="32"/>
      <c r="B58" s="33"/>
      <c r="C58" s="34"/>
      <c r="D58" s="34"/>
      <c r="E58" s="696" t="str">
        <f>E13</f>
        <v>D.1.4.04.2 - Soupis prací - NZS</v>
      </c>
      <c r="F58" s="699"/>
      <c r="G58" s="699"/>
      <c r="H58" s="699"/>
      <c r="I58" s="34"/>
      <c r="J58" s="34"/>
      <c r="K58" s="34"/>
      <c r="L58" s="111"/>
      <c r="S58" s="32"/>
      <c r="T58" s="32"/>
      <c r="U58" s="32"/>
      <c r="V58" s="32"/>
      <c r="W58" s="32"/>
      <c r="X58" s="32"/>
      <c r="Y58" s="32"/>
      <c r="Z58" s="32"/>
      <c r="AA58" s="32"/>
      <c r="AB58" s="32"/>
      <c r="AC58" s="32"/>
      <c r="AD58" s="32"/>
      <c r="AE58" s="32"/>
    </row>
    <row r="59" spans="1:31" s="2" customFormat="1" ht="6.95" customHeight="1">
      <c r="A59" s="32"/>
      <c r="B59" s="33"/>
      <c r="C59" s="34"/>
      <c r="D59" s="34"/>
      <c r="E59" s="34"/>
      <c r="F59" s="34"/>
      <c r="G59" s="34"/>
      <c r="H59" s="34"/>
      <c r="I59" s="34"/>
      <c r="J59" s="34"/>
      <c r="K59" s="34"/>
      <c r="L59" s="111"/>
      <c r="S59" s="32"/>
      <c r="T59" s="32"/>
      <c r="U59" s="32"/>
      <c r="V59" s="32"/>
      <c r="W59" s="32"/>
      <c r="X59" s="32"/>
      <c r="Y59" s="32"/>
      <c r="Z59" s="32"/>
      <c r="AA59" s="32"/>
      <c r="AB59" s="32"/>
      <c r="AC59" s="32"/>
      <c r="AD59" s="32"/>
      <c r="AE59" s="32"/>
    </row>
    <row r="60" spans="1:31" s="2" customFormat="1" ht="12" customHeight="1">
      <c r="A60" s="32"/>
      <c r="B60" s="33"/>
      <c r="C60" s="27" t="s">
        <v>21</v>
      </c>
      <c r="D60" s="34"/>
      <c r="E60" s="34"/>
      <c r="F60" s="25" t="str">
        <f>F16</f>
        <v xml:space="preserve"> </v>
      </c>
      <c r="G60" s="34"/>
      <c r="H60" s="34"/>
      <c r="I60" s="27" t="s">
        <v>23</v>
      </c>
      <c r="J60" s="57" t="str">
        <f>IF(J16="","",J16)</f>
        <v>Vyplň údaj</v>
      </c>
      <c r="K60" s="34"/>
      <c r="L60" s="111"/>
      <c r="S60" s="32"/>
      <c r="T60" s="32"/>
      <c r="U60" s="32"/>
      <c r="V60" s="32"/>
      <c r="W60" s="32"/>
      <c r="X60" s="32"/>
      <c r="Y60" s="32"/>
      <c r="Z60" s="32"/>
      <c r="AA60" s="32"/>
      <c r="AB60" s="32"/>
      <c r="AC60" s="32"/>
      <c r="AD60" s="32"/>
      <c r="AE60" s="32"/>
    </row>
    <row r="61" spans="1:31" s="2" customFormat="1" ht="6.95" customHeight="1">
      <c r="A61" s="32"/>
      <c r="B61" s="33"/>
      <c r="C61" s="34"/>
      <c r="D61" s="34"/>
      <c r="E61" s="34"/>
      <c r="F61" s="34"/>
      <c r="G61" s="34"/>
      <c r="H61" s="34"/>
      <c r="I61" s="34"/>
      <c r="J61" s="34"/>
      <c r="K61" s="34"/>
      <c r="L61" s="111"/>
      <c r="S61" s="32"/>
      <c r="T61" s="32"/>
      <c r="U61" s="32"/>
      <c r="V61" s="32"/>
      <c r="W61" s="32"/>
      <c r="X61" s="32"/>
      <c r="Y61" s="32"/>
      <c r="Z61" s="32"/>
      <c r="AA61" s="32"/>
      <c r="AB61" s="32"/>
      <c r="AC61" s="32"/>
      <c r="AD61" s="32"/>
      <c r="AE61" s="32"/>
    </row>
    <row r="62" spans="1:31" s="2" customFormat="1" ht="26.45" customHeight="1">
      <c r="A62" s="32"/>
      <c r="B62" s="33"/>
      <c r="C62" s="27" t="s">
        <v>24</v>
      </c>
      <c r="D62" s="34"/>
      <c r="E62" s="34"/>
      <c r="F62" s="25" t="str">
        <f>E19</f>
        <v xml:space="preserve">Úřad vlády České republiky </v>
      </c>
      <c r="G62" s="34"/>
      <c r="H62" s="34"/>
      <c r="I62" s="27" t="s">
        <v>30</v>
      </c>
      <c r="J62" s="30" t="str">
        <f>E25</f>
        <v>Ateliér Simona Group</v>
      </c>
      <c r="K62" s="34"/>
      <c r="L62" s="111"/>
      <c r="S62" s="32"/>
      <c r="T62" s="32"/>
      <c r="U62" s="32"/>
      <c r="V62" s="32"/>
      <c r="W62" s="32"/>
      <c r="X62" s="32"/>
      <c r="Y62" s="32"/>
      <c r="Z62" s="32"/>
      <c r="AA62" s="32"/>
      <c r="AB62" s="32"/>
      <c r="AC62" s="32"/>
      <c r="AD62" s="32"/>
      <c r="AE62" s="32"/>
    </row>
    <row r="63" spans="1:31" s="2" customFormat="1" ht="26.45" customHeight="1">
      <c r="A63" s="32"/>
      <c r="B63" s="33"/>
      <c r="C63" s="27" t="s">
        <v>28</v>
      </c>
      <c r="D63" s="34"/>
      <c r="E63" s="34"/>
      <c r="F63" s="25" t="str">
        <f>IF(E22="","",E22)</f>
        <v>Vyplň údaj</v>
      </c>
      <c r="G63" s="34"/>
      <c r="H63" s="34"/>
      <c r="I63" s="27" t="s">
        <v>33</v>
      </c>
      <c r="J63" s="30" t="str">
        <f>E28</f>
        <v>Ateliér Simona Group</v>
      </c>
      <c r="K63" s="34"/>
      <c r="L63" s="111"/>
      <c r="S63" s="32"/>
      <c r="T63" s="32"/>
      <c r="U63" s="32"/>
      <c r="V63" s="32"/>
      <c r="W63" s="32"/>
      <c r="X63" s="32"/>
      <c r="Y63" s="32"/>
      <c r="Z63" s="32"/>
      <c r="AA63" s="32"/>
      <c r="AB63" s="32"/>
      <c r="AC63" s="32"/>
      <c r="AD63" s="32"/>
      <c r="AE63" s="32"/>
    </row>
    <row r="64" spans="1:31" s="2" customFormat="1" ht="10.35" customHeight="1">
      <c r="A64" s="32"/>
      <c r="B64" s="33"/>
      <c r="C64" s="34"/>
      <c r="D64" s="34"/>
      <c r="E64" s="34"/>
      <c r="F64" s="34"/>
      <c r="G64" s="34"/>
      <c r="H64" s="34"/>
      <c r="I64" s="34"/>
      <c r="J64" s="34"/>
      <c r="K64" s="34"/>
      <c r="L64" s="111"/>
      <c r="S64" s="32"/>
      <c r="T64" s="32"/>
      <c r="U64" s="32"/>
      <c r="V64" s="32"/>
      <c r="W64" s="32"/>
      <c r="X64" s="32"/>
      <c r="Y64" s="32"/>
      <c r="Z64" s="32"/>
      <c r="AA64" s="32"/>
      <c r="AB64" s="32"/>
      <c r="AC64" s="32"/>
      <c r="AD64" s="32"/>
      <c r="AE64" s="32"/>
    </row>
    <row r="65" spans="1:31" s="2" customFormat="1" ht="29.25" customHeight="1">
      <c r="A65" s="32"/>
      <c r="B65" s="33"/>
      <c r="C65" s="134" t="s">
        <v>148</v>
      </c>
      <c r="D65" s="135"/>
      <c r="E65" s="135"/>
      <c r="F65" s="135"/>
      <c r="G65" s="135"/>
      <c r="H65" s="135"/>
      <c r="I65" s="135"/>
      <c r="J65" s="136" t="s">
        <v>149</v>
      </c>
      <c r="K65" s="135"/>
      <c r="L65" s="111"/>
      <c r="S65" s="32"/>
      <c r="T65" s="32"/>
      <c r="U65" s="32"/>
      <c r="V65" s="32"/>
      <c r="W65" s="32"/>
      <c r="X65" s="32"/>
      <c r="Y65" s="32"/>
      <c r="Z65" s="32"/>
      <c r="AA65" s="32"/>
      <c r="AB65" s="32"/>
      <c r="AC65" s="32"/>
      <c r="AD65" s="32"/>
      <c r="AE65" s="32"/>
    </row>
    <row r="66" spans="1:31" s="2" customFormat="1" ht="10.35" customHeight="1">
      <c r="A66" s="32"/>
      <c r="B66" s="33"/>
      <c r="C66" s="34"/>
      <c r="D66" s="34"/>
      <c r="E66" s="34"/>
      <c r="F66" s="34"/>
      <c r="G66" s="34"/>
      <c r="H66" s="34"/>
      <c r="I66" s="34"/>
      <c r="J66" s="34"/>
      <c r="K66" s="34"/>
      <c r="L66" s="111"/>
      <c r="S66" s="32"/>
      <c r="T66" s="32"/>
      <c r="U66" s="32"/>
      <c r="V66" s="32"/>
      <c r="W66" s="32"/>
      <c r="X66" s="32"/>
      <c r="Y66" s="32"/>
      <c r="Z66" s="32"/>
      <c r="AA66" s="32"/>
      <c r="AB66" s="32"/>
      <c r="AC66" s="32"/>
      <c r="AD66" s="32"/>
      <c r="AE66" s="32"/>
    </row>
    <row r="67" spans="1:47" s="2" customFormat="1" ht="22.9" customHeight="1">
      <c r="A67" s="32"/>
      <c r="B67" s="33"/>
      <c r="C67" s="137" t="s">
        <v>68</v>
      </c>
      <c r="D67" s="34"/>
      <c r="E67" s="34"/>
      <c r="F67" s="34"/>
      <c r="G67" s="34"/>
      <c r="H67" s="34"/>
      <c r="I67" s="34"/>
      <c r="J67" s="75">
        <f>J93</f>
        <v>0</v>
      </c>
      <c r="K67" s="34"/>
      <c r="L67" s="111"/>
      <c r="S67" s="32"/>
      <c r="T67" s="32"/>
      <c r="U67" s="32"/>
      <c r="V67" s="32"/>
      <c r="W67" s="32"/>
      <c r="X67" s="32"/>
      <c r="Y67" s="32"/>
      <c r="Z67" s="32"/>
      <c r="AA67" s="32"/>
      <c r="AB67" s="32"/>
      <c r="AC67" s="32"/>
      <c r="AD67" s="32"/>
      <c r="AE67" s="32"/>
      <c r="AU67" s="15" t="s">
        <v>150</v>
      </c>
    </row>
    <row r="68" spans="2:12" s="9" customFormat="1" ht="24.95" customHeight="1">
      <c r="B68" s="138"/>
      <c r="C68" s="139"/>
      <c r="D68" s="140" t="s">
        <v>161</v>
      </c>
      <c r="E68" s="141"/>
      <c r="F68" s="141"/>
      <c r="G68" s="141"/>
      <c r="H68" s="141"/>
      <c r="I68" s="141"/>
      <c r="J68" s="142">
        <f>J94</f>
        <v>0</v>
      </c>
      <c r="K68" s="139"/>
      <c r="L68" s="143"/>
    </row>
    <row r="69" spans="2:12" s="10" customFormat="1" ht="19.9" customHeight="1">
      <c r="B69" s="144"/>
      <c r="C69" s="95"/>
      <c r="D69" s="145" t="s">
        <v>165</v>
      </c>
      <c r="E69" s="146"/>
      <c r="F69" s="146"/>
      <c r="G69" s="146"/>
      <c r="H69" s="146"/>
      <c r="I69" s="146"/>
      <c r="J69" s="147">
        <f>J95</f>
        <v>0</v>
      </c>
      <c r="K69" s="95"/>
      <c r="L69" s="148"/>
    </row>
    <row r="70" spans="1:31" s="2" customFormat="1" ht="21.75" customHeight="1">
      <c r="A70" s="32"/>
      <c r="B70" s="33"/>
      <c r="C70" s="34"/>
      <c r="D70" s="34"/>
      <c r="E70" s="34"/>
      <c r="F70" s="34"/>
      <c r="G70" s="34"/>
      <c r="H70" s="34"/>
      <c r="I70" s="34"/>
      <c r="J70" s="34"/>
      <c r="K70" s="34"/>
      <c r="L70" s="111"/>
      <c r="S70" s="32"/>
      <c r="T70" s="32"/>
      <c r="U70" s="32"/>
      <c r="V70" s="32"/>
      <c r="W70" s="32"/>
      <c r="X70" s="32"/>
      <c r="Y70" s="32"/>
      <c r="Z70" s="32"/>
      <c r="AA70" s="32"/>
      <c r="AB70" s="32"/>
      <c r="AC70" s="32"/>
      <c r="AD70" s="32"/>
      <c r="AE70" s="32"/>
    </row>
    <row r="71" spans="1:31" s="2" customFormat="1" ht="6.95" customHeight="1">
      <c r="A71" s="32"/>
      <c r="B71" s="45"/>
      <c r="C71" s="46"/>
      <c r="D71" s="46"/>
      <c r="E71" s="46"/>
      <c r="F71" s="46"/>
      <c r="G71" s="46"/>
      <c r="H71" s="46"/>
      <c r="I71" s="46"/>
      <c r="J71" s="46"/>
      <c r="K71" s="46"/>
      <c r="L71" s="111"/>
      <c r="S71" s="32"/>
      <c r="T71" s="32"/>
      <c r="U71" s="32"/>
      <c r="V71" s="32"/>
      <c r="W71" s="32"/>
      <c r="X71" s="32"/>
      <c r="Y71" s="32"/>
      <c r="Z71" s="32"/>
      <c r="AA71" s="32"/>
      <c r="AB71" s="32"/>
      <c r="AC71" s="32"/>
      <c r="AD71" s="32"/>
      <c r="AE71" s="32"/>
    </row>
    <row r="75" spans="1:31" s="2" customFormat="1" ht="6.95" customHeight="1">
      <c r="A75" s="32"/>
      <c r="B75" s="47"/>
      <c r="C75" s="48"/>
      <c r="D75" s="48"/>
      <c r="E75" s="48"/>
      <c r="F75" s="48"/>
      <c r="G75" s="48"/>
      <c r="H75" s="48"/>
      <c r="I75" s="48"/>
      <c r="J75" s="48"/>
      <c r="K75" s="48"/>
      <c r="L75" s="111"/>
      <c r="S75" s="32"/>
      <c r="T75" s="32"/>
      <c r="U75" s="32"/>
      <c r="V75" s="32"/>
      <c r="W75" s="32"/>
      <c r="X75" s="32"/>
      <c r="Y75" s="32"/>
      <c r="Z75" s="32"/>
      <c r="AA75" s="32"/>
      <c r="AB75" s="32"/>
      <c r="AC75" s="32"/>
      <c r="AD75" s="32"/>
      <c r="AE75" s="32"/>
    </row>
    <row r="76" spans="1:31" s="2" customFormat="1" ht="24.95" customHeight="1">
      <c r="A76" s="32"/>
      <c r="B76" s="33"/>
      <c r="C76" s="21" t="s">
        <v>181</v>
      </c>
      <c r="D76" s="34"/>
      <c r="E76" s="34"/>
      <c r="F76" s="34"/>
      <c r="G76" s="34"/>
      <c r="H76" s="34"/>
      <c r="I76" s="34"/>
      <c r="J76" s="34"/>
      <c r="K76" s="34"/>
      <c r="L76" s="111"/>
      <c r="S76" s="32"/>
      <c r="T76" s="32"/>
      <c r="U76" s="32"/>
      <c r="V76" s="32"/>
      <c r="W76" s="32"/>
      <c r="X76" s="32"/>
      <c r="Y76" s="32"/>
      <c r="Z76" s="32"/>
      <c r="AA76" s="32"/>
      <c r="AB76" s="32"/>
      <c r="AC76" s="32"/>
      <c r="AD76" s="32"/>
      <c r="AE76" s="32"/>
    </row>
    <row r="77" spans="1:31" s="2" customFormat="1" ht="6.95" customHeight="1">
      <c r="A77" s="32"/>
      <c r="B77" s="33"/>
      <c r="C77" s="34"/>
      <c r="D77" s="34"/>
      <c r="E77" s="34"/>
      <c r="F77" s="34"/>
      <c r="G77" s="34"/>
      <c r="H77" s="34"/>
      <c r="I77" s="34"/>
      <c r="J77" s="34"/>
      <c r="K77" s="34"/>
      <c r="L77" s="111"/>
      <c r="S77" s="32"/>
      <c r="T77" s="32"/>
      <c r="U77" s="32"/>
      <c r="V77" s="32"/>
      <c r="W77" s="32"/>
      <c r="X77" s="32"/>
      <c r="Y77" s="32"/>
      <c r="Z77" s="32"/>
      <c r="AA77" s="32"/>
      <c r="AB77" s="32"/>
      <c r="AC77" s="32"/>
      <c r="AD77" s="32"/>
      <c r="AE77" s="32"/>
    </row>
    <row r="78" spans="1:31" s="2" customFormat="1" ht="12" customHeight="1">
      <c r="A78" s="32"/>
      <c r="B78" s="33"/>
      <c r="C78" s="27" t="s">
        <v>16</v>
      </c>
      <c r="D78" s="34"/>
      <c r="E78" s="34"/>
      <c r="F78" s="34"/>
      <c r="G78" s="34"/>
      <c r="H78" s="34"/>
      <c r="I78" s="34"/>
      <c r="J78" s="34"/>
      <c r="K78" s="34"/>
      <c r="L78" s="111"/>
      <c r="S78" s="32"/>
      <c r="T78" s="32"/>
      <c r="U78" s="32"/>
      <c r="V78" s="32"/>
      <c r="W78" s="32"/>
      <c r="X78" s="32"/>
      <c r="Y78" s="32"/>
      <c r="Z78" s="32"/>
      <c r="AA78" s="32"/>
      <c r="AB78" s="32"/>
      <c r="AC78" s="32"/>
      <c r="AD78" s="32"/>
      <c r="AE78" s="32"/>
    </row>
    <row r="79" spans="1:31" s="2" customFormat="1" ht="14.45" customHeight="1">
      <c r="A79" s="32"/>
      <c r="B79" s="33"/>
      <c r="C79" s="34"/>
      <c r="D79" s="34"/>
      <c r="E79" s="700" t="str">
        <f>E7</f>
        <v>Úpravy gastroprovozu Úřadu vlády ČR v 1.pp Strakovy akademie</v>
      </c>
      <c r="F79" s="701"/>
      <c r="G79" s="701"/>
      <c r="H79" s="701"/>
      <c r="I79" s="34"/>
      <c r="J79" s="34"/>
      <c r="K79" s="34"/>
      <c r="L79" s="111"/>
      <c r="S79" s="32"/>
      <c r="T79" s="32"/>
      <c r="U79" s="32"/>
      <c r="V79" s="32"/>
      <c r="W79" s="32"/>
      <c r="X79" s="32"/>
      <c r="Y79" s="32"/>
      <c r="Z79" s="32"/>
      <c r="AA79" s="32"/>
      <c r="AB79" s="32"/>
      <c r="AC79" s="32"/>
      <c r="AD79" s="32"/>
      <c r="AE79" s="32"/>
    </row>
    <row r="80" spans="2:12" s="1" customFormat="1" ht="12" customHeight="1">
      <c r="B80" s="19"/>
      <c r="C80" s="27" t="s">
        <v>142</v>
      </c>
      <c r="D80" s="20"/>
      <c r="E80" s="20"/>
      <c r="F80" s="20"/>
      <c r="G80" s="20"/>
      <c r="H80" s="20"/>
      <c r="I80" s="20"/>
      <c r="J80" s="20"/>
      <c r="K80" s="20"/>
      <c r="L80" s="18"/>
    </row>
    <row r="81" spans="2:12" s="1" customFormat="1" ht="14.45" customHeight="1">
      <c r="B81" s="19"/>
      <c r="C81" s="20"/>
      <c r="D81" s="20"/>
      <c r="E81" s="700" t="s">
        <v>1429</v>
      </c>
      <c r="F81" s="667"/>
      <c r="G81" s="667"/>
      <c r="H81" s="667"/>
      <c r="I81" s="20"/>
      <c r="J81" s="20"/>
      <c r="K81" s="20"/>
      <c r="L81" s="18"/>
    </row>
    <row r="82" spans="2:12" s="1" customFormat="1" ht="12" customHeight="1">
      <c r="B82" s="19"/>
      <c r="C82" s="27" t="s">
        <v>144</v>
      </c>
      <c r="D82" s="20"/>
      <c r="E82" s="20"/>
      <c r="F82" s="20"/>
      <c r="G82" s="20"/>
      <c r="H82" s="20"/>
      <c r="I82" s="20"/>
      <c r="J82" s="20"/>
      <c r="K82" s="20"/>
      <c r="L82" s="18"/>
    </row>
    <row r="83" spans="1:31" s="2" customFormat="1" ht="14.45" customHeight="1">
      <c r="A83" s="32"/>
      <c r="B83" s="33"/>
      <c r="C83" s="34"/>
      <c r="D83" s="34"/>
      <c r="E83" s="746" t="s">
        <v>1449</v>
      </c>
      <c r="F83" s="699"/>
      <c r="G83" s="699"/>
      <c r="H83" s="699"/>
      <c r="I83" s="34"/>
      <c r="J83" s="34"/>
      <c r="K83" s="34"/>
      <c r="L83" s="111"/>
      <c r="S83" s="32"/>
      <c r="T83" s="32"/>
      <c r="U83" s="32"/>
      <c r="V83" s="32"/>
      <c r="W83" s="32"/>
      <c r="X83" s="32"/>
      <c r="Y83" s="32"/>
      <c r="Z83" s="32"/>
      <c r="AA83" s="32"/>
      <c r="AB83" s="32"/>
      <c r="AC83" s="32"/>
      <c r="AD83" s="32"/>
      <c r="AE83" s="32"/>
    </row>
    <row r="84" spans="1:31" s="2" customFormat="1" ht="12" customHeight="1">
      <c r="A84" s="32"/>
      <c r="B84" s="33"/>
      <c r="C84" s="27" t="s">
        <v>1450</v>
      </c>
      <c r="D84" s="34"/>
      <c r="E84" s="34"/>
      <c r="F84" s="34"/>
      <c r="G84" s="34"/>
      <c r="H84" s="34"/>
      <c r="I84" s="34"/>
      <c r="J84" s="34"/>
      <c r="K84" s="34"/>
      <c r="L84" s="111"/>
      <c r="S84" s="32"/>
      <c r="T84" s="32"/>
      <c r="U84" s="32"/>
      <c r="V84" s="32"/>
      <c r="W84" s="32"/>
      <c r="X84" s="32"/>
      <c r="Y84" s="32"/>
      <c r="Z84" s="32"/>
      <c r="AA84" s="32"/>
      <c r="AB84" s="32"/>
      <c r="AC84" s="32"/>
      <c r="AD84" s="32"/>
      <c r="AE84" s="32"/>
    </row>
    <row r="85" spans="1:31" s="2" customFormat="1" ht="14.45" customHeight="1">
      <c r="A85" s="32"/>
      <c r="B85" s="33"/>
      <c r="C85" s="34"/>
      <c r="D85" s="34"/>
      <c r="E85" s="696" t="str">
        <f>E13</f>
        <v>D.1.4.04.2 - Soupis prací - NZS</v>
      </c>
      <c r="F85" s="699"/>
      <c r="G85" s="699"/>
      <c r="H85" s="699"/>
      <c r="I85" s="34"/>
      <c r="J85" s="34"/>
      <c r="K85" s="34"/>
      <c r="L85" s="111"/>
      <c r="S85" s="32"/>
      <c r="T85" s="32"/>
      <c r="U85" s="32"/>
      <c r="V85" s="32"/>
      <c r="W85" s="32"/>
      <c r="X85" s="32"/>
      <c r="Y85" s="32"/>
      <c r="Z85" s="32"/>
      <c r="AA85" s="32"/>
      <c r="AB85" s="32"/>
      <c r="AC85" s="32"/>
      <c r="AD85" s="32"/>
      <c r="AE85" s="32"/>
    </row>
    <row r="86" spans="1:31" s="2" customFormat="1" ht="6.95" customHeight="1">
      <c r="A86" s="32"/>
      <c r="B86" s="33"/>
      <c r="C86" s="34"/>
      <c r="D86" s="34"/>
      <c r="E86" s="34"/>
      <c r="F86" s="34"/>
      <c r="G86" s="34"/>
      <c r="H86" s="34"/>
      <c r="I86" s="34"/>
      <c r="J86" s="34"/>
      <c r="K86" s="34"/>
      <c r="L86" s="111"/>
      <c r="S86" s="32"/>
      <c r="T86" s="32"/>
      <c r="U86" s="32"/>
      <c r="V86" s="32"/>
      <c r="W86" s="32"/>
      <c r="X86" s="32"/>
      <c r="Y86" s="32"/>
      <c r="Z86" s="32"/>
      <c r="AA86" s="32"/>
      <c r="AB86" s="32"/>
      <c r="AC86" s="32"/>
      <c r="AD86" s="32"/>
      <c r="AE86" s="32"/>
    </row>
    <row r="87" spans="1:31" s="2" customFormat="1" ht="12" customHeight="1">
      <c r="A87" s="32"/>
      <c r="B87" s="33"/>
      <c r="C87" s="27" t="s">
        <v>21</v>
      </c>
      <c r="D87" s="34"/>
      <c r="E87" s="34"/>
      <c r="F87" s="25" t="str">
        <f>F16</f>
        <v xml:space="preserve"> </v>
      </c>
      <c r="G87" s="34"/>
      <c r="H87" s="34"/>
      <c r="I87" s="27" t="s">
        <v>23</v>
      </c>
      <c r="J87" s="57" t="str">
        <f>IF(J16="","",J16)</f>
        <v>Vyplň údaj</v>
      </c>
      <c r="K87" s="34"/>
      <c r="L87" s="111"/>
      <c r="S87" s="32"/>
      <c r="T87" s="32"/>
      <c r="U87" s="32"/>
      <c r="V87" s="32"/>
      <c r="W87" s="32"/>
      <c r="X87" s="32"/>
      <c r="Y87" s="32"/>
      <c r="Z87" s="32"/>
      <c r="AA87" s="32"/>
      <c r="AB87" s="32"/>
      <c r="AC87" s="32"/>
      <c r="AD87" s="32"/>
      <c r="AE87" s="32"/>
    </row>
    <row r="88" spans="1:31" s="2" customFormat="1" ht="6.95" customHeight="1">
      <c r="A88" s="32"/>
      <c r="B88" s="33"/>
      <c r="C88" s="34"/>
      <c r="D88" s="34"/>
      <c r="E88" s="34"/>
      <c r="F88" s="34"/>
      <c r="G88" s="34"/>
      <c r="H88" s="34"/>
      <c r="I88" s="34"/>
      <c r="J88" s="34"/>
      <c r="K88" s="34"/>
      <c r="L88" s="111"/>
      <c r="S88" s="32"/>
      <c r="T88" s="32"/>
      <c r="U88" s="32"/>
      <c r="V88" s="32"/>
      <c r="W88" s="32"/>
      <c r="X88" s="32"/>
      <c r="Y88" s="32"/>
      <c r="Z88" s="32"/>
      <c r="AA88" s="32"/>
      <c r="AB88" s="32"/>
      <c r="AC88" s="32"/>
      <c r="AD88" s="32"/>
      <c r="AE88" s="32"/>
    </row>
    <row r="89" spans="1:31" s="2" customFormat="1" ht="26.45" customHeight="1">
      <c r="A89" s="32"/>
      <c r="B89" s="33"/>
      <c r="C89" s="27" t="s">
        <v>24</v>
      </c>
      <c r="D89" s="34"/>
      <c r="E89" s="34"/>
      <c r="F89" s="25" t="str">
        <f>E19</f>
        <v xml:space="preserve">Úřad vlády České republiky </v>
      </c>
      <c r="G89" s="34"/>
      <c r="H89" s="34"/>
      <c r="I89" s="27" t="s">
        <v>30</v>
      </c>
      <c r="J89" s="30" t="str">
        <f>E25</f>
        <v>Ateliér Simona Group</v>
      </c>
      <c r="K89" s="34"/>
      <c r="L89" s="111"/>
      <c r="S89" s="32"/>
      <c r="T89" s="32"/>
      <c r="U89" s="32"/>
      <c r="V89" s="32"/>
      <c r="W89" s="32"/>
      <c r="X89" s="32"/>
      <c r="Y89" s="32"/>
      <c r="Z89" s="32"/>
      <c r="AA89" s="32"/>
      <c r="AB89" s="32"/>
      <c r="AC89" s="32"/>
      <c r="AD89" s="32"/>
      <c r="AE89" s="32"/>
    </row>
    <row r="90" spans="1:31" s="2" customFormat="1" ht="26.45" customHeight="1">
      <c r="A90" s="32"/>
      <c r="B90" s="33"/>
      <c r="C90" s="27" t="s">
        <v>28</v>
      </c>
      <c r="D90" s="34"/>
      <c r="E90" s="34"/>
      <c r="F90" s="25" t="str">
        <f>IF(E22="","",E22)</f>
        <v>Vyplň údaj</v>
      </c>
      <c r="G90" s="34"/>
      <c r="H90" s="34"/>
      <c r="I90" s="27" t="s">
        <v>33</v>
      </c>
      <c r="J90" s="30" t="str">
        <f>E28</f>
        <v>Ateliér Simona Group</v>
      </c>
      <c r="K90" s="34"/>
      <c r="L90" s="111"/>
      <c r="S90" s="32"/>
      <c r="T90" s="32"/>
      <c r="U90" s="32"/>
      <c r="V90" s="32"/>
      <c r="W90" s="32"/>
      <c r="X90" s="32"/>
      <c r="Y90" s="32"/>
      <c r="Z90" s="32"/>
      <c r="AA90" s="32"/>
      <c r="AB90" s="32"/>
      <c r="AC90" s="32"/>
      <c r="AD90" s="32"/>
      <c r="AE90" s="32"/>
    </row>
    <row r="91" spans="1:31" s="2" customFormat="1" ht="10.35" customHeight="1">
      <c r="A91" s="32"/>
      <c r="B91" s="33"/>
      <c r="C91" s="34"/>
      <c r="D91" s="34"/>
      <c r="E91" s="34"/>
      <c r="F91" s="34"/>
      <c r="G91" s="34"/>
      <c r="H91" s="34"/>
      <c r="I91" s="34"/>
      <c r="J91" s="34"/>
      <c r="K91" s="34"/>
      <c r="L91" s="111"/>
      <c r="S91" s="32"/>
      <c r="T91" s="32"/>
      <c r="U91" s="32"/>
      <c r="V91" s="32"/>
      <c r="W91" s="32"/>
      <c r="X91" s="32"/>
      <c r="Y91" s="32"/>
      <c r="Z91" s="32"/>
      <c r="AA91" s="32"/>
      <c r="AB91" s="32"/>
      <c r="AC91" s="32"/>
      <c r="AD91" s="32"/>
      <c r="AE91" s="32"/>
    </row>
    <row r="92" spans="1:31" s="11" customFormat="1" ht="29.25" customHeight="1">
      <c r="A92" s="149"/>
      <c r="B92" s="150"/>
      <c r="C92" s="151" t="s">
        <v>182</v>
      </c>
      <c r="D92" s="152" t="s">
        <v>55</v>
      </c>
      <c r="E92" s="152" t="s">
        <v>51</v>
      </c>
      <c r="F92" s="152" t="s">
        <v>52</v>
      </c>
      <c r="G92" s="152" t="s">
        <v>183</v>
      </c>
      <c r="H92" s="152" t="s">
        <v>184</v>
      </c>
      <c r="I92" s="152" t="s">
        <v>185</v>
      </c>
      <c r="J92" s="152" t="s">
        <v>149</v>
      </c>
      <c r="K92" s="153" t="s">
        <v>186</v>
      </c>
      <c r="L92" s="154"/>
      <c r="M92" s="66" t="s">
        <v>19</v>
      </c>
      <c r="N92" s="67" t="s">
        <v>40</v>
      </c>
      <c r="O92" s="67" t="s">
        <v>187</v>
      </c>
      <c r="P92" s="67" t="s">
        <v>188</v>
      </c>
      <c r="Q92" s="67" t="s">
        <v>189</v>
      </c>
      <c r="R92" s="67" t="s">
        <v>190</v>
      </c>
      <c r="S92" s="67" t="s">
        <v>191</v>
      </c>
      <c r="T92" s="68" t="s">
        <v>192</v>
      </c>
      <c r="U92" s="149"/>
      <c r="V92" s="149"/>
      <c r="W92" s="149"/>
      <c r="X92" s="149"/>
      <c r="Y92" s="149"/>
      <c r="Z92" s="149"/>
      <c r="AA92" s="149"/>
      <c r="AB92" s="149"/>
      <c r="AC92" s="149"/>
      <c r="AD92" s="149"/>
      <c r="AE92" s="149"/>
    </row>
    <row r="93" spans="1:63" s="2" customFormat="1" ht="22.9" customHeight="1">
      <c r="A93" s="32"/>
      <c r="B93" s="33"/>
      <c r="C93" s="73" t="s">
        <v>193</v>
      </c>
      <c r="D93" s="34"/>
      <c r="E93" s="34"/>
      <c r="F93" s="34"/>
      <c r="G93" s="34"/>
      <c r="H93" s="34"/>
      <c r="I93" s="34"/>
      <c r="J93" s="155">
        <f>BK93</f>
        <v>0</v>
      </c>
      <c r="K93" s="34"/>
      <c r="L93" s="37"/>
      <c r="M93" s="69"/>
      <c r="N93" s="156"/>
      <c r="O93" s="70"/>
      <c r="P93" s="157">
        <f>P94</f>
        <v>0</v>
      </c>
      <c r="Q93" s="70"/>
      <c r="R93" s="157">
        <f>R94</f>
        <v>0</v>
      </c>
      <c r="S93" s="70"/>
      <c r="T93" s="158">
        <f>T94</f>
        <v>0</v>
      </c>
      <c r="U93" s="32"/>
      <c r="V93" s="32"/>
      <c r="W93" s="32"/>
      <c r="X93" s="32"/>
      <c r="Y93" s="32"/>
      <c r="Z93" s="32"/>
      <c r="AA93" s="32"/>
      <c r="AB93" s="32"/>
      <c r="AC93" s="32"/>
      <c r="AD93" s="32"/>
      <c r="AE93" s="32"/>
      <c r="AT93" s="15" t="s">
        <v>69</v>
      </c>
      <c r="AU93" s="15" t="s">
        <v>150</v>
      </c>
      <c r="BK93" s="159">
        <f>BK94</f>
        <v>0</v>
      </c>
    </row>
    <row r="94" spans="2:63" s="12" customFormat="1" ht="25.9" customHeight="1">
      <c r="B94" s="160"/>
      <c r="C94" s="161"/>
      <c r="D94" s="162" t="s">
        <v>69</v>
      </c>
      <c r="E94" s="163" t="s">
        <v>694</v>
      </c>
      <c r="F94" s="163" t="s">
        <v>695</v>
      </c>
      <c r="G94" s="161"/>
      <c r="H94" s="161"/>
      <c r="I94" s="164"/>
      <c r="J94" s="165">
        <f>BK94</f>
        <v>0</v>
      </c>
      <c r="K94" s="161"/>
      <c r="L94" s="166"/>
      <c r="M94" s="167"/>
      <c r="N94" s="168"/>
      <c r="O94" s="168"/>
      <c r="P94" s="169">
        <f>P95</f>
        <v>0</v>
      </c>
      <c r="Q94" s="168"/>
      <c r="R94" s="169">
        <f>R95</f>
        <v>0</v>
      </c>
      <c r="S94" s="168"/>
      <c r="T94" s="170">
        <f>T95</f>
        <v>0</v>
      </c>
      <c r="AR94" s="171" t="s">
        <v>79</v>
      </c>
      <c r="AT94" s="172" t="s">
        <v>69</v>
      </c>
      <c r="AU94" s="172" t="s">
        <v>70</v>
      </c>
      <c r="AY94" s="171" t="s">
        <v>196</v>
      </c>
      <c r="BK94" s="173">
        <f>BK95</f>
        <v>0</v>
      </c>
    </row>
    <row r="95" spans="2:63" s="12" customFormat="1" ht="22.9" customHeight="1">
      <c r="B95" s="160"/>
      <c r="C95" s="161"/>
      <c r="D95" s="162" t="s">
        <v>69</v>
      </c>
      <c r="E95" s="174" t="s">
        <v>757</v>
      </c>
      <c r="F95" s="174" t="s">
        <v>758</v>
      </c>
      <c r="G95" s="161"/>
      <c r="H95" s="161"/>
      <c r="I95" s="164"/>
      <c r="J95" s="175">
        <f>BK95</f>
        <v>0</v>
      </c>
      <c r="K95" s="161"/>
      <c r="L95" s="166"/>
      <c r="M95" s="167"/>
      <c r="N95" s="168"/>
      <c r="O95" s="168"/>
      <c r="P95" s="169">
        <f>P96</f>
        <v>0</v>
      </c>
      <c r="Q95" s="168"/>
      <c r="R95" s="169">
        <f>R96</f>
        <v>0</v>
      </c>
      <c r="S95" s="168"/>
      <c r="T95" s="170">
        <f>T96</f>
        <v>0</v>
      </c>
      <c r="AR95" s="171" t="s">
        <v>79</v>
      </c>
      <c r="AT95" s="172" t="s">
        <v>69</v>
      </c>
      <c r="AU95" s="172" t="s">
        <v>77</v>
      </c>
      <c r="AY95" s="171" t="s">
        <v>196</v>
      </c>
      <c r="BK95" s="173">
        <f>BK96</f>
        <v>0</v>
      </c>
    </row>
    <row r="96" spans="1:65" s="2" customFormat="1" ht="13.9" customHeight="1">
      <c r="A96" s="32"/>
      <c r="B96" s="33"/>
      <c r="C96" s="176" t="s">
        <v>77</v>
      </c>
      <c r="D96" s="176" t="s">
        <v>198</v>
      </c>
      <c r="E96" s="177" t="s">
        <v>1456</v>
      </c>
      <c r="F96" s="178" t="s">
        <v>1457</v>
      </c>
      <c r="G96" s="179" t="s">
        <v>1437</v>
      </c>
      <c r="H96" s="180">
        <v>1</v>
      </c>
      <c r="I96" s="181">
        <f>NZS!F68</f>
        <v>0</v>
      </c>
      <c r="J96" s="182">
        <f>ROUND(I96*H96,2)</f>
        <v>0</v>
      </c>
      <c r="K96" s="178" t="s">
        <v>19</v>
      </c>
      <c r="L96" s="37"/>
      <c r="M96" s="204" t="s">
        <v>19</v>
      </c>
      <c r="N96" s="205" t="s">
        <v>41</v>
      </c>
      <c r="O96" s="206"/>
      <c r="P96" s="207">
        <f>O96*H96</f>
        <v>0</v>
      </c>
      <c r="Q96" s="207">
        <v>0</v>
      </c>
      <c r="R96" s="207">
        <f>Q96*H96</f>
        <v>0</v>
      </c>
      <c r="S96" s="207">
        <v>0</v>
      </c>
      <c r="T96" s="208">
        <f>S96*H96</f>
        <v>0</v>
      </c>
      <c r="U96" s="32"/>
      <c r="V96" s="32"/>
      <c r="W96" s="32"/>
      <c r="X96" s="32"/>
      <c r="Y96" s="32"/>
      <c r="Z96" s="32"/>
      <c r="AA96" s="32"/>
      <c r="AB96" s="32"/>
      <c r="AC96" s="32"/>
      <c r="AD96" s="32"/>
      <c r="AE96" s="32"/>
      <c r="AR96" s="187" t="s">
        <v>270</v>
      </c>
      <c r="AT96" s="187" t="s">
        <v>198</v>
      </c>
      <c r="AU96" s="187" t="s">
        <v>79</v>
      </c>
      <c r="AY96" s="15" t="s">
        <v>196</v>
      </c>
      <c r="BE96" s="188">
        <f>IF(N96="základní",J96,0)</f>
        <v>0</v>
      </c>
      <c r="BF96" s="188">
        <f>IF(N96="snížená",J96,0)</f>
        <v>0</v>
      </c>
      <c r="BG96" s="188">
        <f>IF(N96="zákl. přenesená",J96,0)</f>
        <v>0</v>
      </c>
      <c r="BH96" s="188">
        <f>IF(N96="sníž. přenesená",J96,0)</f>
        <v>0</v>
      </c>
      <c r="BI96" s="188">
        <f>IF(N96="nulová",J96,0)</f>
        <v>0</v>
      </c>
      <c r="BJ96" s="15" t="s">
        <v>77</v>
      </c>
      <c r="BK96" s="188">
        <f>ROUND(I96*H96,2)</f>
        <v>0</v>
      </c>
      <c r="BL96" s="15" t="s">
        <v>270</v>
      </c>
      <c r="BM96" s="187" t="s">
        <v>1458</v>
      </c>
    </row>
    <row r="97" spans="1:31" s="2" customFormat="1" ht="6.95" customHeight="1">
      <c r="A97" s="32"/>
      <c r="B97" s="45"/>
      <c r="C97" s="46"/>
      <c r="D97" s="46"/>
      <c r="E97" s="46"/>
      <c r="F97" s="46"/>
      <c r="G97" s="46"/>
      <c r="H97" s="46"/>
      <c r="I97" s="46"/>
      <c r="J97" s="46"/>
      <c r="K97" s="46"/>
      <c r="L97" s="37"/>
      <c r="M97" s="32"/>
      <c r="O97" s="32"/>
      <c r="P97" s="32"/>
      <c r="Q97" s="32"/>
      <c r="R97" s="32"/>
      <c r="S97" s="32"/>
      <c r="T97" s="32"/>
      <c r="U97" s="32"/>
      <c r="V97" s="32"/>
      <c r="W97" s="32"/>
      <c r="X97" s="32"/>
      <c r="Y97" s="32"/>
      <c r="Z97" s="32"/>
      <c r="AA97" s="32"/>
      <c r="AB97" s="32"/>
      <c r="AC97" s="32"/>
      <c r="AD97" s="32"/>
      <c r="AE97" s="32"/>
    </row>
  </sheetData>
  <sheetProtection algorithmName="SHA-512" hashValue="IACwp/zlSecNUwNm8K8ZOlAEa/XWCA3216Xg+TN11Q87atulnyfj4roBL8zy9cVN7qpx7EiORbmUVH6QafUwPA==" saltValue="p2NOCL+ssytlSB5cFpmWeBKn+FoNY+cQO/t9v4wM/cW8d54uaZLL5U9NX7XM3CzM+bFYZVahzkRh2WsBJ3MrUQ==" spinCount="100000" sheet="1" objects="1" scenarios="1" formatColumns="0" formatRows="0" autoFilter="0"/>
  <autoFilter ref="C92:K96"/>
  <mergeCells count="15">
    <mergeCell ref="E79:H79"/>
    <mergeCell ref="E83:H83"/>
    <mergeCell ref="E81:H81"/>
    <mergeCell ref="E85:H85"/>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E18D4-E34B-4EB3-B546-3F42BFE2DAAD}">
  <sheetPr>
    <tabColor rgb="FF92D050"/>
  </sheetPr>
  <dimension ref="A1:F75"/>
  <sheetViews>
    <sheetView workbookViewId="0" topLeftCell="A31">
      <selection activeCell="F47" sqref="F47"/>
    </sheetView>
  </sheetViews>
  <sheetFormatPr defaultColWidth="9.140625" defaultRowHeight="12"/>
  <cols>
    <col min="1" max="1" width="17.140625" style="427" customWidth="1"/>
    <col min="2" max="2" width="51.00390625" style="426" customWidth="1"/>
    <col min="3" max="3" width="6.7109375" style="422" customWidth="1"/>
    <col min="4" max="4" width="5.421875" style="422" customWidth="1"/>
    <col min="5" max="5" width="16.00390625" style="422" customWidth="1"/>
    <col min="6" max="6" width="17.140625" style="422" customWidth="1"/>
    <col min="7" max="7" width="13.28125" style="422" bestFit="1" customWidth="1"/>
    <col min="8" max="16384" width="9.28125" style="422" customWidth="1"/>
  </cols>
  <sheetData>
    <row r="1" spans="1:6" ht="15.75">
      <c r="A1" s="478" t="s">
        <v>2257</v>
      </c>
      <c r="B1" s="477"/>
      <c r="C1" s="476"/>
      <c r="D1" s="476"/>
      <c r="E1" s="479"/>
      <c r="F1" s="475" t="s">
        <v>2272</v>
      </c>
    </row>
    <row r="2" spans="1:6" ht="15">
      <c r="A2" s="465"/>
      <c r="B2" s="493" t="s">
        <v>2255</v>
      </c>
      <c r="C2" s="463"/>
      <c r="D2" s="463"/>
      <c r="E2" s="480"/>
      <c r="F2" s="463"/>
    </row>
    <row r="3" spans="1:6" ht="12">
      <c r="A3" s="474" t="s">
        <v>2029</v>
      </c>
      <c r="B3" s="473" t="s">
        <v>2220</v>
      </c>
      <c r="C3" s="472" t="s">
        <v>2219</v>
      </c>
      <c r="D3" s="472" t="s">
        <v>183</v>
      </c>
      <c r="E3" s="471" t="s">
        <v>2218</v>
      </c>
      <c r="F3" s="471" t="s">
        <v>1946</v>
      </c>
    </row>
    <row r="4" spans="1:6" ht="12">
      <c r="A4" s="462"/>
      <c r="B4" s="461" t="s">
        <v>1946</v>
      </c>
      <c r="C4" s="460"/>
      <c r="D4" s="460"/>
      <c r="E4" s="481"/>
      <c r="F4" s="459">
        <v>0</v>
      </c>
    </row>
    <row r="5" spans="1:6" ht="12">
      <c r="A5" s="458" t="s">
        <v>2164</v>
      </c>
      <c r="B5" s="457" t="s">
        <v>1737</v>
      </c>
      <c r="C5" s="456"/>
      <c r="D5" s="456"/>
      <c r="E5" s="482"/>
      <c r="F5" s="454">
        <f>F4*0.21</f>
        <v>0</v>
      </c>
    </row>
    <row r="6" ht="12">
      <c r="E6" s="483"/>
    </row>
    <row r="7" spans="1:6" ht="15">
      <c r="A7" s="465"/>
      <c r="B7" s="493" t="s">
        <v>2271</v>
      </c>
      <c r="C7" s="463"/>
      <c r="D7" s="463"/>
      <c r="E7" s="480"/>
      <c r="F7" s="463"/>
    </row>
    <row r="8" spans="1:6" ht="12">
      <c r="A8" s="474" t="s">
        <v>2029</v>
      </c>
      <c r="B8" s="473" t="s">
        <v>2220</v>
      </c>
      <c r="C8" s="472" t="s">
        <v>2219</v>
      </c>
      <c r="D8" s="472" t="s">
        <v>183</v>
      </c>
      <c r="E8" s="485" t="s">
        <v>2218</v>
      </c>
      <c r="F8" s="471" t="s">
        <v>1946</v>
      </c>
    </row>
    <row r="9" spans="1:6" ht="12">
      <c r="A9" s="470" t="s">
        <v>2273</v>
      </c>
      <c r="B9" s="469" t="s">
        <v>2270</v>
      </c>
      <c r="C9" s="468">
        <v>6</v>
      </c>
      <c r="D9" s="467" t="s">
        <v>2057</v>
      </c>
      <c r="E9" s="484">
        <v>0</v>
      </c>
      <c r="F9" s="466">
        <f>C9*E9</f>
        <v>0</v>
      </c>
    </row>
    <row r="10" spans="1:6" ht="12">
      <c r="A10" s="470" t="s">
        <v>2274</v>
      </c>
      <c r="B10" s="469" t="s">
        <v>2269</v>
      </c>
      <c r="C10" s="468">
        <v>3</v>
      </c>
      <c r="D10" s="467" t="s">
        <v>2057</v>
      </c>
      <c r="E10" s="484">
        <v>0</v>
      </c>
      <c r="F10" s="466">
        <f>C10*E10</f>
        <v>0</v>
      </c>
    </row>
    <row r="11" spans="1:6" ht="12">
      <c r="A11" s="462"/>
      <c r="B11" s="461" t="s">
        <v>1946</v>
      </c>
      <c r="C11" s="460"/>
      <c r="D11" s="460"/>
      <c r="E11" s="481"/>
      <c r="F11" s="459">
        <f>SUM(F9:F10)</f>
        <v>0</v>
      </c>
    </row>
    <row r="12" spans="1:6" ht="12">
      <c r="A12" s="458" t="s">
        <v>2164</v>
      </c>
      <c r="B12" s="457" t="s">
        <v>1737</v>
      </c>
      <c r="C12" s="456"/>
      <c r="D12" s="456"/>
      <c r="E12" s="482"/>
      <c r="F12" s="454">
        <f>F11*0.21</f>
        <v>0</v>
      </c>
    </row>
    <row r="13" ht="12">
      <c r="E13" s="483"/>
    </row>
    <row r="14" spans="1:6" ht="15">
      <c r="A14" s="465"/>
      <c r="B14" s="493" t="s">
        <v>2268</v>
      </c>
      <c r="C14" s="463"/>
      <c r="D14" s="463"/>
      <c r="E14" s="480"/>
      <c r="F14" s="463"/>
    </row>
    <row r="15" spans="1:6" ht="12">
      <c r="A15" s="474" t="s">
        <v>2029</v>
      </c>
      <c r="B15" s="473" t="s">
        <v>2220</v>
      </c>
      <c r="C15" s="472" t="s">
        <v>2219</v>
      </c>
      <c r="D15" s="472" t="s">
        <v>183</v>
      </c>
      <c r="E15" s="485" t="s">
        <v>2218</v>
      </c>
      <c r="F15" s="471" t="s">
        <v>1946</v>
      </c>
    </row>
    <row r="16" spans="1:6" ht="12">
      <c r="A16" s="470" t="s">
        <v>2267</v>
      </c>
      <c r="B16" s="469" t="s">
        <v>2266</v>
      </c>
      <c r="C16" s="468">
        <v>6</v>
      </c>
      <c r="D16" s="467" t="s">
        <v>2057</v>
      </c>
      <c r="E16" s="484">
        <v>0</v>
      </c>
      <c r="F16" s="466">
        <f aca="true" t="shared" si="0" ref="F16:F25">C16*E16</f>
        <v>0</v>
      </c>
    </row>
    <row r="17" spans="1:6" ht="12">
      <c r="A17" s="470" t="s">
        <v>2275</v>
      </c>
      <c r="B17" s="469" t="s">
        <v>2265</v>
      </c>
      <c r="C17" s="468">
        <v>0.1</v>
      </c>
      <c r="D17" s="467" t="s">
        <v>2057</v>
      </c>
      <c r="E17" s="484">
        <v>0</v>
      </c>
      <c r="F17" s="466">
        <f t="shared" si="0"/>
        <v>0</v>
      </c>
    </row>
    <row r="18" spans="1:6" ht="12">
      <c r="A18" s="470" t="s">
        <v>2264</v>
      </c>
      <c r="B18" s="469" t="s">
        <v>2263</v>
      </c>
      <c r="C18" s="468">
        <v>146</v>
      </c>
      <c r="D18" s="467" t="s">
        <v>310</v>
      </c>
      <c r="E18" s="484">
        <v>0</v>
      </c>
      <c r="F18" s="466">
        <f t="shared" si="0"/>
        <v>0</v>
      </c>
    </row>
    <row r="19" spans="1:6" ht="12">
      <c r="A19" s="470" t="s">
        <v>2176</v>
      </c>
      <c r="B19" s="469" t="s">
        <v>2175</v>
      </c>
      <c r="C19" s="468">
        <v>30</v>
      </c>
      <c r="D19" s="467" t="s">
        <v>310</v>
      </c>
      <c r="E19" s="484">
        <v>0</v>
      </c>
      <c r="F19" s="466">
        <f t="shared" si="0"/>
        <v>0</v>
      </c>
    </row>
    <row r="20" spans="1:6" ht="12">
      <c r="A20" s="470" t="s">
        <v>2213</v>
      </c>
      <c r="B20" s="469" t="s">
        <v>2212</v>
      </c>
      <c r="C20" s="468">
        <v>150</v>
      </c>
      <c r="D20" s="467" t="s">
        <v>2057</v>
      </c>
      <c r="E20" s="484">
        <v>0</v>
      </c>
      <c r="F20" s="466">
        <f t="shared" si="0"/>
        <v>0</v>
      </c>
    </row>
    <row r="21" spans="1:6" ht="12">
      <c r="A21" s="470" t="s">
        <v>2211</v>
      </c>
      <c r="B21" s="469" t="s">
        <v>2210</v>
      </c>
      <c r="C21" s="468">
        <v>150</v>
      </c>
      <c r="D21" s="467" t="s">
        <v>2057</v>
      </c>
      <c r="E21" s="484">
        <v>0</v>
      </c>
      <c r="F21" s="466">
        <f t="shared" si="0"/>
        <v>0</v>
      </c>
    </row>
    <row r="22" spans="1:6" ht="12">
      <c r="A22" s="470">
        <v>19857</v>
      </c>
      <c r="B22" s="469" t="s">
        <v>2203</v>
      </c>
      <c r="C22" s="468">
        <v>110</v>
      </c>
      <c r="D22" s="467" t="s">
        <v>310</v>
      </c>
      <c r="E22" s="484">
        <v>0</v>
      </c>
      <c r="F22" s="466">
        <f t="shared" si="0"/>
        <v>0</v>
      </c>
    </row>
    <row r="23" spans="1:6" ht="12">
      <c r="A23" s="470" t="s">
        <v>2200</v>
      </c>
      <c r="B23" s="469" t="s">
        <v>2199</v>
      </c>
      <c r="C23" s="468">
        <v>2</v>
      </c>
      <c r="D23" s="467" t="s">
        <v>2057</v>
      </c>
      <c r="E23" s="484">
        <v>0</v>
      </c>
      <c r="F23" s="466">
        <f t="shared" si="0"/>
        <v>0</v>
      </c>
    </row>
    <row r="24" spans="1:6" ht="12">
      <c r="A24" s="470" t="s">
        <v>2198</v>
      </c>
      <c r="B24" s="469" t="s">
        <v>2197</v>
      </c>
      <c r="C24" s="468">
        <v>0.02</v>
      </c>
      <c r="D24" s="467" t="s">
        <v>2196</v>
      </c>
      <c r="E24" s="484">
        <v>0</v>
      </c>
      <c r="F24" s="466">
        <f t="shared" si="0"/>
        <v>0</v>
      </c>
    </row>
    <row r="25" spans="1:6" ht="12">
      <c r="A25" s="470">
        <v>3488604</v>
      </c>
      <c r="B25" s="469" t="s">
        <v>2195</v>
      </c>
      <c r="C25" s="468">
        <v>4</v>
      </c>
      <c r="D25" s="467" t="s">
        <v>2057</v>
      </c>
      <c r="E25" s="484">
        <v>0</v>
      </c>
      <c r="F25" s="466">
        <f t="shared" si="0"/>
        <v>0</v>
      </c>
    </row>
    <row r="26" spans="1:6" ht="12">
      <c r="A26" s="462"/>
      <c r="B26" s="461" t="s">
        <v>1946</v>
      </c>
      <c r="C26" s="460"/>
      <c r="D26" s="460"/>
      <c r="E26" s="460"/>
      <c r="F26" s="459">
        <f>SUM(F16:F25)</f>
        <v>0</v>
      </c>
    </row>
    <row r="27" spans="1:6" ht="12">
      <c r="A27" s="458" t="s">
        <v>2164</v>
      </c>
      <c r="B27" s="457" t="s">
        <v>1737</v>
      </c>
      <c r="C27" s="456"/>
      <c r="D27" s="456"/>
      <c r="E27" s="455"/>
      <c r="F27" s="454">
        <f>F26*0.21</f>
        <v>0</v>
      </c>
    </row>
    <row r="29" spans="1:6" ht="15">
      <c r="A29" s="465"/>
      <c r="B29" s="493" t="s">
        <v>2171</v>
      </c>
      <c r="C29" s="463"/>
      <c r="D29" s="463"/>
      <c r="E29" s="463"/>
      <c r="F29" s="463"/>
    </row>
    <row r="30" spans="1:6" ht="12">
      <c r="A30" s="474" t="s">
        <v>2029</v>
      </c>
      <c r="B30" s="473" t="s">
        <v>2220</v>
      </c>
      <c r="C30" s="472" t="s">
        <v>2219</v>
      </c>
      <c r="D30" s="472" t="s">
        <v>183</v>
      </c>
      <c r="E30" s="471" t="s">
        <v>2218</v>
      </c>
      <c r="F30" s="471" t="s">
        <v>1946</v>
      </c>
    </row>
    <row r="31" spans="1:6" ht="12">
      <c r="A31" s="462"/>
      <c r="B31" s="461" t="s">
        <v>1946</v>
      </c>
      <c r="C31" s="460"/>
      <c r="D31" s="460"/>
      <c r="E31" s="460"/>
      <c r="F31" s="795">
        <v>0</v>
      </c>
    </row>
    <row r="32" spans="1:6" ht="12">
      <c r="A32" s="458" t="s">
        <v>2164</v>
      </c>
      <c r="B32" s="457" t="s">
        <v>1737</v>
      </c>
      <c r="C32" s="456"/>
      <c r="D32" s="456"/>
      <c r="E32" s="455"/>
      <c r="F32" s="454">
        <f>F31*0.21</f>
        <v>0</v>
      </c>
    </row>
    <row r="34" spans="1:6" ht="15">
      <c r="A34" s="465"/>
      <c r="B34" s="493" t="s">
        <v>2262</v>
      </c>
      <c r="C34" s="463"/>
      <c r="D34" s="463"/>
      <c r="E34" s="463"/>
      <c r="F34" s="463"/>
    </row>
    <row r="35" spans="1:6" ht="12">
      <c r="A35" s="474" t="s">
        <v>2029</v>
      </c>
      <c r="B35" s="473" t="s">
        <v>2220</v>
      </c>
      <c r="C35" s="472" t="s">
        <v>2219</v>
      </c>
      <c r="D35" s="472" t="s">
        <v>183</v>
      </c>
      <c r="E35" s="471" t="s">
        <v>2218</v>
      </c>
      <c r="F35" s="471" t="s">
        <v>1946</v>
      </c>
    </row>
    <row r="36" spans="1:6" ht="12">
      <c r="A36" s="462"/>
      <c r="B36" s="461" t="s">
        <v>1946</v>
      </c>
      <c r="C36" s="460"/>
      <c r="D36" s="460"/>
      <c r="E36" s="460"/>
      <c r="F36" s="795">
        <v>0</v>
      </c>
    </row>
    <row r="37" spans="1:6" ht="12">
      <c r="A37" s="458" t="s">
        <v>2164</v>
      </c>
      <c r="B37" s="457" t="s">
        <v>1737</v>
      </c>
      <c r="C37" s="456"/>
      <c r="D37" s="456"/>
      <c r="E37" s="455"/>
      <c r="F37" s="454">
        <f>F36*0.21</f>
        <v>0</v>
      </c>
    </row>
    <row r="39" spans="1:6" ht="15">
      <c r="A39" s="465"/>
      <c r="B39" s="493" t="s">
        <v>2168</v>
      </c>
      <c r="C39" s="463"/>
      <c r="D39" s="463"/>
      <c r="E39" s="463"/>
      <c r="F39" s="463"/>
    </row>
    <row r="40" spans="1:6" ht="12">
      <c r="A40" s="474" t="s">
        <v>2029</v>
      </c>
      <c r="B40" s="473" t="s">
        <v>2220</v>
      </c>
      <c r="C40" s="472" t="s">
        <v>2219</v>
      </c>
      <c r="D40" s="472" t="s">
        <v>183</v>
      </c>
      <c r="E40" s="471" t="s">
        <v>2218</v>
      </c>
      <c r="F40" s="471" t="s">
        <v>1946</v>
      </c>
    </row>
    <row r="41" spans="1:6" ht="12">
      <c r="A41" s="462"/>
      <c r="B41" s="461" t="s">
        <v>1946</v>
      </c>
      <c r="C41" s="460"/>
      <c r="D41" s="460"/>
      <c r="E41" s="460"/>
      <c r="F41" s="795">
        <v>0</v>
      </c>
    </row>
    <row r="42" spans="1:6" ht="12">
      <c r="A42" s="458" t="s">
        <v>2164</v>
      </c>
      <c r="B42" s="457" t="s">
        <v>1737</v>
      </c>
      <c r="C42" s="456"/>
      <c r="D42" s="456"/>
      <c r="E42" s="455"/>
      <c r="F42" s="454">
        <f>F41*0.21</f>
        <v>0</v>
      </c>
    </row>
    <row r="44" spans="1:6" ht="15">
      <c r="A44" s="465"/>
      <c r="B44" s="493" t="s">
        <v>2261</v>
      </c>
      <c r="C44" s="463"/>
      <c r="D44" s="463"/>
      <c r="E44" s="463"/>
      <c r="F44" s="463"/>
    </row>
    <row r="45" spans="1:6" ht="12">
      <c r="A45" s="474" t="s">
        <v>2029</v>
      </c>
      <c r="B45" s="473" t="s">
        <v>2220</v>
      </c>
      <c r="C45" s="472" t="s">
        <v>2219</v>
      </c>
      <c r="D45" s="472" t="s">
        <v>183</v>
      </c>
      <c r="E45" s="471" t="s">
        <v>2218</v>
      </c>
      <c r="F45" s="471" t="s">
        <v>1946</v>
      </c>
    </row>
    <row r="46" spans="1:6" ht="12">
      <c r="A46" s="462"/>
      <c r="B46" s="461" t="s">
        <v>1946</v>
      </c>
      <c r="C46" s="460"/>
      <c r="D46" s="460"/>
      <c r="E46" s="460"/>
      <c r="F46" s="795">
        <v>0</v>
      </c>
    </row>
    <row r="47" spans="1:6" ht="12">
      <c r="A47" s="458" t="s">
        <v>2164</v>
      </c>
      <c r="B47" s="457" t="s">
        <v>1737</v>
      </c>
      <c r="C47" s="456"/>
      <c r="D47" s="456"/>
      <c r="E47" s="455"/>
      <c r="F47" s="454">
        <f>F46*0.21</f>
        <v>0</v>
      </c>
    </row>
    <row r="49" spans="1:6" ht="15">
      <c r="A49" s="465"/>
      <c r="B49" s="493" t="s">
        <v>1538</v>
      </c>
      <c r="C49" s="463"/>
      <c r="D49" s="463"/>
      <c r="E49" s="463"/>
      <c r="F49" s="463"/>
    </row>
    <row r="50" spans="1:6" ht="12">
      <c r="A50" s="474" t="s">
        <v>2029</v>
      </c>
      <c r="B50" s="473" t="s">
        <v>2220</v>
      </c>
      <c r="C50" s="472" t="s">
        <v>2219</v>
      </c>
      <c r="D50" s="472" t="s">
        <v>183</v>
      </c>
      <c r="E50" s="471" t="s">
        <v>2218</v>
      </c>
      <c r="F50" s="471" t="s">
        <v>1946</v>
      </c>
    </row>
    <row r="51" spans="1:6" ht="12">
      <c r="A51" s="462"/>
      <c r="B51" s="461" t="s">
        <v>1946</v>
      </c>
      <c r="C51" s="460"/>
      <c r="D51" s="460"/>
      <c r="E51" s="460"/>
      <c r="F51" s="795">
        <v>0</v>
      </c>
    </row>
    <row r="52" spans="1:6" ht="12">
      <c r="A52" s="458" t="s">
        <v>2164</v>
      </c>
      <c r="B52" s="457" t="s">
        <v>1737</v>
      </c>
      <c r="C52" s="456"/>
      <c r="D52" s="456"/>
      <c r="E52" s="455"/>
      <c r="F52" s="454">
        <f>F51*0.21</f>
        <v>0</v>
      </c>
    </row>
    <row r="54" spans="1:6" ht="15">
      <c r="A54" s="465"/>
      <c r="B54" s="493" t="s">
        <v>2165</v>
      </c>
      <c r="C54" s="463"/>
      <c r="D54" s="463"/>
      <c r="E54" s="463"/>
      <c r="F54" s="463"/>
    </row>
    <row r="55" spans="1:6" ht="12">
      <c r="A55" s="474" t="s">
        <v>2029</v>
      </c>
      <c r="B55" s="473" t="s">
        <v>2220</v>
      </c>
      <c r="C55" s="472" t="s">
        <v>2219</v>
      </c>
      <c r="D55" s="472" t="s">
        <v>183</v>
      </c>
      <c r="E55" s="471" t="s">
        <v>2218</v>
      </c>
      <c r="F55" s="471" t="s">
        <v>1946</v>
      </c>
    </row>
    <row r="56" spans="1:6" ht="12">
      <c r="A56" s="462"/>
      <c r="B56" s="461" t="s">
        <v>1946</v>
      </c>
      <c r="C56" s="460"/>
      <c r="D56" s="460"/>
      <c r="E56" s="460"/>
      <c r="F56" s="795">
        <v>0</v>
      </c>
    </row>
    <row r="57" spans="1:6" ht="12">
      <c r="A57" s="458" t="s">
        <v>2164</v>
      </c>
      <c r="B57" s="457" t="s">
        <v>1737</v>
      </c>
      <c r="C57" s="456"/>
      <c r="D57" s="456"/>
      <c r="E57" s="455"/>
      <c r="F57" s="454">
        <f>F56*0.21</f>
        <v>0</v>
      </c>
    </row>
    <row r="60" spans="1:6" ht="20.25">
      <c r="A60" s="492" t="s">
        <v>2163</v>
      </c>
      <c r="B60" s="492"/>
      <c r="C60" s="491"/>
      <c r="D60" s="491"/>
      <c r="E60" s="491"/>
      <c r="F60" s="491"/>
    </row>
    <row r="61" spans="1:6" ht="14.25">
      <c r="A61" s="448" t="s">
        <v>2162</v>
      </c>
      <c r="B61" s="448" t="s">
        <v>2161</v>
      </c>
      <c r="C61" s="447"/>
      <c r="D61" s="447"/>
      <c r="E61" s="447"/>
      <c r="F61" s="447"/>
    </row>
    <row r="62" spans="1:6" ht="12">
      <c r="A62" s="422"/>
      <c r="B62" s="442" t="s">
        <v>2160</v>
      </c>
      <c r="C62" s="442"/>
      <c r="D62" s="442"/>
      <c r="E62" s="442"/>
      <c r="F62" s="797">
        <f>F11+F26</f>
        <v>0</v>
      </c>
    </row>
    <row r="63" spans="1:6" ht="12">
      <c r="A63" s="422"/>
      <c r="B63" s="442" t="s">
        <v>2159</v>
      </c>
      <c r="C63" s="442"/>
      <c r="D63" s="442"/>
      <c r="E63" s="442"/>
      <c r="F63" s="797">
        <f>F4+F31+F36+F41+F46+F51+F56</f>
        <v>0</v>
      </c>
    </row>
    <row r="64" spans="1:6" ht="12">
      <c r="A64" s="422"/>
      <c r="B64" s="442" t="s">
        <v>2158</v>
      </c>
      <c r="C64" s="442"/>
      <c r="D64" s="442"/>
      <c r="E64" s="442"/>
      <c r="F64" s="796">
        <v>0</v>
      </c>
    </row>
    <row r="65" spans="1:6" ht="12">
      <c r="A65" s="422"/>
      <c r="B65" s="442" t="s">
        <v>2157</v>
      </c>
      <c r="C65" s="442"/>
      <c r="D65" s="442"/>
      <c r="E65" s="442"/>
      <c r="F65" s="796">
        <v>0</v>
      </c>
    </row>
    <row r="66" spans="1:6" ht="12">
      <c r="A66" s="422"/>
      <c r="B66" s="442" t="s">
        <v>2156</v>
      </c>
      <c r="C66" s="442"/>
      <c r="D66" s="442"/>
      <c r="E66" s="442"/>
      <c r="F66" s="796">
        <v>0</v>
      </c>
    </row>
    <row r="67" spans="1:6" ht="12">
      <c r="A67" s="422"/>
      <c r="B67" s="442" t="s">
        <v>2155</v>
      </c>
      <c r="C67" s="442"/>
      <c r="D67" s="442"/>
      <c r="E67" s="442"/>
      <c r="F67" s="796">
        <v>0</v>
      </c>
    </row>
    <row r="68" spans="1:6" ht="15.75" thickBot="1">
      <c r="A68" s="433"/>
      <c r="B68" s="434" t="s">
        <v>2034</v>
      </c>
      <c r="C68" s="433"/>
      <c r="D68" s="433"/>
      <c r="E68" s="433"/>
      <c r="F68" s="487">
        <f>SUM(F62:F67)</f>
        <v>0</v>
      </c>
    </row>
    <row r="69" spans="1:2" ht="12">
      <c r="A69" s="422"/>
      <c r="B69" s="422"/>
    </row>
    <row r="70" spans="1:6" ht="15">
      <c r="A70" s="422"/>
      <c r="B70" s="443" t="s">
        <v>2154</v>
      </c>
      <c r="C70" s="442"/>
      <c r="D70" s="442"/>
      <c r="E70" s="442"/>
      <c r="F70" s="442"/>
    </row>
    <row r="71" spans="1:6" ht="12">
      <c r="A71" s="422"/>
      <c r="B71" s="439" t="s">
        <v>1737</v>
      </c>
      <c r="C71" s="437"/>
      <c r="D71" s="489">
        <v>0.21</v>
      </c>
      <c r="E71" s="437"/>
      <c r="F71" s="488">
        <f>F68*0.21</f>
        <v>0</v>
      </c>
    </row>
    <row r="72" spans="1:6" ht="15.75" thickBot="1">
      <c r="A72" s="433"/>
      <c r="B72" s="434" t="s">
        <v>2153</v>
      </c>
      <c r="C72" s="433"/>
      <c r="D72" s="433"/>
      <c r="E72" s="433"/>
      <c r="F72" s="487">
        <f>SUM(F68:F71)</f>
        <v>0</v>
      </c>
    </row>
    <row r="75" ht="153">
      <c r="B75" s="486" t="s">
        <v>1987</v>
      </c>
    </row>
  </sheetData>
  <sheetProtection algorithmName="SHA-512" hashValue="qO28y2VJ3LuZa4qalbiMe//6fnb9I64SmpVLJ1cPnGnBytCsOIhjRbRvsE9fTvH79pAj5V6/Gb/8leg+OqP80A==" saltValue="gAOtIrz5/Iv56XB+wUyjGg==" spinCount="100000" sheet="1" objects="1" scenarios="1"/>
  <printOptions horizontalCentered="1"/>
  <pageMargins left="0.3937007874015748" right="0.2362204724409449" top="0.3937007874015748" bottom="0.3937007874015748" header="0" footer="0"/>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pageSetUpPr fitToPage="1"/>
  </sheetPr>
  <dimension ref="A2:BM97"/>
  <sheetViews>
    <sheetView showGridLines="0" workbookViewId="0" topLeftCell="A72">
      <selection activeCell="I85" sqref="I85"/>
    </sheetView>
  </sheetViews>
  <sheetFormatPr defaultColWidth="9.140625" defaultRowHeight="12"/>
  <cols>
    <col min="1" max="1" width="8.8515625" style="1" customWidth="1"/>
    <col min="2" max="2" width="1.1484375" style="1" customWidth="1"/>
    <col min="3" max="4" width="4.421875" style="1" customWidth="1"/>
    <col min="5" max="5" width="18.28125" style="1" customWidth="1"/>
    <col min="6" max="6" width="108.00390625" style="1" customWidth="1"/>
    <col min="7" max="7" width="8.00390625" style="1" customWidth="1"/>
    <col min="8" max="8" width="12.28125" style="1" customWidth="1"/>
    <col min="9" max="11" width="21.421875" style="1" customWidth="1"/>
    <col min="12" max="12" width="10.00390625" style="1" customWidth="1"/>
    <col min="13" max="13" width="11.421875" style="1" hidden="1" customWidth="1"/>
    <col min="14" max="14" width="9.140625" style="1" hidden="1" customWidth="1"/>
    <col min="15" max="20" width="15.140625" style="1" hidden="1" customWidth="1"/>
    <col min="21" max="21" width="17.421875" style="1" hidden="1" customWidth="1"/>
    <col min="22" max="22" width="13.140625" style="1" customWidth="1"/>
    <col min="23" max="23" width="17.421875" style="1" customWidth="1"/>
    <col min="24" max="24" width="13.140625" style="1" customWidth="1"/>
    <col min="25" max="25" width="16.00390625" style="1" customWidth="1"/>
    <col min="26" max="26" width="11.7109375" style="1" customWidth="1"/>
    <col min="27" max="27" width="16.00390625" style="1" customWidth="1"/>
    <col min="28" max="28" width="17.421875" style="1" customWidth="1"/>
    <col min="29" max="29" width="11.7109375" style="1" customWidth="1"/>
    <col min="30" max="30" width="16.00390625" style="1" customWidth="1"/>
    <col min="31" max="31" width="17.421875" style="1" customWidth="1"/>
    <col min="44" max="65" width="9.140625" style="1" hidden="1" customWidth="1"/>
  </cols>
  <sheetData>
    <row r="1" ht="12"/>
    <row r="2" spans="12:46" s="1" customFormat="1" ht="36.95" customHeight="1">
      <c r="L2" s="682"/>
      <c r="M2" s="682"/>
      <c r="N2" s="682"/>
      <c r="O2" s="682"/>
      <c r="P2" s="682"/>
      <c r="Q2" s="682"/>
      <c r="R2" s="682"/>
      <c r="S2" s="682"/>
      <c r="T2" s="682"/>
      <c r="U2" s="682"/>
      <c r="V2" s="682"/>
      <c r="AT2" s="15" t="s">
        <v>109</v>
      </c>
    </row>
    <row r="3" spans="2:46" s="1" customFormat="1" ht="6.95" customHeight="1">
      <c r="B3" s="106"/>
      <c r="C3" s="107"/>
      <c r="D3" s="107"/>
      <c r="E3" s="107"/>
      <c r="F3" s="107"/>
      <c r="G3" s="107"/>
      <c r="H3" s="107"/>
      <c r="I3" s="107"/>
      <c r="J3" s="107"/>
      <c r="K3" s="107"/>
      <c r="L3" s="18"/>
      <c r="AT3" s="15" t="s">
        <v>79</v>
      </c>
    </row>
    <row r="4" spans="2:46" s="1" customFormat="1" ht="24.95" customHeight="1">
      <c r="B4" s="18"/>
      <c r="D4" s="108" t="s">
        <v>141</v>
      </c>
      <c r="L4" s="18"/>
      <c r="M4" s="109" t="s">
        <v>10</v>
      </c>
      <c r="AT4" s="15" t="s">
        <v>4</v>
      </c>
    </row>
    <row r="5" spans="2:12" s="1" customFormat="1" ht="6.95" customHeight="1">
      <c r="B5" s="18"/>
      <c r="L5" s="18"/>
    </row>
    <row r="6" spans="2:12" s="1" customFormat="1" ht="12" customHeight="1">
      <c r="B6" s="18"/>
      <c r="D6" s="110" t="s">
        <v>16</v>
      </c>
      <c r="L6" s="18"/>
    </row>
    <row r="7" spans="2:12" s="1" customFormat="1" ht="14.45" customHeight="1">
      <c r="B7" s="18"/>
      <c r="E7" s="702" t="str">
        <f>'Rekapitulace stavby'!K6</f>
        <v>Úpravy gastroprovozu Úřadu vlády ČR v 1.pp Strakovy akademie</v>
      </c>
      <c r="F7" s="703"/>
      <c r="G7" s="703"/>
      <c r="H7" s="703"/>
      <c r="L7" s="18"/>
    </row>
    <row r="8" spans="2:12" ht="12.75">
      <c r="B8" s="18"/>
      <c r="D8" s="110" t="s">
        <v>142</v>
      </c>
      <c r="L8" s="18"/>
    </row>
    <row r="9" spans="2:12" s="1" customFormat="1" ht="14.45" customHeight="1">
      <c r="B9" s="18"/>
      <c r="E9" s="702" t="s">
        <v>1429</v>
      </c>
      <c r="F9" s="682"/>
      <c r="G9" s="682"/>
      <c r="H9" s="682"/>
      <c r="L9" s="18"/>
    </row>
    <row r="10" spans="2:12" s="1" customFormat="1" ht="12" customHeight="1">
      <c r="B10" s="18"/>
      <c r="D10" s="110" t="s">
        <v>144</v>
      </c>
      <c r="L10" s="18"/>
    </row>
    <row r="11" spans="1:31" s="2" customFormat="1" ht="14.45" customHeight="1">
      <c r="A11" s="32"/>
      <c r="B11" s="37"/>
      <c r="C11" s="32"/>
      <c r="D11" s="32"/>
      <c r="E11" s="747" t="s">
        <v>1449</v>
      </c>
      <c r="F11" s="704"/>
      <c r="G11" s="704"/>
      <c r="H11" s="704"/>
      <c r="I11" s="32"/>
      <c r="J11" s="32"/>
      <c r="K11" s="32"/>
      <c r="L11" s="111"/>
      <c r="S11" s="32"/>
      <c r="T11" s="32"/>
      <c r="U11" s="32"/>
      <c r="V11" s="32"/>
      <c r="W11" s="32"/>
      <c r="X11" s="32"/>
      <c r="Y11" s="32"/>
      <c r="Z11" s="32"/>
      <c r="AA11" s="32"/>
      <c r="AB11" s="32"/>
      <c r="AC11" s="32"/>
      <c r="AD11" s="32"/>
      <c r="AE11" s="32"/>
    </row>
    <row r="12" spans="1:31" s="2" customFormat="1" ht="12" customHeight="1">
      <c r="A12" s="32"/>
      <c r="B12" s="37"/>
      <c r="C12" s="32"/>
      <c r="D12" s="110" t="s">
        <v>1450</v>
      </c>
      <c r="E12" s="32"/>
      <c r="F12" s="32"/>
      <c r="G12" s="32"/>
      <c r="H12" s="32"/>
      <c r="I12" s="32"/>
      <c r="J12" s="32"/>
      <c r="K12" s="32"/>
      <c r="L12" s="111"/>
      <c r="S12" s="32"/>
      <c r="T12" s="32"/>
      <c r="U12" s="32"/>
      <c r="V12" s="32"/>
      <c r="W12" s="32"/>
      <c r="X12" s="32"/>
      <c r="Y12" s="32"/>
      <c r="Z12" s="32"/>
      <c r="AA12" s="32"/>
      <c r="AB12" s="32"/>
      <c r="AC12" s="32"/>
      <c r="AD12" s="32"/>
      <c r="AE12" s="32"/>
    </row>
    <row r="13" spans="1:31" s="2" customFormat="1" ht="14.45" customHeight="1">
      <c r="A13" s="32"/>
      <c r="B13" s="37"/>
      <c r="C13" s="32"/>
      <c r="D13" s="32"/>
      <c r="E13" s="705" t="s">
        <v>1459</v>
      </c>
      <c r="F13" s="704"/>
      <c r="G13" s="704"/>
      <c r="H13" s="704"/>
      <c r="I13" s="32"/>
      <c r="J13" s="32"/>
      <c r="K13" s="32"/>
      <c r="L13" s="111"/>
      <c r="S13" s="32"/>
      <c r="T13" s="32"/>
      <c r="U13" s="32"/>
      <c r="V13" s="32"/>
      <c r="W13" s="32"/>
      <c r="X13" s="32"/>
      <c r="Y13" s="32"/>
      <c r="Z13" s="32"/>
      <c r="AA13" s="32"/>
      <c r="AB13" s="32"/>
      <c r="AC13" s="32"/>
      <c r="AD13" s="32"/>
      <c r="AE13" s="32"/>
    </row>
    <row r="14" spans="1:31" s="2" customFormat="1" ht="12">
      <c r="A14" s="32"/>
      <c r="B14" s="37"/>
      <c r="C14" s="32"/>
      <c r="D14" s="32"/>
      <c r="E14" s="32"/>
      <c r="F14" s="32"/>
      <c r="G14" s="32"/>
      <c r="H14" s="32"/>
      <c r="I14" s="32"/>
      <c r="J14" s="32"/>
      <c r="K14" s="32"/>
      <c r="L14" s="111"/>
      <c r="S14" s="32"/>
      <c r="T14" s="32"/>
      <c r="U14" s="32"/>
      <c r="V14" s="32"/>
      <c r="W14" s="32"/>
      <c r="X14" s="32"/>
      <c r="Y14" s="32"/>
      <c r="Z14" s="32"/>
      <c r="AA14" s="32"/>
      <c r="AB14" s="32"/>
      <c r="AC14" s="32"/>
      <c r="AD14" s="32"/>
      <c r="AE14" s="32"/>
    </row>
    <row r="15" spans="1:31" s="2" customFormat="1" ht="12" customHeight="1">
      <c r="A15" s="32"/>
      <c r="B15" s="37"/>
      <c r="C15" s="32"/>
      <c r="D15" s="110" t="s">
        <v>18</v>
      </c>
      <c r="E15" s="32"/>
      <c r="F15" s="101" t="s">
        <v>19</v>
      </c>
      <c r="G15" s="32"/>
      <c r="H15" s="32"/>
      <c r="I15" s="110" t="s">
        <v>20</v>
      </c>
      <c r="J15" s="101" t="s">
        <v>19</v>
      </c>
      <c r="K15" s="32"/>
      <c r="L15" s="111"/>
      <c r="S15" s="32"/>
      <c r="T15" s="32"/>
      <c r="U15" s="32"/>
      <c r="V15" s="32"/>
      <c r="W15" s="32"/>
      <c r="X15" s="32"/>
      <c r="Y15" s="32"/>
      <c r="Z15" s="32"/>
      <c r="AA15" s="32"/>
      <c r="AB15" s="32"/>
      <c r="AC15" s="32"/>
      <c r="AD15" s="32"/>
      <c r="AE15" s="32"/>
    </row>
    <row r="16" spans="1:31" s="2" customFormat="1" ht="12" customHeight="1">
      <c r="A16" s="32"/>
      <c r="B16" s="37"/>
      <c r="C16" s="32"/>
      <c r="D16" s="110" t="s">
        <v>21</v>
      </c>
      <c r="E16" s="32"/>
      <c r="F16" s="101" t="s">
        <v>146</v>
      </c>
      <c r="G16" s="32"/>
      <c r="H16" s="32"/>
      <c r="I16" s="110" t="s">
        <v>23</v>
      </c>
      <c r="J16" s="112" t="str">
        <f>'Rekapitulace stavby'!AN8</f>
        <v>Vyplň údaj</v>
      </c>
      <c r="K16" s="32"/>
      <c r="L16" s="111"/>
      <c r="S16" s="32"/>
      <c r="T16" s="32"/>
      <c r="U16" s="32"/>
      <c r="V16" s="32"/>
      <c r="W16" s="32"/>
      <c r="X16" s="32"/>
      <c r="Y16" s="32"/>
      <c r="Z16" s="32"/>
      <c r="AA16" s="32"/>
      <c r="AB16" s="32"/>
      <c r="AC16" s="32"/>
      <c r="AD16" s="32"/>
      <c r="AE16" s="32"/>
    </row>
    <row r="17" spans="1:31" s="2" customFormat="1" ht="10.9" customHeight="1">
      <c r="A17" s="32"/>
      <c r="B17" s="37"/>
      <c r="C17" s="32"/>
      <c r="D17" s="32"/>
      <c r="E17" s="32"/>
      <c r="F17" s="32"/>
      <c r="G17" s="32"/>
      <c r="H17" s="32"/>
      <c r="I17" s="32"/>
      <c r="J17" s="32"/>
      <c r="K17" s="32"/>
      <c r="L17" s="111"/>
      <c r="S17" s="32"/>
      <c r="T17" s="32"/>
      <c r="U17" s="32"/>
      <c r="V17" s="32"/>
      <c r="W17" s="32"/>
      <c r="X17" s="32"/>
      <c r="Y17" s="32"/>
      <c r="Z17" s="32"/>
      <c r="AA17" s="32"/>
      <c r="AB17" s="32"/>
      <c r="AC17" s="32"/>
      <c r="AD17" s="32"/>
      <c r="AE17" s="32"/>
    </row>
    <row r="18" spans="1:31" s="2" customFormat="1" ht="12" customHeight="1">
      <c r="A18" s="32"/>
      <c r="B18" s="37"/>
      <c r="C18" s="32"/>
      <c r="D18" s="110" t="s">
        <v>24</v>
      </c>
      <c r="E18" s="32"/>
      <c r="F18" s="32"/>
      <c r="G18" s="32"/>
      <c r="H18" s="32"/>
      <c r="I18" s="110" t="s">
        <v>25</v>
      </c>
      <c r="J18" s="101" t="s">
        <v>19</v>
      </c>
      <c r="K18" s="32"/>
      <c r="L18" s="111"/>
      <c r="S18" s="32"/>
      <c r="T18" s="32"/>
      <c r="U18" s="32"/>
      <c r="V18" s="32"/>
      <c r="W18" s="32"/>
      <c r="X18" s="32"/>
      <c r="Y18" s="32"/>
      <c r="Z18" s="32"/>
      <c r="AA18" s="32"/>
      <c r="AB18" s="32"/>
      <c r="AC18" s="32"/>
      <c r="AD18" s="32"/>
      <c r="AE18" s="32"/>
    </row>
    <row r="19" spans="1:31" s="2" customFormat="1" ht="18" customHeight="1">
      <c r="A19" s="32"/>
      <c r="B19" s="37"/>
      <c r="C19" s="32"/>
      <c r="D19" s="32"/>
      <c r="E19" s="101" t="s">
        <v>26</v>
      </c>
      <c r="F19" s="32"/>
      <c r="G19" s="32"/>
      <c r="H19" s="32"/>
      <c r="I19" s="110" t="s">
        <v>27</v>
      </c>
      <c r="J19" s="101" t="s">
        <v>19</v>
      </c>
      <c r="K19" s="32"/>
      <c r="L19" s="111"/>
      <c r="S19" s="32"/>
      <c r="T19" s="32"/>
      <c r="U19" s="32"/>
      <c r="V19" s="32"/>
      <c r="W19" s="32"/>
      <c r="X19" s="32"/>
      <c r="Y19" s="32"/>
      <c r="Z19" s="32"/>
      <c r="AA19" s="32"/>
      <c r="AB19" s="32"/>
      <c r="AC19" s="32"/>
      <c r="AD19" s="32"/>
      <c r="AE19" s="32"/>
    </row>
    <row r="20" spans="1:31" s="2" customFormat="1" ht="6.95" customHeight="1">
      <c r="A20" s="32"/>
      <c r="B20" s="37"/>
      <c r="C20" s="32"/>
      <c r="D20" s="32"/>
      <c r="E20" s="32"/>
      <c r="F20" s="32"/>
      <c r="G20" s="32"/>
      <c r="H20" s="32"/>
      <c r="I20" s="32"/>
      <c r="J20" s="32"/>
      <c r="K20" s="32"/>
      <c r="L20" s="111"/>
      <c r="S20" s="32"/>
      <c r="T20" s="32"/>
      <c r="U20" s="32"/>
      <c r="V20" s="32"/>
      <c r="W20" s="32"/>
      <c r="X20" s="32"/>
      <c r="Y20" s="32"/>
      <c r="Z20" s="32"/>
      <c r="AA20" s="32"/>
      <c r="AB20" s="32"/>
      <c r="AC20" s="32"/>
      <c r="AD20" s="32"/>
      <c r="AE20" s="32"/>
    </row>
    <row r="21" spans="1:31" s="2" customFormat="1" ht="12" customHeight="1">
      <c r="A21" s="32"/>
      <c r="B21" s="37"/>
      <c r="C21" s="32"/>
      <c r="D21" s="110" t="s">
        <v>28</v>
      </c>
      <c r="E21" s="32"/>
      <c r="F21" s="32"/>
      <c r="G21" s="32"/>
      <c r="H21" s="32"/>
      <c r="I21" s="110" t="s">
        <v>25</v>
      </c>
      <c r="J21" s="28" t="str">
        <f>'Rekapitulace stavby'!AN13</f>
        <v>Vyplň údaj</v>
      </c>
      <c r="K21" s="32"/>
      <c r="L21" s="111"/>
      <c r="S21" s="32"/>
      <c r="T21" s="32"/>
      <c r="U21" s="32"/>
      <c r="V21" s="32"/>
      <c r="W21" s="32"/>
      <c r="X21" s="32"/>
      <c r="Y21" s="32"/>
      <c r="Z21" s="32"/>
      <c r="AA21" s="32"/>
      <c r="AB21" s="32"/>
      <c r="AC21" s="32"/>
      <c r="AD21" s="32"/>
      <c r="AE21" s="32"/>
    </row>
    <row r="22" spans="1:31" s="2" customFormat="1" ht="18" customHeight="1">
      <c r="A22" s="32"/>
      <c r="B22" s="37"/>
      <c r="C22" s="32"/>
      <c r="D22" s="32"/>
      <c r="E22" s="706" t="str">
        <f>'Rekapitulace stavby'!E14</f>
        <v>Vyplň údaj</v>
      </c>
      <c r="F22" s="707"/>
      <c r="G22" s="707"/>
      <c r="H22" s="707"/>
      <c r="I22" s="110" t="s">
        <v>27</v>
      </c>
      <c r="J22" s="28" t="str">
        <f>'Rekapitulace stavby'!AN14</f>
        <v>Vyplň údaj</v>
      </c>
      <c r="K22" s="32"/>
      <c r="L22" s="111"/>
      <c r="S22" s="32"/>
      <c r="T22" s="32"/>
      <c r="U22" s="32"/>
      <c r="V22" s="32"/>
      <c r="W22" s="32"/>
      <c r="X22" s="32"/>
      <c r="Y22" s="32"/>
      <c r="Z22" s="32"/>
      <c r="AA22" s="32"/>
      <c r="AB22" s="32"/>
      <c r="AC22" s="32"/>
      <c r="AD22" s="32"/>
      <c r="AE22" s="32"/>
    </row>
    <row r="23" spans="1:31" s="2" customFormat="1" ht="6.95" customHeight="1">
      <c r="A23" s="32"/>
      <c r="B23" s="37"/>
      <c r="C23" s="32"/>
      <c r="D23" s="32"/>
      <c r="E23" s="32"/>
      <c r="F23" s="32"/>
      <c r="G23" s="32"/>
      <c r="H23" s="32"/>
      <c r="I23" s="32"/>
      <c r="J23" s="32"/>
      <c r="K23" s="32"/>
      <c r="L23" s="111"/>
      <c r="S23" s="32"/>
      <c r="T23" s="32"/>
      <c r="U23" s="32"/>
      <c r="V23" s="32"/>
      <c r="W23" s="32"/>
      <c r="X23" s="32"/>
      <c r="Y23" s="32"/>
      <c r="Z23" s="32"/>
      <c r="AA23" s="32"/>
      <c r="AB23" s="32"/>
      <c r="AC23" s="32"/>
      <c r="AD23" s="32"/>
      <c r="AE23" s="32"/>
    </row>
    <row r="24" spans="1:31" s="2" customFormat="1" ht="12" customHeight="1">
      <c r="A24" s="32"/>
      <c r="B24" s="37"/>
      <c r="C24" s="32"/>
      <c r="D24" s="110" t="s">
        <v>30</v>
      </c>
      <c r="E24" s="32"/>
      <c r="F24" s="32"/>
      <c r="G24" s="32"/>
      <c r="H24" s="32"/>
      <c r="I24" s="110" t="s">
        <v>25</v>
      </c>
      <c r="J24" s="101" t="s">
        <v>19</v>
      </c>
      <c r="K24" s="32"/>
      <c r="L24" s="111"/>
      <c r="S24" s="32"/>
      <c r="T24" s="32"/>
      <c r="U24" s="32"/>
      <c r="V24" s="32"/>
      <c r="W24" s="32"/>
      <c r="X24" s="32"/>
      <c r="Y24" s="32"/>
      <c r="Z24" s="32"/>
      <c r="AA24" s="32"/>
      <c r="AB24" s="32"/>
      <c r="AC24" s="32"/>
      <c r="AD24" s="32"/>
      <c r="AE24" s="32"/>
    </row>
    <row r="25" spans="1:31" s="2" customFormat="1" ht="18" customHeight="1">
      <c r="A25" s="32"/>
      <c r="B25" s="37"/>
      <c r="C25" s="32"/>
      <c r="D25" s="32"/>
      <c r="E25" s="101" t="s">
        <v>31</v>
      </c>
      <c r="F25" s="32"/>
      <c r="G25" s="32"/>
      <c r="H25" s="32"/>
      <c r="I25" s="110" t="s">
        <v>27</v>
      </c>
      <c r="J25" s="101" t="s">
        <v>19</v>
      </c>
      <c r="K25" s="32"/>
      <c r="L25" s="111"/>
      <c r="S25" s="32"/>
      <c r="T25" s="32"/>
      <c r="U25" s="32"/>
      <c r="V25" s="32"/>
      <c r="W25" s="32"/>
      <c r="X25" s="32"/>
      <c r="Y25" s="32"/>
      <c r="Z25" s="32"/>
      <c r="AA25" s="32"/>
      <c r="AB25" s="32"/>
      <c r="AC25" s="32"/>
      <c r="AD25" s="32"/>
      <c r="AE25" s="32"/>
    </row>
    <row r="26" spans="1:31" s="2" customFormat="1" ht="6.95" customHeight="1">
      <c r="A26" s="32"/>
      <c r="B26" s="37"/>
      <c r="C26" s="32"/>
      <c r="D26" s="32"/>
      <c r="E26" s="32"/>
      <c r="F26" s="32"/>
      <c r="G26" s="32"/>
      <c r="H26" s="32"/>
      <c r="I26" s="32"/>
      <c r="J26" s="32"/>
      <c r="K26" s="32"/>
      <c r="L26" s="111"/>
      <c r="S26" s="32"/>
      <c r="T26" s="32"/>
      <c r="U26" s="32"/>
      <c r="V26" s="32"/>
      <c r="W26" s="32"/>
      <c r="X26" s="32"/>
      <c r="Y26" s="32"/>
      <c r="Z26" s="32"/>
      <c r="AA26" s="32"/>
      <c r="AB26" s="32"/>
      <c r="AC26" s="32"/>
      <c r="AD26" s="32"/>
      <c r="AE26" s="32"/>
    </row>
    <row r="27" spans="1:31" s="2" customFormat="1" ht="12" customHeight="1">
      <c r="A27" s="32"/>
      <c r="B27" s="37"/>
      <c r="C27" s="32"/>
      <c r="D27" s="110" t="s">
        <v>33</v>
      </c>
      <c r="E27" s="32"/>
      <c r="F27" s="32"/>
      <c r="G27" s="32"/>
      <c r="H27" s="32"/>
      <c r="I27" s="110" t="s">
        <v>25</v>
      </c>
      <c r="J27" s="101" t="s">
        <v>19</v>
      </c>
      <c r="K27" s="32"/>
      <c r="L27" s="111"/>
      <c r="S27" s="32"/>
      <c r="T27" s="32"/>
      <c r="U27" s="32"/>
      <c r="V27" s="32"/>
      <c r="W27" s="32"/>
      <c r="X27" s="32"/>
      <c r="Y27" s="32"/>
      <c r="Z27" s="32"/>
      <c r="AA27" s="32"/>
      <c r="AB27" s="32"/>
      <c r="AC27" s="32"/>
      <c r="AD27" s="32"/>
      <c r="AE27" s="32"/>
    </row>
    <row r="28" spans="1:31" s="2" customFormat="1" ht="18" customHeight="1">
      <c r="A28" s="32"/>
      <c r="B28" s="37"/>
      <c r="C28" s="32"/>
      <c r="D28" s="32"/>
      <c r="E28" s="101" t="s">
        <v>31</v>
      </c>
      <c r="F28" s="32"/>
      <c r="G28" s="32"/>
      <c r="H28" s="32"/>
      <c r="I28" s="110" t="s">
        <v>27</v>
      </c>
      <c r="J28" s="101" t="s">
        <v>19</v>
      </c>
      <c r="K28" s="32"/>
      <c r="L28" s="111"/>
      <c r="S28" s="32"/>
      <c r="T28" s="32"/>
      <c r="U28" s="32"/>
      <c r="V28" s="32"/>
      <c r="W28" s="32"/>
      <c r="X28" s="32"/>
      <c r="Y28" s="32"/>
      <c r="Z28" s="32"/>
      <c r="AA28" s="32"/>
      <c r="AB28" s="32"/>
      <c r="AC28" s="32"/>
      <c r="AD28" s="32"/>
      <c r="AE28" s="32"/>
    </row>
    <row r="29" spans="1:31" s="2" customFormat="1" ht="6.95" customHeight="1">
      <c r="A29" s="32"/>
      <c r="B29" s="37"/>
      <c r="C29" s="32"/>
      <c r="D29" s="32"/>
      <c r="E29" s="32"/>
      <c r="F29" s="32"/>
      <c r="G29" s="32"/>
      <c r="H29" s="32"/>
      <c r="I29" s="32"/>
      <c r="J29" s="32"/>
      <c r="K29" s="32"/>
      <c r="L29" s="111"/>
      <c r="S29" s="32"/>
      <c r="T29" s="32"/>
      <c r="U29" s="32"/>
      <c r="V29" s="32"/>
      <c r="W29" s="32"/>
      <c r="X29" s="32"/>
      <c r="Y29" s="32"/>
      <c r="Z29" s="32"/>
      <c r="AA29" s="32"/>
      <c r="AB29" s="32"/>
      <c r="AC29" s="32"/>
      <c r="AD29" s="32"/>
      <c r="AE29" s="32"/>
    </row>
    <row r="30" spans="1:31" s="2" customFormat="1" ht="12" customHeight="1">
      <c r="A30" s="32"/>
      <c r="B30" s="37"/>
      <c r="C30" s="32"/>
      <c r="D30" s="110" t="s">
        <v>34</v>
      </c>
      <c r="E30" s="32"/>
      <c r="F30" s="32"/>
      <c r="G30" s="32"/>
      <c r="H30" s="32"/>
      <c r="I30" s="32"/>
      <c r="J30" s="32"/>
      <c r="K30" s="32"/>
      <c r="L30" s="111"/>
      <c r="S30" s="32"/>
      <c r="T30" s="32"/>
      <c r="U30" s="32"/>
      <c r="V30" s="32"/>
      <c r="W30" s="32"/>
      <c r="X30" s="32"/>
      <c r="Y30" s="32"/>
      <c r="Z30" s="32"/>
      <c r="AA30" s="32"/>
      <c r="AB30" s="32"/>
      <c r="AC30" s="32"/>
      <c r="AD30" s="32"/>
      <c r="AE30" s="32"/>
    </row>
    <row r="31" spans="1:31" s="8" customFormat="1" ht="14.45" customHeight="1">
      <c r="A31" s="113"/>
      <c r="B31" s="114"/>
      <c r="C31" s="113"/>
      <c r="D31" s="113"/>
      <c r="E31" s="708" t="s">
        <v>19</v>
      </c>
      <c r="F31" s="708"/>
      <c r="G31" s="708"/>
      <c r="H31" s="708"/>
      <c r="I31" s="113"/>
      <c r="J31" s="113"/>
      <c r="K31" s="113"/>
      <c r="L31" s="115"/>
      <c r="S31" s="113"/>
      <c r="T31" s="113"/>
      <c r="U31" s="113"/>
      <c r="V31" s="113"/>
      <c r="W31" s="113"/>
      <c r="X31" s="113"/>
      <c r="Y31" s="113"/>
      <c r="Z31" s="113"/>
      <c r="AA31" s="113"/>
      <c r="AB31" s="113"/>
      <c r="AC31" s="113"/>
      <c r="AD31" s="113"/>
      <c r="AE31" s="113"/>
    </row>
    <row r="32" spans="1:31" s="2" customFormat="1" ht="6.95" customHeight="1">
      <c r="A32" s="32"/>
      <c r="B32" s="37"/>
      <c r="C32" s="32"/>
      <c r="D32" s="32"/>
      <c r="E32" s="32"/>
      <c r="F32" s="32"/>
      <c r="G32" s="32"/>
      <c r="H32" s="32"/>
      <c r="I32" s="32"/>
      <c r="J32" s="32"/>
      <c r="K32" s="32"/>
      <c r="L32" s="111"/>
      <c r="S32" s="32"/>
      <c r="T32" s="32"/>
      <c r="U32" s="32"/>
      <c r="V32" s="32"/>
      <c r="W32" s="32"/>
      <c r="X32" s="32"/>
      <c r="Y32" s="32"/>
      <c r="Z32" s="32"/>
      <c r="AA32" s="32"/>
      <c r="AB32" s="32"/>
      <c r="AC32" s="32"/>
      <c r="AD32" s="32"/>
      <c r="AE32" s="32"/>
    </row>
    <row r="33" spans="1:31" s="2" customFormat="1" ht="6.95" customHeight="1">
      <c r="A33" s="32"/>
      <c r="B33" s="37"/>
      <c r="C33" s="32"/>
      <c r="D33" s="116"/>
      <c r="E33" s="116"/>
      <c r="F33" s="116"/>
      <c r="G33" s="116"/>
      <c r="H33" s="116"/>
      <c r="I33" s="116"/>
      <c r="J33" s="116"/>
      <c r="K33" s="116"/>
      <c r="L33" s="111"/>
      <c r="S33" s="32"/>
      <c r="T33" s="32"/>
      <c r="U33" s="32"/>
      <c r="V33" s="32"/>
      <c r="W33" s="32"/>
      <c r="X33" s="32"/>
      <c r="Y33" s="32"/>
      <c r="Z33" s="32"/>
      <c r="AA33" s="32"/>
      <c r="AB33" s="32"/>
      <c r="AC33" s="32"/>
      <c r="AD33" s="32"/>
      <c r="AE33" s="32"/>
    </row>
    <row r="34" spans="1:31" s="2" customFormat="1" ht="25.35" customHeight="1">
      <c r="A34" s="32"/>
      <c r="B34" s="37"/>
      <c r="C34" s="32"/>
      <c r="D34" s="117" t="s">
        <v>36</v>
      </c>
      <c r="E34" s="32"/>
      <c r="F34" s="32"/>
      <c r="G34" s="32"/>
      <c r="H34" s="32"/>
      <c r="I34" s="32"/>
      <c r="J34" s="118">
        <f>ROUND(J93,2)</f>
        <v>0</v>
      </c>
      <c r="K34" s="32"/>
      <c r="L34" s="111"/>
      <c r="S34" s="32"/>
      <c r="T34" s="32"/>
      <c r="U34" s="32"/>
      <c r="V34" s="32"/>
      <c r="W34" s="32"/>
      <c r="X34" s="32"/>
      <c r="Y34" s="32"/>
      <c r="Z34" s="32"/>
      <c r="AA34" s="32"/>
      <c r="AB34" s="32"/>
      <c r="AC34" s="32"/>
      <c r="AD34" s="32"/>
      <c r="AE34" s="32"/>
    </row>
    <row r="35" spans="1:31" s="2" customFormat="1" ht="6.95" customHeight="1">
      <c r="A35" s="32"/>
      <c r="B35" s="37"/>
      <c r="C35" s="32"/>
      <c r="D35" s="116"/>
      <c r="E35" s="116"/>
      <c r="F35" s="116"/>
      <c r="G35" s="116"/>
      <c r="H35" s="116"/>
      <c r="I35" s="116"/>
      <c r="J35" s="116"/>
      <c r="K35" s="116"/>
      <c r="L35" s="111"/>
      <c r="S35" s="32"/>
      <c r="T35" s="32"/>
      <c r="U35" s="32"/>
      <c r="V35" s="32"/>
      <c r="W35" s="32"/>
      <c r="X35" s="32"/>
      <c r="Y35" s="32"/>
      <c r="Z35" s="32"/>
      <c r="AA35" s="32"/>
      <c r="AB35" s="32"/>
      <c r="AC35" s="32"/>
      <c r="AD35" s="32"/>
      <c r="AE35" s="32"/>
    </row>
    <row r="36" spans="1:31" s="2" customFormat="1" ht="14.45" customHeight="1">
      <c r="A36" s="32"/>
      <c r="B36" s="37"/>
      <c r="C36" s="32"/>
      <c r="D36" s="32"/>
      <c r="E36" s="32"/>
      <c r="F36" s="119" t="s">
        <v>38</v>
      </c>
      <c r="G36" s="32"/>
      <c r="H36" s="32"/>
      <c r="I36" s="119" t="s">
        <v>37</v>
      </c>
      <c r="J36" s="119" t="s">
        <v>39</v>
      </c>
      <c r="K36" s="32"/>
      <c r="L36" s="111"/>
      <c r="S36" s="32"/>
      <c r="T36" s="32"/>
      <c r="U36" s="32"/>
      <c r="V36" s="32"/>
      <c r="W36" s="32"/>
      <c r="X36" s="32"/>
      <c r="Y36" s="32"/>
      <c r="Z36" s="32"/>
      <c r="AA36" s="32"/>
      <c r="AB36" s="32"/>
      <c r="AC36" s="32"/>
      <c r="AD36" s="32"/>
      <c r="AE36" s="32"/>
    </row>
    <row r="37" spans="1:31" s="2" customFormat="1" ht="14.45" customHeight="1">
      <c r="A37" s="32"/>
      <c r="B37" s="37"/>
      <c r="C37" s="32"/>
      <c r="D37" s="120" t="s">
        <v>40</v>
      </c>
      <c r="E37" s="110" t="s">
        <v>41</v>
      </c>
      <c r="F37" s="121">
        <f>ROUND((SUM(BE93:BE96)),2)</f>
        <v>0</v>
      </c>
      <c r="G37" s="32"/>
      <c r="H37" s="32"/>
      <c r="I37" s="122">
        <v>0.21</v>
      </c>
      <c r="J37" s="121">
        <f>ROUND(((SUM(BE93:BE96))*I37),2)</f>
        <v>0</v>
      </c>
      <c r="K37" s="32"/>
      <c r="L37" s="111"/>
      <c r="S37" s="32"/>
      <c r="T37" s="32"/>
      <c r="U37" s="32"/>
      <c r="V37" s="32"/>
      <c r="W37" s="32"/>
      <c r="X37" s="32"/>
      <c r="Y37" s="32"/>
      <c r="Z37" s="32"/>
      <c r="AA37" s="32"/>
      <c r="AB37" s="32"/>
      <c r="AC37" s="32"/>
      <c r="AD37" s="32"/>
      <c r="AE37" s="32"/>
    </row>
    <row r="38" spans="1:31" s="2" customFormat="1" ht="14.45" customHeight="1">
      <c r="A38" s="32"/>
      <c r="B38" s="37"/>
      <c r="C38" s="32"/>
      <c r="D38" s="32"/>
      <c r="E38" s="110" t="s">
        <v>42</v>
      </c>
      <c r="F38" s="121">
        <f>ROUND((SUM(BF93:BF96)),2)</f>
        <v>0</v>
      </c>
      <c r="G38" s="32"/>
      <c r="H38" s="32"/>
      <c r="I38" s="122">
        <v>0.15</v>
      </c>
      <c r="J38" s="121">
        <f>ROUND(((SUM(BF93:BF96))*I38),2)</f>
        <v>0</v>
      </c>
      <c r="K38" s="32"/>
      <c r="L38" s="111"/>
      <c r="S38" s="32"/>
      <c r="T38" s="32"/>
      <c r="U38" s="32"/>
      <c r="V38" s="32"/>
      <c r="W38" s="32"/>
      <c r="X38" s="32"/>
      <c r="Y38" s="32"/>
      <c r="Z38" s="32"/>
      <c r="AA38" s="32"/>
      <c r="AB38" s="32"/>
      <c r="AC38" s="32"/>
      <c r="AD38" s="32"/>
      <c r="AE38" s="32"/>
    </row>
    <row r="39" spans="1:31" s="2" customFormat="1" ht="14.45" customHeight="1" hidden="1">
      <c r="A39" s="32"/>
      <c r="B39" s="37"/>
      <c r="C39" s="32"/>
      <c r="D39" s="32"/>
      <c r="E39" s="110" t="s">
        <v>43</v>
      </c>
      <c r="F39" s="121">
        <f>ROUND((SUM(BG93:BG96)),2)</f>
        <v>0</v>
      </c>
      <c r="G39" s="32"/>
      <c r="H39" s="32"/>
      <c r="I39" s="122">
        <v>0.21</v>
      </c>
      <c r="J39" s="121">
        <f>0</f>
        <v>0</v>
      </c>
      <c r="K39" s="32"/>
      <c r="L39" s="111"/>
      <c r="S39" s="32"/>
      <c r="T39" s="32"/>
      <c r="U39" s="32"/>
      <c r="V39" s="32"/>
      <c r="W39" s="32"/>
      <c r="X39" s="32"/>
      <c r="Y39" s="32"/>
      <c r="Z39" s="32"/>
      <c r="AA39" s="32"/>
      <c r="AB39" s="32"/>
      <c r="AC39" s="32"/>
      <c r="AD39" s="32"/>
      <c r="AE39" s="32"/>
    </row>
    <row r="40" spans="1:31" s="2" customFormat="1" ht="14.45" customHeight="1" hidden="1">
      <c r="A40" s="32"/>
      <c r="B40" s="37"/>
      <c r="C40" s="32"/>
      <c r="D40" s="32"/>
      <c r="E40" s="110" t="s">
        <v>44</v>
      </c>
      <c r="F40" s="121">
        <f>ROUND((SUM(BH93:BH96)),2)</f>
        <v>0</v>
      </c>
      <c r="G40" s="32"/>
      <c r="H40" s="32"/>
      <c r="I40" s="122">
        <v>0.15</v>
      </c>
      <c r="J40" s="121">
        <f>0</f>
        <v>0</v>
      </c>
      <c r="K40" s="32"/>
      <c r="L40" s="111"/>
      <c r="S40" s="32"/>
      <c r="T40" s="32"/>
      <c r="U40" s="32"/>
      <c r="V40" s="32"/>
      <c r="W40" s="32"/>
      <c r="X40" s="32"/>
      <c r="Y40" s="32"/>
      <c r="Z40" s="32"/>
      <c r="AA40" s="32"/>
      <c r="AB40" s="32"/>
      <c r="AC40" s="32"/>
      <c r="AD40" s="32"/>
      <c r="AE40" s="32"/>
    </row>
    <row r="41" spans="1:31" s="2" customFormat="1" ht="14.45" customHeight="1" hidden="1">
      <c r="A41" s="32"/>
      <c r="B41" s="37"/>
      <c r="C41" s="32"/>
      <c r="D41" s="32"/>
      <c r="E41" s="110" t="s">
        <v>45</v>
      </c>
      <c r="F41" s="121">
        <f>ROUND((SUM(BI93:BI96)),2)</f>
        <v>0</v>
      </c>
      <c r="G41" s="32"/>
      <c r="H41" s="32"/>
      <c r="I41" s="122">
        <v>0</v>
      </c>
      <c r="J41" s="121">
        <f>0</f>
        <v>0</v>
      </c>
      <c r="K41" s="32"/>
      <c r="L41" s="111"/>
      <c r="S41" s="32"/>
      <c r="T41" s="32"/>
      <c r="U41" s="32"/>
      <c r="V41" s="32"/>
      <c r="W41" s="32"/>
      <c r="X41" s="32"/>
      <c r="Y41" s="32"/>
      <c r="Z41" s="32"/>
      <c r="AA41" s="32"/>
      <c r="AB41" s="32"/>
      <c r="AC41" s="32"/>
      <c r="AD41" s="32"/>
      <c r="AE41" s="32"/>
    </row>
    <row r="42" spans="1:31" s="2" customFormat="1" ht="6.95" customHeight="1">
      <c r="A42" s="32"/>
      <c r="B42" s="37"/>
      <c r="C42" s="32"/>
      <c r="D42" s="32"/>
      <c r="E42" s="32"/>
      <c r="F42" s="32"/>
      <c r="G42" s="32"/>
      <c r="H42" s="32"/>
      <c r="I42" s="32"/>
      <c r="J42" s="32"/>
      <c r="K42" s="32"/>
      <c r="L42" s="111"/>
      <c r="S42" s="32"/>
      <c r="T42" s="32"/>
      <c r="U42" s="32"/>
      <c r="V42" s="32"/>
      <c r="W42" s="32"/>
      <c r="X42" s="32"/>
      <c r="Y42" s="32"/>
      <c r="Z42" s="32"/>
      <c r="AA42" s="32"/>
      <c r="AB42" s="32"/>
      <c r="AC42" s="32"/>
      <c r="AD42" s="32"/>
      <c r="AE42" s="32"/>
    </row>
    <row r="43" spans="1:31" s="2" customFormat="1" ht="25.35" customHeight="1">
      <c r="A43" s="32"/>
      <c r="B43" s="37"/>
      <c r="C43" s="123"/>
      <c r="D43" s="124" t="s">
        <v>46</v>
      </c>
      <c r="E43" s="125"/>
      <c r="F43" s="125"/>
      <c r="G43" s="126" t="s">
        <v>47</v>
      </c>
      <c r="H43" s="127" t="s">
        <v>48</v>
      </c>
      <c r="I43" s="125"/>
      <c r="J43" s="128">
        <f>SUM(J34:J41)</f>
        <v>0</v>
      </c>
      <c r="K43" s="129"/>
      <c r="L43" s="111"/>
      <c r="S43" s="32"/>
      <c r="T43" s="32"/>
      <c r="U43" s="32"/>
      <c r="V43" s="32"/>
      <c r="W43" s="32"/>
      <c r="X43" s="32"/>
      <c r="Y43" s="32"/>
      <c r="Z43" s="32"/>
      <c r="AA43" s="32"/>
      <c r="AB43" s="32"/>
      <c r="AC43" s="32"/>
      <c r="AD43" s="32"/>
      <c r="AE43" s="32"/>
    </row>
    <row r="44" spans="1:31" s="2" customFormat="1" ht="14.45" customHeight="1">
      <c r="A44" s="32"/>
      <c r="B44" s="130"/>
      <c r="C44" s="131"/>
      <c r="D44" s="131"/>
      <c r="E44" s="131"/>
      <c r="F44" s="131"/>
      <c r="G44" s="131"/>
      <c r="H44" s="131"/>
      <c r="I44" s="131"/>
      <c r="J44" s="131"/>
      <c r="K44" s="131"/>
      <c r="L44" s="111"/>
      <c r="S44" s="32"/>
      <c r="T44" s="32"/>
      <c r="U44" s="32"/>
      <c r="V44" s="32"/>
      <c r="W44" s="32"/>
      <c r="X44" s="32"/>
      <c r="Y44" s="32"/>
      <c r="Z44" s="32"/>
      <c r="AA44" s="32"/>
      <c r="AB44" s="32"/>
      <c r="AC44" s="32"/>
      <c r="AD44" s="32"/>
      <c r="AE44" s="32"/>
    </row>
    <row r="48" spans="1:31" s="2" customFormat="1" ht="6.95" customHeight="1">
      <c r="A48" s="32"/>
      <c r="B48" s="132"/>
      <c r="C48" s="133"/>
      <c r="D48" s="133"/>
      <c r="E48" s="133"/>
      <c r="F48" s="133"/>
      <c r="G48" s="133"/>
      <c r="H48" s="133"/>
      <c r="I48" s="133"/>
      <c r="J48" s="133"/>
      <c r="K48" s="133"/>
      <c r="L48" s="111"/>
      <c r="S48" s="32"/>
      <c r="T48" s="32"/>
      <c r="U48" s="32"/>
      <c r="V48" s="32"/>
      <c r="W48" s="32"/>
      <c r="X48" s="32"/>
      <c r="Y48" s="32"/>
      <c r="Z48" s="32"/>
      <c r="AA48" s="32"/>
      <c r="AB48" s="32"/>
      <c r="AC48" s="32"/>
      <c r="AD48" s="32"/>
      <c r="AE48" s="32"/>
    </row>
    <row r="49" spans="1:31" s="2" customFormat="1" ht="24.95" customHeight="1">
      <c r="A49" s="32"/>
      <c r="B49" s="33"/>
      <c r="C49" s="21" t="s">
        <v>147</v>
      </c>
      <c r="D49" s="34"/>
      <c r="E49" s="34"/>
      <c r="F49" s="34"/>
      <c r="G49" s="34"/>
      <c r="H49" s="34"/>
      <c r="I49" s="34"/>
      <c r="J49" s="34"/>
      <c r="K49" s="34"/>
      <c r="L49" s="111"/>
      <c r="S49" s="32"/>
      <c r="T49" s="32"/>
      <c r="U49" s="32"/>
      <c r="V49" s="32"/>
      <c r="W49" s="32"/>
      <c r="X49" s="32"/>
      <c r="Y49" s="32"/>
      <c r="Z49" s="32"/>
      <c r="AA49" s="32"/>
      <c r="AB49" s="32"/>
      <c r="AC49" s="32"/>
      <c r="AD49" s="32"/>
      <c r="AE49" s="32"/>
    </row>
    <row r="50" spans="1:31" s="2" customFormat="1" ht="6.95" customHeight="1">
      <c r="A50" s="32"/>
      <c r="B50" s="33"/>
      <c r="C50" s="34"/>
      <c r="D50" s="34"/>
      <c r="E50" s="34"/>
      <c r="F50" s="34"/>
      <c r="G50" s="34"/>
      <c r="H50" s="34"/>
      <c r="I50" s="34"/>
      <c r="J50" s="34"/>
      <c r="K50" s="34"/>
      <c r="L50" s="111"/>
      <c r="S50" s="32"/>
      <c r="T50" s="32"/>
      <c r="U50" s="32"/>
      <c r="V50" s="32"/>
      <c r="W50" s="32"/>
      <c r="X50" s="32"/>
      <c r="Y50" s="32"/>
      <c r="Z50" s="32"/>
      <c r="AA50" s="32"/>
      <c r="AB50" s="32"/>
      <c r="AC50" s="32"/>
      <c r="AD50" s="32"/>
      <c r="AE50" s="32"/>
    </row>
    <row r="51" spans="1:31" s="2" customFormat="1" ht="12" customHeight="1">
      <c r="A51" s="32"/>
      <c r="B51" s="33"/>
      <c r="C51" s="27" t="s">
        <v>16</v>
      </c>
      <c r="D51" s="34"/>
      <c r="E51" s="34"/>
      <c r="F51" s="34"/>
      <c r="G51" s="34"/>
      <c r="H51" s="34"/>
      <c r="I51" s="34"/>
      <c r="J51" s="34"/>
      <c r="K51" s="34"/>
      <c r="L51" s="111"/>
      <c r="S51" s="32"/>
      <c r="T51" s="32"/>
      <c r="U51" s="32"/>
      <c r="V51" s="32"/>
      <c r="W51" s="32"/>
      <c r="X51" s="32"/>
      <c r="Y51" s="32"/>
      <c r="Z51" s="32"/>
      <c r="AA51" s="32"/>
      <c r="AB51" s="32"/>
      <c r="AC51" s="32"/>
      <c r="AD51" s="32"/>
      <c r="AE51" s="32"/>
    </row>
    <row r="52" spans="1:31" s="2" customFormat="1" ht="14.45" customHeight="1">
      <c r="A52" s="32"/>
      <c r="B52" s="33"/>
      <c r="C52" s="34"/>
      <c r="D52" s="34"/>
      <c r="E52" s="700" t="str">
        <f>E7</f>
        <v>Úpravy gastroprovozu Úřadu vlády ČR v 1.pp Strakovy akademie</v>
      </c>
      <c r="F52" s="701"/>
      <c r="G52" s="701"/>
      <c r="H52" s="701"/>
      <c r="I52" s="34"/>
      <c r="J52" s="34"/>
      <c r="K52" s="34"/>
      <c r="L52" s="111"/>
      <c r="S52" s="32"/>
      <c r="T52" s="32"/>
      <c r="U52" s="32"/>
      <c r="V52" s="32"/>
      <c r="W52" s="32"/>
      <c r="X52" s="32"/>
      <c r="Y52" s="32"/>
      <c r="Z52" s="32"/>
      <c r="AA52" s="32"/>
      <c r="AB52" s="32"/>
      <c r="AC52" s="32"/>
      <c r="AD52" s="32"/>
      <c r="AE52" s="32"/>
    </row>
    <row r="53" spans="2:12" s="1" customFormat="1" ht="12" customHeight="1">
      <c r="B53" s="19"/>
      <c r="C53" s="27" t="s">
        <v>142</v>
      </c>
      <c r="D53" s="20"/>
      <c r="E53" s="20"/>
      <c r="F53" s="20"/>
      <c r="G53" s="20"/>
      <c r="H53" s="20"/>
      <c r="I53" s="20"/>
      <c r="J53" s="20"/>
      <c r="K53" s="20"/>
      <c r="L53" s="18"/>
    </row>
    <row r="54" spans="2:12" s="1" customFormat="1" ht="14.45" customHeight="1">
      <c r="B54" s="19"/>
      <c r="C54" s="20"/>
      <c r="D54" s="20"/>
      <c r="E54" s="700" t="s">
        <v>1429</v>
      </c>
      <c r="F54" s="667"/>
      <c r="G54" s="667"/>
      <c r="H54" s="667"/>
      <c r="I54" s="20"/>
      <c r="J54" s="20"/>
      <c r="K54" s="20"/>
      <c r="L54" s="18"/>
    </row>
    <row r="55" spans="2:12" s="1" customFormat="1" ht="12" customHeight="1">
      <c r="B55" s="19"/>
      <c r="C55" s="27" t="s">
        <v>144</v>
      </c>
      <c r="D55" s="20"/>
      <c r="E55" s="20"/>
      <c r="F55" s="20"/>
      <c r="G55" s="20"/>
      <c r="H55" s="20"/>
      <c r="I55" s="20"/>
      <c r="J55" s="20"/>
      <c r="K55" s="20"/>
      <c r="L55" s="18"/>
    </row>
    <row r="56" spans="1:31" s="2" customFormat="1" ht="14.45" customHeight="1">
      <c r="A56" s="32"/>
      <c r="B56" s="33"/>
      <c r="C56" s="34"/>
      <c r="D56" s="34"/>
      <c r="E56" s="746" t="s">
        <v>1449</v>
      </c>
      <c r="F56" s="699"/>
      <c r="G56" s="699"/>
      <c r="H56" s="699"/>
      <c r="I56" s="34"/>
      <c r="J56" s="34"/>
      <c r="K56" s="34"/>
      <c r="L56" s="111"/>
      <c r="S56" s="32"/>
      <c r="T56" s="32"/>
      <c r="U56" s="32"/>
      <c r="V56" s="32"/>
      <c r="W56" s="32"/>
      <c r="X56" s="32"/>
      <c r="Y56" s="32"/>
      <c r="Z56" s="32"/>
      <c r="AA56" s="32"/>
      <c r="AB56" s="32"/>
      <c r="AC56" s="32"/>
      <c r="AD56" s="32"/>
      <c r="AE56" s="32"/>
    </row>
    <row r="57" spans="1:31" s="2" customFormat="1" ht="12" customHeight="1">
      <c r="A57" s="32"/>
      <c r="B57" s="33"/>
      <c r="C57" s="27" t="s">
        <v>1450</v>
      </c>
      <c r="D57" s="34"/>
      <c r="E57" s="34"/>
      <c r="F57" s="34"/>
      <c r="G57" s="34"/>
      <c r="H57" s="34"/>
      <c r="I57" s="34"/>
      <c r="J57" s="34"/>
      <c r="K57" s="34"/>
      <c r="L57" s="111"/>
      <c r="S57" s="32"/>
      <c r="T57" s="32"/>
      <c r="U57" s="32"/>
      <c r="V57" s="32"/>
      <c r="W57" s="32"/>
      <c r="X57" s="32"/>
      <c r="Y57" s="32"/>
      <c r="Z57" s="32"/>
      <c r="AA57" s="32"/>
      <c r="AB57" s="32"/>
      <c r="AC57" s="32"/>
      <c r="AD57" s="32"/>
      <c r="AE57" s="32"/>
    </row>
    <row r="58" spans="1:31" s="2" customFormat="1" ht="14.45" customHeight="1">
      <c r="A58" s="32"/>
      <c r="B58" s="33"/>
      <c r="C58" s="34"/>
      <c r="D58" s="34"/>
      <c r="E58" s="696" t="str">
        <f>E13</f>
        <v>D.1.4.04.3 - Soupis prací - PZTS</v>
      </c>
      <c r="F58" s="699"/>
      <c r="G58" s="699"/>
      <c r="H58" s="699"/>
      <c r="I58" s="34"/>
      <c r="J58" s="34"/>
      <c r="K58" s="34"/>
      <c r="L58" s="111"/>
      <c r="S58" s="32"/>
      <c r="T58" s="32"/>
      <c r="U58" s="32"/>
      <c r="V58" s="32"/>
      <c r="W58" s="32"/>
      <c r="X58" s="32"/>
      <c r="Y58" s="32"/>
      <c r="Z58" s="32"/>
      <c r="AA58" s="32"/>
      <c r="AB58" s="32"/>
      <c r="AC58" s="32"/>
      <c r="AD58" s="32"/>
      <c r="AE58" s="32"/>
    </row>
    <row r="59" spans="1:31" s="2" customFormat="1" ht="6.95" customHeight="1">
      <c r="A59" s="32"/>
      <c r="B59" s="33"/>
      <c r="C59" s="34"/>
      <c r="D59" s="34"/>
      <c r="E59" s="34"/>
      <c r="F59" s="34"/>
      <c r="G59" s="34"/>
      <c r="H59" s="34"/>
      <c r="I59" s="34"/>
      <c r="J59" s="34"/>
      <c r="K59" s="34"/>
      <c r="L59" s="111"/>
      <c r="S59" s="32"/>
      <c r="T59" s="32"/>
      <c r="U59" s="32"/>
      <c r="V59" s="32"/>
      <c r="W59" s="32"/>
      <c r="X59" s="32"/>
      <c r="Y59" s="32"/>
      <c r="Z59" s="32"/>
      <c r="AA59" s="32"/>
      <c r="AB59" s="32"/>
      <c r="AC59" s="32"/>
      <c r="AD59" s="32"/>
      <c r="AE59" s="32"/>
    </row>
    <row r="60" spans="1:31" s="2" customFormat="1" ht="12" customHeight="1">
      <c r="A60" s="32"/>
      <c r="B60" s="33"/>
      <c r="C60" s="27" t="s">
        <v>21</v>
      </c>
      <c r="D60" s="34"/>
      <c r="E60" s="34"/>
      <c r="F60" s="25" t="str">
        <f>F16</f>
        <v xml:space="preserve"> </v>
      </c>
      <c r="G60" s="34"/>
      <c r="H60" s="34"/>
      <c r="I60" s="27" t="s">
        <v>23</v>
      </c>
      <c r="J60" s="57" t="str">
        <f>IF(J16="","",J16)</f>
        <v>Vyplň údaj</v>
      </c>
      <c r="K60" s="34"/>
      <c r="L60" s="111"/>
      <c r="S60" s="32"/>
      <c r="T60" s="32"/>
      <c r="U60" s="32"/>
      <c r="V60" s="32"/>
      <c r="W60" s="32"/>
      <c r="X60" s="32"/>
      <c r="Y60" s="32"/>
      <c r="Z60" s="32"/>
      <c r="AA60" s="32"/>
      <c r="AB60" s="32"/>
      <c r="AC60" s="32"/>
      <c r="AD60" s="32"/>
      <c r="AE60" s="32"/>
    </row>
    <row r="61" spans="1:31" s="2" customFormat="1" ht="6.95" customHeight="1">
      <c r="A61" s="32"/>
      <c r="B61" s="33"/>
      <c r="C61" s="34"/>
      <c r="D61" s="34"/>
      <c r="E61" s="34"/>
      <c r="F61" s="34"/>
      <c r="G61" s="34"/>
      <c r="H61" s="34"/>
      <c r="I61" s="34"/>
      <c r="J61" s="34"/>
      <c r="K61" s="34"/>
      <c r="L61" s="111"/>
      <c r="S61" s="32"/>
      <c r="T61" s="32"/>
      <c r="U61" s="32"/>
      <c r="V61" s="32"/>
      <c r="W61" s="32"/>
      <c r="X61" s="32"/>
      <c r="Y61" s="32"/>
      <c r="Z61" s="32"/>
      <c r="AA61" s="32"/>
      <c r="AB61" s="32"/>
      <c r="AC61" s="32"/>
      <c r="AD61" s="32"/>
      <c r="AE61" s="32"/>
    </row>
    <row r="62" spans="1:31" s="2" customFormat="1" ht="26.45" customHeight="1">
      <c r="A62" s="32"/>
      <c r="B62" s="33"/>
      <c r="C62" s="27" t="s">
        <v>24</v>
      </c>
      <c r="D62" s="34"/>
      <c r="E62" s="34"/>
      <c r="F62" s="25" t="str">
        <f>E19</f>
        <v xml:space="preserve">Úřad vlády České republiky </v>
      </c>
      <c r="G62" s="34"/>
      <c r="H62" s="34"/>
      <c r="I62" s="27" t="s">
        <v>30</v>
      </c>
      <c r="J62" s="30" t="str">
        <f>E25</f>
        <v>Ateliér Simona Group</v>
      </c>
      <c r="K62" s="34"/>
      <c r="L62" s="111"/>
      <c r="S62" s="32"/>
      <c r="T62" s="32"/>
      <c r="U62" s="32"/>
      <c r="V62" s="32"/>
      <c r="W62" s="32"/>
      <c r="X62" s="32"/>
      <c r="Y62" s="32"/>
      <c r="Z62" s="32"/>
      <c r="AA62" s="32"/>
      <c r="AB62" s="32"/>
      <c r="AC62" s="32"/>
      <c r="AD62" s="32"/>
      <c r="AE62" s="32"/>
    </row>
    <row r="63" spans="1:31" s="2" customFormat="1" ht="26.45" customHeight="1">
      <c r="A63" s="32"/>
      <c r="B63" s="33"/>
      <c r="C63" s="27" t="s">
        <v>28</v>
      </c>
      <c r="D63" s="34"/>
      <c r="E63" s="34"/>
      <c r="F63" s="25" t="str">
        <f>IF(E22="","",E22)</f>
        <v>Vyplň údaj</v>
      </c>
      <c r="G63" s="34"/>
      <c r="H63" s="34"/>
      <c r="I63" s="27" t="s">
        <v>33</v>
      </c>
      <c r="J63" s="30" t="str">
        <f>E28</f>
        <v>Ateliér Simona Group</v>
      </c>
      <c r="K63" s="34"/>
      <c r="L63" s="111"/>
      <c r="S63" s="32"/>
      <c r="T63" s="32"/>
      <c r="U63" s="32"/>
      <c r="V63" s="32"/>
      <c r="W63" s="32"/>
      <c r="X63" s="32"/>
      <c r="Y63" s="32"/>
      <c r="Z63" s="32"/>
      <c r="AA63" s="32"/>
      <c r="AB63" s="32"/>
      <c r="AC63" s="32"/>
      <c r="AD63" s="32"/>
      <c r="AE63" s="32"/>
    </row>
    <row r="64" spans="1:31" s="2" customFormat="1" ht="10.35" customHeight="1">
      <c r="A64" s="32"/>
      <c r="B64" s="33"/>
      <c r="C64" s="34"/>
      <c r="D64" s="34"/>
      <c r="E64" s="34"/>
      <c r="F64" s="34"/>
      <c r="G64" s="34"/>
      <c r="H64" s="34"/>
      <c r="I64" s="34"/>
      <c r="J64" s="34"/>
      <c r="K64" s="34"/>
      <c r="L64" s="111"/>
      <c r="S64" s="32"/>
      <c r="T64" s="32"/>
      <c r="U64" s="32"/>
      <c r="V64" s="32"/>
      <c r="W64" s="32"/>
      <c r="X64" s="32"/>
      <c r="Y64" s="32"/>
      <c r="Z64" s="32"/>
      <c r="AA64" s="32"/>
      <c r="AB64" s="32"/>
      <c r="AC64" s="32"/>
      <c r="AD64" s="32"/>
      <c r="AE64" s="32"/>
    </row>
    <row r="65" spans="1:31" s="2" customFormat="1" ht="29.25" customHeight="1">
      <c r="A65" s="32"/>
      <c r="B65" s="33"/>
      <c r="C65" s="134" t="s">
        <v>148</v>
      </c>
      <c r="D65" s="135"/>
      <c r="E65" s="135"/>
      <c r="F65" s="135"/>
      <c r="G65" s="135"/>
      <c r="H65" s="135"/>
      <c r="I65" s="135"/>
      <c r="J65" s="136" t="s">
        <v>149</v>
      </c>
      <c r="K65" s="135"/>
      <c r="L65" s="111"/>
      <c r="S65" s="32"/>
      <c r="T65" s="32"/>
      <c r="U65" s="32"/>
      <c r="V65" s="32"/>
      <c r="W65" s="32"/>
      <c r="X65" s="32"/>
      <c r="Y65" s="32"/>
      <c r="Z65" s="32"/>
      <c r="AA65" s="32"/>
      <c r="AB65" s="32"/>
      <c r="AC65" s="32"/>
      <c r="AD65" s="32"/>
      <c r="AE65" s="32"/>
    </row>
    <row r="66" spans="1:31" s="2" customFormat="1" ht="10.35" customHeight="1">
      <c r="A66" s="32"/>
      <c r="B66" s="33"/>
      <c r="C66" s="34"/>
      <c r="D66" s="34"/>
      <c r="E66" s="34"/>
      <c r="F66" s="34"/>
      <c r="G66" s="34"/>
      <c r="H66" s="34"/>
      <c r="I66" s="34"/>
      <c r="J66" s="34"/>
      <c r="K66" s="34"/>
      <c r="L66" s="111"/>
      <c r="S66" s="32"/>
      <c r="T66" s="32"/>
      <c r="U66" s="32"/>
      <c r="V66" s="32"/>
      <c r="W66" s="32"/>
      <c r="X66" s="32"/>
      <c r="Y66" s="32"/>
      <c r="Z66" s="32"/>
      <c r="AA66" s="32"/>
      <c r="AB66" s="32"/>
      <c r="AC66" s="32"/>
      <c r="AD66" s="32"/>
      <c r="AE66" s="32"/>
    </row>
    <row r="67" spans="1:47" s="2" customFormat="1" ht="22.9" customHeight="1">
      <c r="A67" s="32"/>
      <c r="B67" s="33"/>
      <c r="C67" s="137" t="s">
        <v>68</v>
      </c>
      <c r="D67" s="34"/>
      <c r="E67" s="34"/>
      <c r="F67" s="34"/>
      <c r="G67" s="34"/>
      <c r="H67" s="34"/>
      <c r="I67" s="34"/>
      <c r="J67" s="75">
        <f>J93</f>
        <v>0</v>
      </c>
      <c r="K67" s="34"/>
      <c r="L67" s="111"/>
      <c r="S67" s="32"/>
      <c r="T67" s="32"/>
      <c r="U67" s="32"/>
      <c r="V67" s="32"/>
      <c r="W67" s="32"/>
      <c r="X67" s="32"/>
      <c r="Y67" s="32"/>
      <c r="Z67" s="32"/>
      <c r="AA67" s="32"/>
      <c r="AB67" s="32"/>
      <c r="AC67" s="32"/>
      <c r="AD67" s="32"/>
      <c r="AE67" s="32"/>
      <c r="AU67" s="15" t="s">
        <v>150</v>
      </c>
    </row>
    <row r="68" spans="2:12" s="9" customFormat="1" ht="24.95" customHeight="1">
      <c r="B68" s="138"/>
      <c r="C68" s="139"/>
      <c r="D68" s="140" t="s">
        <v>161</v>
      </c>
      <c r="E68" s="141"/>
      <c r="F68" s="141"/>
      <c r="G68" s="141"/>
      <c r="H68" s="141"/>
      <c r="I68" s="141"/>
      <c r="J68" s="142">
        <f>J94</f>
        <v>0</v>
      </c>
      <c r="K68" s="139"/>
      <c r="L68" s="143"/>
    </row>
    <row r="69" spans="2:12" s="10" customFormat="1" ht="19.9" customHeight="1">
      <c r="B69" s="144"/>
      <c r="C69" s="95"/>
      <c r="D69" s="145" t="s">
        <v>165</v>
      </c>
      <c r="E69" s="146"/>
      <c r="F69" s="146"/>
      <c r="G69" s="146"/>
      <c r="H69" s="146"/>
      <c r="I69" s="146"/>
      <c r="J69" s="147">
        <f>J95</f>
        <v>0</v>
      </c>
      <c r="K69" s="95"/>
      <c r="L69" s="148"/>
    </row>
    <row r="70" spans="1:31" s="2" customFormat="1" ht="21.75" customHeight="1">
      <c r="A70" s="32"/>
      <c r="B70" s="33"/>
      <c r="C70" s="34"/>
      <c r="D70" s="34"/>
      <c r="E70" s="34"/>
      <c r="F70" s="34"/>
      <c r="G70" s="34"/>
      <c r="H70" s="34"/>
      <c r="I70" s="34"/>
      <c r="J70" s="34"/>
      <c r="K70" s="34"/>
      <c r="L70" s="111"/>
      <c r="S70" s="32"/>
      <c r="T70" s="32"/>
      <c r="U70" s="32"/>
      <c r="V70" s="32"/>
      <c r="W70" s="32"/>
      <c r="X70" s="32"/>
      <c r="Y70" s="32"/>
      <c r="Z70" s="32"/>
      <c r="AA70" s="32"/>
      <c r="AB70" s="32"/>
      <c r="AC70" s="32"/>
      <c r="AD70" s="32"/>
      <c r="AE70" s="32"/>
    </row>
    <row r="71" spans="1:31" s="2" customFormat="1" ht="6.95" customHeight="1">
      <c r="A71" s="32"/>
      <c r="B71" s="45"/>
      <c r="C71" s="46"/>
      <c r="D71" s="46"/>
      <c r="E71" s="46"/>
      <c r="F71" s="46"/>
      <c r="G71" s="46"/>
      <c r="H71" s="46"/>
      <c r="I71" s="46"/>
      <c r="J71" s="46"/>
      <c r="K71" s="46"/>
      <c r="L71" s="111"/>
      <c r="S71" s="32"/>
      <c r="T71" s="32"/>
      <c r="U71" s="32"/>
      <c r="V71" s="32"/>
      <c r="W71" s="32"/>
      <c r="X71" s="32"/>
      <c r="Y71" s="32"/>
      <c r="Z71" s="32"/>
      <c r="AA71" s="32"/>
      <c r="AB71" s="32"/>
      <c r="AC71" s="32"/>
      <c r="AD71" s="32"/>
      <c r="AE71" s="32"/>
    </row>
    <row r="75" spans="1:31" s="2" customFormat="1" ht="6.95" customHeight="1">
      <c r="A75" s="32"/>
      <c r="B75" s="47"/>
      <c r="C75" s="48"/>
      <c r="D75" s="48"/>
      <c r="E75" s="48"/>
      <c r="F75" s="48"/>
      <c r="G75" s="48"/>
      <c r="H75" s="48"/>
      <c r="I75" s="48"/>
      <c r="J75" s="48"/>
      <c r="K75" s="48"/>
      <c r="L75" s="111"/>
      <c r="S75" s="32"/>
      <c r="T75" s="32"/>
      <c r="U75" s="32"/>
      <c r="V75" s="32"/>
      <c r="W75" s="32"/>
      <c r="X75" s="32"/>
      <c r="Y75" s="32"/>
      <c r="Z75" s="32"/>
      <c r="AA75" s="32"/>
      <c r="AB75" s="32"/>
      <c r="AC75" s="32"/>
      <c r="AD75" s="32"/>
      <c r="AE75" s="32"/>
    </row>
    <row r="76" spans="1:31" s="2" customFormat="1" ht="24.95" customHeight="1">
      <c r="A76" s="32"/>
      <c r="B76" s="33"/>
      <c r="C76" s="21" t="s">
        <v>181</v>
      </c>
      <c r="D76" s="34"/>
      <c r="E76" s="34"/>
      <c r="F76" s="34"/>
      <c r="G76" s="34"/>
      <c r="H76" s="34"/>
      <c r="I76" s="34"/>
      <c r="J76" s="34"/>
      <c r="K76" s="34"/>
      <c r="L76" s="111"/>
      <c r="S76" s="32"/>
      <c r="T76" s="32"/>
      <c r="U76" s="32"/>
      <c r="V76" s="32"/>
      <c r="W76" s="32"/>
      <c r="X76" s="32"/>
      <c r="Y76" s="32"/>
      <c r="Z76" s="32"/>
      <c r="AA76" s="32"/>
      <c r="AB76" s="32"/>
      <c r="AC76" s="32"/>
      <c r="AD76" s="32"/>
      <c r="AE76" s="32"/>
    </row>
    <row r="77" spans="1:31" s="2" customFormat="1" ht="6.95" customHeight="1">
      <c r="A77" s="32"/>
      <c r="B77" s="33"/>
      <c r="C77" s="34"/>
      <c r="D77" s="34"/>
      <c r="E77" s="34"/>
      <c r="F77" s="34"/>
      <c r="G77" s="34"/>
      <c r="H77" s="34"/>
      <c r="I77" s="34"/>
      <c r="J77" s="34"/>
      <c r="K77" s="34"/>
      <c r="L77" s="111"/>
      <c r="S77" s="32"/>
      <c r="T77" s="32"/>
      <c r="U77" s="32"/>
      <c r="V77" s="32"/>
      <c r="W77" s="32"/>
      <c r="X77" s="32"/>
      <c r="Y77" s="32"/>
      <c r="Z77" s="32"/>
      <c r="AA77" s="32"/>
      <c r="AB77" s="32"/>
      <c r="AC77" s="32"/>
      <c r="AD77" s="32"/>
      <c r="AE77" s="32"/>
    </row>
    <row r="78" spans="1:31" s="2" customFormat="1" ht="12" customHeight="1">
      <c r="A78" s="32"/>
      <c r="B78" s="33"/>
      <c r="C78" s="27" t="s">
        <v>16</v>
      </c>
      <c r="D78" s="34"/>
      <c r="E78" s="34"/>
      <c r="F78" s="34"/>
      <c r="G78" s="34"/>
      <c r="H78" s="34"/>
      <c r="I78" s="34"/>
      <c r="J78" s="34"/>
      <c r="K78" s="34"/>
      <c r="L78" s="111"/>
      <c r="S78" s="32"/>
      <c r="T78" s="32"/>
      <c r="U78" s="32"/>
      <c r="V78" s="32"/>
      <c r="W78" s="32"/>
      <c r="X78" s="32"/>
      <c r="Y78" s="32"/>
      <c r="Z78" s="32"/>
      <c r="AA78" s="32"/>
      <c r="AB78" s="32"/>
      <c r="AC78" s="32"/>
      <c r="AD78" s="32"/>
      <c r="AE78" s="32"/>
    </row>
    <row r="79" spans="1:31" s="2" customFormat="1" ht="14.45" customHeight="1">
      <c r="A79" s="32"/>
      <c r="B79" s="33"/>
      <c r="C79" s="34"/>
      <c r="D79" s="34"/>
      <c r="E79" s="700" t="str">
        <f>E7</f>
        <v>Úpravy gastroprovozu Úřadu vlády ČR v 1.pp Strakovy akademie</v>
      </c>
      <c r="F79" s="701"/>
      <c r="G79" s="701"/>
      <c r="H79" s="701"/>
      <c r="I79" s="34"/>
      <c r="J79" s="34"/>
      <c r="K79" s="34"/>
      <c r="L79" s="111"/>
      <c r="S79" s="32"/>
      <c r="T79" s="32"/>
      <c r="U79" s="32"/>
      <c r="V79" s="32"/>
      <c r="W79" s="32"/>
      <c r="X79" s="32"/>
      <c r="Y79" s="32"/>
      <c r="Z79" s="32"/>
      <c r="AA79" s="32"/>
      <c r="AB79" s="32"/>
      <c r="AC79" s="32"/>
      <c r="AD79" s="32"/>
      <c r="AE79" s="32"/>
    </row>
    <row r="80" spans="2:12" s="1" customFormat="1" ht="12" customHeight="1">
      <c r="B80" s="19"/>
      <c r="C80" s="27" t="s">
        <v>142</v>
      </c>
      <c r="D80" s="20"/>
      <c r="E80" s="20"/>
      <c r="F80" s="20"/>
      <c r="G80" s="20"/>
      <c r="H80" s="20"/>
      <c r="I80" s="20"/>
      <c r="J80" s="20"/>
      <c r="K80" s="20"/>
      <c r="L80" s="18"/>
    </row>
    <row r="81" spans="2:12" s="1" customFormat="1" ht="14.45" customHeight="1">
      <c r="B81" s="19"/>
      <c r="C81" s="20"/>
      <c r="D81" s="20"/>
      <c r="E81" s="700" t="s">
        <v>1429</v>
      </c>
      <c r="F81" s="667"/>
      <c r="G81" s="667"/>
      <c r="H81" s="667"/>
      <c r="I81" s="20"/>
      <c r="J81" s="20"/>
      <c r="K81" s="20"/>
      <c r="L81" s="18"/>
    </row>
    <row r="82" spans="2:12" s="1" customFormat="1" ht="12" customHeight="1">
      <c r="B82" s="19"/>
      <c r="C82" s="27" t="s">
        <v>144</v>
      </c>
      <c r="D82" s="20"/>
      <c r="E82" s="20"/>
      <c r="F82" s="20"/>
      <c r="G82" s="20"/>
      <c r="H82" s="20"/>
      <c r="I82" s="20"/>
      <c r="J82" s="20"/>
      <c r="K82" s="20"/>
      <c r="L82" s="18"/>
    </row>
    <row r="83" spans="1:31" s="2" customFormat="1" ht="14.45" customHeight="1">
      <c r="A83" s="32"/>
      <c r="B83" s="33"/>
      <c r="C83" s="34"/>
      <c r="D83" s="34"/>
      <c r="E83" s="746" t="s">
        <v>1449</v>
      </c>
      <c r="F83" s="699"/>
      <c r="G83" s="699"/>
      <c r="H83" s="699"/>
      <c r="I83" s="34"/>
      <c r="J83" s="34"/>
      <c r="K83" s="34"/>
      <c r="L83" s="111"/>
      <c r="S83" s="32"/>
      <c r="T83" s="32"/>
      <c r="U83" s="32"/>
      <c r="V83" s="32"/>
      <c r="W83" s="32"/>
      <c r="X83" s="32"/>
      <c r="Y83" s="32"/>
      <c r="Z83" s="32"/>
      <c r="AA83" s="32"/>
      <c r="AB83" s="32"/>
      <c r="AC83" s="32"/>
      <c r="AD83" s="32"/>
      <c r="AE83" s="32"/>
    </row>
    <row r="84" spans="1:31" s="2" customFormat="1" ht="12" customHeight="1">
      <c r="A84" s="32"/>
      <c r="B84" s="33"/>
      <c r="C84" s="27" t="s">
        <v>1450</v>
      </c>
      <c r="D84" s="34"/>
      <c r="E84" s="34"/>
      <c r="F84" s="34"/>
      <c r="G84" s="34"/>
      <c r="H84" s="34"/>
      <c r="I84" s="34"/>
      <c r="J84" s="34"/>
      <c r="K84" s="34"/>
      <c r="L84" s="111"/>
      <c r="S84" s="32"/>
      <c r="T84" s="32"/>
      <c r="U84" s="32"/>
      <c r="V84" s="32"/>
      <c r="W84" s="32"/>
      <c r="X84" s="32"/>
      <c r="Y84" s="32"/>
      <c r="Z84" s="32"/>
      <c r="AA84" s="32"/>
      <c r="AB84" s="32"/>
      <c r="AC84" s="32"/>
      <c r="AD84" s="32"/>
      <c r="AE84" s="32"/>
    </row>
    <row r="85" spans="1:31" s="2" customFormat="1" ht="14.45" customHeight="1">
      <c r="A85" s="32"/>
      <c r="B85" s="33"/>
      <c r="C85" s="34"/>
      <c r="D85" s="34"/>
      <c r="E85" s="696" t="str">
        <f>E13</f>
        <v>D.1.4.04.3 - Soupis prací - PZTS</v>
      </c>
      <c r="F85" s="699"/>
      <c r="G85" s="699"/>
      <c r="H85" s="699"/>
      <c r="I85" s="34"/>
      <c r="J85" s="34"/>
      <c r="K85" s="34"/>
      <c r="L85" s="111"/>
      <c r="S85" s="32"/>
      <c r="T85" s="32"/>
      <c r="U85" s="32"/>
      <c r="V85" s="32"/>
      <c r="W85" s="32"/>
      <c r="X85" s="32"/>
      <c r="Y85" s="32"/>
      <c r="Z85" s="32"/>
      <c r="AA85" s="32"/>
      <c r="AB85" s="32"/>
      <c r="AC85" s="32"/>
      <c r="AD85" s="32"/>
      <c r="AE85" s="32"/>
    </row>
    <row r="86" spans="1:31" s="2" customFormat="1" ht="6.95" customHeight="1">
      <c r="A86" s="32"/>
      <c r="B86" s="33"/>
      <c r="C86" s="34"/>
      <c r="D86" s="34"/>
      <c r="E86" s="34"/>
      <c r="F86" s="34"/>
      <c r="G86" s="34"/>
      <c r="H86" s="34"/>
      <c r="I86" s="34"/>
      <c r="J86" s="34"/>
      <c r="K86" s="34"/>
      <c r="L86" s="111"/>
      <c r="S86" s="32"/>
      <c r="T86" s="32"/>
      <c r="U86" s="32"/>
      <c r="V86" s="32"/>
      <c r="W86" s="32"/>
      <c r="X86" s="32"/>
      <c r="Y86" s="32"/>
      <c r="Z86" s="32"/>
      <c r="AA86" s="32"/>
      <c r="AB86" s="32"/>
      <c r="AC86" s="32"/>
      <c r="AD86" s="32"/>
      <c r="AE86" s="32"/>
    </row>
    <row r="87" spans="1:31" s="2" customFormat="1" ht="12" customHeight="1">
      <c r="A87" s="32"/>
      <c r="B87" s="33"/>
      <c r="C87" s="27" t="s">
        <v>21</v>
      </c>
      <c r="D87" s="34"/>
      <c r="E87" s="34"/>
      <c r="F87" s="25" t="str">
        <f>F16</f>
        <v xml:space="preserve"> </v>
      </c>
      <c r="G87" s="34"/>
      <c r="H87" s="34"/>
      <c r="I87" s="27" t="s">
        <v>23</v>
      </c>
      <c r="J87" s="57" t="str">
        <f>IF(J16="","",J16)</f>
        <v>Vyplň údaj</v>
      </c>
      <c r="K87" s="34"/>
      <c r="L87" s="111"/>
      <c r="S87" s="32"/>
      <c r="T87" s="32"/>
      <c r="U87" s="32"/>
      <c r="V87" s="32"/>
      <c r="W87" s="32"/>
      <c r="X87" s="32"/>
      <c r="Y87" s="32"/>
      <c r="Z87" s="32"/>
      <c r="AA87" s="32"/>
      <c r="AB87" s="32"/>
      <c r="AC87" s="32"/>
      <c r="AD87" s="32"/>
      <c r="AE87" s="32"/>
    </row>
    <row r="88" spans="1:31" s="2" customFormat="1" ht="6.95" customHeight="1">
      <c r="A88" s="32"/>
      <c r="B88" s="33"/>
      <c r="C88" s="34"/>
      <c r="D88" s="34"/>
      <c r="E88" s="34"/>
      <c r="F88" s="34"/>
      <c r="G88" s="34"/>
      <c r="H88" s="34"/>
      <c r="I88" s="34"/>
      <c r="J88" s="34"/>
      <c r="K88" s="34"/>
      <c r="L88" s="111"/>
      <c r="S88" s="32"/>
      <c r="T88" s="32"/>
      <c r="U88" s="32"/>
      <c r="V88" s="32"/>
      <c r="W88" s="32"/>
      <c r="X88" s="32"/>
      <c r="Y88" s="32"/>
      <c r="Z88" s="32"/>
      <c r="AA88" s="32"/>
      <c r="AB88" s="32"/>
      <c r="AC88" s="32"/>
      <c r="AD88" s="32"/>
      <c r="AE88" s="32"/>
    </row>
    <row r="89" spans="1:31" s="2" customFormat="1" ht="26.45" customHeight="1">
      <c r="A89" s="32"/>
      <c r="B89" s="33"/>
      <c r="C89" s="27" t="s">
        <v>24</v>
      </c>
      <c r="D89" s="34"/>
      <c r="E89" s="34"/>
      <c r="F89" s="25" t="str">
        <f>E19</f>
        <v xml:space="preserve">Úřad vlády České republiky </v>
      </c>
      <c r="G89" s="34"/>
      <c r="H89" s="34"/>
      <c r="I89" s="27" t="s">
        <v>30</v>
      </c>
      <c r="J89" s="30" t="str">
        <f>E25</f>
        <v>Ateliér Simona Group</v>
      </c>
      <c r="K89" s="34"/>
      <c r="L89" s="111"/>
      <c r="S89" s="32"/>
      <c r="T89" s="32"/>
      <c r="U89" s="32"/>
      <c r="V89" s="32"/>
      <c r="W89" s="32"/>
      <c r="X89" s="32"/>
      <c r="Y89" s="32"/>
      <c r="Z89" s="32"/>
      <c r="AA89" s="32"/>
      <c r="AB89" s="32"/>
      <c r="AC89" s="32"/>
      <c r="AD89" s="32"/>
      <c r="AE89" s="32"/>
    </row>
    <row r="90" spans="1:31" s="2" customFormat="1" ht="26.45" customHeight="1">
      <c r="A90" s="32"/>
      <c r="B90" s="33"/>
      <c r="C90" s="27" t="s">
        <v>28</v>
      </c>
      <c r="D90" s="34"/>
      <c r="E90" s="34"/>
      <c r="F90" s="25" t="str">
        <f>IF(E22="","",E22)</f>
        <v>Vyplň údaj</v>
      </c>
      <c r="G90" s="34"/>
      <c r="H90" s="34"/>
      <c r="I90" s="27" t="s">
        <v>33</v>
      </c>
      <c r="J90" s="30" t="str">
        <f>E28</f>
        <v>Ateliér Simona Group</v>
      </c>
      <c r="K90" s="34"/>
      <c r="L90" s="111"/>
      <c r="S90" s="32"/>
      <c r="T90" s="32"/>
      <c r="U90" s="32"/>
      <c r="V90" s="32"/>
      <c r="W90" s="32"/>
      <c r="X90" s="32"/>
      <c r="Y90" s="32"/>
      <c r="Z90" s="32"/>
      <c r="AA90" s="32"/>
      <c r="AB90" s="32"/>
      <c r="AC90" s="32"/>
      <c r="AD90" s="32"/>
      <c r="AE90" s="32"/>
    </row>
    <row r="91" spans="1:31" s="2" customFormat="1" ht="10.35" customHeight="1">
      <c r="A91" s="32"/>
      <c r="B91" s="33"/>
      <c r="C91" s="34"/>
      <c r="D91" s="34"/>
      <c r="E91" s="34"/>
      <c r="F91" s="34"/>
      <c r="G91" s="34"/>
      <c r="H91" s="34"/>
      <c r="I91" s="34"/>
      <c r="J91" s="34"/>
      <c r="K91" s="34"/>
      <c r="L91" s="111"/>
      <c r="S91" s="32"/>
      <c r="T91" s="32"/>
      <c r="U91" s="32"/>
      <c r="V91" s="32"/>
      <c r="W91" s="32"/>
      <c r="X91" s="32"/>
      <c r="Y91" s="32"/>
      <c r="Z91" s="32"/>
      <c r="AA91" s="32"/>
      <c r="AB91" s="32"/>
      <c r="AC91" s="32"/>
      <c r="AD91" s="32"/>
      <c r="AE91" s="32"/>
    </row>
    <row r="92" spans="1:31" s="11" customFormat="1" ht="29.25" customHeight="1">
      <c r="A92" s="149"/>
      <c r="B92" s="150"/>
      <c r="C92" s="151" t="s">
        <v>182</v>
      </c>
      <c r="D92" s="152" t="s">
        <v>55</v>
      </c>
      <c r="E92" s="152" t="s">
        <v>51</v>
      </c>
      <c r="F92" s="152" t="s">
        <v>52</v>
      </c>
      <c r="G92" s="152" t="s">
        <v>183</v>
      </c>
      <c r="H92" s="152" t="s">
        <v>184</v>
      </c>
      <c r="I92" s="152" t="s">
        <v>185</v>
      </c>
      <c r="J92" s="152" t="s">
        <v>149</v>
      </c>
      <c r="K92" s="153" t="s">
        <v>186</v>
      </c>
      <c r="L92" s="154"/>
      <c r="M92" s="66" t="s">
        <v>19</v>
      </c>
      <c r="N92" s="67" t="s">
        <v>40</v>
      </c>
      <c r="O92" s="67" t="s">
        <v>187</v>
      </c>
      <c r="P92" s="67" t="s">
        <v>188</v>
      </c>
      <c r="Q92" s="67" t="s">
        <v>189</v>
      </c>
      <c r="R92" s="67" t="s">
        <v>190</v>
      </c>
      <c r="S92" s="67" t="s">
        <v>191</v>
      </c>
      <c r="T92" s="68" t="s">
        <v>192</v>
      </c>
      <c r="U92" s="149"/>
      <c r="V92" s="149"/>
      <c r="W92" s="149"/>
      <c r="X92" s="149"/>
      <c r="Y92" s="149"/>
      <c r="Z92" s="149"/>
      <c r="AA92" s="149"/>
      <c r="AB92" s="149"/>
      <c r="AC92" s="149"/>
      <c r="AD92" s="149"/>
      <c r="AE92" s="149"/>
    </row>
    <row r="93" spans="1:63" s="2" customFormat="1" ht="22.9" customHeight="1">
      <c r="A93" s="32"/>
      <c r="B93" s="33"/>
      <c r="C93" s="73" t="s">
        <v>193</v>
      </c>
      <c r="D93" s="34"/>
      <c r="E93" s="34"/>
      <c r="F93" s="34"/>
      <c r="G93" s="34"/>
      <c r="H93" s="34"/>
      <c r="I93" s="34"/>
      <c r="J93" s="155">
        <f>BK93</f>
        <v>0</v>
      </c>
      <c r="K93" s="34"/>
      <c r="L93" s="37"/>
      <c r="M93" s="69"/>
      <c r="N93" s="156"/>
      <c r="O93" s="70"/>
      <c r="P93" s="157">
        <f>P94</f>
        <v>0</v>
      </c>
      <c r="Q93" s="70"/>
      <c r="R93" s="157">
        <f>R94</f>
        <v>0</v>
      </c>
      <c r="S93" s="70"/>
      <c r="T93" s="158">
        <f>T94</f>
        <v>0</v>
      </c>
      <c r="U93" s="32"/>
      <c r="V93" s="32"/>
      <c r="W93" s="32"/>
      <c r="X93" s="32"/>
      <c r="Y93" s="32"/>
      <c r="Z93" s="32"/>
      <c r="AA93" s="32"/>
      <c r="AB93" s="32"/>
      <c r="AC93" s="32"/>
      <c r="AD93" s="32"/>
      <c r="AE93" s="32"/>
      <c r="AT93" s="15" t="s">
        <v>69</v>
      </c>
      <c r="AU93" s="15" t="s">
        <v>150</v>
      </c>
      <c r="BK93" s="159">
        <f>BK94</f>
        <v>0</v>
      </c>
    </row>
    <row r="94" spans="2:63" s="12" customFormat="1" ht="25.9" customHeight="1">
      <c r="B94" s="160"/>
      <c r="C94" s="161"/>
      <c r="D94" s="162" t="s">
        <v>69</v>
      </c>
      <c r="E94" s="163" t="s">
        <v>694</v>
      </c>
      <c r="F94" s="163" t="s">
        <v>695</v>
      </c>
      <c r="G94" s="161"/>
      <c r="H94" s="161"/>
      <c r="I94" s="164"/>
      <c r="J94" s="165">
        <f>BK94</f>
        <v>0</v>
      </c>
      <c r="K94" s="161"/>
      <c r="L94" s="166"/>
      <c r="M94" s="167"/>
      <c r="N94" s="168"/>
      <c r="O94" s="168"/>
      <c r="P94" s="169">
        <f>P95</f>
        <v>0</v>
      </c>
      <c r="Q94" s="168"/>
      <c r="R94" s="169">
        <f>R95</f>
        <v>0</v>
      </c>
      <c r="S94" s="168"/>
      <c r="T94" s="170">
        <f>T95</f>
        <v>0</v>
      </c>
      <c r="AR94" s="171" t="s">
        <v>79</v>
      </c>
      <c r="AT94" s="172" t="s">
        <v>69</v>
      </c>
      <c r="AU94" s="172" t="s">
        <v>70</v>
      </c>
      <c r="AY94" s="171" t="s">
        <v>196</v>
      </c>
      <c r="BK94" s="173">
        <f>BK95</f>
        <v>0</v>
      </c>
    </row>
    <row r="95" spans="2:63" s="12" customFormat="1" ht="22.9" customHeight="1">
      <c r="B95" s="160"/>
      <c r="C95" s="161"/>
      <c r="D95" s="162" t="s">
        <v>69</v>
      </c>
      <c r="E95" s="174" t="s">
        <v>757</v>
      </c>
      <c r="F95" s="174" t="s">
        <v>758</v>
      </c>
      <c r="G95" s="161"/>
      <c r="H95" s="161"/>
      <c r="I95" s="164"/>
      <c r="J95" s="175">
        <f>BK95</f>
        <v>0</v>
      </c>
      <c r="K95" s="161"/>
      <c r="L95" s="166"/>
      <c r="M95" s="167"/>
      <c r="N95" s="168"/>
      <c r="O95" s="168"/>
      <c r="P95" s="169">
        <f>P96</f>
        <v>0</v>
      </c>
      <c r="Q95" s="168"/>
      <c r="R95" s="169">
        <f>R96</f>
        <v>0</v>
      </c>
      <c r="S95" s="168"/>
      <c r="T95" s="170">
        <f>T96</f>
        <v>0</v>
      </c>
      <c r="AR95" s="171" t="s">
        <v>79</v>
      </c>
      <c r="AT95" s="172" t="s">
        <v>69</v>
      </c>
      <c r="AU95" s="172" t="s">
        <v>77</v>
      </c>
      <c r="AY95" s="171" t="s">
        <v>196</v>
      </c>
      <c r="BK95" s="173">
        <f>BK96</f>
        <v>0</v>
      </c>
    </row>
    <row r="96" spans="1:65" s="2" customFormat="1" ht="13.9" customHeight="1">
      <c r="A96" s="32"/>
      <c r="B96" s="33"/>
      <c r="C96" s="176" t="s">
        <v>77</v>
      </c>
      <c r="D96" s="176" t="s">
        <v>198</v>
      </c>
      <c r="E96" s="177" t="s">
        <v>1460</v>
      </c>
      <c r="F96" s="178" t="s">
        <v>1461</v>
      </c>
      <c r="G96" s="179" t="s">
        <v>1437</v>
      </c>
      <c r="H96" s="180">
        <v>1</v>
      </c>
      <c r="I96" s="181">
        <f>PZTS!F73</f>
        <v>0</v>
      </c>
      <c r="J96" s="182">
        <f>ROUND(I96*H96,2)</f>
        <v>0</v>
      </c>
      <c r="K96" s="178" t="s">
        <v>19</v>
      </c>
      <c r="L96" s="37"/>
      <c r="M96" s="204" t="s">
        <v>19</v>
      </c>
      <c r="N96" s="205" t="s">
        <v>41</v>
      </c>
      <c r="O96" s="206"/>
      <c r="P96" s="207">
        <f>O96*H96</f>
        <v>0</v>
      </c>
      <c r="Q96" s="207">
        <v>0</v>
      </c>
      <c r="R96" s="207">
        <f>Q96*H96</f>
        <v>0</v>
      </c>
      <c r="S96" s="207">
        <v>0</v>
      </c>
      <c r="T96" s="208">
        <f>S96*H96</f>
        <v>0</v>
      </c>
      <c r="U96" s="32"/>
      <c r="V96" s="32"/>
      <c r="W96" s="32"/>
      <c r="X96" s="32"/>
      <c r="Y96" s="32"/>
      <c r="Z96" s="32"/>
      <c r="AA96" s="32"/>
      <c r="AB96" s="32"/>
      <c r="AC96" s="32"/>
      <c r="AD96" s="32"/>
      <c r="AE96" s="32"/>
      <c r="AR96" s="187" t="s">
        <v>270</v>
      </c>
      <c r="AT96" s="187" t="s">
        <v>198</v>
      </c>
      <c r="AU96" s="187" t="s">
        <v>79</v>
      </c>
      <c r="AY96" s="15" t="s">
        <v>196</v>
      </c>
      <c r="BE96" s="188">
        <f>IF(N96="základní",J96,0)</f>
        <v>0</v>
      </c>
      <c r="BF96" s="188">
        <f>IF(N96="snížená",J96,0)</f>
        <v>0</v>
      </c>
      <c r="BG96" s="188">
        <f>IF(N96="zákl. přenesená",J96,0)</f>
        <v>0</v>
      </c>
      <c r="BH96" s="188">
        <f>IF(N96="sníž. přenesená",J96,0)</f>
        <v>0</v>
      </c>
      <c r="BI96" s="188">
        <f>IF(N96="nulová",J96,0)</f>
        <v>0</v>
      </c>
      <c r="BJ96" s="15" t="s">
        <v>77</v>
      </c>
      <c r="BK96" s="188">
        <f>ROUND(I96*H96,2)</f>
        <v>0</v>
      </c>
      <c r="BL96" s="15" t="s">
        <v>270</v>
      </c>
      <c r="BM96" s="187" t="s">
        <v>1462</v>
      </c>
    </row>
    <row r="97" spans="1:31" s="2" customFormat="1" ht="6.95" customHeight="1">
      <c r="A97" s="32"/>
      <c r="B97" s="45"/>
      <c r="C97" s="46"/>
      <c r="D97" s="46"/>
      <c r="E97" s="46"/>
      <c r="F97" s="46"/>
      <c r="G97" s="46"/>
      <c r="H97" s="46"/>
      <c r="I97" s="46"/>
      <c r="J97" s="46"/>
      <c r="K97" s="46"/>
      <c r="L97" s="37"/>
      <c r="M97" s="32"/>
      <c r="O97" s="32"/>
      <c r="P97" s="32"/>
      <c r="Q97" s="32"/>
      <c r="R97" s="32"/>
      <c r="S97" s="32"/>
      <c r="T97" s="32"/>
      <c r="U97" s="32"/>
      <c r="V97" s="32"/>
      <c r="W97" s="32"/>
      <c r="X97" s="32"/>
      <c r="Y97" s="32"/>
      <c r="Z97" s="32"/>
      <c r="AA97" s="32"/>
      <c r="AB97" s="32"/>
      <c r="AC97" s="32"/>
      <c r="AD97" s="32"/>
      <c r="AE97" s="32"/>
    </row>
  </sheetData>
  <sheetProtection algorithmName="SHA-512" hashValue="etPJySuMLXo/LzGPYA2PEr2eHsaaiaypKkM5UcHB0E8Zz95vJ3CHC/76j/hsM3gg4sIdclptK9R1NJWLp92Z0w==" saltValue="/Y9yQuhijqGn2HeUsy2G0vEjCOhZjSfMcS6NINInTMufExTh9z4Wlm+VW+WZAcCkuTrCLKdjXaQ18X5lX2Jt1g==" spinCount="100000" sheet="1" objects="1" scenarios="1" formatColumns="0" formatRows="0" autoFilter="0"/>
  <autoFilter ref="C92:K96"/>
  <mergeCells count="15">
    <mergeCell ref="E79:H79"/>
    <mergeCell ref="E83:H83"/>
    <mergeCell ref="E81:H81"/>
    <mergeCell ref="E85:H85"/>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15E52-94CF-4790-9D15-C576B818045D}">
  <sheetPr>
    <tabColor rgb="FF00B050"/>
  </sheetPr>
  <dimension ref="A1:F78"/>
  <sheetViews>
    <sheetView workbookViewId="0" topLeftCell="A1">
      <selection activeCell="F5" sqref="F5"/>
    </sheetView>
  </sheetViews>
  <sheetFormatPr defaultColWidth="9.140625" defaultRowHeight="12"/>
  <cols>
    <col min="1" max="1" width="17.140625" style="427" customWidth="1"/>
    <col min="2" max="2" width="51.00390625" style="426" customWidth="1"/>
    <col min="3" max="3" width="6.7109375" style="422" customWidth="1"/>
    <col min="4" max="4" width="5.421875" style="422" customWidth="1"/>
    <col min="5" max="5" width="16.00390625" style="422" customWidth="1"/>
    <col min="6" max="6" width="17.140625" style="422" customWidth="1"/>
    <col min="7" max="7" width="13.28125" style="422" bestFit="1" customWidth="1"/>
    <col min="8" max="16384" width="9.28125" style="422" customWidth="1"/>
  </cols>
  <sheetData>
    <row r="1" spans="1:6" ht="15.75">
      <c r="A1" s="478" t="s">
        <v>2257</v>
      </c>
      <c r="B1" s="477"/>
      <c r="C1" s="476"/>
      <c r="D1" s="476"/>
      <c r="E1" s="476"/>
      <c r="F1" s="475" t="s">
        <v>2300</v>
      </c>
    </row>
    <row r="2" spans="1:6" ht="15">
      <c r="A2" s="465"/>
      <c r="B2" s="493" t="s">
        <v>2255</v>
      </c>
      <c r="C2" s="463"/>
      <c r="D2" s="463"/>
      <c r="E2" s="463"/>
      <c r="F2" s="463"/>
    </row>
    <row r="3" spans="1:6" ht="12">
      <c r="A3" s="474" t="s">
        <v>2029</v>
      </c>
      <c r="B3" s="473" t="s">
        <v>2220</v>
      </c>
      <c r="C3" s="472" t="s">
        <v>2219</v>
      </c>
      <c r="D3" s="472" t="s">
        <v>183</v>
      </c>
      <c r="E3" s="471" t="s">
        <v>2218</v>
      </c>
      <c r="F3" s="471" t="s">
        <v>1946</v>
      </c>
    </row>
    <row r="4" spans="1:6" ht="12">
      <c r="A4" s="462"/>
      <c r="B4" s="461" t="s">
        <v>1946</v>
      </c>
      <c r="C4" s="460"/>
      <c r="D4" s="460"/>
      <c r="E4" s="460"/>
      <c r="F4" s="795">
        <v>0</v>
      </c>
    </row>
    <row r="5" spans="1:6" ht="12">
      <c r="A5" s="458" t="s">
        <v>2164</v>
      </c>
      <c r="B5" s="457" t="s">
        <v>1737</v>
      </c>
      <c r="C5" s="456"/>
      <c r="D5" s="456"/>
      <c r="E5" s="455"/>
      <c r="F5" s="454">
        <f>F4*0.21</f>
        <v>0</v>
      </c>
    </row>
    <row r="7" spans="1:6" ht="15">
      <c r="A7" s="465"/>
      <c r="B7" s="493" t="s">
        <v>2299</v>
      </c>
      <c r="C7" s="463"/>
      <c r="D7" s="463"/>
      <c r="E7" s="463"/>
      <c r="F7" s="463"/>
    </row>
    <row r="8" spans="1:6" ht="12">
      <c r="A8" s="474" t="s">
        <v>2029</v>
      </c>
      <c r="B8" s="473" t="s">
        <v>2220</v>
      </c>
      <c r="C8" s="472" t="s">
        <v>2219</v>
      </c>
      <c r="D8" s="472" t="s">
        <v>183</v>
      </c>
      <c r="E8" s="471" t="s">
        <v>2218</v>
      </c>
      <c r="F8" s="471" t="s">
        <v>1946</v>
      </c>
    </row>
    <row r="9" spans="1:6" ht="12">
      <c r="A9" s="470" t="s">
        <v>2298</v>
      </c>
      <c r="B9" s="469" t="s">
        <v>2297</v>
      </c>
      <c r="C9" s="468">
        <v>2</v>
      </c>
      <c r="D9" s="467" t="s">
        <v>2057</v>
      </c>
      <c r="E9" s="484">
        <v>0</v>
      </c>
      <c r="F9" s="466">
        <f aca="true" t="shared" si="0" ref="F9:F14">C9*E9</f>
        <v>0</v>
      </c>
    </row>
    <row r="10" spans="1:6" ht="12">
      <c r="A10" s="470" t="s">
        <v>2296</v>
      </c>
      <c r="B10" s="469" t="s">
        <v>2295</v>
      </c>
      <c r="C10" s="468">
        <v>2</v>
      </c>
      <c r="D10" s="467" t="s">
        <v>2057</v>
      </c>
      <c r="E10" s="484">
        <v>0</v>
      </c>
      <c r="F10" s="466">
        <f t="shared" si="0"/>
        <v>0</v>
      </c>
    </row>
    <row r="11" spans="1:6" ht="12">
      <c r="A11" s="470" t="s">
        <v>2294</v>
      </c>
      <c r="B11" s="469" t="s">
        <v>2293</v>
      </c>
      <c r="C11" s="468">
        <v>11</v>
      </c>
      <c r="D11" s="467" t="s">
        <v>2057</v>
      </c>
      <c r="E11" s="484">
        <v>0</v>
      </c>
      <c r="F11" s="466">
        <f t="shared" si="0"/>
        <v>0</v>
      </c>
    </row>
    <row r="12" spans="1:6" ht="24">
      <c r="A12" s="470" t="s">
        <v>2292</v>
      </c>
      <c r="B12" s="469" t="s">
        <v>2291</v>
      </c>
      <c r="C12" s="468">
        <v>1</v>
      </c>
      <c r="D12" s="467" t="s">
        <v>2057</v>
      </c>
      <c r="E12" s="484">
        <v>0</v>
      </c>
      <c r="F12" s="466">
        <f t="shared" si="0"/>
        <v>0</v>
      </c>
    </row>
    <row r="13" spans="1:6" ht="24">
      <c r="A13" s="470" t="s">
        <v>2301</v>
      </c>
      <c r="B13" s="469" t="s">
        <v>2290</v>
      </c>
      <c r="C13" s="468">
        <v>1</v>
      </c>
      <c r="D13" s="467" t="s">
        <v>2057</v>
      </c>
      <c r="E13" s="484">
        <v>0</v>
      </c>
      <c r="F13" s="466">
        <f t="shared" si="0"/>
        <v>0</v>
      </c>
    </row>
    <row r="14" spans="1:6" ht="12">
      <c r="A14" s="470" t="s">
        <v>2289</v>
      </c>
      <c r="B14" s="469" t="s">
        <v>2288</v>
      </c>
      <c r="C14" s="468">
        <v>1</v>
      </c>
      <c r="D14" s="467" t="s">
        <v>2057</v>
      </c>
      <c r="E14" s="484">
        <v>0</v>
      </c>
      <c r="F14" s="466">
        <f t="shared" si="0"/>
        <v>0</v>
      </c>
    </row>
    <row r="15" spans="1:6" ht="12">
      <c r="A15" s="462"/>
      <c r="B15" s="461" t="s">
        <v>1946</v>
      </c>
      <c r="C15" s="460"/>
      <c r="D15" s="460"/>
      <c r="E15" s="481"/>
      <c r="F15" s="459">
        <f>SUM(F9:F14)</f>
        <v>0</v>
      </c>
    </row>
    <row r="16" spans="1:6" ht="12">
      <c r="A16" s="458" t="s">
        <v>2164</v>
      </c>
      <c r="B16" s="457" t="s">
        <v>1737</v>
      </c>
      <c r="C16" s="456"/>
      <c r="D16" s="456"/>
      <c r="E16" s="482"/>
      <c r="F16" s="454">
        <f>F15*0.21</f>
        <v>0</v>
      </c>
    </row>
    <row r="17" ht="12">
      <c r="E17" s="483"/>
    </row>
    <row r="18" spans="1:6" ht="15">
      <c r="A18" s="465"/>
      <c r="B18" s="493" t="s">
        <v>2287</v>
      </c>
      <c r="C18" s="463"/>
      <c r="D18" s="463"/>
      <c r="E18" s="480"/>
      <c r="F18" s="463"/>
    </row>
    <row r="19" spans="1:6" ht="12">
      <c r="A19" s="474" t="s">
        <v>2029</v>
      </c>
      <c r="B19" s="473" t="s">
        <v>2220</v>
      </c>
      <c r="C19" s="472" t="s">
        <v>2219</v>
      </c>
      <c r="D19" s="472" t="s">
        <v>183</v>
      </c>
      <c r="E19" s="485" t="s">
        <v>2218</v>
      </c>
      <c r="F19" s="471" t="s">
        <v>1946</v>
      </c>
    </row>
    <row r="20" spans="1:6" ht="12">
      <c r="A20" s="470" t="s">
        <v>2286</v>
      </c>
      <c r="B20" s="469" t="s">
        <v>2285</v>
      </c>
      <c r="C20" s="468">
        <v>480</v>
      </c>
      <c r="D20" s="467" t="s">
        <v>310</v>
      </c>
      <c r="E20" s="484">
        <v>0</v>
      </c>
      <c r="F20" s="466">
        <f aca="true" t="shared" si="1" ref="F20:F30">E20*C20</f>
        <v>0</v>
      </c>
    </row>
    <row r="21" spans="1:6" ht="12">
      <c r="A21" s="470" t="s">
        <v>2284</v>
      </c>
      <c r="B21" s="469" t="s">
        <v>2283</v>
      </c>
      <c r="C21" s="468">
        <v>50</v>
      </c>
      <c r="D21" s="467" t="s">
        <v>310</v>
      </c>
      <c r="E21" s="484">
        <v>0</v>
      </c>
      <c r="F21" s="466">
        <f t="shared" si="1"/>
        <v>0</v>
      </c>
    </row>
    <row r="22" spans="1:6" ht="12">
      <c r="A22" s="470" t="s">
        <v>2217</v>
      </c>
      <c r="B22" s="469" t="s">
        <v>2282</v>
      </c>
      <c r="C22" s="468">
        <v>50</v>
      </c>
      <c r="D22" s="467" t="s">
        <v>310</v>
      </c>
      <c r="E22" s="484">
        <v>0</v>
      </c>
      <c r="F22" s="466">
        <f t="shared" si="1"/>
        <v>0</v>
      </c>
    </row>
    <row r="23" spans="1:6" ht="12">
      <c r="A23" s="470" t="s">
        <v>2281</v>
      </c>
      <c r="B23" s="469" t="s">
        <v>2280</v>
      </c>
      <c r="C23" s="468">
        <v>30</v>
      </c>
      <c r="D23" s="467" t="s">
        <v>310</v>
      </c>
      <c r="E23" s="484">
        <v>0</v>
      </c>
      <c r="F23" s="466">
        <f t="shared" si="1"/>
        <v>0</v>
      </c>
    </row>
    <row r="24" spans="1:6" ht="12">
      <c r="A24" s="470">
        <v>2207028</v>
      </c>
      <c r="B24" s="469" t="s">
        <v>2279</v>
      </c>
      <c r="C24" s="468">
        <v>30</v>
      </c>
      <c r="D24" s="467" t="s">
        <v>2057</v>
      </c>
      <c r="E24" s="484">
        <v>0</v>
      </c>
      <c r="F24" s="466">
        <f t="shared" si="1"/>
        <v>0</v>
      </c>
    </row>
    <row r="25" spans="1:6" ht="12">
      <c r="A25" s="470" t="s">
        <v>2205</v>
      </c>
      <c r="B25" s="469" t="s">
        <v>2204</v>
      </c>
      <c r="C25" s="468">
        <v>30</v>
      </c>
      <c r="D25" s="467" t="s">
        <v>310</v>
      </c>
      <c r="E25" s="484">
        <v>0</v>
      </c>
      <c r="F25" s="466">
        <f t="shared" si="1"/>
        <v>0</v>
      </c>
    </row>
    <row r="26" spans="1:6" ht="12">
      <c r="A26" s="470">
        <v>19857</v>
      </c>
      <c r="B26" s="469" t="s">
        <v>2203</v>
      </c>
      <c r="C26" s="468">
        <v>90</v>
      </c>
      <c r="D26" s="467" t="s">
        <v>310</v>
      </c>
      <c r="E26" s="484">
        <v>0</v>
      </c>
      <c r="F26" s="466">
        <f t="shared" si="1"/>
        <v>0</v>
      </c>
    </row>
    <row r="27" spans="1:6" ht="12">
      <c r="A27" s="470">
        <v>19858</v>
      </c>
      <c r="B27" s="469" t="s">
        <v>2278</v>
      </c>
      <c r="C27" s="468">
        <v>70</v>
      </c>
      <c r="D27" s="467" t="s">
        <v>310</v>
      </c>
      <c r="E27" s="484">
        <v>0</v>
      </c>
      <c r="F27" s="466">
        <f t="shared" si="1"/>
        <v>0</v>
      </c>
    </row>
    <row r="28" spans="1:6" ht="12">
      <c r="A28" s="470" t="s">
        <v>2277</v>
      </c>
      <c r="B28" s="469" t="s">
        <v>2276</v>
      </c>
      <c r="C28" s="468">
        <v>9</v>
      </c>
      <c r="D28" s="467" t="s">
        <v>2057</v>
      </c>
      <c r="E28" s="484">
        <v>0</v>
      </c>
      <c r="F28" s="466">
        <f t="shared" si="1"/>
        <v>0</v>
      </c>
    </row>
    <row r="29" spans="1:6" ht="12">
      <c r="A29" s="470" t="s">
        <v>2202</v>
      </c>
      <c r="B29" s="469" t="s">
        <v>2201</v>
      </c>
      <c r="C29" s="468">
        <v>21</v>
      </c>
      <c r="D29" s="467" t="s">
        <v>2057</v>
      </c>
      <c r="E29" s="484">
        <v>0</v>
      </c>
      <c r="F29" s="466">
        <f t="shared" si="1"/>
        <v>0</v>
      </c>
    </row>
    <row r="30" spans="1:6" ht="12">
      <c r="A30" s="470" t="s">
        <v>2174</v>
      </c>
      <c r="B30" s="469" t="s">
        <v>2173</v>
      </c>
      <c r="C30" s="468">
        <v>1</v>
      </c>
      <c r="D30" s="467" t="s">
        <v>2172</v>
      </c>
      <c r="E30" s="484">
        <v>0</v>
      </c>
      <c r="F30" s="466">
        <f t="shared" si="1"/>
        <v>0</v>
      </c>
    </row>
    <row r="31" spans="1:6" ht="12">
      <c r="A31" s="462"/>
      <c r="B31" s="461" t="s">
        <v>1946</v>
      </c>
      <c r="C31" s="460"/>
      <c r="D31" s="460"/>
      <c r="E31" s="460"/>
      <c r="F31" s="459">
        <f>SUM(F20:F30)</f>
        <v>0</v>
      </c>
    </row>
    <row r="32" spans="1:6" ht="12">
      <c r="A32" s="458" t="s">
        <v>2164</v>
      </c>
      <c r="B32" s="457" t="s">
        <v>1737</v>
      </c>
      <c r="C32" s="456"/>
      <c r="D32" s="456"/>
      <c r="E32" s="455"/>
      <c r="F32" s="454">
        <f>F31*0.21</f>
        <v>0</v>
      </c>
    </row>
    <row r="34" spans="1:6" ht="15">
      <c r="A34" s="465"/>
      <c r="B34" s="493" t="s">
        <v>2171</v>
      </c>
      <c r="C34" s="463"/>
      <c r="D34" s="463"/>
      <c r="E34" s="463"/>
      <c r="F34" s="463"/>
    </row>
    <row r="35" spans="1:6" ht="12">
      <c r="A35" s="474" t="s">
        <v>2029</v>
      </c>
      <c r="B35" s="473" t="s">
        <v>2220</v>
      </c>
      <c r="C35" s="472" t="s">
        <v>2219</v>
      </c>
      <c r="D35" s="472" t="s">
        <v>183</v>
      </c>
      <c r="E35" s="471" t="s">
        <v>2218</v>
      </c>
      <c r="F35" s="471" t="s">
        <v>1946</v>
      </c>
    </row>
    <row r="36" spans="1:6" ht="12">
      <c r="A36" s="462"/>
      <c r="B36" s="461" t="s">
        <v>1946</v>
      </c>
      <c r="C36" s="460"/>
      <c r="D36" s="460"/>
      <c r="E36" s="460"/>
      <c r="F36" s="795">
        <v>0</v>
      </c>
    </row>
    <row r="37" spans="1:6" ht="12">
      <c r="A37" s="458" t="s">
        <v>2164</v>
      </c>
      <c r="B37" s="457" t="s">
        <v>1737</v>
      </c>
      <c r="C37" s="456"/>
      <c r="D37" s="456"/>
      <c r="E37" s="455"/>
      <c r="F37" s="454">
        <f>F36*0.21</f>
        <v>0</v>
      </c>
    </row>
    <row r="39" spans="1:6" ht="15">
      <c r="A39" s="465"/>
      <c r="B39" s="493" t="s">
        <v>2262</v>
      </c>
      <c r="C39" s="463"/>
      <c r="D39" s="463"/>
      <c r="E39" s="463"/>
      <c r="F39" s="463"/>
    </row>
    <row r="40" spans="1:6" ht="12">
      <c r="A40" s="474" t="s">
        <v>2029</v>
      </c>
      <c r="B40" s="473" t="s">
        <v>2220</v>
      </c>
      <c r="C40" s="472" t="s">
        <v>2219</v>
      </c>
      <c r="D40" s="472" t="s">
        <v>183</v>
      </c>
      <c r="E40" s="471" t="s">
        <v>2218</v>
      </c>
      <c r="F40" s="471" t="s">
        <v>1946</v>
      </c>
    </row>
    <row r="41" spans="1:6" ht="12">
      <c r="A41" s="462"/>
      <c r="B41" s="461" t="s">
        <v>1946</v>
      </c>
      <c r="C41" s="460"/>
      <c r="D41" s="460"/>
      <c r="E41" s="460"/>
      <c r="F41" s="795">
        <v>0</v>
      </c>
    </row>
    <row r="42" spans="1:6" ht="12">
      <c r="A42" s="458" t="s">
        <v>2164</v>
      </c>
      <c r="B42" s="457" t="s">
        <v>1737</v>
      </c>
      <c r="C42" s="456"/>
      <c r="D42" s="456"/>
      <c r="E42" s="455"/>
      <c r="F42" s="454">
        <f>F41*0.21</f>
        <v>0</v>
      </c>
    </row>
    <row r="44" spans="1:6" ht="15">
      <c r="A44" s="465"/>
      <c r="B44" s="493" t="s">
        <v>2168</v>
      </c>
      <c r="C44" s="463"/>
      <c r="D44" s="463"/>
      <c r="E44" s="463"/>
      <c r="F44" s="463"/>
    </row>
    <row r="45" spans="1:6" ht="12">
      <c r="A45" s="474" t="s">
        <v>2029</v>
      </c>
      <c r="B45" s="473" t="s">
        <v>2220</v>
      </c>
      <c r="C45" s="472" t="s">
        <v>2219</v>
      </c>
      <c r="D45" s="472" t="s">
        <v>183</v>
      </c>
      <c r="E45" s="471" t="s">
        <v>2218</v>
      </c>
      <c r="F45" s="471" t="s">
        <v>1946</v>
      </c>
    </row>
    <row r="46" spans="1:6" ht="12">
      <c r="A46" s="462"/>
      <c r="B46" s="461" t="s">
        <v>1946</v>
      </c>
      <c r="C46" s="460"/>
      <c r="D46" s="460"/>
      <c r="E46" s="460"/>
      <c r="F46" s="795">
        <v>0</v>
      </c>
    </row>
    <row r="47" spans="1:6" ht="12">
      <c r="A47" s="458" t="s">
        <v>2164</v>
      </c>
      <c r="B47" s="457" t="s">
        <v>1737</v>
      </c>
      <c r="C47" s="456"/>
      <c r="D47" s="456"/>
      <c r="E47" s="455"/>
      <c r="F47" s="454">
        <f>F46*0.21</f>
        <v>0</v>
      </c>
    </row>
    <row r="49" spans="1:6" ht="15">
      <c r="A49" s="465"/>
      <c r="B49" s="493" t="s">
        <v>2261</v>
      </c>
      <c r="C49" s="463"/>
      <c r="D49" s="463"/>
      <c r="E49" s="463"/>
      <c r="F49" s="463"/>
    </row>
    <row r="50" spans="1:6" ht="12">
      <c r="A50" s="474" t="s">
        <v>2029</v>
      </c>
      <c r="B50" s="473" t="s">
        <v>2220</v>
      </c>
      <c r="C50" s="472" t="s">
        <v>2219</v>
      </c>
      <c r="D50" s="472" t="s">
        <v>183</v>
      </c>
      <c r="E50" s="471" t="s">
        <v>2218</v>
      </c>
      <c r="F50" s="471" t="s">
        <v>1946</v>
      </c>
    </row>
    <row r="51" spans="1:6" ht="12">
      <c r="A51" s="462"/>
      <c r="B51" s="461" t="s">
        <v>1946</v>
      </c>
      <c r="C51" s="460"/>
      <c r="D51" s="460"/>
      <c r="E51" s="460"/>
      <c r="F51" s="795">
        <v>0</v>
      </c>
    </row>
    <row r="52" spans="1:6" ht="12">
      <c r="A52" s="458" t="s">
        <v>2164</v>
      </c>
      <c r="B52" s="457" t="s">
        <v>1737</v>
      </c>
      <c r="C52" s="456"/>
      <c r="D52" s="456"/>
      <c r="E52" s="455"/>
      <c r="F52" s="454">
        <f>F51*0.21</f>
        <v>0</v>
      </c>
    </row>
    <row r="54" spans="1:6" ht="15">
      <c r="A54" s="465"/>
      <c r="B54" s="493" t="s">
        <v>1538</v>
      </c>
      <c r="C54" s="463"/>
      <c r="D54" s="463"/>
      <c r="E54" s="463"/>
      <c r="F54" s="463"/>
    </row>
    <row r="55" spans="1:6" ht="12">
      <c r="A55" s="474" t="s">
        <v>2029</v>
      </c>
      <c r="B55" s="473" t="s">
        <v>2220</v>
      </c>
      <c r="C55" s="472" t="s">
        <v>2219</v>
      </c>
      <c r="D55" s="472" t="s">
        <v>183</v>
      </c>
      <c r="E55" s="471" t="s">
        <v>2218</v>
      </c>
      <c r="F55" s="471" t="s">
        <v>1946</v>
      </c>
    </row>
    <row r="56" spans="1:6" ht="12">
      <c r="A56" s="462"/>
      <c r="B56" s="461" t="s">
        <v>1946</v>
      </c>
      <c r="C56" s="460"/>
      <c r="D56" s="460"/>
      <c r="E56" s="460"/>
      <c r="F56" s="795">
        <v>0</v>
      </c>
    </row>
    <row r="57" spans="1:6" ht="12">
      <c r="A57" s="458" t="s">
        <v>2164</v>
      </c>
      <c r="B57" s="457" t="s">
        <v>1737</v>
      </c>
      <c r="C57" s="456"/>
      <c r="D57" s="456"/>
      <c r="E57" s="455"/>
      <c r="F57" s="454">
        <f>F56*0.21</f>
        <v>0</v>
      </c>
    </row>
    <row r="59" spans="1:6" ht="15">
      <c r="A59" s="465"/>
      <c r="B59" s="493" t="s">
        <v>2165</v>
      </c>
      <c r="C59" s="463"/>
      <c r="D59" s="463"/>
      <c r="E59" s="463"/>
      <c r="F59" s="463"/>
    </row>
    <row r="60" spans="1:6" ht="12">
      <c r="A60" s="474" t="s">
        <v>2029</v>
      </c>
      <c r="B60" s="473" t="s">
        <v>2220</v>
      </c>
      <c r="C60" s="472" t="s">
        <v>2219</v>
      </c>
      <c r="D60" s="472" t="s">
        <v>183</v>
      </c>
      <c r="E60" s="471" t="s">
        <v>2218</v>
      </c>
      <c r="F60" s="471" t="s">
        <v>1946</v>
      </c>
    </row>
    <row r="61" spans="1:6" ht="12">
      <c r="A61" s="462"/>
      <c r="B61" s="461" t="s">
        <v>1946</v>
      </c>
      <c r="C61" s="460"/>
      <c r="D61" s="460"/>
      <c r="E61" s="460"/>
      <c r="F61" s="795">
        <v>0</v>
      </c>
    </row>
    <row r="62" spans="1:6" ht="12">
      <c r="A62" s="458" t="s">
        <v>2164</v>
      </c>
      <c r="B62" s="457" t="s">
        <v>1737</v>
      </c>
      <c r="C62" s="456"/>
      <c r="D62" s="456"/>
      <c r="E62" s="455"/>
      <c r="F62" s="454">
        <f>F61*0.21</f>
        <v>0</v>
      </c>
    </row>
    <row r="65" spans="1:6" ht="20.25">
      <c r="A65" s="492" t="s">
        <v>2163</v>
      </c>
      <c r="B65" s="492"/>
      <c r="C65" s="491"/>
      <c r="D65" s="491"/>
      <c r="E65" s="491"/>
      <c r="F65" s="491"/>
    </row>
    <row r="66" spans="1:6" ht="14.25">
      <c r="A66" s="448" t="s">
        <v>2162</v>
      </c>
      <c r="B66" s="448" t="s">
        <v>2161</v>
      </c>
      <c r="C66" s="447"/>
      <c r="D66" s="447"/>
      <c r="E66" s="447"/>
      <c r="F66" s="447"/>
    </row>
    <row r="67" spans="1:6" ht="12">
      <c r="A67" s="422"/>
      <c r="B67" s="442" t="s">
        <v>2160</v>
      </c>
      <c r="C67" s="442"/>
      <c r="D67" s="442"/>
      <c r="E67" s="442"/>
      <c r="F67" s="490">
        <f>F15+F31</f>
        <v>0</v>
      </c>
    </row>
    <row r="68" spans="1:6" ht="12">
      <c r="A68" s="422"/>
      <c r="B68" s="442" t="s">
        <v>2159</v>
      </c>
      <c r="C68" s="442"/>
      <c r="D68" s="442"/>
      <c r="E68" s="442"/>
      <c r="F68" s="490">
        <f>F4+F36+F41+F46+F51+F56+F61</f>
        <v>0</v>
      </c>
    </row>
    <row r="69" spans="1:6" ht="12">
      <c r="A69" s="422"/>
      <c r="B69" s="442" t="s">
        <v>2158</v>
      </c>
      <c r="C69" s="442"/>
      <c r="D69" s="442"/>
      <c r="E69" s="442"/>
      <c r="F69" s="796">
        <v>0</v>
      </c>
    </row>
    <row r="70" spans="1:6" ht="12">
      <c r="A70" s="422"/>
      <c r="B70" s="442" t="s">
        <v>2157</v>
      </c>
      <c r="C70" s="442"/>
      <c r="D70" s="442"/>
      <c r="E70" s="442"/>
      <c r="F70" s="796">
        <v>0</v>
      </c>
    </row>
    <row r="71" spans="1:6" ht="12">
      <c r="A71" s="422"/>
      <c r="B71" s="442" t="s">
        <v>2156</v>
      </c>
      <c r="C71" s="442"/>
      <c r="D71" s="442"/>
      <c r="E71" s="442"/>
      <c r="F71" s="796">
        <v>0</v>
      </c>
    </row>
    <row r="72" spans="1:6" ht="12">
      <c r="A72" s="422"/>
      <c r="B72" s="442" t="s">
        <v>2155</v>
      </c>
      <c r="C72" s="442"/>
      <c r="D72" s="442"/>
      <c r="E72" s="442"/>
      <c r="F72" s="796">
        <v>0</v>
      </c>
    </row>
    <row r="73" spans="1:6" ht="15.75" thickBot="1">
      <c r="A73" s="433"/>
      <c r="B73" s="434" t="s">
        <v>2034</v>
      </c>
      <c r="C73" s="433"/>
      <c r="D73" s="433"/>
      <c r="E73" s="433"/>
      <c r="F73" s="487">
        <f>SUM(F67:F72)</f>
        <v>0</v>
      </c>
    </row>
    <row r="74" spans="1:2" ht="12">
      <c r="A74" s="422"/>
      <c r="B74" s="422"/>
    </row>
    <row r="75" spans="1:6" ht="15">
      <c r="A75" s="422"/>
      <c r="B75" s="443" t="s">
        <v>2154</v>
      </c>
      <c r="C75" s="442"/>
      <c r="D75" s="442"/>
      <c r="E75" s="442"/>
      <c r="F75" s="442"/>
    </row>
    <row r="76" spans="1:6" ht="12">
      <c r="A76" s="422"/>
      <c r="B76" s="439" t="s">
        <v>1737</v>
      </c>
      <c r="C76" s="437"/>
      <c r="D76" s="489">
        <v>0.21</v>
      </c>
      <c r="E76" s="437"/>
      <c r="F76" s="488">
        <f>F73*0.21</f>
        <v>0</v>
      </c>
    </row>
    <row r="77" spans="1:6" ht="15.75" thickBot="1">
      <c r="A77" s="433"/>
      <c r="B77" s="434" t="s">
        <v>2153</v>
      </c>
      <c r="C77" s="433"/>
      <c r="D77" s="433"/>
      <c r="E77" s="433"/>
      <c r="F77" s="487">
        <f>SUM(F73:F76)</f>
        <v>0</v>
      </c>
    </row>
    <row r="78" ht="153">
      <c r="B78" s="486" t="s">
        <v>1987</v>
      </c>
    </row>
  </sheetData>
  <sheetProtection algorithmName="SHA-512" hashValue="Kr3d3H/l0cRhm49hiHmy8d3UpX0B9QqIBaSqM92fh1zua4QJEuKEL5oIL6L1xf1ltS9SAJz831H2NNoqt8d6cw==" saltValue="ji8ChE1jzB6Q48ZH9awTRQ==" spinCount="100000" sheet="1" objects="1" scenarios="1"/>
  <printOptions horizontalCentered="1"/>
  <pageMargins left="0.3937007874015748" right="0.2362204724409449" top="0.3937007874015748" bottom="0.3937007874015748" header="0" footer="0"/>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pageSetUpPr fitToPage="1"/>
  </sheetPr>
  <dimension ref="A2:BM97"/>
  <sheetViews>
    <sheetView showGridLines="0" workbookViewId="0" topLeftCell="A72">
      <selection activeCell="I96" sqref="I96"/>
    </sheetView>
  </sheetViews>
  <sheetFormatPr defaultColWidth="9.140625" defaultRowHeight="12"/>
  <cols>
    <col min="1" max="1" width="8.8515625" style="1" customWidth="1"/>
    <col min="2" max="2" width="1.1484375" style="1" customWidth="1"/>
    <col min="3" max="4" width="4.421875" style="1" customWidth="1"/>
    <col min="5" max="5" width="18.28125" style="1" customWidth="1"/>
    <col min="6" max="6" width="108.00390625" style="1" customWidth="1"/>
    <col min="7" max="7" width="8.00390625" style="1" customWidth="1"/>
    <col min="8" max="8" width="12.28125" style="1" customWidth="1"/>
    <col min="9" max="11" width="21.421875" style="1" customWidth="1"/>
    <col min="12" max="12" width="10.00390625" style="1" customWidth="1"/>
    <col min="13" max="13" width="11.421875" style="1" hidden="1" customWidth="1"/>
    <col min="14" max="14" width="9.140625" style="1" hidden="1" customWidth="1"/>
    <col min="15" max="20" width="15.140625" style="1" hidden="1" customWidth="1"/>
    <col min="21" max="21" width="17.421875" style="1" hidden="1" customWidth="1"/>
    <col min="22" max="22" width="13.140625" style="1" customWidth="1"/>
    <col min="23" max="23" width="17.421875" style="1" customWidth="1"/>
    <col min="24" max="24" width="13.140625" style="1" customWidth="1"/>
    <col min="25" max="25" width="16.00390625" style="1" customWidth="1"/>
    <col min="26" max="26" width="11.7109375" style="1" customWidth="1"/>
    <col min="27" max="27" width="16.00390625" style="1" customWidth="1"/>
    <col min="28" max="28" width="17.421875" style="1" customWidth="1"/>
    <col min="29" max="29" width="11.7109375" style="1" customWidth="1"/>
    <col min="30" max="30" width="16.00390625" style="1" customWidth="1"/>
    <col min="31" max="31" width="17.421875" style="1" customWidth="1"/>
    <col min="44" max="65" width="9.140625" style="1" hidden="1" customWidth="1"/>
  </cols>
  <sheetData>
    <row r="1" ht="12"/>
    <row r="2" spans="12:46" s="1" customFormat="1" ht="36.95" customHeight="1">
      <c r="L2" s="682"/>
      <c r="M2" s="682"/>
      <c r="N2" s="682"/>
      <c r="O2" s="682"/>
      <c r="P2" s="682"/>
      <c r="Q2" s="682"/>
      <c r="R2" s="682"/>
      <c r="S2" s="682"/>
      <c r="T2" s="682"/>
      <c r="U2" s="682"/>
      <c r="V2" s="682"/>
      <c r="AT2" s="15" t="s">
        <v>112</v>
      </c>
    </row>
    <row r="3" spans="2:46" s="1" customFormat="1" ht="6.95" customHeight="1">
      <c r="B3" s="106"/>
      <c r="C3" s="107"/>
      <c r="D3" s="107"/>
      <c r="E3" s="107"/>
      <c r="F3" s="107"/>
      <c r="G3" s="107"/>
      <c r="H3" s="107"/>
      <c r="I3" s="107"/>
      <c r="J3" s="107"/>
      <c r="K3" s="107"/>
      <c r="L3" s="18"/>
      <c r="AT3" s="15" t="s">
        <v>79</v>
      </c>
    </row>
    <row r="4" spans="2:46" s="1" customFormat="1" ht="24.95" customHeight="1">
      <c r="B4" s="18"/>
      <c r="D4" s="108" t="s">
        <v>141</v>
      </c>
      <c r="L4" s="18"/>
      <c r="M4" s="109" t="s">
        <v>10</v>
      </c>
      <c r="AT4" s="15" t="s">
        <v>4</v>
      </c>
    </row>
    <row r="5" spans="2:12" s="1" customFormat="1" ht="6.95" customHeight="1">
      <c r="B5" s="18"/>
      <c r="L5" s="18"/>
    </row>
    <row r="6" spans="2:12" s="1" customFormat="1" ht="12" customHeight="1">
      <c r="B6" s="18"/>
      <c r="D6" s="110" t="s">
        <v>16</v>
      </c>
      <c r="L6" s="18"/>
    </row>
    <row r="7" spans="2:12" s="1" customFormat="1" ht="14.45" customHeight="1">
      <c r="B7" s="18"/>
      <c r="E7" s="702" t="str">
        <f>'Rekapitulace stavby'!K6</f>
        <v>Úpravy gastroprovozu Úřadu vlády ČR v 1.pp Strakovy akademie</v>
      </c>
      <c r="F7" s="703"/>
      <c r="G7" s="703"/>
      <c r="H7" s="703"/>
      <c r="L7" s="18"/>
    </row>
    <row r="8" spans="2:12" ht="12.75">
      <c r="B8" s="18"/>
      <c r="D8" s="110" t="s">
        <v>142</v>
      </c>
      <c r="L8" s="18"/>
    </row>
    <row r="9" spans="2:12" s="1" customFormat="1" ht="14.45" customHeight="1">
      <c r="B9" s="18"/>
      <c r="E9" s="702" t="s">
        <v>1429</v>
      </c>
      <c r="F9" s="682"/>
      <c r="G9" s="682"/>
      <c r="H9" s="682"/>
      <c r="L9" s="18"/>
    </row>
    <row r="10" spans="2:12" s="1" customFormat="1" ht="12" customHeight="1">
      <c r="B10" s="18"/>
      <c r="D10" s="110" t="s">
        <v>144</v>
      </c>
      <c r="L10" s="18"/>
    </row>
    <row r="11" spans="1:31" s="2" customFormat="1" ht="14.45" customHeight="1">
      <c r="A11" s="32"/>
      <c r="B11" s="37"/>
      <c r="C11" s="32"/>
      <c r="D11" s="32"/>
      <c r="E11" s="747" t="s">
        <v>1449</v>
      </c>
      <c r="F11" s="704"/>
      <c r="G11" s="704"/>
      <c r="H11" s="704"/>
      <c r="I11" s="32"/>
      <c r="J11" s="32"/>
      <c r="K11" s="32"/>
      <c r="L11" s="111"/>
      <c r="S11" s="32"/>
      <c r="T11" s="32"/>
      <c r="U11" s="32"/>
      <c r="V11" s="32"/>
      <c r="W11" s="32"/>
      <c r="X11" s="32"/>
      <c r="Y11" s="32"/>
      <c r="Z11" s="32"/>
      <c r="AA11" s="32"/>
      <c r="AB11" s="32"/>
      <c r="AC11" s="32"/>
      <c r="AD11" s="32"/>
      <c r="AE11" s="32"/>
    </row>
    <row r="12" spans="1:31" s="2" customFormat="1" ht="12" customHeight="1">
      <c r="A12" s="32"/>
      <c r="B12" s="37"/>
      <c r="C12" s="32"/>
      <c r="D12" s="110" t="s">
        <v>1450</v>
      </c>
      <c r="E12" s="32"/>
      <c r="F12" s="32"/>
      <c r="G12" s="32"/>
      <c r="H12" s="32"/>
      <c r="I12" s="32"/>
      <c r="J12" s="32"/>
      <c r="K12" s="32"/>
      <c r="L12" s="111"/>
      <c r="S12" s="32"/>
      <c r="T12" s="32"/>
      <c r="U12" s="32"/>
      <c r="V12" s="32"/>
      <c r="W12" s="32"/>
      <c r="X12" s="32"/>
      <c r="Y12" s="32"/>
      <c r="Z12" s="32"/>
      <c r="AA12" s="32"/>
      <c r="AB12" s="32"/>
      <c r="AC12" s="32"/>
      <c r="AD12" s="32"/>
      <c r="AE12" s="32"/>
    </row>
    <row r="13" spans="1:31" s="2" customFormat="1" ht="14.45" customHeight="1">
      <c r="A13" s="32"/>
      <c r="B13" s="37"/>
      <c r="C13" s="32"/>
      <c r="D13" s="32"/>
      <c r="E13" s="705" t="s">
        <v>1463</v>
      </c>
      <c r="F13" s="704"/>
      <c r="G13" s="704"/>
      <c r="H13" s="704"/>
      <c r="I13" s="32"/>
      <c r="J13" s="32"/>
      <c r="K13" s="32"/>
      <c r="L13" s="111"/>
      <c r="S13" s="32"/>
      <c r="T13" s="32"/>
      <c r="U13" s="32"/>
      <c r="V13" s="32"/>
      <c r="W13" s="32"/>
      <c r="X13" s="32"/>
      <c r="Y13" s="32"/>
      <c r="Z13" s="32"/>
      <c r="AA13" s="32"/>
      <c r="AB13" s="32"/>
      <c r="AC13" s="32"/>
      <c r="AD13" s="32"/>
      <c r="AE13" s="32"/>
    </row>
    <row r="14" spans="1:31" s="2" customFormat="1" ht="12">
      <c r="A14" s="32"/>
      <c r="B14" s="37"/>
      <c r="C14" s="32"/>
      <c r="D14" s="32"/>
      <c r="E14" s="32"/>
      <c r="F14" s="32"/>
      <c r="G14" s="32"/>
      <c r="H14" s="32"/>
      <c r="I14" s="32"/>
      <c r="J14" s="32"/>
      <c r="K14" s="32"/>
      <c r="L14" s="111"/>
      <c r="S14" s="32"/>
      <c r="T14" s="32"/>
      <c r="U14" s="32"/>
      <c r="V14" s="32"/>
      <c r="W14" s="32"/>
      <c r="X14" s="32"/>
      <c r="Y14" s="32"/>
      <c r="Z14" s="32"/>
      <c r="AA14" s="32"/>
      <c r="AB14" s="32"/>
      <c r="AC14" s="32"/>
      <c r="AD14" s="32"/>
      <c r="AE14" s="32"/>
    </row>
    <row r="15" spans="1:31" s="2" customFormat="1" ht="12" customHeight="1">
      <c r="A15" s="32"/>
      <c r="B15" s="37"/>
      <c r="C15" s="32"/>
      <c r="D15" s="110" t="s">
        <v>18</v>
      </c>
      <c r="E15" s="32"/>
      <c r="F15" s="101" t="s">
        <v>19</v>
      </c>
      <c r="G15" s="32"/>
      <c r="H15" s="32"/>
      <c r="I15" s="110" t="s">
        <v>20</v>
      </c>
      <c r="J15" s="101" t="s">
        <v>19</v>
      </c>
      <c r="K15" s="32"/>
      <c r="L15" s="111"/>
      <c r="S15" s="32"/>
      <c r="T15" s="32"/>
      <c r="U15" s="32"/>
      <c r="V15" s="32"/>
      <c r="W15" s="32"/>
      <c r="X15" s="32"/>
      <c r="Y15" s="32"/>
      <c r="Z15" s="32"/>
      <c r="AA15" s="32"/>
      <c r="AB15" s="32"/>
      <c r="AC15" s="32"/>
      <c r="AD15" s="32"/>
      <c r="AE15" s="32"/>
    </row>
    <row r="16" spans="1:31" s="2" customFormat="1" ht="12" customHeight="1">
      <c r="A16" s="32"/>
      <c r="B16" s="37"/>
      <c r="C16" s="32"/>
      <c r="D16" s="110" t="s">
        <v>21</v>
      </c>
      <c r="E16" s="32"/>
      <c r="F16" s="101" t="s">
        <v>146</v>
      </c>
      <c r="G16" s="32"/>
      <c r="H16" s="32"/>
      <c r="I16" s="110" t="s">
        <v>23</v>
      </c>
      <c r="J16" s="112" t="str">
        <f>'Rekapitulace stavby'!AN8</f>
        <v>Vyplň údaj</v>
      </c>
      <c r="K16" s="32"/>
      <c r="L16" s="111"/>
      <c r="S16" s="32"/>
      <c r="T16" s="32"/>
      <c r="U16" s="32"/>
      <c r="V16" s="32"/>
      <c r="W16" s="32"/>
      <c r="X16" s="32"/>
      <c r="Y16" s="32"/>
      <c r="Z16" s="32"/>
      <c r="AA16" s="32"/>
      <c r="AB16" s="32"/>
      <c r="AC16" s="32"/>
      <c r="AD16" s="32"/>
      <c r="AE16" s="32"/>
    </row>
    <row r="17" spans="1:31" s="2" customFormat="1" ht="10.9" customHeight="1">
      <c r="A17" s="32"/>
      <c r="B17" s="37"/>
      <c r="C17" s="32"/>
      <c r="D17" s="32"/>
      <c r="E17" s="32"/>
      <c r="F17" s="32"/>
      <c r="G17" s="32"/>
      <c r="H17" s="32"/>
      <c r="I17" s="32"/>
      <c r="J17" s="32"/>
      <c r="K17" s="32"/>
      <c r="L17" s="111"/>
      <c r="S17" s="32"/>
      <c r="T17" s="32"/>
      <c r="U17" s="32"/>
      <c r="V17" s="32"/>
      <c r="W17" s="32"/>
      <c r="X17" s="32"/>
      <c r="Y17" s="32"/>
      <c r="Z17" s="32"/>
      <c r="AA17" s="32"/>
      <c r="AB17" s="32"/>
      <c r="AC17" s="32"/>
      <c r="AD17" s="32"/>
      <c r="AE17" s="32"/>
    </row>
    <row r="18" spans="1:31" s="2" customFormat="1" ht="12" customHeight="1">
      <c r="A18" s="32"/>
      <c r="B18" s="37"/>
      <c r="C18" s="32"/>
      <c r="D18" s="110" t="s">
        <v>24</v>
      </c>
      <c r="E18" s="32"/>
      <c r="F18" s="32"/>
      <c r="G18" s="32"/>
      <c r="H18" s="32"/>
      <c r="I18" s="110" t="s">
        <v>25</v>
      </c>
      <c r="J18" s="101" t="s">
        <v>19</v>
      </c>
      <c r="K18" s="32"/>
      <c r="L18" s="111"/>
      <c r="S18" s="32"/>
      <c r="T18" s="32"/>
      <c r="U18" s="32"/>
      <c r="V18" s="32"/>
      <c r="W18" s="32"/>
      <c r="X18" s="32"/>
      <c r="Y18" s="32"/>
      <c r="Z18" s="32"/>
      <c r="AA18" s="32"/>
      <c r="AB18" s="32"/>
      <c r="AC18" s="32"/>
      <c r="AD18" s="32"/>
      <c r="AE18" s="32"/>
    </row>
    <row r="19" spans="1:31" s="2" customFormat="1" ht="18" customHeight="1">
      <c r="A19" s="32"/>
      <c r="B19" s="37"/>
      <c r="C19" s="32"/>
      <c r="D19" s="32"/>
      <c r="E19" s="101" t="s">
        <v>26</v>
      </c>
      <c r="F19" s="32"/>
      <c r="G19" s="32"/>
      <c r="H19" s="32"/>
      <c r="I19" s="110" t="s">
        <v>27</v>
      </c>
      <c r="J19" s="101" t="s">
        <v>19</v>
      </c>
      <c r="K19" s="32"/>
      <c r="L19" s="111"/>
      <c r="S19" s="32"/>
      <c r="T19" s="32"/>
      <c r="U19" s="32"/>
      <c r="V19" s="32"/>
      <c r="W19" s="32"/>
      <c r="X19" s="32"/>
      <c r="Y19" s="32"/>
      <c r="Z19" s="32"/>
      <c r="AA19" s="32"/>
      <c r="AB19" s="32"/>
      <c r="AC19" s="32"/>
      <c r="AD19" s="32"/>
      <c r="AE19" s="32"/>
    </row>
    <row r="20" spans="1:31" s="2" customFormat="1" ht="6.95" customHeight="1">
      <c r="A20" s="32"/>
      <c r="B20" s="37"/>
      <c r="C20" s="32"/>
      <c r="D20" s="32"/>
      <c r="E20" s="32"/>
      <c r="F20" s="32"/>
      <c r="G20" s="32"/>
      <c r="H20" s="32"/>
      <c r="I20" s="32"/>
      <c r="J20" s="32"/>
      <c r="K20" s="32"/>
      <c r="L20" s="111"/>
      <c r="S20" s="32"/>
      <c r="T20" s="32"/>
      <c r="U20" s="32"/>
      <c r="V20" s="32"/>
      <c r="W20" s="32"/>
      <c r="X20" s="32"/>
      <c r="Y20" s="32"/>
      <c r="Z20" s="32"/>
      <c r="AA20" s="32"/>
      <c r="AB20" s="32"/>
      <c r="AC20" s="32"/>
      <c r="AD20" s="32"/>
      <c r="AE20" s="32"/>
    </row>
    <row r="21" spans="1:31" s="2" customFormat="1" ht="12" customHeight="1">
      <c r="A21" s="32"/>
      <c r="B21" s="37"/>
      <c r="C21" s="32"/>
      <c r="D21" s="110" t="s">
        <v>28</v>
      </c>
      <c r="E21" s="32"/>
      <c r="F21" s="32"/>
      <c r="G21" s="32"/>
      <c r="H21" s="32"/>
      <c r="I21" s="110" t="s">
        <v>25</v>
      </c>
      <c r="J21" s="28" t="str">
        <f>'Rekapitulace stavby'!AN13</f>
        <v>Vyplň údaj</v>
      </c>
      <c r="K21" s="32"/>
      <c r="L21" s="111"/>
      <c r="S21" s="32"/>
      <c r="T21" s="32"/>
      <c r="U21" s="32"/>
      <c r="V21" s="32"/>
      <c r="W21" s="32"/>
      <c r="X21" s="32"/>
      <c r="Y21" s="32"/>
      <c r="Z21" s="32"/>
      <c r="AA21" s="32"/>
      <c r="AB21" s="32"/>
      <c r="AC21" s="32"/>
      <c r="AD21" s="32"/>
      <c r="AE21" s="32"/>
    </row>
    <row r="22" spans="1:31" s="2" customFormat="1" ht="18" customHeight="1">
      <c r="A22" s="32"/>
      <c r="B22" s="37"/>
      <c r="C22" s="32"/>
      <c r="D22" s="32"/>
      <c r="E22" s="706" t="str">
        <f>'Rekapitulace stavby'!E14</f>
        <v>Vyplň údaj</v>
      </c>
      <c r="F22" s="707"/>
      <c r="G22" s="707"/>
      <c r="H22" s="707"/>
      <c r="I22" s="110" t="s">
        <v>27</v>
      </c>
      <c r="J22" s="28" t="str">
        <f>'Rekapitulace stavby'!AN14</f>
        <v>Vyplň údaj</v>
      </c>
      <c r="K22" s="32"/>
      <c r="L22" s="111"/>
      <c r="S22" s="32"/>
      <c r="T22" s="32"/>
      <c r="U22" s="32"/>
      <c r="V22" s="32"/>
      <c r="W22" s="32"/>
      <c r="X22" s="32"/>
      <c r="Y22" s="32"/>
      <c r="Z22" s="32"/>
      <c r="AA22" s="32"/>
      <c r="AB22" s="32"/>
      <c r="AC22" s="32"/>
      <c r="AD22" s="32"/>
      <c r="AE22" s="32"/>
    </row>
    <row r="23" spans="1:31" s="2" customFormat="1" ht="6.95" customHeight="1">
      <c r="A23" s="32"/>
      <c r="B23" s="37"/>
      <c r="C23" s="32"/>
      <c r="D23" s="32"/>
      <c r="E23" s="32"/>
      <c r="F23" s="32"/>
      <c r="G23" s="32"/>
      <c r="H23" s="32"/>
      <c r="I23" s="32"/>
      <c r="J23" s="32"/>
      <c r="K23" s="32"/>
      <c r="L23" s="111"/>
      <c r="S23" s="32"/>
      <c r="T23" s="32"/>
      <c r="U23" s="32"/>
      <c r="V23" s="32"/>
      <c r="W23" s="32"/>
      <c r="X23" s="32"/>
      <c r="Y23" s="32"/>
      <c r="Z23" s="32"/>
      <c r="AA23" s="32"/>
      <c r="AB23" s="32"/>
      <c r="AC23" s="32"/>
      <c r="AD23" s="32"/>
      <c r="AE23" s="32"/>
    </row>
    <row r="24" spans="1:31" s="2" customFormat="1" ht="12" customHeight="1">
      <c r="A24" s="32"/>
      <c r="B24" s="37"/>
      <c r="C24" s="32"/>
      <c r="D24" s="110" t="s">
        <v>30</v>
      </c>
      <c r="E24" s="32"/>
      <c r="F24" s="32"/>
      <c r="G24" s="32"/>
      <c r="H24" s="32"/>
      <c r="I24" s="110" t="s">
        <v>25</v>
      </c>
      <c r="J24" s="101" t="s">
        <v>19</v>
      </c>
      <c r="K24" s="32"/>
      <c r="L24" s="111"/>
      <c r="S24" s="32"/>
      <c r="T24" s="32"/>
      <c r="U24" s="32"/>
      <c r="V24" s="32"/>
      <c r="W24" s="32"/>
      <c r="X24" s="32"/>
      <c r="Y24" s="32"/>
      <c r="Z24" s="32"/>
      <c r="AA24" s="32"/>
      <c r="AB24" s="32"/>
      <c r="AC24" s="32"/>
      <c r="AD24" s="32"/>
      <c r="AE24" s="32"/>
    </row>
    <row r="25" spans="1:31" s="2" customFormat="1" ht="18" customHeight="1">
      <c r="A25" s="32"/>
      <c r="B25" s="37"/>
      <c r="C25" s="32"/>
      <c r="D25" s="32"/>
      <c r="E25" s="101" t="s">
        <v>31</v>
      </c>
      <c r="F25" s="32"/>
      <c r="G25" s="32"/>
      <c r="H25" s="32"/>
      <c r="I25" s="110" t="s">
        <v>27</v>
      </c>
      <c r="J25" s="101" t="s">
        <v>19</v>
      </c>
      <c r="K25" s="32"/>
      <c r="L25" s="111"/>
      <c r="S25" s="32"/>
      <c r="T25" s="32"/>
      <c r="U25" s="32"/>
      <c r="V25" s="32"/>
      <c r="W25" s="32"/>
      <c r="X25" s="32"/>
      <c r="Y25" s="32"/>
      <c r="Z25" s="32"/>
      <c r="AA25" s="32"/>
      <c r="AB25" s="32"/>
      <c r="AC25" s="32"/>
      <c r="AD25" s="32"/>
      <c r="AE25" s="32"/>
    </row>
    <row r="26" spans="1:31" s="2" customFormat="1" ht="6.95" customHeight="1">
      <c r="A26" s="32"/>
      <c r="B26" s="37"/>
      <c r="C26" s="32"/>
      <c r="D26" s="32"/>
      <c r="E26" s="32"/>
      <c r="F26" s="32"/>
      <c r="G26" s="32"/>
      <c r="H26" s="32"/>
      <c r="I26" s="32"/>
      <c r="J26" s="32"/>
      <c r="K26" s="32"/>
      <c r="L26" s="111"/>
      <c r="S26" s="32"/>
      <c r="T26" s="32"/>
      <c r="U26" s="32"/>
      <c r="V26" s="32"/>
      <c r="W26" s="32"/>
      <c r="X26" s="32"/>
      <c r="Y26" s="32"/>
      <c r="Z26" s="32"/>
      <c r="AA26" s="32"/>
      <c r="AB26" s="32"/>
      <c r="AC26" s="32"/>
      <c r="AD26" s="32"/>
      <c r="AE26" s="32"/>
    </row>
    <row r="27" spans="1:31" s="2" customFormat="1" ht="12" customHeight="1">
      <c r="A27" s="32"/>
      <c r="B27" s="37"/>
      <c r="C27" s="32"/>
      <c r="D27" s="110" t="s">
        <v>33</v>
      </c>
      <c r="E27" s="32"/>
      <c r="F27" s="32"/>
      <c r="G27" s="32"/>
      <c r="H27" s="32"/>
      <c r="I27" s="110" t="s">
        <v>25</v>
      </c>
      <c r="J27" s="101" t="s">
        <v>19</v>
      </c>
      <c r="K27" s="32"/>
      <c r="L27" s="111"/>
      <c r="S27" s="32"/>
      <c r="T27" s="32"/>
      <c r="U27" s="32"/>
      <c r="V27" s="32"/>
      <c r="W27" s="32"/>
      <c r="X27" s="32"/>
      <c r="Y27" s="32"/>
      <c r="Z27" s="32"/>
      <c r="AA27" s="32"/>
      <c r="AB27" s="32"/>
      <c r="AC27" s="32"/>
      <c r="AD27" s="32"/>
      <c r="AE27" s="32"/>
    </row>
    <row r="28" spans="1:31" s="2" customFormat="1" ht="18" customHeight="1">
      <c r="A28" s="32"/>
      <c r="B28" s="37"/>
      <c r="C28" s="32"/>
      <c r="D28" s="32"/>
      <c r="E28" s="101" t="s">
        <v>31</v>
      </c>
      <c r="F28" s="32"/>
      <c r="G28" s="32"/>
      <c r="H28" s="32"/>
      <c r="I28" s="110" t="s">
        <v>27</v>
      </c>
      <c r="J28" s="101" t="s">
        <v>19</v>
      </c>
      <c r="K28" s="32"/>
      <c r="L28" s="111"/>
      <c r="S28" s="32"/>
      <c r="T28" s="32"/>
      <c r="U28" s="32"/>
      <c r="V28" s="32"/>
      <c r="W28" s="32"/>
      <c r="X28" s="32"/>
      <c r="Y28" s="32"/>
      <c r="Z28" s="32"/>
      <c r="AA28" s="32"/>
      <c r="AB28" s="32"/>
      <c r="AC28" s="32"/>
      <c r="AD28" s="32"/>
      <c r="AE28" s="32"/>
    </row>
    <row r="29" spans="1:31" s="2" customFormat="1" ht="6.95" customHeight="1">
      <c r="A29" s="32"/>
      <c r="B29" s="37"/>
      <c r="C29" s="32"/>
      <c r="D29" s="32"/>
      <c r="E29" s="32"/>
      <c r="F29" s="32"/>
      <c r="G29" s="32"/>
      <c r="H29" s="32"/>
      <c r="I29" s="32"/>
      <c r="J29" s="32"/>
      <c r="K29" s="32"/>
      <c r="L29" s="111"/>
      <c r="S29" s="32"/>
      <c r="T29" s="32"/>
      <c r="U29" s="32"/>
      <c r="V29" s="32"/>
      <c r="W29" s="32"/>
      <c r="X29" s="32"/>
      <c r="Y29" s="32"/>
      <c r="Z29" s="32"/>
      <c r="AA29" s="32"/>
      <c r="AB29" s="32"/>
      <c r="AC29" s="32"/>
      <c r="AD29" s="32"/>
      <c r="AE29" s="32"/>
    </row>
    <row r="30" spans="1:31" s="2" customFormat="1" ht="12" customHeight="1">
      <c r="A30" s="32"/>
      <c r="B30" s="37"/>
      <c r="C30" s="32"/>
      <c r="D30" s="110" t="s">
        <v>34</v>
      </c>
      <c r="E30" s="32"/>
      <c r="F30" s="32"/>
      <c r="G30" s="32"/>
      <c r="H30" s="32"/>
      <c r="I30" s="32"/>
      <c r="J30" s="32"/>
      <c r="K30" s="32"/>
      <c r="L30" s="111"/>
      <c r="S30" s="32"/>
      <c r="T30" s="32"/>
      <c r="U30" s="32"/>
      <c r="V30" s="32"/>
      <c r="W30" s="32"/>
      <c r="X30" s="32"/>
      <c r="Y30" s="32"/>
      <c r="Z30" s="32"/>
      <c r="AA30" s="32"/>
      <c r="AB30" s="32"/>
      <c r="AC30" s="32"/>
      <c r="AD30" s="32"/>
      <c r="AE30" s="32"/>
    </row>
    <row r="31" spans="1:31" s="8" customFormat="1" ht="14.45" customHeight="1">
      <c r="A31" s="113"/>
      <c r="B31" s="114"/>
      <c r="C31" s="113"/>
      <c r="D31" s="113"/>
      <c r="E31" s="708" t="s">
        <v>19</v>
      </c>
      <c r="F31" s="708"/>
      <c r="G31" s="708"/>
      <c r="H31" s="708"/>
      <c r="I31" s="113"/>
      <c r="J31" s="113"/>
      <c r="K31" s="113"/>
      <c r="L31" s="115"/>
      <c r="S31" s="113"/>
      <c r="T31" s="113"/>
      <c r="U31" s="113"/>
      <c r="V31" s="113"/>
      <c r="W31" s="113"/>
      <c r="X31" s="113"/>
      <c r="Y31" s="113"/>
      <c r="Z31" s="113"/>
      <c r="AA31" s="113"/>
      <c r="AB31" s="113"/>
      <c r="AC31" s="113"/>
      <c r="AD31" s="113"/>
      <c r="AE31" s="113"/>
    </row>
    <row r="32" spans="1:31" s="2" customFormat="1" ht="6.95" customHeight="1">
      <c r="A32" s="32"/>
      <c r="B32" s="37"/>
      <c r="C32" s="32"/>
      <c r="D32" s="32"/>
      <c r="E32" s="32"/>
      <c r="F32" s="32"/>
      <c r="G32" s="32"/>
      <c r="H32" s="32"/>
      <c r="I32" s="32"/>
      <c r="J32" s="32"/>
      <c r="K32" s="32"/>
      <c r="L32" s="111"/>
      <c r="S32" s="32"/>
      <c r="T32" s="32"/>
      <c r="U32" s="32"/>
      <c r="V32" s="32"/>
      <c r="W32" s="32"/>
      <c r="X32" s="32"/>
      <c r="Y32" s="32"/>
      <c r="Z32" s="32"/>
      <c r="AA32" s="32"/>
      <c r="AB32" s="32"/>
      <c r="AC32" s="32"/>
      <c r="AD32" s="32"/>
      <c r="AE32" s="32"/>
    </row>
    <row r="33" spans="1:31" s="2" customFormat="1" ht="6.95" customHeight="1">
      <c r="A33" s="32"/>
      <c r="B33" s="37"/>
      <c r="C33" s="32"/>
      <c r="D33" s="116"/>
      <c r="E33" s="116"/>
      <c r="F33" s="116"/>
      <c r="G33" s="116"/>
      <c r="H33" s="116"/>
      <c r="I33" s="116"/>
      <c r="J33" s="116"/>
      <c r="K33" s="116"/>
      <c r="L33" s="111"/>
      <c r="S33" s="32"/>
      <c r="T33" s="32"/>
      <c r="U33" s="32"/>
      <c r="V33" s="32"/>
      <c r="W33" s="32"/>
      <c r="X33" s="32"/>
      <c r="Y33" s="32"/>
      <c r="Z33" s="32"/>
      <c r="AA33" s="32"/>
      <c r="AB33" s="32"/>
      <c r="AC33" s="32"/>
      <c r="AD33" s="32"/>
      <c r="AE33" s="32"/>
    </row>
    <row r="34" spans="1:31" s="2" customFormat="1" ht="25.35" customHeight="1">
      <c r="A34" s="32"/>
      <c r="B34" s="37"/>
      <c r="C34" s="32"/>
      <c r="D34" s="117" t="s">
        <v>36</v>
      </c>
      <c r="E34" s="32"/>
      <c r="F34" s="32"/>
      <c r="G34" s="32"/>
      <c r="H34" s="32"/>
      <c r="I34" s="32"/>
      <c r="J34" s="118">
        <f>ROUND(J93,2)</f>
        <v>0</v>
      </c>
      <c r="K34" s="32"/>
      <c r="L34" s="111"/>
      <c r="S34" s="32"/>
      <c r="T34" s="32"/>
      <c r="U34" s="32"/>
      <c r="V34" s="32"/>
      <c r="W34" s="32"/>
      <c r="X34" s="32"/>
      <c r="Y34" s="32"/>
      <c r="Z34" s="32"/>
      <c r="AA34" s="32"/>
      <c r="AB34" s="32"/>
      <c r="AC34" s="32"/>
      <c r="AD34" s="32"/>
      <c r="AE34" s="32"/>
    </row>
    <row r="35" spans="1:31" s="2" customFormat="1" ht="6.95" customHeight="1">
      <c r="A35" s="32"/>
      <c r="B35" s="37"/>
      <c r="C35" s="32"/>
      <c r="D35" s="116"/>
      <c r="E35" s="116"/>
      <c r="F35" s="116"/>
      <c r="G35" s="116"/>
      <c r="H35" s="116"/>
      <c r="I35" s="116"/>
      <c r="J35" s="116"/>
      <c r="K35" s="116"/>
      <c r="L35" s="111"/>
      <c r="S35" s="32"/>
      <c r="T35" s="32"/>
      <c r="U35" s="32"/>
      <c r="V35" s="32"/>
      <c r="W35" s="32"/>
      <c r="X35" s="32"/>
      <c r="Y35" s="32"/>
      <c r="Z35" s="32"/>
      <c r="AA35" s="32"/>
      <c r="AB35" s="32"/>
      <c r="AC35" s="32"/>
      <c r="AD35" s="32"/>
      <c r="AE35" s="32"/>
    </row>
    <row r="36" spans="1:31" s="2" customFormat="1" ht="14.45" customHeight="1">
      <c r="A36" s="32"/>
      <c r="B36" s="37"/>
      <c r="C36" s="32"/>
      <c r="D36" s="32"/>
      <c r="E36" s="32"/>
      <c r="F36" s="119" t="s">
        <v>38</v>
      </c>
      <c r="G36" s="32"/>
      <c r="H36" s="32"/>
      <c r="I36" s="119" t="s">
        <v>37</v>
      </c>
      <c r="J36" s="119" t="s">
        <v>39</v>
      </c>
      <c r="K36" s="32"/>
      <c r="L36" s="111"/>
      <c r="S36" s="32"/>
      <c r="T36" s="32"/>
      <c r="U36" s="32"/>
      <c r="V36" s="32"/>
      <c r="W36" s="32"/>
      <c r="X36" s="32"/>
      <c r="Y36" s="32"/>
      <c r="Z36" s="32"/>
      <c r="AA36" s="32"/>
      <c r="AB36" s="32"/>
      <c r="AC36" s="32"/>
      <c r="AD36" s="32"/>
      <c r="AE36" s="32"/>
    </row>
    <row r="37" spans="1:31" s="2" customFormat="1" ht="14.45" customHeight="1">
      <c r="A37" s="32"/>
      <c r="B37" s="37"/>
      <c r="C37" s="32"/>
      <c r="D37" s="120" t="s">
        <v>40</v>
      </c>
      <c r="E37" s="110" t="s">
        <v>41</v>
      </c>
      <c r="F37" s="121">
        <f>ROUND((SUM(BE93:BE96)),2)</f>
        <v>0</v>
      </c>
      <c r="G37" s="32"/>
      <c r="H37" s="32"/>
      <c r="I37" s="122">
        <v>0.21</v>
      </c>
      <c r="J37" s="121">
        <f>ROUND(((SUM(BE93:BE96))*I37),2)</f>
        <v>0</v>
      </c>
      <c r="K37" s="32"/>
      <c r="L37" s="111"/>
      <c r="S37" s="32"/>
      <c r="T37" s="32"/>
      <c r="U37" s="32"/>
      <c r="V37" s="32"/>
      <c r="W37" s="32"/>
      <c r="X37" s="32"/>
      <c r="Y37" s="32"/>
      <c r="Z37" s="32"/>
      <c r="AA37" s="32"/>
      <c r="AB37" s="32"/>
      <c r="AC37" s="32"/>
      <c r="AD37" s="32"/>
      <c r="AE37" s="32"/>
    </row>
    <row r="38" spans="1:31" s="2" customFormat="1" ht="14.45" customHeight="1">
      <c r="A38" s="32"/>
      <c r="B38" s="37"/>
      <c r="C38" s="32"/>
      <c r="D38" s="32"/>
      <c r="E38" s="110" t="s">
        <v>42</v>
      </c>
      <c r="F38" s="121">
        <f>ROUND((SUM(BF93:BF96)),2)</f>
        <v>0</v>
      </c>
      <c r="G38" s="32"/>
      <c r="H38" s="32"/>
      <c r="I38" s="122">
        <v>0.15</v>
      </c>
      <c r="J38" s="121">
        <f>ROUND(((SUM(BF93:BF96))*I38),2)</f>
        <v>0</v>
      </c>
      <c r="K38" s="32"/>
      <c r="L38" s="111"/>
      <c r="S38" s="32"/>
      <c r="T38" s="32"/>
      <c r="U38" s="32"/>
      <c r="V38" s="32"/>
      <c r="W38" s="32"/>
      <c r="X38" s="32"/>
      <c r="Y38" s="32"/>
      <c r="Z38" s="32"/>
      <c r="AA38" s="32"/>
      <c r="AB38" s="32"/>
      <c r="AC38" s="32"/>
      <c r="AD38" s="32"/>
      <c r="AE38" s="32"/>
    </row>
    <row r="39" spans="1:31" s="2" customFormat="1" ht="14.45" customHeight="1" hidden="1">
      <c r="A39" s="32"/>
      <c r="B39" s="37"/>
      <c r="C39" s="32"/>
      <c r="D39" s="32"/>
      <c r="E39" s="110" t="s">
        <v>43</v>
      </c>
      <c r="F39" s="121">
        <f>ROUND((SUM(BG93:BG96)),2)</f>
        <v>0</v>
      </c>
      <c r="G39" s="32"/>
      <c r="H39" s="32"/>
      <c r="I39" s="122">
        <v>0.21</v>
      </c>
      <c r="J39" s="121">
        <f>0</f>
        <v>0</v>
      </c>
      <c r="K39" s="32"/>
      <c r="L39" s="111"/>
      <c r="S39" s="32"/>
      <c r="T39" s="32"/>
      <c r="U39" s="32"/>
      <c r="V39" s="32"/>
      <c r="W39" s="32"/>
      <c r="X39" s="32"/>
      <c r="Y39" s="32"/>
      <c r="Z39" s="32"/>
      <c r="AA39" s="32"/>
      <c r="AB39" s="32"/>
      <c r="AC39" s="32"/>
      <c r="AD39" s="32"/>
      <c r="AE39" s="32"/>
    </row>
    <row r="40" spans="1:31" s="2" customFormat="1" ht="14.45" customHeight="1" hidden="1">
      <c r="A40" s="32"/>
      <c r="B40" s="37"/>
      <c r="C40" s="32"/>
      <c r="D40" s="32"/>
      <c r="E40" s="110" t="s">
        <v>44</v>
      </c>
      <c r="F40" s="121">
        <f>ROUND((SUM(BH93:BH96)),2)</f>
        <v>0</v>
      </c>
      <c r="G40" s="32"/>
      <c r="H40" s="32"/>
      <c r="I40" s="122">
        <v>0.15</v>
      </c>
      <c r="J40" s="121">
        <f>0</f>
        <v>0</v>
      </c>
      <c r="K40" s="32"/>
      <c r="L40" s="111"/>
      <c r="S40" s="32"/>
      <c r="T40" s="32"/>
      <c r="U40" s="32"/>
      <c r="V40" s="32"/>
      <c r="W40" s="32"/>
      <c r="X40" s="32"/>
      <c r="Y40" s="32"/>
      <c r="Z40" s="32"/>
      <c r="AA40" s="32"/>
      <c r="AB40" s="32"/>
      <c r="AC40" s="32"/>
      <c r="AD40" s="32"/>
      <c r="AE40" s="32"/>
    </row>
    <row r="41" spans="1:31" s="2" customFormat="1" ht="14.45" customHeight="1" hidden="1">
      <c r="A41" s="32"/>
      <c r="B41" s="37"/>
      <c r="C41" s="32"/>
      <c r="D41" s="32"/>
      <c r="E41" s="110" t="s">
        <v>45</v>
      </c>
      <c r="F41" s="121">
        <f>ROUND((SUM(BI93:BI96)),2)</f>
        <v>0</v>
      </c>
      <c r="G41" s="32"/>
      <c r="H41" s="32"/>
      <c r="I41" s="122">
        <v>0</v>
      </c>
      <c r="J41" s="121">
        <f>0</f>
        <v>0</v>
      </c>
      <c r="K41" s="32"/>
      <c r="L41" s="111"/>
      <c r="S41" s="32"/>
      <c r="T41" s="32"/>
      <c r="U41" s="32"/>
      <c r="V41" s="32"/>
      <c r="W41" s="32"/>
      <c r="X41" s="32"/>
      <c r="Y41" s="32"/>
      <c r="Z41" s="32"/>
      <c r="AA41" s="32"/>
      <c r="AB41" s="32"/>
      <c r="AC41" s="32"/>
      <c r="AD41" s="32"/>
      <c r="AE41" s="32"/>
    </row>
    <row r="42" spans="1:31" s="2" customFormat="1" ht="6.95" customHeight="1">
      <c r="A42" s="32"/>
      <c r="B42" s="37"/>
      <c r="C42" s="32"/>
      <c r="D42" s="32"/>
      <c r="E42" s="32"/>
      <c r="F42" s="32"/>
      <c r="G42" s="32"/>
      <c r="H42" s="32"/>
      <c r="I42" s="32"/>
      <c r="J42" s="32"/>
      <c r="K42" s="32"/>
      <c r="L42" s="111"/>
      <c r="S42" s="32"/>
      <c r="T42" s="32"/>
      <c r="U42" s="32"/>
      <c r="V42" s="32"/>
      <c r="W42" s="32"/>
      <c r="X42" s="32"/>
      <c r="Y42" s="32"/>
      <c r="Z42" s="32"/>
      <c r="AA42" s="32"/>
      <c r="AB42" s="32"/>
      <c r="AC42" s="32"/>
      <c r="AD42" s="32"/>
      <c r="AE42" s="32"/>
    </row>
    <row r="43" spans="1:31" s="2" customFormat="1" ht="25.35" customHeight="1">
      <c r="A43" s="32"/>
      <c r="B43" s="37"/>
      <c r="C43" s="123"/>
      <c r="D43" s="124" t="s">
        <v>46</v>
      </c>
      <c r="E43" s="125"/>
      <c r="F43" s="125"/>
      <c r="G43" s="126" t="s">
        <v>47</v>
      </c>
      <c r="H43" s="127" t="s">
        <v>48</v>
      </c>
      <c r="I43" s="125"/>
      <c r="J43" s="128">
        <f>SUM(J34:J41)</f>
        <v>0</v>
      </c>
      <c r="K43" s="129"/>
      <c r="L43" s="111"/>
      <c r="S43" s="32"/>
      <c r="T43" s="32"/>
      <c r="U43" s="32"/>
      <c r="V43" s="32"/>
      <c r="W43" s="32"/>
      <c r="X43" s="32"/>
      <c r="Y43" s="32"/>
      <c r="Z43" s="32"/>
      <c r="AA43" s="32"/>
      <c r="AB43" s="32"/>
      <c r="AC43" s="32"/>
      <c r="AD43" s="32"/>
      <c r="AE43" s="32"/>
    </row>
    <row r="44" spans="1:31" s="2" customFormat="1" ht="14.45" customHeight="1">
      <c r="A44" s="32"/>
      <c r="B44" s="130"/>
      <c r="C44" s="131"/>
      <c r="D44" s="131"/>
      <c r="E44" s="131"/>
      <c r="F44" s="131"/>
      <c r="G44" s="131"/>
      <c r="H44" s="131"/>
      <c r="I44" s="131"/>
      <c r="J44" s="131"/>
      <c r="K44" s="131"/>
      <c r="L44" s="111"/>
      <c r="S44" s="32"/>
      <c r="T44" s="32"/>
      <c r="U44" s="32"/>
      <c r="V44" s="32"/>
      <c r="W44" s="32"/>
      <c r="X44" s="32"/>
      <c r="Y44" s="32"/>
      <c r="Z44" s="32"/>
      <c r="AA44" s="32"/>
      <c r="AB44" s="32"/>
      <c r="AC44" s="32"/>
      <c r="AD44" s="32"/>
      <c r="AE44" s="32"/>
    </row>
    <row r="48" spans="1:31" s="2" customFormat="1" ht="6.95" customHeight="1">
      <c r="A48" s="32"/>
      <c r="B48" s="132"/>
      <c r="C48" s="133"/>
      <c r="D48" s="133"/>
      <c r="E48" s="133"/>
      <c r="F48" s="133"/>
      <c r="G48" s="133"/>
      <c r="H48" s="133"/>
      <c r="I48" s="133"/>
      <c r="J48" s="133"/>
      <c r="K48" s="133"/>
      <c r="L48" s="111"/>
      <c r="S48" s="32"/>
      <c r="T48" s="32"/>
      <c r="U48" s="32"/>
      <c r="V48" s="32"/>
      <c r="W48" s="32"/>
      <c r="X48" s="32"/>
      <c r="Y48" s="32"/>
      <c r="Z48" s="32"/>
      <c r="AA48" s="32"/>
      <c r="AB48" s="32"/>
      <c r="AC48" s="32"/>
      <c r="AD48" s="32"/>
      <c r="AE48" s="32"/>
    </row>
    <row r="49" spans="1:31" s="2" customFormat="1" ht="24.95" customHeight="1">
      <c r="A49" s="32"/>
      <c r="B49" s="33"/>
      <c r="C49" s="21" t="s">
        <v>147</v>
      </c>
      <c r="D49" s="34"/>
      <c r="E49" s="34"/>
      <c r="F49" s="34"/>
      <c r="G49" s="34"/>
      <c r="H49" s="34"/>
      <c r="I49" s="34"/>
      <c r="J49" s="34"/>
      <c r="K49" s="34"/>
      <c r="L49" s="111"/>
      <c r="S49" s="32"/>
      <c r="T49" s="32"/>
      <c r="U49" s="32"/>
      <c r="V49" s="32"/>
      <c r="W49" s="32"/>
      <c r="X49" s="32"/>
      <c r="Y49" s="32"/>
      <c r="Z49" s="32"/>
      <c r="AA49" s="32"/>
      <c r="AB49" s="32"/>
      <c r="AC49" s="32"/>
      <c r="AD49" s="32"/>
      <c r="AE49" s="32"/>
    </row>
    <row r="50" spans="1:31" s="2" customFormat="1" ht="6.95" customHeight="1">
      <c r="A50" s="32"/>
      <c r="B50" s="33"/>
      <c r="C50" s="34"/>
      <c r="D50" s="34"/>
      <c r="E50" s="34"/>
      <c r="F50" s="34"/>
      <c r="G50" s="34"/>
      <c r="H50" s="34"/>
      <c r="I50" s="34"/>
      <c r="J50" s="34"/>
      <c r="K50" s="34"/>
      <c r="L50" s="111"/>
      <c r="S50" s="32"/>
      <c r="T50" s="32"/>
      <c r="U50" s="32"/>
      <c r="V50" s="32"/>
      <c r="W50" s="32"/>
      <c r="X50" s="32"/>
      <c r="Y50" s="32"/>
      <c r="Z50" s="32"/>
      <c r="AA50" s="32"/>
      <c r="AB50" s="32"/>
      <c r="AC50" s="32"/>
      <c r="AD50" s="32"/>
      <c r="AE50" s="32"/>
    </row>
    <row r="51" spans="1:31" s="2" customFormat="1" ht="12" customHeight="1">
      <c r="A51" s="32"/>
      <c r="B51" s="33"/>
      <c r="C51" s="27" t="s">
        <v>16</v>
      </c>
      <c r="D51" s="34"/>
      <c r="E51" s="34"/>
      <c r="F51" s="34"/>
      <c r="G51" s="34"/>
      <c r="H51" s="34"/>
      <c r="I51" s="34"/>
      <c r="J51" s="34"/>
      <c r="K51" s="34"/>
      <c r="L51" s="111"/>
      <c r="S51" s="32"/>
      <c r="T51" s="32"/>
      <c r="U51" s="32"/>
      <c r="V51" s="32"/>
      <c r="W51" s="32"/>
      <c r="X51" s="32"/>
      <c r="Y51" s="32"/>
      <c r="Z51" s="32"/>
      <c r="AA51" s="32"/>
      <c r="AB51" s="32"/>
      <c r="AC51" s="32"/>
      <c r="AD51" s="32"/>
      <c r="AE51" s="32"/>
    </row>
    <row r="52" spans="1:31" s="2" customFormat="1" ht="14.45" customHeight="1">
      <c r="A52" s="32"/>
      <c r="B52" s="33"/>
      <c r="C52" s="34"/>
      <c r="D52" s="34"/>
      <c r="E52" s="700" t="str">
        <f>E7</f>
        <v>Úpravy gastroprovozu Úřadu vlády ČR v 1.pp Strakovy akademie</v>
      </c>
      <c r="F52" s="701"/>
      <c r="G52" s="701"/>
      <c r="H52" s="701"/>
      <c r="I52" s="34"/>
      <c r="J52" s="34"/>
      <c r="K52" s="34"/>
      <c r="L52" s="111"/>
      <c r="S52" s="32"/>
      <c r="T52" s="32"/>
      <c r="U52" s="32"/>
      <c r="V52" s="32"/>
      <c r="W52" s="32"/>
      <c r="X52" s="32"/>
      <c r="Y52" s="32"/>
      <c r="Z52" s="32"/>
      <c r="AA52" s="32"/>
      <c r="AB52" s="32"/>
      <c r="AC52" s="32"/>
      <c r="AD52" s="32"/>
      <c r="AE52" s="32"/>
    </row>
    <row r="53" spans="2:12" s="1" customFormat="1" ht="12" customHeight="1">
      <c r="B53" s="19"/>
      <c r="C53" s="27" t="s">
        <v>142</v>
      </c>
      <c r="D53" s="20"/>
      <c r="E53" s="20"/>
      <c r="F53" s="20"/>
      <c r="G53" s="20"/>
      <c r="H53" s="20"/>
      <c r="I53" s="20"/>
      <c r="J53" s="20"/>
      <c r="K53" s="20"/>
      <c r="L53" s="18"/>
    </row>
    <row r="54" spans="2:12" s="1" customFormat="1" ht="14.45" customHeight="1">
      <c r="B54" s="19"/>
      <c r="C54" s="20"/>
      <c r="D54" s="20"/>
      <c r="E54" s="700" t="s">
        <v>1429</v>
      </c>
      <c r="F54" s="667"/>
      <c r="G54" s="667"/>
      <c r="H54" s="667"/>
      <c r="I54" s="20"/>
      <c r="J54" s="20"/>
      <c r="K54" s="20"/>
      <c r="L54" s="18"/>
    </row>
    <row r="55" spans="2:12" s="1" customFormat="1" ht="12" customHeight="1">
      <c r="B55" s="19"/>
      <c r="C55" s="27" t="s">
        <v>144</v>
      </c>
      <c r="D55" s="20"/>
      <c r="E55" s="20"/>
      <c r="F55" s="20"/>
      <c r="G55" s="20"/>
      <c r="H55" s="20"/>
      <c r="I55" s="20"/>
      <c r="J55" s="20"/>
      <c r="K55" s="20"/>
      <c r="L55" s="18"/>
    </row>
    <row r="56" spans="1:31" s="2" customFormat="1" ht="14.45" customHeight="1">
      <c r="A56" s="32"/>
      <c r="B56" s="33"/>
      <c r="C56" s="34"/>
      <c r="D56" s="34"/>
      <c r="E56" s="746" t="s">
        <v>1449</v>
      </c>
      <c r="F56" s="699"/>
      <c r="G56" s="699"/>
      <c r="H56" s="699"/>
      <c r="I56" s="34"/>
      <c r="J56" s="34"/>
      <c r="K56" s="34"/>
      <c r="L56" s="111"/>
      <c r="S56" s="32"/>
      <c r="T56" s="32"/>
      <c r="U56" s="32"/>
      <c r="V56" s="32"/>
      <c r="W56" s="32"/>
      <c r="X56" s="32"/>
      <c r="Y56" s="32"/>
      <c r="Z56" s="32"/>
      <c r="AA56" s="32"/>
      <c r="AB56" s="32"/>
      <c r="AC56" s="32"/>
      <c r="AD56" s="32"/>
      <c r="AE56" s="32"/>
    </row>
    <row r="57" spans="1:31" s="2" customFormat="1" ht="12" customHeight="1">
      <c r="A57" s="32"/>
      <c r="B57" s="33"/>
      <c r="C57" s="27" t="s">
        <v>1450</v>
      </c>
      <c r="D57" s="34"/>
      <c r="E57" s="34"/>
      <c r="F57" s="34"/>
      <c r="G57" s="34"/>
      <c r="H57" s="34"/>
      <c r="I57" s="34"/>
      <c r="J57" s="34"/>
      <c r="K57" s="34"/>
      <c r="L57" s="111"/>
      <c r="S57" s="32"/>
      <c r="T57" s="32"/>
      <c r="U57" s="32"/>
      <c r="V57" s="32"/>
      <c r="W57" s="32"/>
      <c r="X57" s="32"/>
      <c r="Y57" s="32"/>
      <c r="Z57" s="32"/>
      <c r="AA57" s="32"/>
      <c r="AB57" s="32"/>
      <c r="AC57" s="32"/>
      <c r="AD57" s="32"/>
      <c r="AE57" s="32"/>
    </row>
    <row r="58" spans="1:31" s="2" customFormat="1" ht="14.45" customHeight="1">
      <c r="A58" s="32"/>
      <c r="B58" s="33"/>
      <c r="C58" s="34"/>
      <c r="D58" s="34"/>
      <c r="E58" s="696" t="str">
        <f>E13</f>
        <v>D.1.4.04.4 - Soupis prací - SLB-IT</v>
      </c>
      <c r="F58" s="699"/>
      <c r="G58" s="699"/>
      <c r="H58" s="699"/>
      <c r="I58" s="34"/>
      <c r="J58" s="34"/>
      <c r="K58" s="34"/>
      <c r="L58" s="111"/>
      <c r="S58" s="32"/>
      <c r="T58" s="32"/>
      <c r="U58" s="32"/>
      <c r="V58" s="32"/>
      <c r="W58" s="32"/>
      <c r="X58" s="32"/>
      <c r="Y58" s="32"/>
      <c r="Z58" s="32"/>
      <c r="AA58" s="32"/>
      <c r="AB58" s="32"/>
      <c r="AC58" s="32"/>
      <c r="AD58" s="32"/>
      <c r="AE58" s="32"/>
    </row>
    <row r="59" spans="1:31" s="2" customFormat="1" ht="6.95" customHeight="1">
      <c r="A59" s="32"/>
      <c r="B59" s="33"/>
      <c r="C59" s="34"/>
      <c r="D59" s="34"/>
      <c r="E59" s="34"/>
      <c r="F59" s="34"/>
      <c r="G59" s="34"/>
      <c r="H59" s="34"/>
      <c r="I59" s="34"/>
      <c r="J59" s="34"/>
      <c r="K59" s="34"/>
      <c r="L59" s="111"/>
      <c r="S59" s="32"/>
      <c r="T59" s="32"/>
      <c r="U59" s="32"/>
      <c r="V59" s="32"/>
      <c r="W59" s="32"/>
      <c r="X59" s="32"/>
      <c r="Y59" s="32"/>
      <c r="Z59" s="32"/>
      <c r="AA59" s="32"/>
      <c r="AB59" s="32"/>
      <c r="AC59" s="32"/>
      <c r="AD59" s="32"/>
      <c r="AE59" s="32"/>
    </row>
    <row r="60" spans="1:31" s="2" customFormat="1" ht="12" customHeight="1">
      <c r="A60" s="32"/>
      <c r="B60" s="33"/>
      <c r="C60" s="27" t="s">
        <v>21</v>
      </c>
      <c r="D60" s="34"/>
      <c r="E60" s="34"/>
      <c r="F60" s="25" t="str">
        <f>F16</f>
        <v xml:space="preserve"> </v>
      </c>
      <c r="G60" s="34"/>
      <c r="H60" s="34"/>
      <c r="I60" s="27" t="s">
        <v>23</v>
      </c>
      <c r="J60" s="57" t="str">
        <f>IF(J16="","",J16)</f>
        <v>Vyplň údaj</v>
      </c>
      <c r="K60" s="34"/>
      <c r="L60" s="111"/>
      <c r="S60" s="32"/>
      <c r="T60" s="32"/>
      <c r="U60" s="32"/>
      <c r="V60" s="32"/>
      <c r="W60" s="32"/>
      <c r="X60" s="32"/>
      <c r="Y60" s="32"/>
      <c r="Z60" s="32"/>
      <c r="AA60" s="32"/>
      <c r="AB60" s="32"/>
      <c r="AC60" s="32"/>
      <c r="AD60" s="32"/>
      <c r="AE60" s="32"/>
    </row>
    <row r="61" spans="1:31" s="2" customFormat="1" ht="6.95" customHeight="1">
      <c r="A61" s="32"/>
      <c r="B61" s="33"/>
      <c r="C61" s="34"/>
      <c r="D61" s="34"/>
      <c r="E61" s="34"/>
      <c r="F61" s="34"/>
      <c r="G61" s="34"/>
      <c r="H61" s="34"/>
      <c r="I61" s="34"/>
      <c r="J61" s="34"/>
      <c r="K61" s="34"/>
      <c r="L61" s="111"/>
      <c r="S61" s="32"/>
      <c r="T61" s="32"/>
      <c r="U61" s="32"/>
      <c r="V61" s="32"/>
      <c r="W61" s="32"/>
      <c r="X61" s="32"/>
      <c r="Y61" s="32"/>
      <c r="Z61" s="32"/>
      <c r="AA61" s="32"/>
      <c r="AB61" s="32"/>
      <c r="AC61" s="32"/>
      <c r="AD61" s="32"/>
      <c r="AE61" s="32"/>
    </row>
    <row r="62" spans="1:31" s="2" customFormat="1" ht="26.45" customHeight="1">
      <c r="A62" s="32"/>
      <c r="B62" s="33"/>
      <c r="C62" s="27" t="s">
        <v>24</v>
      </c>
      <c r="D62" s="34"/>
      <c r="E62" s="34"/>
      <c r="F62" s="25" t="str">
        <f>E19</f>
        <v xml:space="preserve">Úřad vlády České republiky </v>
      </c>
      <c r="G62" s="34"/>
      <c r="H62" s="34"/>
      <c r="I62" s="27" t="s">
        <v>30</v>
      </c>
      <c r="J62" s="30" t="str">
        <f>E25</f>
        <v>Ateliér Simona Group</v>
      </c>
      <c r="K62" s="34"/>
      <c r="L62" s="111"/>
      <c r="S62" s="32"/>
      <c r="T62" s="32"/>
      <c r="U62" s="32"/>
      <c r="V62" s="32"/>
      <c r="W62" s="32"/>
      <c r="X62" s="32"/>
      <c r="Y62" s="32"/>
      <c r="Z62" s="32"/>
      <c r="AA62" s="32"/>
      <c r="AB62" s="32"/>
      <c r="AC62" s="32"/>
      <c r="AD62" s="32"/>
      <c r="AE62" s="32"/>
    </row>
    <row r="63" spans="1:31" s="2" customFormat="1" ht="26.45" customHeight="1">
      <c r="A63" s="32"/>
      <c r="B63" s="33"/>
      <c r="C63" s="27" t="s">
        <v>28</v>
      </c>
      <c r="D63" s="34"/>
      <c r="E63" s="34"/>
      <c r="F63" s="25" t="str">
        <f>IF(E22="","",E22)</f>
        <v>Vyplň údaj</v>
      </c>
      <c r="G63" s="34"/>
      <c r="H63" s="34"/>
      <c r="I63" s="27" t="s">
        <v>33</v>
      </c>
      <c r="J63" s="30" t="str">
        <f>E28</f>
        <v>Ateliér Simona Group</v>
      </c>
      <c r="K63" s="34"/>
      <c r="L63" s="111"/>
      <c r="S63" s="32"/>
      <c r="T63" s="32"/>
      <c r="U63" s="32"/>
      <c r="V63" s="32"/>
      <c r="W63" s="32"/>
      <c r="X63" s="32"/>
      <c r="Y63" s="32"/>
      <c r="Z63" s="32"/>
      <c r="AA63" s="32"/>
      <c r="AB63" s="32"/>
      <c r="AC63" s="32"/>
      <c r="AD63" s="32"/>
      <c r="AE63" s="32"/>
    </row>
    <row r="64" spans="1:31" s="2" customFormat="1" ht="10.35" customHeight="1">
      <c r="A64" s="32"/>
      <c r="B64" s="33"/>
      <c r="C64" s="34"/>
      <c r="D64" s="34"/>
      <c r="E64" s="34"/>
      <c r="F64" s="34"/>
      <c r="G64" s="34"/>
      <c r="H64" s="34"/>
      <c r="I64" s="34"/>
      <c r="J64" s="34"/>
      <c r="K64" s="34"/>
      <c r="L64" s="111"/>
      <c r="S64" s="32"/>
      <c r="T64" s="32"/>
      <c r="U64" s="32"/>
      <c r="V64" s="32"/>
      <c r="W64" s="32"/>
      <c r="X64" s="32"/>
      <c r="Y64" s="32"/>
      <c r="Z64" s="32"/>
      <c r="AA64" s="32"/>
      <c r="AB64" s="32"/>
      <c r="AC64" s="32"/>
      <c r="AD64" s="32"/>
      <c r="AE64" s="32"/>
    </row>
    <row r="65" spans="1:31" s="2" customFormat="1" ht="29.25" customHeight="1">
      <c r="A65" s="32"/>
      <c r="B65" s="33"/>
      <c r="C65" s="134" t="s">
        <v>148</v>
      </c>
      <c r="D65" s="135"/>
      <c r="E65" s="135"/>
      <c r="F65" s="135"/>
      <c r="G65" s="135"/>
      <c r="H65" s="135"/>
      <c r="I65" s="135"/>
      <c r="J65" s="136" t="s">
        <v>149</v>
      </c>
      <c r="K65" s="135"/>
      <c r="L65" s="111"/>
      <c r="S65" s="32"/>
      <c r="T65" s="32"/>
      <c r="U65" s="32"/>
      <c r="V65" s="32"/>
      <c r="W65" s="32"/>
      <c r="X65" s="32"/>
      <c r="Y65" s="32"/>
      <c r="Z65" s="32"/>
      <c r="AA65" s="32"/>
      <c r="AB65" s="32"/>
      <c r="AC65" s="32"/>
      <c r="AD65" s="32"/>
      <c r="AE65" s="32"/>
    </row>
    <row r="66" spans="1:31" s="2" customFormat="1" ht="10.35" customHeight="1">
      <c r="A66" s="32"/>
      <c r="B66" s="33"/>
      <c r="C66" s="34"/>
      <c r="D66" s="34"/>
      <c r="E66" s="34"/>
      <c r="F66" s="34"/>
      <c r="G66" s="34"/>
      <c r="H66" s="34"/>
      <c r="I66" s="34"/>
      <c r="J66" s="34"/>
      <c r="K66" s="34"/>
      <c r="L66" s="111"/>
      <c r="S66" s="32"/>
      <c r="T66" s="32"/>
      <c r="U66" s="32"/>
      <c r="V66" s="32"/>
      <c r="W66" s="32"/>
      <c r="X66" s="32"/>
      <c r="Y66" s="32"/>
      <c r="Z66" s="32"/>
      <c r="AA66" s="32"/>
      <c r="AB66" s="32"/>
      <c r="AC66" s="32"/>
      <c r="AD66" s="32"/>
      <c r="AE66" s="32"/>
    </row>
    <row r="67" spans="1:47" s="2" customFormat="1" ht="22.9" customHeight="1">
      <c r="A67" s="32"/>
      <c r="B67" s="33"/>
      <c r="C67" s="137" t="s">
        <v>68</v>
      </c>
      <c r="D67" s="34"/>
      <c r="E67" s="34"/>
      <c r="F67" s="34"/>
      <c r="G67" s="34"/>
      <c r="H67" s="34"/>
      <c r="I67" s="34"/>
      <c r="J67" s="75">
        <f>J93</f>
        <v>0</v>
      </c>
      <c r="K67" s="34"/>
      <c r="L67" s="111"/>
      <c r="S67" s="32"/>
      <c r="T67" s="32"/>
      <c r="U67" s="32"/>
      <c r="V67" s="32"/>
      <c r="W67" s="32"/>
      <c r="X67" s="32"/>
      <c r="Y67" s="32"/>
      <c r="Z67" s="32"/>
      <c r="AA67" s="32"/>
      <c r="AB67" s="32"/>
      <c r="AC67" s="32"/>
      <c r="AD67" s="32"/>
      <c r="AE67" s="32"/>
      <c r="AU67" s="15" t="s">
        <v>150</v>
      </c>
    </row>
    <row r="68" spans="2:12" s="9" customFormat="1" ht="24.95" customHeight="1">
      <c r="B68" s="138"/>
      <c r="C68" s="139"/>
      <c r="D68" s="140" t="s">
        <v>161</v>
      </c>
      <c r="E68" s="141"/>
      <c r="F68" s="141"/>
      <c r="G68" s="141"/>
      <c r="H68" s="141"/>
      <c r="I68" s="141"/>
      <c r="J68" s="142">
        <f>J94</f>
        <v>0</v>
      </c>
      <c r="K68" s="139"/>
      <c r="L68" s="143"/>
    </row>
    <row r="69" spans="2:12" s="10" customFormat="1" ht="19.9" customHeight="1">
      <c r="B69" s="144"/>
      <c r="C69" s="95"/>
      <c r="D69" s="145" t="s">
        <v>165</v>
      </c>
      <c r="E69" s="146"/>
      <c r="F69" s="146"/>
      <c r="G69" s="146"/>
      <c r="H69" s="146"/>
      <c r="I69" s="146"/>
      <c r="J69" s="147">
        <f>J95</f>
        <v>0</v>
      </c>
      <c r="K69" s="95"/>
      <c r="L69" s="148"/>
    </row>
    <row r="70" spans="1:31" s="2" customFormat="1" ht="21.75" customHeight="1">
      <c r="A70" s="32"/>
      <c r="B70" s="33"/>
      <c r="C70" s="34"/>
      <c r="D70" s="34"/>
      <c r="E70" s="34"/>
      <c r="F70" s="34"/>
      <c r="G70" s="34"/>
      <c r="H70" s="34"/>
      <c r="I70" s="34"/>
      <c r="J70" s="34"/>
      <c r="K70" s="34"/>
      <c r="L70" s="111"/>
      <c r="S70" s="32"/>
      <c r="T70" s="32"/>
      <c r="U70" s="32"/>
      <c r="V70" s="32"/>
      <c r="W70" s="32"/>
      <c r="X70" s="32"/>
      <c r="Y70" s="32"/>
      <c r="Z70" s="32"/>
      <c r="AA70" s="32"/>
      <c r="AB70" s="32"/>
      <c r="AC70" s="32"/>
      <c r="AD70" s="32"/>
      <c r="AE70" s="32"/>
    </row>
    <row r="71" spans="1:31" s="2" customFormat="1" ht="6.95" customHeight="1">
      <c r="A71" s="32"/>
      <c r="B71" s="45"/>
      <c r="C71" s="46"/>
      <c r="D71" s="46"/>
      <c r="E71" s="46"/>
      <c r="F71" s="46"/>
      <c r="G71" s="46"/>
      <c r="H71" s="46"/>
      <c r="I71" s="46"/>
      <c r="J71" s="46"/>
      <c r="K71" s="46"/>
      <c r="L71" s="111"/>
      <c r="S71" s="32"/>
      <c r="T71" s="32"/>
      <c r="U71" s="32"/>
      <c r="V71" s="32"/>
      <c r="W71" s="32"/>
      <c r="X71" s="32"/>
      <c r="Y71" s="32"/>
      <c r="Z71" s="32"/>
      <c r="AA71" s="32"/>
      <c r="AB71" s="32"/>
      <c r="AC71" s="32"/>
      <c r="AD71" s="32"/>
      <c r="AE71" s="32"/>
    </row>
    <row r="75" spans="1:31" s="2" customFormat="1" ht="6.95" customHeight="1">
      <c r="A75" s="32"/>
      <c r="B75" s="47"/>
      <c r="C75" s="48"/>
      <c r="D75" s="48"/>
      <c r="E75" s="48"/>
      <c r="F75" s="48"/>
      <c r="G75" s="48"/>
      <c r="H75" s="48"/>
      <c r="I75" s="48"/>
      <c r="J75" s="48"/>
      <c r="K75" s="48"/>
      <c r="L75" s="111"/>
      <c r="S75" s="32"/>
      <c r="T75" s="32"/>
      <c r="U75" s="32"/>
      <c r="V75" s="32"/>
      <c r="W75" s="32"/>
      <c r="X75" s="32"/>
      <c r="Y75" s="32"/>
      <c r="Z75" s="32"/>
      <c r="AA75" s="32"/>
      <c r="AB75" s="32"/>
      <c r="AC75" s="32"/>
      <c r="AD75" s="32"/>
      <c r="AE75" s="32"/>
    </row>
    <row r="76" spans="1:31" s="2" customFormat="1" ht="24.95" customHeight="1">
      <c r="A76" s="32"/>
      <c r="B76" s="33"/>
      <c r="C76" s="21" t="s">
        <v>181</v>
      </c>
      <c r="D76" s="34"/>
      <c r="E76" s="34"/>
      <c r="F76" s="34"/>
      <c r="G76" s="34"/>
      <c r="H76" s="34"/>
      <c r="I76" s="34"/>
      <c r="J76" s="34"/>
      <c r="K76" s="34"/>
      <c r="L76" s="111"/>
      <c r="S76" s="32"/>
      <c r="T76" s="32"/>
      <c r="U76" s="32"/>
      <c r="V76" s="32"/>
      <c r="W76" s="32"/>
      <c r="X76" s="32"/>
      <c r="Y76" s="32"/>
      <c r="Z76" s="32"/>
      <c r="AA76" s="32"/>
      <c r="AB76" s="32"/>
      <c r="AC76" s="32"/>
      <c r="AD76" s="32"/>
      <c r="AE76" s="32"/>
    </row>
    <row r="77" spans="1:31" s="2" customFormat="1" ht="6.95" customHeight="1">
      <c r="A77" s="32"/>
      <c r="B77" s="33"/>
      <c r="C77" s="34"/>
      <c r="D77" s="34"/>
      <c r="E77" s="34"/>
      <c r="F77" s="34"/>
      <c r="G77" s="34"/>
      <c r="H77" s="34"/>
      <c r="I77" s="34"/>
      <c r="J77" s="34"/>
      <c r="K77" s="34"/>
      <c r="L77" s="111"/>
      <c r="S77" s="32"/>
      <c r="T77" s="32"/>
      <c r="U77" s="32"/>
      <c r="V77" s="32"/>
      <c r="W77" s="32"/>
      <c r="X77" s="32"/>
      <c r="Y77" s="32"/>
      <c r="Z77" s="32"/>
      <c r="AA77" s="32"/>
      <c r="AB77" s="32"/>
      <c r="AC77" s="32"/>
      <c r="AD77" s="32"/>
      <c r="AE77" s="32"/>
    </row>
    <row r="78" spans="1:31" s="2" customFormat="1" ht="12" customHeight="1">
      <c r="A78" s="32"/>
      <c r="B78" s="33"/>
      <c r="C78" s="27" t="s">
        <v>16</v>
      </c>
      <c r="D78" s="34"/>
      <c r="E78" s="34"/>
      <c r="F78" s="34"/>
      <c r="G78" s="34"/>
      <c r="H78" s="34"/>
      <c r="I78" s="34"/>
      <c r="J78" s="34"/>
      <c r="K78" s="34"/>
      <c r="L78" s="111"/>
      <c r="S78" s="32"/>
      <c r="T78" s="32"/>
      <c r="U78" s="32"/>
      <c r="V78" s="32"/>
      <c r="W78" s="32"/>
      <c r="X78" s="32"/>
      <c r="Y78" s="32"/>
      <c r="Z78" s="32"/>
      <c r="AA78" s="32"/>
      <c r="AB78" s="32"/>
      <c r="AC78" s="32"/>
      <c r="AD78" s="32"/>
      <c r="AE78" s="32"/>
    </row>
    <row r="79" spans="1:31" s="2" customFormat="1" ht="14.45" customHeight="1">
      <c r="A79" s="32"/>
      <c r="B79" s="33"/>
      <c r="C79" s="34"/>
      <c r="D79" s="34"/>
      <c r="E79" s="700" t="str">
        <f>E7</f>
        <v>Úpravy gastroprovozu Úřadu vlády ČR v 1.pp Strakovy akademie</v>
      </c>
      <c r="F79" s="701"/>
      <c r="G79" s="701"/>
      <c r="H79" s="701"/>
      <c r="I79" s="34"/>
      <c r="J79" s="34"/>
      <c r="K79" s="34"/>
      <c r="L79" s="111"/>
      <c r="S79" s="32"/>
      <c r="T79" s="32"/>
      <c r="U79" s="32"/>
      <c r="V79" s="32"/>
      <c r="W79" s="32"/>
      <c r="X79" s="32"/>
      <c r="Y79" s="32"/>
      <c r="Z79" s="32"/>
      <c r="AA79" s="32"/>
      <c r="AB79" s="32"/>
      <c r="AC79" s="32"/>
      <c r="AD79" s="32"/>
      <c r="AE79" s="32"/>
    </row>
    <row r="80" spans="2:12" s="1" customFormat="1" ht="12" customHeight="1">
      <c r="B80" s="19"/>
      <c r="C80" s="27" t="s">
        <v>142</v>
      </c>
      <c r="D80" s="20"/>
      <c r="E80" s="20"/>
      <c r="F80" s="20"/>
      <c r="G80" s="20"/>
      <c r="H80" s="20"/>
      <c r="I80" s="20"/>
      <c r="J80" s="20"/>
      <c r="K80" s="20"/>
      <c r="L80" s="18"/>
    </row>
    <row r="81" spans="2:12" s="1" customFormat="1" ht="14.45" customHeight="1">
      <c r="B81" s="19"/>
      <c r="C81" s="20"/>
      <c r="D81" s="20"/>
      <c r="E81" s="700" t="s">
        <v>1429</v>
      </c>
      <c r="F81" s="667"/>
      <c r="G81" s="667"/>
      <c r="H81" s="667"/>
      <c r="I81" s="20"/>
      <c r="J81" s="20"/>
      <c r="K81" s="20"/>
      <c r="L81" s="18"/>
    </row>
    <row r="82" spans="2:12" s="1" customFormat="1" ht="12" customHeight="1">
      <c r="B82" s="19"/>
      <c r="C82" s="27" t="s">
        <v>144</v>
      </c>
      <c r="D82" s="20"/>
      <c r="E82" s="20"/>
      <c r="F82" s="20"/>
      <c r="G82" s="20"/>
      <c r="H82" s="20"/>
      <c r="I82" s="20"/>
      <c r="J82" s="20"/>
      <c r="K82" s="20"/>
      <c r="L82" s="18"/>
    </row>
    <row r="83" spans="1:31" s="2" customFormat="1" ht="14.45" customHeight="1">
      <c r="A83" s="32"/>
      <c r="B83" s="33"/>
      <c r="C83" s="34"/>
      <c r="D83" s="34"/>
      <c r="E83" s="746" t="s">
        <v>1449</v>
      </c>
      <c r="F83" s="699"/>
      <c r="G83" s="699"/>
      <c r="H83" s="699"/>
      <c r="I83" s="34"/>
      <c r="J83" s="34"/>
      <c r="K83" s="34"/>
      <c r="L83" s="111"/>
      <c r="S83" s="32"/>
      <c r="T83" s="32"/>
      <c r="U83" s="32"/>
      <c r="V83" s="32"/>
      <c r="W83" s="32"/>
      <c r="X83" s="32"/>
      <c r="Y83" s="32"/>
      <c r="Z83" s="32"/>
      <c r="AA83" s="32"/>
      <c r="AB83" s="32"/>
      <c r="AC83" s="32"/>
      <c r="AD83" s="32"/>
      <c r="AE83" s="32"/>
    </row>
    <row r="84" spans="1:31" s="2" customFormat="1" ht="12" customHeight="1">
      <c r="A84" s="32"/>
      <c r="B84" s="33"/>
      <c r="C84" s="27" t="s">
        <v>1450</v>
      </c>
      <c r="D84" s="34"/>
      <c r="E84" s="34"/>
      <c r="F84" s="34"/>
      <c r="G84" s="34"/>
      <c r="H84" s="34"/>
      <c r="I84" s="34"/>
      <c r="J84" s="34"/>
      <c r="K84" s="34"/>
      <c r="L84" s="111"/>
      <c r="S84" s="32"/>
      <c r="T84" s="32"/>
      <c r="U84" s="32"/>
      <c r="V84" s="32"/>
      <c r="W84" s="32"/>
      <c r="X84" s="32"/>
      <c r="Y84" s="32"/>
      <c r="Z84" s="32"/>
      <c r="AA84" s="32"/>
      <c r="AB84" s="32"/>
      <c r="AC84" s="32"/>
      <c r="AD84" s="32"/>
      <c r="AE84" s="32"/>
    </row>
    <row r="85" spans="1:31" s="2" customFormat="1" ht="14.45" customHeight="1">
      <c r="A85" s="32"/>
      <c r="B85" s="33"/>
      <c r="C85" s="34"/>
      <c r="D85" s="34"/>
      <c r="E85" s="696" t="str">
        <f>E13</f>
        <v>D.1.4.04.4 - Soupis prací - SLB-IT</v>
      </c>
      <c r="F85" s="699"/>
      <c r="G85" s="699"/>
      <c r="H85" s="699"/>
      <c r="I85" s="34"/>
      <c r="J85" s="34"/>
      <c r="K85" s="34"/>
      <c r="L85" s="111"/>
      <c r="S85" s="32"/>
      <c r="T85" s="32"/>
      <c r="U85" s="32"/>
      <c r="V85" s="32"/>
      <c r="W85" s="32"/>
      <c r="X85" s="32"/>
      <c r="Y85" s="32"/>
      <c r="Z85" s="32"/>
      <c r="AA85" s="32"/>
      <c r="AB85" s="32"/>
      <c r="AC85" s="32"/>
      <c r="AD85" s="32"/>
      <c r="AE85" s="32"/>
    </row>
    <row r="86" spans="1:31" s="2" customFormat="1" ht="6.95" customHeight="1">
      <c r="A86" s="32"/>
      <c r="B86" s="33"/>
      <c r="C86" s="34"/>
      <c r="D86" s="34"/>
      <c r="E86" s="34"/>
      <c r="F86" s="34"/>
      <c r="G86" s="34"/>
      <c r="H86" s="34"/>
      <c r="I86" s="34"/>
      <c r="J86" s="34"/>
      <c r="K86" s="34"/>
      <c r="L86" s="111"/>
      <c r="S86" s="32"/>
      <c r="T86" s="32"/>
      <c r="U86" s="32"/>
      <c r="V86" s="32"/>
      <c r="W86" s="32"/>
      <c r="X86" s="32"/>
      <c r="Y86" s="32"/>
      <c r="Z86" s="32"/>
      <c r="AA86" s="32"/>
      <c r="AB86" s="32"/>
      <c r="AC86" s="32"/>
      <c r="AD86" s="32"/>
      <c r="AE86" s="32"/>
    </row>
    <row r="87" spans="1:31" s="2" customFormat="1" ht="12" customHeight="1">
      <c r="A87" s="32"/>
      <c r="B87" s="33"/>
      <c r="C87" s="27" t="s">
        <v>21</v>
      </c>
      <c r="D87" s="34"/>
      <c r="E87" s="34"/>
      <c r="F87" s="25" t="str">
        <f>F16</f>
        <v xml:space="preserve"> </v>
      </c>
      <c r="G87" s="34"/>
      <c r="H87" s="34"/>
      <c r="I87" s="27" t="s">
        <v>23</v>
      </c>
      <c r="J87" s="57" t="str">
        <f>IF(J16="","",J16)</f>
        <v>Vyplň údaj</v>
      </c>
      <c r="K87" s="34"/>
      <c r="L87" s="111"/>
      <c r="S87" s="32"/>
      <c r="T87" s="32"/>
      <c r="U87" s="32"/>
      <c r="V87" s="32"/>
      <c r="W87" s="32"/>
      <c r="X87" s="32"/>
      <c r="Y87" s="32"/>
      <c r="Z87" s="32"/>
      <c r="AA87" s="32"/>
      <c r="AB87" s="32"/>
      <c r="AC87" s="32"/>
      <c r="AD87" s="32"/>
      <c r="AE87" s="32"/>
    </row>
    <row r="88" spans="1:31" s="2" customFormat="1" ht="6.95" customHeight="1">
      <c r="A88" s="32"/>
      <c r="B88" s="33"/>
      <c r="C88" s="34"/>
      <c r="D88" s="34"/>
      <c r="E88" s="34"/>
      <c r="F88" s="34"/>
      <c r="G88" s="34"/>
      <c r="H88" s="34"/>
      <c r="I88" s="34"/>
      <c r="J88" s="34"/>
      <c r="K88" s="34"/>
      <c r="L88" s="111"/>
      <c r="S88" s="32"/>
      <c r="T88" s="32"/>
      <c r="U88" s="32"/>
      <c r="V88" s="32"/>
      <c r="W88" s="32"/>
      <c r="X88" s="32"/>
      <c r="Y88" s="32"/>
      <c r="Z88" s="32"/>
      <c r="AA88" s="32"/>
      <c r="AB88" s="32"/>
      <c r="AC88" s="32"/>
      <c r="AD88" s="32"/>
      <c r="AE88" s="32"/>
    </row>
    <row r="89" spans="1:31" s="2" customFormat="1" ht="26.45" customHeight="1">
      <c r="A89" s="32"/>
      <c r="B89" s="33"/>
      <c r="C89" s="27" t="s">
        <v>24</v>
      </c>
      <c r="D89" s="34"/>
      <c r="E89" s="34"/>
      <c r="F89" s="25" t="str">
        <f>E19</f>
        <v xml:space="preserve">Úřad vlády České republiky </v>
      </c>
      <c r="G89" s="34"/>
      <c r="H89" s="34"/>
      <c r="I89" s="27" t="s">
        <v>30</v>
      </c>
      <c r="J89" s="30" t="str">
        <f>E25</f>
        <v>Ateliér Simona Group</v>
      </c>
      <c r="K89" s="34"/>
      <c r="L89" s="111"/>
      <c r="S89" s="32"/>
      <c r="T89" s="32"/>
      <c r="U89" s="32"/>
      <c r="V89" s="32"/>
      <c r="W89" s="32"/>
      <c r="X89" s="32"/>
      <c r="Y89" s="32"/>
      <c r="Z89" s="32"/>
      <c r="AA89" s="32"/>
      <c r="AB89" s="32"/>
      <c r="AC89" s="32"/>
      <c r="AD89" s="32"/>
      <c r="AE89" s="32"/>
    </row>
    <row r="90" spans="1:31" s="2" customFormat="1" ht="26.45" customHeight="1">
      <c r="A90" s="32"/>
      <c r="B90" s="33"/>
      <c r="C90" s="27" t="s">
        <v>28</v>
      </c>
      <c r="D90" s="34"/>
      <c r="E90" s="34"/>
      <c r="F90" s="25" t="str">
        <f>IF(E22="","",E22)</f>
        <v>Vyplň údaj</v>
      </c>
      <c r="G90" s="34"/>
      <c r="H90" s="34"/>
      <c r="I90" s="27" t="s">
        <v>33</v>
      </c>
      <c r="J90" s="30" t="str">
        <f>E28</f>
        <v>Ateliér Simona Group</v>
      </c>
      <c r="K90" s="34"/>
      <c r="L90" s="111"/>
      <c r="S90" s="32"/>
      <c r="T90" s="32"/>
      <c r="U90" s="32"/>
      <c r="V90" s="32"/>
      <c r="W90" s="32"/>
      <c r="X90" s="32"/>
      <c r="Y90" s="32"/>
      <c r="Z90" s="32"/>
      <c r="AA90" s="32"/>
      <c r="AB90" s="32"/>
      <c r="AC90" s="32"/>
      <c r="AD90" s="32"/>
      <c r="AE90" s="32"/>
    </row>
    <row r="91" spans="1:31" s="2" customFormat="1" ht="10.35" customHeight="1">
      <c r="A91" s="32"/>
      <c r="B91" s="33"/>
      <c r="C91" s="34"/>
      <c r="D91" s="34"/>
      <c r="E91" s="34"/>
      <c r="F91" s="34"/>
      <c r="G91" s="34"/>
      <c r="H91" s="34"/>
      <c r="I91" s="34"/>
      <c r="J91" s="34"/>
      <c r="K91" s="34"/>
      <c r="L91" s="111"/>
      <c r="S91" s="32"/>
      <c r="T91" s="32"/>
      <c r="U91" s="32"/>
      <c r="V91" s="32"/>
      <c r="W91" s="32"/>
      <c r="X91" s="32"/>
      <c r="Y91" s="32"/>
      <c r="Z91" s="32"/>
      <c r="AA91" s="32"/>
      <c r="AB91" s="32"/>
      <c r="AC91" s="32"/>
      <c r="AD91" s="32"/>
      <c r="AE91" s="32"/>
    </row>
    <row r="92" spans="1:31" s="11" customFormat="1" ht="29.25" customHeight="1">
      <c r="A92" s="149"/>
      <c r="B92" s="150"/>
      <c r="C92" s="151" t="s">
        <v>182</v>
      </c>
      <c r="D92" s="152" t="s">
        <v>55</v>
      </c>
      <c r="E92" s="152" t="s">
        <v>51</v>
      </c>
      <c r="F92" s="152" t="s">
        <v>52</v>
      </c>
      <c r="G92" s="152" t="s">
        <v>183</v>
      </c>
      <c r="H92" s="152" t="s">
        <v>184</v>
      </c>
      <c r="I92" s="152" t="s">
        <v>185</v>
      </c>
      <c r="J92" s="152" t="s">
        <v>149</v>
      </c>
      <c r="K92" s="153" t="s">
        <v>186</v>
      </c>
      <c r="L92" s="154"/>
      <c r="M92" s="66" t="s">
        <v>19</v>
      </c>
      <c r="N92" s="67" t="s">
        <v>40</v>
      </c>
      <c r="O92" s="67" t="s">
        <v>187</v>
      </c>
      <c r="P92" s="67" t="s">
        <v>188</v>
      </c>
      <c r="Q92" s="67" t="s">
        <v>189</v>
      </c>
      <c r="R92" s="67" t="s">
        <v>190</v>
      </c>
      <c r="S92" s="67" t="s">
        <v>191</v>
      </c>
      <c r="T92" s="68" t="s">
        <v>192</v>
      </c>
      <c r="U92" s="149"/>
      <c r="V92" s="149"/>
      <c r="W92" s="149"/>
      <c r="X92" s="149"/>
      <c r="Y92" s="149"/>
      <c r="Z92" s="149"/>
      <c r="AA92" s="149"/>
      <c r="AB92" s="149"/>
      <c r="AC92" s="149"/>
      <c r="AD92" s="149"/>
      <c r="AE92" s="149"/>
    </row>
    <row r="93" spans="1:63" s="2" customFormat="1" ht="22.9" customHeight="1">
      <c r="A93" s="32"/>
      <c r="B93" s="33"/>
      <c r="C93" s="73" t="s">
        <v>193</v>
      </c>
      <c r="D93" s="34"/>
      <c r="E93" s="34"/>
      <c r="F93" s="34"/>
      <c r="G93" s="34"/>
      <c r="H93" s="34"/>
      <c r="I93" s="34"/>
      <c r="J93" s="155">
        <f>BK93</f>
        <v>0</v>
      </c>
      <c r="K93" s="34"/>
      <c r="L93" s="37"/>
      <c r="M93" s="69"/>
      <c r="N93" s="156"/>
      <c r="O93" s="70"/>
      <c r="P93" s="157">
        <f>P94</f>
        <v>0</v>
      </c>
      <c r="Q93" s="70"/>
      <c r="R93" s="157">
        <f>R94</f>
        <v>0</v>
      </c>
      <c r="S93" s="70"/>
      <c r="T93" s="158">
        <f>T94</f>
        <v>0</v>
      </c>
      <c r="U93" s="32"/>
      <c r="V93" s="32"/>
      <c r="W93" s="32"/>
      <c r="X93" s="32"/>
      <c r="Y93" s="32"/>
      <c r="Z93" s="32"/>
      <c r="AA93" s="32"/>
      <c r="AB93" s="32"/>
      <c r="AC93" s="32"/>
      <c r="AD93" s="32"/>
      <c r="AE93" s="32"/>
      <c r="AT93" s="15" t="s">
        <v>69</v>
      </c>
      <c r="AU93" s="15" t="s">
        <v>150</v>
      </c>
      <c r="BK93" s="159">
        <f>BK94</f>
        <v>0</v>
      </c>
    </row>
    <row r="94" spans="2:63" s="12" customFormat="1" ht="25.9" customHeight="1">
      <c r="B94" s="160"/>
      <c r="C94" s="161"/>
      <c r="D94" s="162" t="s">
        <v>69</v>
      </c>
      <c r="E94" s="163" t="s">
        <v>694</v>
      </c>
      <c r="F94" s="163" t="s">
        <v>695</v>
      </c>
      <c r="G94" s="161"/>
      <c r="H94" s="161"/>
      <c r="I94" s="164"/>
      <c r="J94" s="165">
        <f>BK94</f>
        <v>0</v>
      </c>
      <c r="K94" s="161"/>
      <c r="L94" s="166"/>
      <c r="M94" s="167"/>
      <c r="N94" s="168"/>
      <c r="O94" s="168"/>
      <c r="P94" s="169">
        <f>P95</f>
        <v>0</v>
      </c>
      <c r="Q94" s="168"/>
      <c r="R94" s="169">
        <f>R95</f>
        <v>0</v>
      </c>
      <c r="S94" s="168"/>
      <c r="T94" s="170">
        <f>T95</f>
        <v>0</v>
      </c>
      <c r="AR94" s="171" t="s">
        <v>79</v>
      </c>
      <c r="AT94" s="172" t="s">
        <v>69</v>
      </c>
      <c r="AU94" s="172" t="s">
        <v>70</v>
      </c>
      <c r="AY94" s="171" t="s">
        <v>196</v>
      </c>
      <c r="BK94" s="173">
        <f>BK95</f>
        <v>0</v>
      </c>
    </row>
    <row r="95" spans="2:63" s="12" customFormat="1" ht="22.9" customHeight="1">
      <c r="B95" s="160"/>
      <c r="C95" s="161"/>
      <c r="D95" s="162" t="s">
        <v>69</v>
      </c>
      <c r="E95" s="174" t="s">
        <v>757</v>
      </c>
      <c r="F95" s="174" t="s">
        <v>758</v>
      </c>
      <c r="G95" s="161"/>
      <c r="H95" s="161"/>
      <c r="I95" s="164"/>
      <c r="J95" s="175">
        <f>BK95</f>
        <v>0</v>
      </c>
      <c r="K95" s="161"/>
      <c r="L95" s="166"/>
      <c r="M95" s="167"/>
      <c r="N95" s="168"/>
      <c r="O95" s="168"/>
      <c r="P95" s="169">
        <f>P96</f>
        <v>0</v>
      </c>
      <c r="Q95" s="168"/>
      <c r="R95" s="169">
        <f>R96</f>
        <v>0</v>
      </c>
      <c r="S95" s="168"/>
      <c r="T95" s="170">
        <f>T96</f>
        <v>0</v>
      </c>
      <c r="AR95" s="171" t="s">
        <v>79</v>
      </c>
      <c r="AT95" s="172" t="s">
        <v>69</v>
      </c>
      <c r="AU95" s="172" t="s">
        <v>77</v>
      </c>
      <c r="AY95" s="171" t="s">
        <v>196</v>
      </c>
      <c r="BK95" s="173">
        <f>BK96</f>
        <v>0</v>
      </c>
    </row>
    <row r="96" spans="1:65" s="2" customFormat="1" ht="13.9" customHeight="1">
      <c r="A96" s="32"/>
      <c r="B96" s="33"/>
      <c r="C96" s="176" t="s">
        <v>77</v>
      </c>
      <c r="D96" s="176" t="s">
        <v>198</v>
      </c>
      <c r="E96" s="177" t="s">
        <v>1464</v>
      </c>
      <c r="F96" s="178" t="s">
        <v>1453</v>
      </c>
      <c r="G96" s="179" t="s">
        <v>1437</v>
      </c>
      <c r="H96" s="180">
        <v>1</v>
      </c>
      <c r="I96" s="181">
        <f>SLB!F81</f>
        <v>0</v>
      </c>
      <c r="J96" s="182">
        <f>ROUND(I96*H96,2)</f>
        <v>0</v>
      </c>
      <c r="K96" s="178" t="s">
        <v>19</v>
      </c>
      <c r="L96" s="37"/>
      <c r="M96" s="204" t="s">
        <v>19</v>
      </c>
      <c r="N96" s="205" t="s">
        <v>41</v>
      </c>
      <c r="O96" s="206"/>
      <c r="P96" s="207">
        <f>O96*H96</f>
        <v>0</v>
      </c>
      <c r="Q96" s="207">
        <v>0</v>
      </c>
      <c r="R96" s="207">
        <f>Q96*H96</f>
        <v>0</v>
      </c>
      <c r="S96" s="207">
        <v>0</v>
      </c>
      <c r="T96" s="208">
        <f>S96*H96</f>
        <v>0</v>
      </c>
      <c r="U96" s="32"/>
      <c r="V96" s="32"/>
      <c r="W96" s="32"/>
      <c r="X96" s="32"/>
      <c r="Y96" s="32"/>
      <c r="Z96" s="32"/>
      <c r="AA96" s="32"/>
      <c r="AB96" s="32"/>
      <c r="AC96" s="32"/>
      <c r="AD96" s="32"/>
      <c r="AE96" s="32"/>
      <c r="AR96" s="187" t="s">
        <v>270</v>
      </c>
      <c r="AT96" s="187" t="s">
        <v>198</v>
      </c>
      <c r="AU96" s="187" t="s">
        <v>79</v>
      </c>
      <c r="AY96" s="15" t="s">
        <v>196</v>
      </c>
      <c r="BE96" s="188">
        <f>IF(N96="základní",J96,0)</f>
        <v>0</v>
      </c>
      <c r="BF96" s="188">
        <f>IF(N96="snížená",J96,0)</f>
        <v>0</v>
      </c>
      <c r="BG96" s="188">
        <f>IF(N96="zákl. přenesená",J96,0)</f>
        <v>0</v>
      </c>
      <c r="BH96" s="188">
        <f>IF(N96="sníž. přenesená",J96,0)</f>
        <v>0</v>
      </c>
      <c r="BI96" s="188">
        <f>IF(N96="nulová",J96,0)</f>
        <v>0</v>
      </c>
      <c r="BJ96" s="15" t="s">
        <v>77</v>
      </c>
      <c r="BK96" s="188">
        <f>ROUND(I96*H96,2)</f>
        <v>0</v>
      </c>
      <c r="BL96" s="15" t="s">
        <v>270</v>
      </c>
      <c r="BM96" s="187" t="s">
        <v>1465</v>
      </c>
    </row>
    <row r="97" spans="1:31" s="2" customFormat="1" ht="6.95" customHeight="1">
      <c r="A97" s="32"/>
      <c r="B97" s="45"/>
      <c r="C97" s="46"/>
      <c r="D97" s="46"/>
      <c r="E97" s="46"/>
      <c r="F97" s="46"/>
      <c r="G97" s="46"/>
      <c r="H97" s="46"/>
      <c r="I97" s="46"/>
      <c r="J97" s="46"/>
      <c r="K97" s="46"/>
      <c r="L97" s="37"/>
      <c r="M97" s="32"/>
      <c r="O97" s="32"/>
      <c r="P97" s="32"/>
      <c r="Q97" s="32"/>
      <c r="R97" s="32"/>
      <c r="S97" s="32"/>
      <c r="T97" s="32"/>
      <c r="U97" s="32"/>
      <c r="V97" s="32"/>
      <c r="W97" s="32"/>
      <c r="X97" s="32"/>
      <c r="Y97" s="32"/>
      <c r="Z97" s="32"/>
      <c r="AA97" s="32"/>
      <c r="AB97" s="32"/>
      <c r="AC97" s="32"/>
      <c r="AD97" s="32"/>
      <c r="AE97" s="32"/>
    </row>
  </sheetData>
  <sheetProtection algorithmName="SHA-512" hashValue="N0AFxuuDvt7zvYFvUbqnyC8BILgcIFI0SAB3+mI8MD+1G09Ehn8BYhZzXyV0X3xk9jAaCYF5cKz/RByg66hF6Q==" saltValue="X7q2hsxSixVfo9DLKNXevxrTGvvV6/Lx2j9eoH6ZntEYx7GlM3t9XZ5x3iUV+0iqz9+Gfl6A2QOy20UQQ/i0Bg==" spinCount="100000" sheet="1" objects="1" scenarios="1" formatColumns="0" formatRows="0" autoFilter="0"/>
  <autoFilter ref="C92:K96"/>
  <mergeCells count="15">
    <mergeCell ref="E79:H79"/>
    <mergeCell ref="E83:H83"/>
    <mergeCell ref="E81:H81"/>
    <mergeCell ref="E85:H85"/>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48F38-C79E-4FC0-979B-97AC7E349953}">
  <sheetPr>
    <tabColor rgb="FF00B0F0"/>
  </sheetPr>
  <dimension ref="A1:F87"/>
  <sheetViews>
    <sheetView workbookViewId="0" topLeftCell="A55">
      <selection activeCell="F81" sqref="F81"/>
    </sheetView>
  </sheetViews>
  <sheetFormatPr defaultColWidth="9.140625" defaultRowHeight="12"/>
  <cols>
    <col min="1" max="1" width="17.140625" style="427" customWidth="1"/>
    <col min="2" max="2" width="51.00390625" style="426" customWidth="1"/>
    <col min="3" max="3" width="6.7109375" style="422" customWidth="1"/>
    <col min="4" max="4" width="5.421875" style="422" customWidth="1"/>
    <col min="5" max="5" width="16.00390625" style="422" customWidth="1"/>
    <col min="6" max="6" width="17.140625" style="422" customWidth="1"/>
    <col min="7" max="7" width="13.28125" style="422" bestFit="1" customWidth="1"/>
    <col min="8" max="16384" width="9.28125" style="422" customWidth="1"/>
  </cols>
  <sheetData>
    <row r="1" spans="1:6" ht="15.75">
      <c r="A1" s="478" t="s">
        <v>2257</v>
      </c>
      <c r="B1" s="477"/>
      <c r="C1" s="476"/>
      <c r="D1" s="476"/>
      <c r="E1" s="479"/>
      <c r="F1" s="475" t="s">
        <v>2337</v>
      </c>
    </row>
    <row r="2" spans="1:6" ht="15">
      <c r="A2" s="465"/>
      <c r="B2" s="464" t="s">
        <v>2336</v>
      </c>
      <c r="C2" s="463"/>
      <c r="D2" s="463"/>
      <c r="E2" s="463"/>
      <c r="F2" s="463"/>
    </row>
    <row r="3" spans="1:6" ht="12">
      <c r="A3" s="474" t="s">
        <v>2029</v>
      </c>
      <c r="B3" s="473" t="s">
        <v>2220</v>
      </c>
      <c r="C3" s="472" t="s">
        <v>2219</v>
      </c>
      <c r="D3" s="472" t="s">
        <v>183</v>
      </c>
      <c r="E3" s="471" t="s">
        <v>2218</v>
      </c>
      <c r="F3" s="471" t="s">
        <v>1946</v>
      </c>
    </row>
    <row r="4" spans="1:6" ht="12">
      <c r="A4" s="494" t="s">
        <v>2335</v>
      </c>
      <c r="B4" s="469" t="s">
        <v>2334</v>
      </c>
      <c r="C4" s="468">
        <v>2</v>
      </c>
      <c r="D4" s="467" t="s">
        <v>2057</v>
      </c>
      <c r="E4" s="484">
        <v>0</v>
      </c>
      <c r="F4" s="466">
        <f aca="true" t="shared" si="0" ref="F4:F18">C4*E4</f>
        <v>0</v>
      </c>
    </row>
    <row r="5" spans="1:6" ht="12">
      <c r="A5" s="494" t="s">
        <v>2333</v>
      </c>
      <c r="B5" s="469" t="s">
        <v>2332</v>
      </c>
      <c r="C5" s="468">
        <v>2</v>
      </c>
      <c r="D5" s="467" t="s">
        <v>2057</v>
      </c>
      <c r="E5" s="484">
        <v>0</v>
      </c>
      <c r="F5" s="466">
        <f t="shared" si="0"/>
        <v>0</v>
      </c>
    </row>
    <row r="6" spans="1:6" ht="12">
      <c r="A6" s="494" t="s">
        <v>2331</v>
      </c>
      <c r="B6" s="469" t="s">
        <v>2330</v>
      </c>
      <c r="C6" s="468">
        <v>4</v>
      </c>
      <c r="D6" s="467" t="s">
        <v>2057</v>
      </c>
      <c r="E6" s="484">
        <v>0</v>
      </c>
      <c r="F6" s="466">
        <f t="shared" si="0"/>
        <v>0</v>
      </c>
    </row>
    <row r="7" spans="1:6" ht="12">
      <c r="A7" s="494" t="s">
        <v>2329</v>
      </c>
      <c r="B7" s="469" t="s">
        <v>2328</v>
      </c>
      <c r="C7" s="468">
        <v>28</v>
      </c>
      <c r="D7" s="467" t="s">
        <v>2057</v>
      </c>
      <c r="E7" s="484">
        <v>0</v>
      </c>
      <c r="F7" s="466">
        <f t="shared" si="0"/>
        <v>0</v>
      </c>
    </row>
    <row r="8" spans="1:6" ht="12">
      <c r="A8" s="494" t="s">
        <v>2327</v>
      </c>
      <c r="B8" s="469" t="s">
        <v>2326</v>
      </c>
      <c r="C8" s="468">
        <v>28</v>
      </c>
      <c r="D8" s="467" t="s">
        <v>2057</v>
      </c>
      <c r="E8" s="484">
        <v>0</v>
      </c>
      <c r="F8" s="466">
        <f t="shared" si="0"/>
        <v>0</v>
      </c>
    </row>
    <row r="9" spans="1:6" ht="12">
      <c r="A9" s="494" t="s">
        <v>2325</v>
      </c>
      <c r="B9" s="469" t="s">
        <v>2324</v>
      </c>
      <c r="C9" s="468">
        <v>25</v>
      </c>
      <c r="D9" s="467" t="s">
        <v>2057</v>
      </c>
      <c r="E9" s="484">
        <v>0</v>
      </c>
      <c r="F9" s="466">
        <f t="shared" si="0"/>
        <v>0</v>
      </c>
    </row>
    <row r="10" spans="1:6" ht="12">
      <c r="A10" s="494" t="s">
        <v>2323</v>
      </c>
      <c r="B10" s="469" t="s">
        <v>2322</v>
      </c>
      <c r="C10" s="468">
        <v>4</v>
      </c>
      <c r="D10" s="467" t="s">
        <v>2057</v>
      </c>
      <c r="E10" s="484">
        <v>0</v>
      </c>
      <c r="F10" s="466">
        <f t="shared" si="0"/>
        <v>0</v>
      </c>
    </row>
    <row r="11" spans="1:6" ht="12">
      <c r="A11" s="494" t="s">
        <v>2321</v>
      </c>
      <c r="B11" s="469" t="s">
        <v>2320</v>
      </c>
      <c r="C11" s="468">
        <v>33</v>
      </c>
      <c r="D11" s="467" t="s">
        <v>2057</v>
      </c>
      <c r="E11" s="484">
        <v>0</v>
      </c>
      <c r="F11" s="466">
        <f t="shared" si="0"/>
        <v>0</v>
      </c>
    </row>
    <row r="12" spans="1:6" ht="12">
      <c r="A12" s="494"/>
      <c r="B12" s="469" t="s">
        <v>2319</v>
      </c>
      <c r="C12" s="468">
        <v>28</v>
      </c>
      <c r="D12" s="467" t="s">
        <v>2057</v>
      </c>
      <c r="E12" s="484">
        <v>0</v>
      </c>
      <c r="F12" s="466">
        <f t="shared" si="0"/>
        <v>0</v>
      </c>
    </row>
    <row r="13" spans="1:6" ht="12">
      <c r="A13" s="494" t="s">
        <v>2318</v>
      </c>
      <c r="B13" s="469" t="s">
        <v>2317</v>
      </c>
      <c r="C13" s="468">
        <v>10</v>
      </c>
      <c r="D13" s="467" t="s">
        <v>2057</v>
      </c>
      <c r="E13" s="484">
        <v>0</v>
      </c>
      <c r="F13" s="466">
        <f t="shared" si="0"/>
        <v>0</v>
      </c>
    </row>
    <row r="14" spans="1:6" ht="12">
      <c r="A14" s="494" t="s">
        <v>2316</v>
      </c>
      <c r="B14" s="469" t="s">
        <v>2315</v>
      </c>
      <c r="C14" s="468">
        <v>10</v>
      </c>
      <c r="D14" s="467" t="s">
        <v>2057</v>
      </c>
      <c r="E14" s="484">
        <v>0</v>
      </c>
      <c r="F14" s="466">
        <f t="shared" si="0"/>
        <v>0</v>
      </c>
    </row>
    <row r="15" spans="1:6" ht="12">
      <c r="A15" s="494">
        <v>88060</v>
      </c>
      <c r="B15" s="469" t="s">
        <v>2314</v>
      </c>
      <c r="C15" s="468">
        <v>5</v>
      </c>
      <c r="D15" s="467" t="s">
        <v>2057</v>
      </c>
      <c r="E15" s="484">
        <v>0</v>
      </c>
      <c r="F15" s="466">
        <f t="shared" si="0"/>
        <v>0</v>
      </c>
    </row>
    <row r="16" spans="1:6" ht="12">
      <c r="A16" s="494">
        <v>88069</v>
      </c>
      <c r="B16" s="469" t="s">
        <v>2313</v>
      </c>
      <c r="C16" s="468">
        <v>5</v>
      </c>
      <c r="D16" s="467" t="s">
        <v>2057</v>
      </c>
      <c r="E16" s="484">
        <v>0</v>
      </c>
      <c r="F16" s="466">
        <f t="shared" si="0"/>
        <v>0</v>
      </c>
    </row>
    <row r="17" spans="1:6" ht="12">
      <c r="A17" s="494">
        <v>76564</v>
      </c>
      <c r="B17" s="469" t="s">
        <v>2312</v>
      </c>
      <c r="C17" s="468">
        <v>5</v>
      </c>
      <c r="D17" s="467" t="s">
        <v>2057</v>
      </c>
      <c r="E17" s="484">
        <v>0</v>
      </c>
      <c r="F17" s="466">
        <f t="shared" si="0"/>
        <v>0</v>
      </c>
    </row>
    <row r="18" spans="1:6" ht="12">
      <c r="A18" s="494">
        <v>78721</v>
      </c>
      <c r="B18" s="469" t="s">
        <v>2311</v>
      </c>
      <c r="C18" s="468">
        <v>5</v>
      </c>
      <c r="D18" s="467" t="s">
        <v>2057</v>
      </c>
      <c r="E18" s="484">
        <v>0</v>
      </c>
      <c r="F18" s="466">
        <f t="shared" si="0"/>
        <v>0</v>
      </c>
    </row>
    <row r="19" spans="1:6" ht="12">
      <c r="A19" s="462"/>
      <c r="B19" s="461" t="s">
        <v>1946</v>
      </c>
      <c r="C19" s="460"/>
      <c r="D19" s="460"/>
      <c r="E19" s="460"/>
      <c r="F19" s="459">
        <f>SUM(F4:F18)</f>
        <v>0</v>
      </c>
    </row>
    <row r="20" spans="1:6" ht="12">
      <c r="A20" s="458" t="s">
        <v>2164</v>
      </c>
      <c r="B20" s="457" t="s">
        <v>1737</v>
      </c>
      <c r="C20" s="456"/>
      <c r="D20" s="456"/>
      <c r="E20" s="455"/>
      <c r="F20" s="454">
        <f>F19*0.21</f>
        <v>0</v>
      </c>
    </row>
    <row r="22" spans="1:6" ht="15">
      <c r="A22" s="465"/>
      <c r="B22" s="464" t="s">
        <v>2310</v>
      </c>
      <c r="C22" s="463"/>
      <c r="D22" s="463"/>
      <c r="E22" s="463"/>
      <c r="F22" s="463"/>
    </row>
    <row r="23" spans="1:6" ht="12">
      <c r="A23" s="474" t="s">
        <v>2029</v>
      </c>
      <c r="B23" s="473" t="s">
        <v>2220</v>
      </c>
      <c r="C23" s="472" t="s">
        <v>2219</v>
      </c>
      <c r="D23" s="472" t="s">
        <v>183</v>
      </c>
      <c r="E23" s="471" t="s">
        <v>2218</v>
      </c>
      <c r="F23" s="471" t="s">
        <v>1946</v>
      </c>
    </row>
    <row r="24" spans="1:6" ht="12">
      <c r="A24" s="494" t="s">
        <v>2338</v>
      </c>
      <c r="B24" s="469" t="s">
        <v>2309</v>
      </c>
      <c r="C24" s="468">
        <v>4180</v>
      </c>
      <c r="D24" s="467" t="s">
        <v>310</v>
      </c>
      <c r="E24" s="484">
        <v>0</v>
      </c>
      <c r="F24" s="466">
        <f aca="true" t="shared" si="1" ref="F24:F45">E24*C24</f>
        <v>0</v>
      </c>
    </row>
    <row r="25" spans="1:6" ht="12">
      <c r="A25" s="494" t="s">
        <v>2339</v>
      </c>
      <c r="B25" s="469" t="s">
        <v>2308</v>
      </c>
      <c r="C25" s="468">
        <v>20</v>
      </c>
      <c r="D25" s="467" t="s">
        <v>2057</v>
      </c>
      <c r="E25" s="484">
        <v>0</v>
      </c>
      <c r="F25" s="466">
        <f t="shared" si="1"/>
        <v>0</v>
      </c>
    </row>
    <row r="26" spans="1:6" ht="12">
      <c r="A26" s="494" t="s">
        <v>2340</v>
      </c>
      <c r="B26" s="469" t="s">
        <v>2307</v>
      </c>
      <c r="C26" s="468">
        <v>20</v>
      </c>
      <c r="D26" s="467" t="s">
        <v>2057</v>
      </c>
      <c r="E26" s="484">
        <v>0</v>
      </c>
      <c r="F26" s="466">
        <f t="shared" si="1"/>
        <v>0</v>
      </c>
    </row>
    <row r="27" spans="1:6" ht="12">
      <c r="A27" s="494">
        <v>2207028</v>
      </c>
      <c r="B27" s="469" t="s">
        <v>2279</v>
      </c>
      <c r="C27" s="468">
        <v>40</v>
      </c>
      <c r="D27" s="467" t="s">
        <v>2057</v>
      </c>
      <c r="E27" s="484">
        <v>0</v>
      </c>
      <c r="F27" s="466">
        <f t="shared" si="1"/>
        <v>0</v>
      </c>
    </row>
    <row r="28" spans="1:6" ht="12">
      <c r="A28" s="494" t="s">
        <v>2341</v>
      </c>
      <c r="B28" s="469" t="s">
        <v>2278</v>
      </c>
      <c r="C28" s="468">
        <v>60</v>
      </c>
      <c r="D28" s="467" t="s">
        <v>310</v>
      </c>
      <c r="E28" s="484">
        <v>0</v>
      </c>
      <c r="F28" s="466">
        <f t="shared" si="1"/>
        <v>0</v>
      </c>
    </row>
    <row r="29" spans="1:6" ht="12">
      <c r="A29" s="494" t="s">
        <v>2342</v>
      </c>
      <c r="B29" s="469" t="s">
        <v>2306</v>
      </c>
      <c r="C29" s="468">
        <v>120</v>
      </c>
      <c r="D29" s="467" t="s">
        <v>310</v>
      </c>
      <c r="E29" s="484">
        <v>0</v>
      </c>
      <c r="F29" s="466">
        <f t="shared" si="1"/>
        <v>0</v>
      </c>
    </row>
    <row r="30" spans="1:6" ht="12">
      <c r="A30" s="494" t="s">
        <v>2343</v>
      </c>
      <c r="B30" s="469" t="s">
        <v>2203</v>
      </c>
      <c r="C30" s="468">
        <v>220</v>
      </c>
      <c r="D30" s="467" t="s">
        <v>310</v>
      </c>
      <c r="E30" s="484">
        <v>0</v>
      </c>
      <c r="F30" s="466">
        <f t="shared" si="1"/>
        <v>0</v>
      </c>
    </row>
    <row r="31" spans="1:6" ht="12">
      <c r="A31" s="494" t="s">
        <v>2305</v>
      </c>
      <c r="B31" s="469" t="s">
        <v>2304</v>
      </c>
      <c r="C31" s="468">
        <v>20</v>
      </c>
      <c r="D31" s="467" t="s">
        <v>2057</v>
      </c>
      <c r="E31" s="484">
        <v>0</v>
      </c>
      <c r="F31" s="466">
        <f t="shared" si="1"/>
        <v>0</v>
      </c>
    </row>
    <row r="32" spans="1:6" ht="12">
      <c r="A32" s="494" t="s">
        <v>2277</v>
      </c>
      <c r="B32" s="469" t="s">
        <v>2276</v>
      </c>
      <c r="C32" s="468">
        <v>31</v>
      </c>
      <c r="D32" s="467" t="s">
        <v>2057</v>
      </c>
      <c r="E32" s="484">
        <v>0</v>
      </c>
      <c r="F32" s="466">
        <f t="shared" si="1"/>
        <v>0</v>
      </c>
    </row>
    <row r="33" spans="1:6" ht="12">
      <c r="A33" s="494" t="s">
        <v>2202</v>
      </c>
      <c r="B33" s="469" t="s">
        <v>2201</v>
      </c>
      <c r="C33" s="468">
        <v>51</v>
      </c>
      <c r="D33" s="467" t="s">
        <v>2057</v>
      </c>
      <c r="E33" s="484">
        <v>0</v>
      </c>
      <c r="F33" s="466">
        <f t="shared" si="1"/>
        <v>0</v>
      </c>
    </row>
    <row r="34" spans="1:6" ht="24">
      <c r="A34" s="494" t="s">
        <v>2194</v>
      </c>
      <c r="B34" s="469" t="s">
        <v>2193</v>
      </c>
      <c r="C34" s="468">
        <v>6</v>
      </c>
      <c r="D34" s="467" t="s">
        <v>310</v>
      </c>
      <c r="E34" s="484">
        <v>0</v>
      </c>
      <c r="F34" s="466">
        <f t="shared" si="1"/>
        <v>0</v>
      </c>
    </row>
    <row r="35" spans="1:6" ht="12">
      <c r="A35" s="494" t="s">
        <v>2180</v>
      </c>
      <c r="B35" s="469" t="s">
        <v>2179</v>
      </c>
      <c r="C35" s="468">
        <v>6</v>
      </c>
      <c r="D35" s="467" t="s">
        <v>2057</v>
      </c>
      <c r="E35" s="484">
        <v>0</v>
      </c>
      <c r="F35" s="466">
        <f t="shared" si="1"/>
        <v>0</v>
      </c>
    </row>
    <row r="36" spans="1:6" ht="12">
      <c r="A36" s="494" t="s">
        <v>2192</v>
      </c>
      <c r="B36" s="469" t="s">
        <v>2191</v>
      </c>
      <c r="C36" s="468">
        <v>2</v>
      </c>
      <c r="D36" s="467" t="s">
        <v>2057</v>
      </c>
      <c r="E36" s="484">
        <v>0</v>
      </c>
      <c r="F36" s="466">
        <f t="shared" si="1"/>
        <v>0</v>
      </c>
    </row>
    <row r="37" spans="1:6" ht="12">
      <c r="A37" s="494" t="s">
        <v>2180</v>
      </c>
      <c r="B37" s="469" t="s">
        <v>2179</v>
      </c>
      <c r="C37" s="468">
        <v>8</v>
      </c>
      <c r="D37" s="467" t="s">
        <v>2057</v>
      </c>
      <c r="E37" s="484">
        <v>0</v>
      </c>
      <c r="F37" s="466">
        <f t="shared" si="1"/>
        <v>0</v>
      </c>
    </row>
    <row r="38" spans="1:6" ht="12">
      <c r="A38" s="494" t="s">
        <v>2190</v>
      </c>
      <c r="B38" s="469" t="s">
        <v>2189</v>
      </c>
      <c r="C38" s="468">
        <v>8</v>
      </c>
      <c r="D38" s="467" t="s">
        <v>2057</v>
      </c>
      <c r="E38" s="484">
        <v>0</v>
      </c>
      <c r="F38" s="466">
        <f t="shared" si="1"/>
        <v>0</v>
      </c>
    </row>
    <row r="39" spans="1:6" ht="12">
      <c r="A39" s="494" t="s">
        <v>2188</v>
      </c>
      <c r="B39" s="469" t="s">
        <v>2187</v>
      </c>
      <c r="C39" s="468">
        <v>8</v>
      </c>
      <c r="D39" s="467" t="s">
        <v>2057</v>
      </c>
      <c r="E39" s="484">
        <v>0</v>
      </c>
      <c r="F39" s="466">
        <f t="shared" si="1"/>
        <v>0</v>
      </c>
    </row>
    <row r="40" spans="1:6" ht="12">
      <c r="A40" s="494" t="s">
        <v>2186</v>
      </c>
      <c r="B40" s="469" t="s">
        <v>2185</v>
      </c>
      <c r="C40" s="468">
        <v>6</v>
      </c>
      <c r="D40" s="467" t="s">
        <v>2057</v>
      </c>
      <c r="E40" s="484">
        <v>0</v>
      </c>
      <c r="F40" s="466">
        <f t="shared" si="1"/>
        <v>0</v>
      </c>
    </row>
    <row r="41" spans="1:6" ht="12">
      <c r="A41" s="494" t="s">
        <v>2184</v>
      </c>
      <c r="B41" s="469" t="s">
        <v>2183</v>
      </c>
      <c r="C41" s="468">
        <v>6</v>
      </c>
      <c r="D41" s="467" t="s">
        <v>2057</v>
      </c>
      <c r="E41" s="484">
        <v>0</v>
      </c>
      <c r="F41" s="466">
        <f t="shared" si="1"/>
        <v>0</v>
      </c>
    </row>
    <row r="42" spans="1:6" ht="12">
      <c r="A42" s="494" t="s">
        <v>2182</v>
      </c>
      <c r="B42" s="469" t="s">
        <v>2181</v>
      </c>
      <c r="C42" s="468">
        <v>18</v>
      </c>
      <c r="D42" s="467" t="s">
        <v>2057</v>
      </c>
      <c r="E42" s="484">
        <v>0</v>
      </c>
      <c r="F42" s="466">
        <f t="shared" si="1"/>
        <v>0</v>
      </c>
    </row>
    <row r="43" spans="1:6" ht="12">
      <c r="A43" s="470" t="s">
        <v>2180</v>
      </c>
      <c r="B43" s="469" t="s">
        <v>2179</v>
      </c>
      <c r="C43" s="468">
        <v>6</v>
      </c>
      <c r="D43" s="467" t="s">
        <v>2057</v>
      </c>
      <c r="E43" s="484">
        <v>0</v>
      </c>
      <c r="F43" s="466">
        <f t="shared" si="1"/>
        <v>0</v>
      </c>
    </row>
    <row r="44" spans="1:6" ht="12">
      <c r="A44" s="470" t="s">
        <v>2178</v>
      </c>
      <c r="B44" s="469" t="s">
        <v>2177</v>
      </c>
      <c r="C44" s="468">
        <v>6</v>
      </c>
      <c r="D44" s="467" t="s">
        <v>2057</v>
      </c>
      <c r="E44" s="484">
        <v>0</v>
      </c>
      <c r="F44" s="466">
        <f t="shared" si="1"/>
        <v>0</v>
      </c>
    </row>
    <row r="45" spans="1:6" ht="12">
      <c r="A45" s="470" t="s">
        <v>2174</v>
      </c>
      <c r="B45" s="469" t="s">
        <v>2173</v>
      </c>
      <c r="C45" s="468">
        <v>1</v>
      </c>
      <c r="D45" s="467" t="s">
        <v>2172</v>
      </c>
      <c r="E45" s="484">
        <v>0</v>
      </c>
      <c r="F45" s="466">
        <f t="shared" si="1"/>
        <v>0</v>
      </c>
    </row>
    <row r="46" spans="1:6" ht="12">
      <c r="A46" s="462"/>
      <c r="B46" s="461" t="s">
        <v>1946</v>
      </c>
      <c r="C46" s="460"/>
      <c r="D46" s="460"/>
      <c r="E46" s="460"/>
      <c r="F46" s="459">
        <f>SUM(F24:F45)</f>
        <v>0</v>
      </c>
    </row>
    <row r="47" spans="1:6" ht="12">
      <c r="A47" s="458" t="s">
        <v>2164</v>
      </c>
      <c r="B47" s="457" t="s">
        <v>1737</v>
      </c>
      <c r="C47" s="456"/>
      <c r="D47" s="456"/>
      <c r="E47" s="455"/>
      <c r="F47" s="454">
        <f>F46*0.21</f>
        <v>0</v>
      </c>
    </row>
    <row r="49" spans="1:6" ht="15">
      <c r="A49" s="465"/>
      <c r="B49" s="464" t="s">
        <v>2171</v>
      </c>
      <c r="C49" s="463"/>
      <c r="D49" s="463"/>
      <c r="E49" s="463"/>
      <c r="F49" s="463"/>
    </row>
    <row r="50" spans="1:6" ht="12">
      <c r="A50" s="462"/>
      <c r="B50" s="461" t="s">
        <v>1946</v>
      </c>
      <c r="C50" s="460"/>
      <c r="D50" s="460"/>
      <c r="E50" s="460"/>
      <c r="F50" s="795">
        <v>0</v>
      </c>
    </row>
    <row r="51" spans="1:6" ht="12">
      <c r="A51" s="458" t="s">
        <v>2164</v>
      </c>
      <c r="B51" s="457" t="s">
        <v>1737</v>
      </c>
      <c r="C51" s="456"/>
      <c r="D51" s="456"/>
      <c r="E51" s="455"/>
      <c r="F51" s="454">
        <f>F50*0.21</f>
        <v>0</v>
      </c>
    </row>
    <row r="53" spans="1:6" ht="15">
      <c r="A53" s="465"/>
      <c r="B53" s="464" t="s">
        <v>2262</v>
      </c>
      <c r="C53" s="463"/>
      <c r="D53" s="463"/>
      <c r="E53" s="463"/>
      <c r="F53" s="463"/>
    </row>
    <row r="54" spans="1:6" ht="12">
      <c r="A54" s="462"/>
      <c r="B54" s="461" t="s">
        <v>1946</v>
      </c>
      <c r="C54" s="460"/>
      <c r="D54" s="460"/>
      <c r="E54" s="460"/>
      <c r="F54" s="795">
        <v>0</v>
      </c>
    </row>
    <row r="55" spans="1:6" ht="12">
      <c r="A55" s="458" t="s">
        <v>2164</v>
      </c>
      <c r="B55" s="457" t="s">
        <v>1737</v>
      </c>
      <c r="C55" s="456"/>
      <c r="D55" s="456"/>
      <c r="E55" s="455"/>
      <c r="F55" s="454">
        <f>F54*0.21</f>
        <v>0</v>
      </c>
    </row>
    <row r="57" spans="1:6" ht="15">
      <c r="A57" s="465"/>
      <c r="B57" s="464" t="s">
        <v>2303</v>
      </c>
      <c r="C57" s="463"/>
      <c r="D57" s="463"/>
      <c r="E57" s="463"/>
      <c r="F57" s="463"/>
    </row>
    <row r="58" spans="1:6" ht="12">
      <c r="A58" s="462"/>
      <c r="B58" s="461" t="s">
        <v>1946</v>
      </c>
      <c r="C58" s="460"/>
      <c r="D58" s="460"/>
      <c r="E58" s="460"/>
      <c r="F58" s="795">
        <v>0</v>
      </c>
    </row>
    <row r="59" spans="1:6" ht="12">
      <c r="A59" s="458" t="s">
        <v>2164</v>
      </c>
      <c r="B59" s="457" t="s">
        <v>1737</v>
      </c>
      <c r="C59" s="456"/>
      <c r="D59" s="456"/>
      <c r="E59" s="455"/>
      <c r="F59" s="454">
        <f>F58*0.21</f>
        <v>0</v>
      </c>
    </row>
    <row r="61" spans="1:6" ht="15">
      <c r="A61" s="465"/>
      <c r="B61" s="464" t="s">
        <v>2261</v>
      </c>
      <c r="C61" s="463"/>
      <c r="D61" s="463"/>
      <c r="E61" s="463"/>
      <c r="F61" s="463"/>
    </row>
    <row r="62" spans="1:6" ht="12">
      <c r="A62" s="462"/>
      <c r="B62" s="461" t="s">
        <v>1946</v>
      </c>
      <c r="C62" s="460"/>
      <c r="D62" s="460"/>
      <c r="E62" s="460"/>
      <c r="F62" s="795">
        <v>0</v>
      </c>
    </row>
    <row r="63" spans="1:6" ht="12">
      <c r="A63" s="458" t="s">
        <v>2164</v>
      </c>
      <c r="B63" s="457" t="s">
        <v>1737</v>
      </c>
      <c r="C63" s="456"/>
      <c r="D63" s="456"/>
      <c r="E63" s="455"/>
      <c r="F63" s="454">
        <f>F62*0.21</f>
        <v>0</v>
      </c>
    </row>
    <row r="65" spans="1:6" ht="15">
      <c r="A65" s="465"/>
      <c r="B65" s="464" t="s">
        <v>2302</v>
      </c>
      <c r="C65" s="463"/>
      <c r="D65" s="463"/>
      <c r="E65" s="463"/>
      <c r="F65" s="463"/>
    </row>
    <row r="66" spans="1:6" ht="12">
      <c r="A66" s="462"/>
      <c r="B66" s="461" t="s">
        <v>1946</v>
      </c>
      <c r="C66" s="460"/>
      <c r="D66" s="460"/>
      <c r="E66" s="460"/>
      <c r="F66" s="795">
        <v>0</v>
      </c>
    </row>
    <row r="67" spans="1:6" ht="12">
      <c r="A67" s="458" t="s">
        <v>2164</v>
      </c>
      <c r="B67" s="457" t="s">
        <v>1737</v>
      </c>
      <c r="C67" s="456"/>
      <c r="D67" s="456"/>
      <c r="E67" s="455"/>
      <c r="F67" s="454">
        <f>F66*0.21</f>
        <v>0</v>
      </c>
    </row>
    <row r="69" spans="1:6" ht="15">
      <c r="A69" s="465"/>
      <c r="B69" s="464" t="s">
        <v>2165</v>
      </c>
      <c r="C69" s="463"/>
      <c r="D69" s="463"/>
      <c r="E69" s="463"/>
      <c r="F69" s="463"/>
    </row>
    <row r="70" spans="1:6" ht="12">
      <c r="A70" s="462"/>
      <c r="B70" s="461" t="s">
        <v>1946</v>
      </c>
      <c r="C70" s="460"/>
      <c r="D70" s="460"/>
      <c r="E70" s="460"/>
      <c r="F70" s="795">
        <v>0</v>
      </c>
    </row>
    <row r="71" spans="1:6" ht="12">
      <c r="A71" s="458" t="s">
        <v>2164</v>
      </c>
      <c r="B71" s="457" t="s">
        <v>1737</v>
      </c>
      <c r="C71" s="456"/>
      <c r="D71" s="456"/>
      <c r="E71" s="455"/>
      <c r="F71" s="454">
        <f>F70*0.21</f>
        <v>0</v>
      </c>
    </row>
    <row r="73" spans="1:6" ht="20.25">
      <c r="A73" s="492" t="s">
        <v>2163</v>
      </c>
      <c r="B73" s="492"/>
      <c r="C73" s="491"/>
      <c r="D73" s="491"/>
      <c r="E73" s="491"/>
      <c r="F73" s="491"/>
    </row>
    <row r="74" spans="1:6" ht="14.25">
      <c r="A74" s="448" t="s">
        <v>2162</v>
      </c>
      <c r="B74" s="448" t="s">
        <v>2161</v>
      </c>
      <c r="C74" s="447"/>
      <c r="D74" s="447"/>
      <c r="E74" s="447"/>
      <c r="F74" s="447"/>
    </row>
    <row r="75" spans="1:6" ht="12">
      <c r="A75" s="422"/>
      <c r="B75" s="442" t="s">
        <v>2160</v>
      </c>
      <c r="C75" s="442"/>
      <c r="D75" s="442"/>
      <c r="E75" s="442"/>
      <c r="F75" s="490">
        <f>F19+F46</f>
        <v>0</v>
      </c>
    </row>
    <row r="76" spans="1:6" ht="12">
      <c r="A76" s="422"/>
      <c r="B76" s="442" t="s">
        <v>2159</v>
      </c>
      <c r="C76" s="442"/>
      <c r="D76" s="442"/>
      <c r="E76" s="442"/>
      <c r="F76" s="490">
        <f>F50+F54+F58+F62+F66+F70</f>
        <v>0</v>
      </c>
    </row>
    <row r="77" spans="1:6" ht="12">
      <c r="A77" s="422"/>
      <c r="B77" s="442" t="s">
        <v>2158</v>
      </c>
      <c r="C77" s="442"/>
      <c r="D77" s="442"/>
      <c r="E77" s="442"/>
      <c r="F77" s="796">
        <v>0</v>
      </c>
    </row>
    <row r="78" spans="1:6" ht="12">
      <c r="A78" s="422"/>
      <c r="B78" s="442" t="s">
        <v>2157</v>
      </c>
      <c r="C78" s="442"/>
      <c r="D78" s="442"/>
      <c r="E78" s="442"/>
      <c r="F78" s="796">
        <v>0</v>
      </c>
    </row>
    <row r="79" spans="1:6" ht="12">
      <c r="A79" s="422"/>
      <c r="B79" s="442" t="s">
        <v>2156</v>
      </c>
      <c r="C79" s="442"/>
      <c r="D79" s="442"/>
      <c r="E79" s="442"/>
      <c r="F79" s="796">
        <v>0</v>
      </c>
    </row>
    <row r="80" spans="1:6" ht="12">
      <c r="A80" s="422"/>
      <c r="B80" s="442" t="s">
        <v>2155</v>
      </c>
      <c r="C80" s="442"/>
      <c r="D80" s="442"/>
      <c r="E80" s="442"/>
      <c r="F80" s="796">
        <v>0</v>
      </c>
    </row>
    <row r="81" spans="1:6" ht="15.75" thickBot="1">
      <c r="A81" s="433"/>
      <c r="B81" s="434" t="s">
        <v>2034</v>
      </c>
      <c r="C81" s="433"/>
      <c r="D81" s="433"/>
      <c r="E81" s="433"/>
      <c r="F81" s="487">
        <f>SUM(F75:F80)</f>
        <v>0</v>
      </c>
    </row>
    <row r="82" spans="1:2" ht="12">
      <c r="A82" s="422"/>
      <c r="B82" s="422"/>
    </row>
    <row r="83" spans="1:6" ht="15">
      <c r="A83" s="422"/>
      <c r="B83" s="443" t="s">
        <v>2154</v>
      </c>
      <c r="C83" s="442"/>
      <c r="D83" s="442"/>
      <c r="E83" s="442"/>
      <c r="F83" s="442"/>
    </row>
    <row r="84" spans="1:6" ht="12">
      <c r="A84" s="422"/>
      <c r="B84" s="439" t="s">
        <v>1737</v>
      </c>
      <c r="C84" s="437"/>
      <c r="D84" s="438"/>
      <c r="E84" s="437"/>
      <c r="F84" s="488">
        <f>F81*0.21</f>
        <v>0</v>
      </c>
    </row>
    <row r="85" spans="1:6" ht="15.75" thickBot="1">
      <c r="A85" s="433"/>
      <c r="B85" s="434" t="s">
        <v>2153</v>
      </c>
      <c r="C85" s="433"/>
      <c r="D85" s="433"/>
      <c r="E85" s="433"/>
      <c r="F85" s="487">
        <f>SUM(F81:F84)</f>
        <v>0</v>
      </c>
    </row>
    <row r="87" ht="153">
      <c r="B87" s="486" t="s">
        <v>1987</v>
      </c>
    </row>
  </sheetData>
  <sheetProtection algorithmName="SHA-512" hashValue="uCahvdLgp04CKc3LBlj6T2YIPbEQfLuecIdSgYmz4+6Et8dBlGsohmsBYWXOecuwcp3A+xMNg4XpoRqk0RZxxQ==" saltValue="iAUgqDzMMyKKme0iNuLteg==" spinCount="100000" sheet="1" objects="1" scenarios="1"/>
  <printOptions horizontalCentered="1"/>
  <pageMargins left="0.3937007874015748" right="0.2362204724409449" top="0.3937007874015748" bottom="0.3937007874015748" header="0" footer="0"/>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pageSetUpPr fitToPage="1"/>
  </sheetPr>
  <dimension ref="A2:BM91"/>
  <sheetViews>
    <sheetView showGridLines="0" workbookViewId="0" topLeftCell="A70">
      <selection activeCell="F88" sqref="F88"/>
    </sheetView>
  </sheetViews>
  <sheetFormatPr defaultColWidth="9.140625" defaultRowHeight="12"/>
  <cols>
    <col min="1" max="1" width="8.8515625" style="1" customWidth="1"/>
    <col min="2" max="2" width="1.1484375" style="1" customWidth="1"/>
    <col min="3" max="4" width="4.421875" style="1" customWidth="1"/>
    <col min="5" max="5" width="18.28125" style="1" customWidth="1"/>
    <col min="6" max="6" width="108.00390625" style="1" customWidth="1"/>
    <col min="7" max="7" width="8.00390625" style="1" customWidth="1"/>
    <col min="8" max="8" width="12.28125" style="1" customWidth="1"/>
    <col min="9" max="11" width="21.421875" style="1" customWidth="1"/>
    <col min="12" max="12" width="10.00390625" style="1" customWidth="1"/>
    <col min="13" max="13" width="11.421875" style="1" hidden="1" customWidth="1"/>
    <col min="14" max="14" width="9.140625" style="1" hidden="1" customWidth="1"/>
    <col min="15" max="20" width="15.140625" style="1" hidden="1" customWidth="1"/>
    <col min="21" max="21" width="17.421875" style="1" hidden="1" customWidth="1"/>
    <col min="22" max="22" width="13.140625" style="1" customWidth="1"/>
    <col min="23" max="23" width="17.421875" style="1" customWidth="1"/>
    <col min="24" max="24" width="13.140625" style="1" customWidth="1"/>
    <col min="25" max="25" width="16.00390625" style="1" customWidth="1"/>
    <col min="26" max="26" width="11.7109375" style="1" customWidth="1"/>
    <col min="27" max="27" width="16.00390625" style="1" customWidth="1"/>
    <col min="28" max="28" width="17.421875" style="1" customWidth="1"/>
    <col min="29" max="29" width="11.7109375" style="1" customWidth="1"/>
    <col min="30" max="30" width="16.00390625" style="1" customWidth="1"/>
    <col min="31" max="31" width="17.421875" style="1" customWidth="1"/>
    <col min="44" max="65" width="9.140625" style="1" hidden="1" customWidth="1"/>
  </cols>
  <sheetData>
    <row r="1" ht="12"/>
    <row r="2" spans="12:46" s="1" customFormat="1" ht="36.95" customHeight="1">
      <c r="L2" s="682"/>
      <c r="M2" s="682"/>
      <c r="N2" s="682"/>
      <c r="O2" s="682"/>
      <c r="P2" s="682"/>
      <c r="Q2" s="682"/>
      <c r="R2" s="682"/>
      <c r="S2" s="682"/>
      <c r="T2" s="682"/>
      <c r="U2" s="682"/>
      <c r="V2" s="682"/>
      <c r="AT2" s="15" t="s">
        <v>115</v>
      </c>
    </row>
    <row r="3" spans="2:46" s="1" customFormat="1" ht="6.95" customHeight="1">
      <c r="B3" s="106"/>
      <c r="C3" s="107"/>
      <c r="D3" s="107"/>
      <c r="E3" s="107"/>
      <c r="F3" s="107"/>
      <c r="G3" s="107"/>
      <c r="H3" s="107"/>
      <c r="I3" s="107"/>
      <c r="J3" s="107"/>
      <c r="K3" s="107"/>
      <c r="L3" s="18"/>
      <c r="AT3" s="15" t="s">
        <v>79</v>
      </c>
    </row>
    <row r="4" spans="2:46" s="1" customFormat="1" ht="24.95" customHeight="1">
      <c r="B4" s="18"/>
      <c r="D4" s="108" t="s">
        <v>141</v>
      </c>
      <c r="L4" s="18"/>
      <c r="M4" s="109" t="s">
        <v>10</v>
      </c>
      <c r="AT4" s="15" t="s">
        <v>4</v>
      </c>
    </row>
    <row r="5" spans="2:12" s="1" customFormat="1" ht="6.95" customHeight="1">
      <c r="B5" s="18"/>
      <c r="L5" s="18"/>
    </row>
    <row r="6" spans="2:12" s="1" customFormat="1" ht="12" customHeight="1">
      <c r="B6" s="18"/>
      <c r="D6" s="110" t="s">
        <v>16</v>
      </c>
      <c r="L6" s="18"/>
    </row>
    <row r="7" spans="2:12" s="1" customFormat="1" ht="14.45" customHeight="1">
      <c r="B7" s="18"/>
      <c r="E7" s="702" t="str">
        <f>'Rekapitulace stavby'!K6</f>
        <v>Úpravy gastroprovozu Úřadu vlády ČR v 1.pp Strakovy akademie</v>
      </c>
      <c r="F7" s="703"/>
      <c r="G7" s="703"/>
      <c r="H7" s="703"/>
      <c r="L7" s="18"/>
    </row>
    <row r="8" spans="2:12" s="1" customFormat="1" ht="12" customHeight="1">
      <c r="B8" s="18"/>
      <c r="D8" s="110" t="s">
        <v>142</v>
      </c>
      <c r="L8" s="18"/>
    </row>
    <row r="9" spans="1:31" s="2" customFormat="1" ht="14.45" customHeight="1">
      <c r="A9" s="32"/>
      <c r="B9" s="37"/>
      <c r="C9" s="32"/>
      <c r="D9" s="32"/>
      <c r="E9" s="702" t="s">
        <v>1429</v>
      </c>
      <c r="F9" s="704"/>
      <c r="G9" s="704"/>
      <c r="H9" s="704"/>
      <c r="I9" s="32"/>
      <c r="J9" s="32"/>
      <c r="K9" s="32"/>
      <c r="L9" s="111"/>
      <c r="S9" s="32"/>
      <c r="T9" s="32"/>
      <c r="U9" s="32"/>
      <c r="V9" s="32"/>
      <c r="W9" s="32"/>
      <c r="X9" s="32"/>
      <c r="Y9" s="32"/>
      <c r="Z9" s="32"/>
      <c r="AA9" s="32"/>
      <c r="AB9" s="32"/>
      <c r="AC9" s="32"/>
      <c r="AD9" s="32"/>
      <c r="AE9" s="32"/>
    </row>
    <row r="10" spans="1:31" s="2" customFormat="1" ht="12" customHeight="1">
      <c r="A10" s="32"/>
      <c r="B10" s="37"/>
      <c r="C10" s="32"/>
      <c r="D10" s="110" t="s">
        <v>144</v>
      </c>
      <c r="E10" s="32"/>
      <c r="F10" s="32"/>
      <c r="G10" s="32"/>
      <c r="H10" s="32"/>
      <c r="I10" s="32"/>
      <c r="J10" s="32"/>
      <c r="K10" s="32"/>
      <c r="L10" s="111"/>
      <c r="S10" s="32"/>
      <c r="T10" s="32"/>
      <c r="U10" s="32"/>
      <c r="V10" s="32"/>
      <c r="W10" s="32"/>
      <c r="X10" s="32"/>
      <c r="Y10" s="32"/>
      <c r="Z10" s="32"/>
      <c r="AA10" s="32"/>
      <c r="AB10" s="32"/>
      <c r="AC10" s="32"/>
      <c r="AD10" s="32"/>
      <c r="AE10" s="32"/>
    </row>
    <row r="11" spans="1:31" s="2" customFormat="1" ht="14.45" customHeight="1">
      <c r="A11" s="32"/>
      <c r="B11" s="37"/>
      <c r="C11" s="32"/>
      <c r="D11" s="32"/>
      <c r="E11" s="705" t="s">
        <v>1466</v>
      </c>
      <c r="F11" s="704"/>
      <c r="G11" s="704"/>
      <c r="H11" s="704"/>
      <c r="I11" s="32"/>
      <c r="J11" s="32"/>
      <c r="K11" s="32"/>
      <c r="L11" s="111"/>
      <c r="S11" s="32"/>
      <c r="T11" s="32"/>
      <c r="U11" s="32"/>
      <c r="V11" s="32"/>
      <c r="W11" s="32"/>
      <c r="X11" s="32"/>
      <c r="Y11" s="32"/>
      <c r="Z11" s="32"/>
      <c r="AA11" s="32"/>
      <c r="AB11" s="32"/>
      <c r="AC11" s="32"/>
      <c r="AD11" s="32"/>
      <c r="AE11" s="32"/>
    </row>
    <row r="12" spans="1:31" s="2" customFormat="1" ht="12">
      <c r="A12" s="32"/>
      <c r="B12" s="37"/>
      <c r="C12" s="32"/>
      <c r="D12" s="32"/>
      <c r="E12" s="32"/>
      <c r="F12" s="32"/>
      <c r="G12" s="32"/>
      <c r="H12" s="32"/>
      <c r="I12" s="32"/>
      <c r="J12" s="32"/>
      <c r="K12" s="32"/>
      <c r="L12" s="111"/>
      <c r="S12" s="32"/>
      <c r="T12" s="32"/>
      <c r="U12" s="32"/>
      <c r="V12" s="32"/>
      <c r="W12" s="32"/>
      <c r="X12" s="32"/>
      <c r="Y12" s="32"/>
      <c r="Z12" s="32"/>
      <c r="AA12" s="32"/>
      <c r="AB12" s="32"/>
      <c r="AC12" s="32"/>
      <c r="AD12" s="32"/>
      <c r="AE12" s="32"/>
    </row>
    <row r="13" spans="1:31" s="2" customFormat="1" ht="12" customHeight="1">
      <c r="A13" s="32"/>
      <c r="B13" s="37"/>
      <c r="C13" s="32"/>
      <c r="D13" s="110" t="s">
        <v>18</v>
      </c>
      <c r="E13" s="32"/>
      <c r="F13" s="101" t="s">
        <v>19</v>
      </c>
      <c r="G13" s="32"/>
      <c r="H13" s="32"/>
      <c r="I13" s="110" t="s">
        <v>20</v>
      </c>
      <c r="J13" s="101" t="s">
        <v>19</v>
      </c>
      <c r="K13" s="32"/>
      <c r="L13" s="111"/>
      <c r="S13" s="32"/>
      <c r="T13" s="32"/>
      <c r="U13" s="32"/>
      <c r="V13" s="32"/>
      <c r="W13" s="32"/>
      <c r="X13" s="32"/>
      <c r="Y13" s="32"/>
      <c r="Z13" s="32"/>
      <c r="AA13" s="32"/>
      <c r="AB13" s="32"/>
      <c r="AC13" s="32"/>
      <c r="AD13" s="32"/>
      <c r="AE13" s="32"/>
    </row>
    <row r="14" spans="1:31" s="2" customFormat="1" ht="12" customHeight="1">
      <c r="A14" s="32"/>
      <c r="B14" s="37"/>
      <c r="C14" s="32"/>
      <c r="D14" s="110" t="s">
        <v>21</v>
      </c>
      <c r="E14" s="32"/>
      <c r="F14" s="101" t="s">
        <v>146</v>
      </c>
      <c r="G14" s="32"/>
      <c r="H14" s="32"/>
      <c r="I14" s="110" t="s">
        <v>23</v>
      </c>
      <c r="J14" s="112" t="str">
        <f>'Rekapitulace stavby'!AN8</f>
        <v>Vyplň údaj</v>
      </c>
      <c r="K14" s="32"/>
      <c r="L14" s="111"/>
      <c r="S14" s="32"/>
      <c r="T14" s="32"/>
      <c r="U14" s="32"/>
      <c r="V14" s="32"/>
      <c r="W14" s="32"/>
      <c r="X14" s="32"/>
      <c r="Y14" s="32"/>
      <c r="Z14" s="32"/>
      <c r="AA14" s="32"/>
      <c r="AB14" s="32"/>
      <c r="AC14" s="32"/>
      <c r="AD14" s="32"/>
      <c r="AE14" s="32"/>
    </row>
    <row r="15" spans="1:31" s="2" customFormat="1" ht="10.9" customHeight="1">
      <c r="A15" s="32"/>
      <c r="B15" s="37"/>
      <c r="C15" s="32"/>
      <c r="D15" s="32"/>
      <c r="E15" s="32"/>
      <c r="F15" s="32"/>
      <c r="G15" s="32"/>
      <c r="H15" s="32"/>
      <c r="I15" s="32"/>
      <c r="J15" s="32"/>
      <c r="K15" s="32"/>
      <c r="L15" s="111"/>
      <c r="S15" s="32"/>
      <c r="T15" s="32"/>
      <c r="U15" s="32"/>
      <c r="V15" s="32"/>
      <c r="W15" s="32"/>
      <c r="X15" s="32"/>
      <c r="Y15" s="32"/>
      <c r="Z15" s="32"/>
      <c r="AA15" s="32"/>
      <c r="AB15" s="32"/>
      <c r="AC15" s="32"/>
      <c r="AD15" s="32"/>
      <c r="AE15" s="32"/>
    </row>
    <row r="16" spans="1:31" s="2" customFormat="1" ht="12" customHeight="1">
      <c r="A16" s="32"/>
      <c r="B16" s="37"/>
      <c r="C16" s="32"/>
      <c r="D16" s="110" t="s">
        <v>24</v>
      </c>
      <c r="E16" s="32"/>
      <c r="F16" s="32"/>
      <c r="G16" s="32"/>
      <c r="H16" s="32"/>
      <c r="I16" s="110" t="s">
        <v>25</v>
      </c>
      <c r="J16" s="101" t="s">
        <v>19</v>
      </c>
      <c r="K16" s="32"/>
      <c r="L16" s="111"/>
      <c r="S16" s="32"/>
      <c r="T16" s="32"/>
      <c r="U16" s="32"/>
      <c r="V16" s="32"/>
      <c r="W16" s="32"/>
      <c r="X16" s="32"/>
      <c r="Y16" s="32"/>
      <c r="Z16" s="32"/>
      <c r="AA16" s="32"/>
      <c r="AB16" s="32"/>
      <c r="AC16" s="32"/>
      <c r="AD16" s="32"/>
      <c r="AE16" s="32"/>
    </row>
    <row r="17" spans="1:31" s="2" customFormat="1" ht="18" customHeight="1">
      <c r="A17" s="32"/>
      <c r="B17" s="37"/>
      <c r="C17" s="32"/>
      <c r="D17" s="32"/>
      <c r="E17" s="101" t="s">
        <v>26</v>
      </c>
      <c r="F17" s="32"/>
      <c r="G17" s="32"/>
      <c r="H17" s="32"/>
      <c r="I17" s="110" t="s">
        <v>27</v>
      </c>
      <c r="J17" s="101" t="s">
        <v>19</v>
      </c>
      <c r="K17" s="32"/>
      <c r="L17" s="111"/>
      <c r="S17" s="32"/>
      <c r="T17" s="32"/>
      <c r="U17" s="32"/>
      <c r="V17" s="32"/>
      <c r="W17" s="32"/>
      <c r="X17" s="32"/>
      <c r="Y17" s="32"/>
      <c r="Z17" s="32"/>
      <c r="AA17" s="32"/>
      <c r="AB17" s="32"/>
      <c r="AC17" s="32"/>
      <c r="AD17" s="32"/>
      <c r="AE17" s="32"/>
    </row>
    <row r="18" spans="1:31" s="2" customFormat="1" ht="6.95" customHeight="1">
      <c r="A18" s="32"/>
      <c r="B18" s="37"/>
      <c r="C18" s="32"/>
      <c r="D18" s="32"/>
      <c r="E18" s="32"/>
      <c r="F18" s="32"/>
      <c r="G18" s="32"/>
      <c r="H18" s="32"/>
      <c r="I18" s="32"/>
      <c r="J18" s="32"/>
      <c r="K18" s="32"/>
      <c r="L18" s="111"/>
      <c r="S18" s="32"/>
      <c r="T18" s="32"/>
      <c r="U18" s="32"/>
      <c r="V18" s="32"/>
      <c r="W18" s="32"/>
      <c r="X18" s="32"/>
      <c r="Y18" s="32"/>
      <c r="Z18" s="32"/>
      <c r="AA18" s="32"/>
      <c r="AB18" s="32"/>
      <c r="AC18" s="32"/>
      <c r="AD18" s="32"/>
      <c r="AE18" s="32"/>
    </row>
    <row r="19" spans="1:31" s="2" customFormat="1" ht="12" customHeight="1">
      <c r="A19" s="32"/>
      <c r="B19" s="37"/>
      <c r="C19" s="32"/>
      <c r="D19" s="110" t="s">
        <v>28</v>
      </c>
      <c r="E19" s="32"/>
      <c r="F19" s="32"/>
      <c r="G19" s="32"/>
      <c r="H19" s="32"/>
      <c r="I19" s="110" t="s">
        <v>25</v>
      </c>
      <c r="J19" s="28" t="str">
        <f>'Rekapitulace stavby'!AN13</f>
        <v>Vyplň údaj</v>
      </c>
      <c r="K19" s="32"/>
      <c r="L19" s="111"/>
      <c r="S19" s="32"/>
      <c r="T19" s="32"/>
      <c r="U19" s="32"/>
      <c r="V19" s="32"/>
      <c r="W19" s="32"/>
      <c r="X19" s="32"/>
      <c r="Y19" s="32"/>
      <c r="Z19" s="32"/>
      <c r="AA19" s="32"/>
      <c r="AB19" s="32"/>
      <c r="AC19" s="32"/>
      <c r="AD19" s="32"/>
      <c r="AE19" s="32"/>
    </row>
    <row r="20" spans="1:31" s="2" customFormat="1" ht="18" customHeight="1">
      <c r="A20" s="32"/>
      <c r="B20" s="37"/>
      <c r="C20" s="32"/>
      <c r="D20" s="32"/>
      <c r="E20" s="706" t="str">
        <f>'Rekapitulace stavby'!E14</f>
        <v>Vyplň údaj</v>
      </c>
      <c r="F20" s="707"/>
      <c r="G20" s="707"/>
      <c r="H20" s="707"/>
      <c r="I20" s="110" t="s">
        <v>27</v>
      </c>
      <c r="J20" s="28" t="str">
        <f>'Rekapitulace stavby'!AN14</f>
        <v>Vyplň údaj</v>
      </c>
      <c r="K20" s="32"/>
      <c r="L20" s="111"/>
      <c r="S20" s="32"/>
      <c r="T20" s="32"/>
      <c r="U20" s="32"/>
      <c r="V20" s="32"/>
      <c r="W20" s="32"/>
      <c r="X20" s="32"/>
      <c r="Y20" s="32"/>
      <c r="Z20" s="32"/>
      <c r="AA20" s="32"/>
      <c r="AB20" s="32"/>
      <c r="AC20" s="32"/>
      <c r="AD20" s="32"/>
      <c r="AE20" s="32"/>
    </row>
    <row r="21" spans="1:31" s="2" customFormat="1" ht="6.95" customHeight="1">
      <c r="A21" s="32"/>
      <c r="B21" s="37"/>
      <c r="C21" s="32"/>
      <c r="D21" s="32"/>
      <c r="E21" s="32"/>
      <c r="F21" s="32"/>
      <c r="G21" s="32"/>
      <c r="H21" s="32"/>
      <c r="I21" s="32"/>
      <c r="J21" s="32"/>
      <c r="K21" s="32"/>
      <c r="L21" s="111"/>
      <c r="S21" s="32"/>
      <c r="T21" s="32"/>
      <c r="U21" s="32"/>
      <c r="V21" s="32"/>
      <c r="W21" s="32"/>
      <c r="X21" s="32"/>
      <c r="Y21" s="32"/>
      <c r="Z21" s="32"/>
      <c r="AA21" s="32"/>
      <c r="AB21" s="32"/>
      <c r="AC21" s="32"/>
      <c r="AD21" s="32"/>
      <c r="AE21" s="32"/>
    </row>
    <row r="22" spans="1:31" s="2" customFormat="1" ht="12" customHeight="1">
      <c r="A22" s="32"/>
      <c r="B22" s="37"/>
      <c r="C22" s="32"/>
      <c r="D22" s="110" t="s">
        <v>30</v>
      </c>
      <c r="E22" s="32"/>
      <c r="F22" s="32"/>
      <c r="G22" s="32"/>
      <c r="H22" s="32"/>
      <c r="I22" s="110" t="s">
        <v>25</v>
      </c>
      <c r="J22" s="101" t="s">
        <v>19</v>
      </c>
      <c r="K22" s="32"/>
      <c r="L22" s="111"/>
      <c r="S22" s="32"/>
      <c r="T22" s="32"/>
      <c r="U22" s="32"/>
      <c r="V22" s="32"/>
      <c r="W22" s="32"/>
      <c r="X22" s="32"/>
      <c r="Y22" s="32"/>
      <c r="Z22" s="32"/>
      <c r="AA22" s="32"/>
      <c r="AB22" s="32"/>
      <c r="AC22" s="32"/>
      <c r="AD22" s="32"/>
      <c r="AE22" s="32"/>
    </row>
    <row r="23" spans="1:31" s="2" customFormat="1" ht="18" customHeight="1">
      <c r="A23" s="32"/>
      <c r="B23" s="37"/>
      <c r="C23" s="32"/>
      <c r="D23" s="32"/>
      <c r="E23" s="101" t="s">
        <v>31</v>
      </c>
      <c r="F23" s="32"/>
      <c r="G23" s="32"/>
      <c r="H23" s="32"/>
      <c r="I23" s="110" t="s">
        <v>27</v>
      </c>
      <c r="J23" s="101" t="s">
        <v>19</v>
      </c>
      <c r="K23" s="32"/>
      <c r="L23" s="111"/>
      <c r="S23" s="32"/>
      <c r="T23" s="32"/>
      <c r="U23" s="32"/>
      <c r="V23" s="32"/>
      <c r="W23" s="32"/>
      <c r="X23" s="32"/>
      <c r="Y23" s="32"/>
      <c r="Z23" s="32"/>
      <c r="AA23" s="32"/>
      <c r="AB23" s="32"/>
      <c r="AC23" s="32"/>
      <c r="AD23" s="32"/>
      <c r="AE23" s="32"/>
    </row>
    <row r="24" spans="1:31" s="2" customFormat="1" ht="6.95" customHeight="1">
      <c r="A24" s="32"/>
      <c r="B24" s="37"/>
      <c r="C24" s="32"/>
      <c r="D24" s="32"/>
      <c r="E24" s="32"/>
      <c r="F24" s="32"/>
      <c r="G24" s="32"/>
      <c r="H24" s="32"/>
      <c r="I24" s="32"/>
      <c r="J24" s="32"/>
      <c r="K24" s="32"/>
      <c r="L24" s="111"/>
      <c r="S24" s="32"/>
      <c r="T24" s="32"/>
      <c r="U24" s="32"/>
      <c r="V24" s="32"/>
      <c r="W24" s="32"/>
      <c r="X24" s="32"/>
      <c r="Y24" s="32"/>
      <c r="Z24" s="32"/>
      <c r="AA24" s="32"/>
      <c r="AB24" s="32"/>
      <c r="AC24" s="32"/>
      <c r="AD24" s="32"/>
      <c r="AE24" s="32"/>
    </row>
    <row r="25" spans="1:31" s="2" customFormat="1" ht="12" customHeight="1">
      <c r="A25" s="32"/>
      <c r="B25" s="37"/>
      <c r="C25" s="32"/>
      <c r="D25" s="110" t="s">
        <v>33</v>
      </c>
      <c r="E25" s="32"/>
      <c r="F25" s="32"/>
      <c r="G25" s="32"/>
      <c r="H25" s="32"/>
      <c r="I25" s="110" t="s">
        <v>25</v>
      </c>
      <c r="J25" s="101" t="s">
        <v>19</v>
      </c>
      <c r="K25" s="32"/>
      <c r="L25" s="111"/>
      <c r="S25" s="32"/>
      <c r="T25" s="32"/>
      <c r="U25" s="32"/>
      <c r="V25" s="32"/>
      <c r="W25" s="32"/>
      <c r="X25" s="32"/>
      <c r="Y25" s="32"/>
      <c r="Z25" s="32"/>
      <c r="AA25" s="32"/>
      <c r="AB25" s="32"/>
      <c r="AC25" s="32"/>
      <c r="AD25" s="32"/>
      <c r="AE25" s="32"/>
    </row>
    <row r="26" spans="1:31" s="2" customFormat="1" ht="18" customHeight="1">
      <c r="A26" s="32"/>
      <c r="B26" s="37"/>
      <c r="C26" s="32"/>
      <c r="D26" s="32"/>
      <c r="E26" s="101" t="s">
        <v>31</v>
      </c>
      <c r="F26" s="32"/>
      <c r="G26" s="32"/>
      <c r="H26" s="32"/>
      <c r="I26" s="110" t="s">
        <v>27</v>
      </c>
      <c r="J26" s="101" t="s">
        <v>19</v>
      </c>
      <c r="K26" s="32"/>
      <c r="L26" s="111"/>
      <c r="S26" s="32"/>
      <c r="T26" s="32"/>
      <c r="U26" s="32"/>
      <c r="V26" s="32"/>
      <c r="W26" s="32"/>
      <c r="X26" s="32"/>
      <c r="Y26" s="32"/>
      <c r="Z26" s="32"/>
      <c r="AA26" s="32"/>
      <c r="AB26" s="32"/>
      <c r="AC26" s="32"/>
      <c r="AD26" s="32"/>
      <c r="AE26" s="32"/>
    </row>
    <row r="27" spans="1:31" s="2" customFormat="1" ht="6.95" customHeight="1">
      <c r="A27" s="32"/>
      <c r="B27" s="37"/>
      <c r="C27" s="32"/>
      <c r="D27" s="32"/>
      <c r="E27" s="32"/>
      <c r="F27" s="32"/>
      <c r="G27" s="32"/>
      <c r="H27" s="32"/>
      <c r="I27" s="32"/>
      <c r="J27" s="32"/>
      <c r="K27" s="32"/>
      <c r="L27" s="111"/>
      <c r="S27" s="32"/>
      <c r="T27" s="32"/>
      <c r="U27" s="32"/>
      <c r="V27" s="32"/>
      <c r="W27" s="32"/>
      <c r="X27" s="32"/>
      <c r="Y27" s="32"/>
      <c r="Z27" s="32"/>
      <c r="AA27" s="32"/>
      <c r="AB27" s="32"/>
      <c r="AC27" s="32"/>
      <c r="AD27" s="32"/>
      <c r="AE27" s="32"/>
    </row>
    <row r="28" spans="1:31" s="2" customFormat="1" ht="12" customHeight="1">
      <c r="A28" s="32"/>
      <c r="B28" s="37"/>
      <c r="C28" s="32"/>
      <c r="D28" s="110" t="s">
        <v>34</v>
      </c>
      <c r="E28" s="32"/>
      <c r="F28" s="32"/>
      <c r="G28" s="32"/>
      <c r="H28" s="32"/>
      <c r="I28" s="32"/>
      <c r="J28" s="32"/>
      <c r="K28" s="32"/>
      <c r="L28" s="111"/>
      <c r="S28" s="32"/>
      <c r="T28" s="32"/>
      <c r="U28" s="32"/>
      <c r="V28" s="32"/>
      <c r="W28" s="32"/>
      <c r="X28" s="32"/>
      <c r="Y28" s="32"/>
      <c r="Z28" s="32"/>
      <c r="AA28" s="32"/>
      <c r="AB28" s="32"/>
      <c r="AC28" s="32"/>
      <c r="AD28" s="32"/>
      <c r="AE28" s="32"/>
    </row>
    <row r="29" spans="1:31" s="8" customFormat="1" ht="14.45" customHeight="1">
      <c r="A29" s="113"/>
      <c r="B29" s="114"/>
      <c r="C29" s="113"/>
      <c r="D29" s="113"/>
      <c r="E29" s="708" t="s">
        <v>19</v>
      </c>
      <c r="F29" s="708"/>
      <c r="G29" s="708"/>
      <c r="H29" s="708"/>
      <c r="I29" s="113"/>
      <c r="J29" s="113"/>
      <c r="K29" s="113"/>
      <c r="L29" s="115"/>
      <c r="S29" s="113"/>
      <c r="T29" s="113"/>
      <c r="U29" s="113"/>
      <c r="V29" s="113"/>
      <c r="W29" s="113"/>
      <c r="X29" s="113"/>
      <c r="Y29" s="113"/>
      <c r="Z29" s="113"/>
      <c r="AA29" s="113"/>
      <c r="AB29" s="113"/>
      <c r="AC29" s="113"/>
      <c r="AD29" s="113"/>
      <c r="AE29" s="113"/>
    </row>
    <row r="30" spans="1:31" s="2" customFormat="1" ht="6.95" customHeight="1">
      <c r="A30" s="32"/>
      <c r="B30" s="37"/>
      <c r="C30" s="32"/>
      <c r="D30" s="32"/>
      <c r="E30" s="32"/>
      <c r="F30" s="32"/>
      <c r="G30" s="32"/>
      <c r="H30" s="32"/>
      <c r="I30" s="32"/>
      <c r="J30" s="32"/>
      <c r="K30" s="32"/>
      <c r="L30" s="111"/>
      <c r="S30" s="32"/>
      <c r="T30" s="32"/>
      <c r="U30" s="32"/>
      <c r="V30" s="32"/>
      <c r="W30" s="32"/>
      <c r="X30" s="32"/>
      <c r="Y30" s="32"/>
      <c r="Z30" s="32"/>
      <c r="AA30" s="32"/>
      <c r="AB30" s="32"/>
      <c r="AC30" s="32"/>
      <c r="AD30" s="32"/>
      <c r="AE30" s="32"/>
    </row>
    <row r="31" spans="1:31" s="2" customFormat="1" ht="6.95" customHeight="1">
      <c r="A31" s="32"/>
      <c r="B31" s="37"/>
      <c r="C31" s="32"/>
      <c r="D31" s="116"/>
      <c r="E31" s="116"/>
      <c r="F31" s="116"/>
      <c r="G31" s="116"/>
      <c r="H31" s="116"/>
      <c r="I31" s="116"/>
      <c r="J31" s="116"/>
      <c r="K31" s="116"/>
      <c r="L31" s="111"/>
      <c r="S31" s="32"/>
      <c r="T31" s="32"/>
      <c r="U31" s="32"/>
      <c r="V31" s="32"/>
      <c r="W31" s="32"/>
      <c r="X31" s="32"/>
      <c r="Y31" s="32"/>
      <c r="Z31" s="32"/>
      <c r="AA31" s="32"/>
      <c r="AB31" s="32"/>
      <c r="AC31" s="32"/>
      <c r="AD31" s="32"/>
      <c r="AE31" s="32"/>
    </row>
    <row r="32" spans="1:31" s="2" customFormat="1" ht="25.35" customHeight="1">
      <c r="A32" s="32"/>
      <c r="B32" s="37"/>
      <c r="C32" s="32"/>
      <c r="D32" s="117" t="s">
        <v>36</v>
      </c>
      <c r="E32" s="32"/>
      <c r="F32" s="32"/>
      <c r="G32" s="32"/>
      <c r="H32" s="32"/>
      <c r="I32" s="32"/>
      <c r="J32" s="118">
        <f>ROUND(J87,2)</f>
        <v>0</v>
      </c>
      <c r="K32" s="32"/>
      <c r="L32" s="111"/>
      <c r="S32" s="32"/>
      <c r="T32" s="32"/>
      <c r="U32" s="32"/>
      <c r="V32" s="32"/>
      <c r="W32" s="32"/>
      <c r="X32" s="32"/>
      <c r="Y32" s="32"/>
      <c r="Z32" s="32"/>
      <c r="AA32" s="32"/>
      <c r="AB32" s="32"/>
      <c r="AC32" s="32"/>
      <c r="AD32" s="32"/>
      <c r="AE32" s="32"/>
    </row>
    <row r="33" spans="1:31" s="2" customFormat="1" ht="6.95" customHeight="1">
      <c r="A33" s="32"/>
      <c r="B33" s="37"/>
      <c r="C33" s="32"/>
      <c r="D33" s="116"/>
      <c r="E33" s="116"/>
      <c r="F33" s="116"/>
      <c r="G33" s="116"/>
      <c r="H33" s="116"/>
      <c r="I33" s="116"/>
      <c r="J33" s="116"/>
      <c r="K33" s="116"/>
      <c r="L33" s="111"/>
      <c r="S33" s="32"/>
      <c r="T33" s="32"/>
      <c r="U33" s="32"/>
      <c r="V33" s="32"/>
      <c r="W33" s="32"/>
      <c r="X33" s="32"/>
      <c r="Y33" s="32"/>
      <c r="Z33" s="32"/>
      <c r="AA33" s="32"/>
      <c r="AB33" s="32"/>
      <c r="AC33" s="32"/>
      <c r="AD33" s="32"/>
      <c r="AE33" s="32"/>
    </row>
    <row r="34" spans="1:31" s="2" customFormat="1" ht="14.45" customHeight="1">
      <c r="A34" s="32"/>
      <c r="B34" s="37"/>
      <c r="C34" s="32"/>
      <c r="D34" s="32"/>
      <c r="E34" s="32"/>
      <c r="F34" s="119" t="s">
        <v>38</v>
      </c>
      <c r="G34" s="32"/>
      <c r="H34" s="32"/>
      <c r="I34" s="119" t="s">
        <v>37</v>
      </c>
      <c r="J34" s="119" t="s">
        <v>39</v>
      </c>
      <c r="K34" s="32"/>
      <c r="L34" s="111"/>
      <c r="S34" s="32"/>
      <c r="T34" s="32"/>
      <c r="U34" s="32"/>
      <c r="V34" s="32"/>
      <c r="W34" s="32"/>
      <c r="X34" s="32"/>
      <c r="Y34" s="32"/>
      <c r="Z34" s="32"/>
      <c r="AA34" s="32"/>
      <c r="AB34" s="32"/>
      <c r="AC34" s="32"/>
      <c r="AD34" s="32"/>
      <c r="AE34" s="32"/>
    </row>
    <row r="35" spans="1:31" s="2" customFormat="1" ht="14.45" customHeight="1">
      <c r="A35" s="32"/>
      <c r="B35" s="37"/>
      <c r="C35" s="32"/>
      <c r="D35" s="120" t="s">
        <v>40</v>
      </c>
      <c r="E35" s="110" t="s">
        <v>41</v>
      </c>
      <c r="F35" s="121">
        <f>ROUND((SUM(BE87:BE90)),2)</f>
        <v>0</v>
      </c>
      <c r="G35" s="32"/>
      <c r="H35" s="32"/>
      <c r="I35" s="122">
        <v>0.21</v>
      </c>
      <c r="J35" s="121">
        <f>ROUND(((SUM(BE87:BE90))*I35),2)</f>
        <v>0</v>
      </c>
      <c r="K35" s="32"/>
      <c r="L35" s="111"/>
      <c r="S35" s="32"/>
      <c r="T35" s="32"/>
      <c r="U35" s="32"/>
      <c r="V35" s="32"/>
      <c r="W35" s="32"/>
      <c r="X35" s="32"/>
      <c r="Y35" s="32"/>
      <c r="Z35" s="32"/>
      <c r="AA35" s="32"/>
      <c r="AB35" s="32"/>
      <c r="AC35" s="32"/>
      <c r="AD35" s="32"/>
      <c r="AE35" s="32"/>
    </row>
    <row r="36" spans="1:31" s="2" customFormat="1" ht="14.45" customHeight="1">
      <c r="A36" s="32"/>
      <c r="B36" s="37"/>
      <c r="C36" s="32"/>
      <c r="D36" s="32"/>
      <c r="E36" s="110" t="s">
        <v>42</v>
      </c>
      <c r="F36" s="121">
        <f>ROUND((SUM(BF87:BF90)),2)</f>
        <v>0</v>
      </c>
      <c r="G36" s="32"/>
      <c r="H36" s="32"/>
      <c r="I36" s="122">
        <v>0.15</v>
      </c>
      <c r="J36" s="121">
        <f>ROUND(((SUM(BF87:BF90))*I36),2)</f>
        <v>0</v>
      </c>
      <c r="K36" s="32"/>
      <c r="L36" s="111"/>
      <c r="S36" s="32"/>
      <c r="T36" s="32"/>
      <c r="U36" s="32"/>
      <c r="V36" s="32"/>
      <c r="W36" s="32"/>
      <c r="X36" s="32"/>
      <c r="Y36" s="32"/>
      <c r="Z36" s="32"/>
      <c r="AA36" s="32"/>
      <c r="AB36" s="32"/>
      <c r="AC36" s="32"/>
      <c r="AD36" s="32"/>
      <c r="AE36" s="32"/>
    </row>
    <row r="37" spans="1:31" s="2" customFormat="1" ht="14.45" customHeight="1" hidden="1">
      <c r="A37" s="32"/>
      <c r="B37" s="37"/>
      <c r="C37" s="32"/>
      <c r="D37" s="32"/>
      <c r="E37" s="110" t="s">
        <v>43</v>
      </c>
      <c r="F37" s="121">
        <f>ROUND((SUM(BG87:BG90)),2)</f>
        <v>0</v>
      </c>
      <c r="G37" s="32"/>
      <c r="H37" s="32"/>
      <c r="I37" s="122">
        <v>0.21</v>
      </c>
      <c r="J37" s="121">
        <f>0</f>
        <v>0</v>
      </c>
      <c r="K37" s="32"/>
      <c r="L37" s="111"/>
      <c r="S37" s="32"/>
      <c r="T37" s="32"/>
      <c r="U37" s="32"/>
      <c r="V37" s="32"/>
      <c r="W37" s="32"/>
      <c r="X37" s="32"/>
      <c r="Y37" s="32"/>
      <c r="Z37" s="32"/>
      <c r="AA37" s="32"/>
      <c r="AB37" s="32"/>
      <c r="AC37" s="32"/>
      <c r="AD37" s="32"/>
      <c r="AE37" s="32"/>
    </row>
    <row r="38" spans="1:31" s="2" customFormat="1" ht="14.45" customHeight="1" hidden="1">
      <c r="A38" s="32"/>
      <c r="B38" s="37"/>
      <c r="C38" s="32"/>
      <c r="D38" s="32"/>
      <c r="E38" s="110" t="s">
        <v>44</v>
      </c>
      <c r="F38" s="121">
        <f>ROUND((SUM(BH87:BH90)),2)</f>
        <v>0</v>
      </c>
      <c r="G38" s="32"/>
      <c r="H38" s="32"/>
      <c r="I38" s="122">
        <v>0.15</v>
      </c>
      <c r="J38" s="121">
        <f>0</f>
        <v>0</v>
      </c>
      <c r="K38" s="32"/>
      <c r="L38" s="111"/>
      <c r="S38" s="32"/>
      <c r="T38" s="32"/>
      <c r="U38" s="32"/>
      <c r="V38" s="32"/>
      <c r="W38" s="32"/>
      <c r="X38" s="32"/>
      <c r="Y38" s="32"/>
      <c r="Z38" s="32"/>
      <c r="AA38" s="32"/>
      <c r="AB38" s="32"/>
      <c r="AC38" s="32"/>
      <c r="AD38" s="32"/>
      <c r="AE38" s="32"/>
    </row>
    <row r="39" spans="1:31" s="2" customFormat="1" ht="14.45" customHeight="1" hidden="1">
      <c r="A39" s="32"/>
      <c r="B39" s="37"/>
      <c r="C39" s="32"/>
      <c r="D39" s="32"/>
      <c r="E39" s="110" t="s">
        <v>45</v>
      </c>
      <c r="F39" s="121">
        <f>ROUND((SUM(BI87:BI90)),2)</f>
        <v>0</v>
      </c>
      <c r="G39" s="32"/>
      <c r="H39" s="32"/>
      <c r="I39" s="122">
        <v>0</v>
      </c>
      <c r="J39" s="121">
        <f>0</f>
        <v>0</v>
      </c>
      <c r="K39" s="32"/>
      <c r="L39" s="111"/>
      <c r="S39" s="32"/>
      <c r="T39" s="32"/>
      <c r="U39" s="32"/>
      <c r="V39" s="32"/>
      <c r="W39" s="32"/>
      <c r="X39" s="32"/>
      <c r="Y39" s="32"/>
      <c r="Z39" s="32"/>
      <c r="AA39" s="32"/>
      <c r="AB39" s="32"/>
      <c r="AC39" s="32"/>
      <c r="AD39" s="32"/>
      <c r="AE39" s="32"/>
    </row>
    <row r="40" spans="1:31" s="2" customFormat="1" ht="6.95" customHeight="1">
      <c r="A40" s="32"/>
      <c r="B40" s="37"/>
      <c r="C40" s="32"/>
      <c r="D40" s="32"/>
      <c r="E40" s="32"/>
      <c r="F40" s="32"/>
      <c r="G40" s="32"/>
      <c r="H40" s="32"/>
      <c r="I40" s="32"/>
      <c r="J40" s="32"/>
      <c r="K40" s="32"/>
      <c r="L40" s="111"/>
      <c r="S40" s="32"/>
      <c r="T40" s="32"/>
      <c r="U40" s="32"/>
      <c r="V40" s="32"/>
      <c r="W40" s="32"/>
      <c r="X40" s="32"/>
      <c r="Y40" s="32"/>
      <c r="Z40" s="32"/>
      <c r="AA40" s="32"/>
      <c r="AB40" s="32"/>
      <c r="AC40" s="32"/>
      <c r="AD40" s="32"/>
      <c r="AE40" s="32"/>
    </row>
    <row r="41" spans="1:31" s="2" customFormat="1" ht="25.35" customHeight="1">
      <c r="A41" s="32"/>
      <c r="B41" s="37"/>
      <c r="C41" s="123"/>
      <c r="D41" s="124" t="s">
        <v>46</v>
      </c>
      <c r="E41" s="125"/>
      <c r="F41" s="125"/>
      <c r="G41" s="126" t="s">
        <v>47</v>
      </c>
      <c r="H41" s="127" t="s">
        <v>48</v>
      </c>
      <c r="I41" s="125"/>
      <c r="J41" s="128">
        <f>SUM(J32:J39)</f>
        <v>0</v>
      </c>
      <c r="K41" s="129"/>
      <c r="L41" s="111"/>
      <c r="S41" s="32"/>
      <c r="T41" s="32"/>
      <c r="U41" s="32"/>
      <c r="V41" s="32"/>
      <c r="W41" s="32"/>
      <c r="X41" s="32"/>
      <c r="Y41" s="32"/>
      <c r="Z41" s="32"/>
      <c r="AA41" s="32"/>
      <c r="AB41" s="32"/>
      <c r="AC41" s="32"/>
      <c r="AD41" s="32"/>
      <c r="AE41" s="32"/>
    </row>
    <row r="42" spans="1:31" s="2" customFormat="1" ht="14.45" customHeight="1">
      <c r="A42" s="32"/>
      <c r="B42" s="130"/>
      <c r="C42" s="131"/>
      <c r="D42" s="131"/>
      <c r="E42" s="131"/>
      <c r="F42" s="131"/>
      <c r="G42" s="131"/>
      <c r="H42" s="131"/>
      <c r="I42" s="131"/>
      <c r="J42" s="131"/>
      <c r="K42" s="131"/>
      <c r="L42" s="111"/>
      <c r="S42" s="32"/>
      <c r="T42" s="32"/>
      <c r="U42" s="32"/>
      <c r="V42" s="32"/>
      <c r="W42" s="32"/>
      <c r="X42" s="32"/>
      <c r="Y42" s="32"/>
      <c r="Z42" s="32"/>
      <c r="AA42" s="32"/>
      <c r="AB42" s="32"/>
      <c r="AC42" s="32"/>
      <c r="AD42" s="32"/>
      <c r="AE42" s="32"/>
    </row>
    <row r="46" spans="1:31" s="2" customFormat="1" ht="6.95" customHeight="1">
      <c r="A46" s="32"/>
      <c r="B46" s="132"/>
      <c r="C46" s="133"/>
      <c r="D46" s="133"/>
      <c r="E46" s="133"/>
      <c r="F46" s="133"/>
      <c r="G46" s="133"/>
      <c r="H46" s="133"/>
      <c r="I46" s="133"/>
      <c r="J46" s="133"/>
      <c r="K46" s="133"/>
      <c r="L46" s="111"/>
      <c r="S46" s="32"/>
      <c r="T46" s="32"/>
      <c r="U46" s="32"/>
      <c r="V46" s="32"/>
      <c r="W46" s="32"/>
      <c r="X46" s="32"/>
      <c r="Y46" s="32"/>
      <c r="Z46" s="32"/>
      <c r="AA46" s="32"/>
      <c r="AB46" s="32"/>
      <c r="AC46" s="32"/>
      <c r="AD46" s="32"/>
      <c r="AE46" s="32"/>
    </row>
    <row r="47" spans="1:31" s="2" customFormat="1" ht="24.95" customHeight="1">
      <c r="A47" s="32"/>
      <c r="B47" s="33"/>
      <c r="C47" s="21" t="s">
        <v>147</v>
      </c>
      <c r="D47" s="34"/>
      <c r="E47" s="34"/>
      <c r="F47" s="34"/>
      <c r="G47" s="34"/>
      <c r="H47" s="34"/>
      <c r="I47" s="34"/>
      <c r="J47" s="34"/>
      <c r="K47" s="34"/>
      <c r="L47" s="111"/>
      <c r="S47" s="32"/>
      <c r="T47" s="32"/>
      <c r="U47" s="32"/>
      <c r="V47" s="32"/>
      <c r="W47" s="32"/>
      <c r="X47" s="32"/>
      <c r="Y47" s="32"/>
      <c r="Z47" s="32"/>
      <c r="AA47" s="32"/>
      <c r="AB47" s="32"/>
      <c r="AC47" s="32"/>
      <c r="AD47" s="32"/>
      <c r="AE47" s="32"/>
    </row>
    <row r="48" spans="1:31" s="2" customFormat="1" ht="6.95" customHeight="1">
      <c r="A48" s="32"/>
      <c r="B48" s="33"/>
      <c r="C48" s="34"/>
      <c r="D48" s="34"/>
      <c r="E48" s="34"/>
      <c r="F48" s="34"/>
      <c r="G48" s="34"/>
      <c r="H48" s="34"/>
      <c r="I48" s="34"/>
      <c r="J48" s="34"/>
      <c r="K48" s="34"/>
      <c r="L48" s="111"/>
      <c r="S48" s="32"/>
      <c r="T48" s="32"/>
      <c r="U48" s="32"/>
      <c r="V48" s="32"/>
      <c r="W48" s="32"/>
      <c r="X48" s="32"/>
      <c r="Y48" s="32"/>
      <c r="Z48" s="32"/>
      <c r="AA48" s="32"/>
      <c r="AB48" s="32"/>
      <c r="AC48" s="32"/>
      <c r="AD48" s="32"/>
      <c r="AE48" s="32"/>
    </row>
    <row r="49" spans="1:31" s="2" customFormat="1" ht="12" customHeight="1">
      <c r="A49" s="32"/>
      <c r="B49" s="33"/>
      <c r="C49" s="27" t="s">
        <v>16</v>
      </c>
      <c r="D49" s="34"/>
      <c r="E49" s="34"/>
      <c r="F49" s="34"/>
      <c r="G49" s="34"/>
      <c r="H49" s="34"/>
      <c r="I49" s="34"/>
      <c r="J49" s="34"/>
      <c r="K49" s="34"/>
      <c r="L49" s="111"/>
      <c r="S49" s="32"/>
      <c r="T49" s="32"/>
      <c r="U49" s="32"/>
      <c r="V49" s="32"/>
      <c r="W49" s="32"/>
      <c r="X49" s="32"/>
      <c r="Y49" s="32"/>
      <c r="Z49" s="32"/>
      <c r="AA49" s="32"/>
      <c r="AB49" s="32"/>
      <c r="AC49" s="32"/>
      <c r="AD49" s="32"/>
      <c r="AE49" s="32"/>
    </row>
    <row r="50" spans="1:31" s="2" customFormat="1" ht="14.45" customHeight="1">
      <c r="A50" s="32"/>
      <c r="B50" s="33"/>
      <c r="C50" s="34"/>
      <c r="D50" s="34"/>
      <c r="E50" s="700" t="str">
        <f>E7</f>
        <v>Úpravy gastroprovozu Úřadu vlády ČR v 1.pp Strakovy akademie</v>
      </c>
      <c r="F50" s="701"/>
      <c r="G50" s="701"/>
      <c r="H50" s="701"/>
      <c r="I50" s="34"/>
      <c r="J50" s="34"/>
      <c r="K50" s="34"/>
      <c r="L50" s="111"/>
      <c r="S50" s="32"/>
      <c r="T50" s="32"/>
      <c r="U50" s="32"/>
      <c r="V50" s="32"/>
      <c r="W50" s="32"/>
      <c r="X50" s="32"/>
      <c r="Y50" s="32"/>
      <c r="Z50" s="32"/>
      <c r="AA50" s="32"/>
      <c r="AB50" s="32"/>
      <c r="AC50" s="32"/>
      <c r="AD50" s="32"/>
      <c r="AE50" s="32"/>
    </row>
    <row r="51" spans="2:12" s="1" customFormat="1" ht="12" customHeight="1">
      <c r="B51" s="19"/>
      <c r="C51" s="27" t="s">
        <v>142</v>
      </c>
      <c r="D51" s="20"/>
      <c r="E51" s="20"/>
      <c r="F51" s="20"/>
      <c r="G51" s="20"/>
      <c r="H51" s="20"/>
      <c r="I51" s="20"/>
      <c r="J51" s="20"/>
      <c r="K51" s="20"/>
      <c r="L51" s="18"/>
    </row>
    <row r="52" spans="1:31" s="2" customFormat="1" ht="14.45" customHeight="1">
      <c r="A52" s="32"/>
      <c r="B52" s="33"/>
      <c r="C52" s="34"/>
      <c r="D52" s="34"/>
      <c r="E52" s="700" t="s">
        <v>1429</v>
      </c>
      <c r="F52" s="699"/>
      <c r="G52" s="699"/>
      <c r="H52" s="699"/>
      <c r="I52" s="34"/>
      <c r="J52" s="34"/>
      <c r="K52" s="34"/>
      <c r="L52" s="111"/>
      <c r="S52" s="32"/>
      <c r="T52" s="32"/>
      <c r="U52" s="32"/>
      <c r="V52" s="32"/>
      <c r="W52" s="32"/>
      <c r="X52" s="32"/>
      <c r="Y52" s="32"/>
      <c r="Z52" s="32"/>
      <c r="AA52" s="32"/>
      <c r="AB52" s="32"/>
      <c r="AC52" s="32"/>
      <c r="AD52" s="32"/>
      <c r="AE52" s="32"/>
    </row>
    <row r="53" spans="1:31" s="2" customFormat="1" ht="12" customHeight="1">
      <c r="A53" s="32"/>
      <c r="B53" s="33"/>
      <c r="C53" s="27" t="s">
        <v>144</v>
      </c>
      <c r="D53" s="34"/>
      <c r="E53" s="34"/>
      <c r="F53" s="34"/>
      <c r="G53" s="34"/>
      <c r="H53" s="34"/>
      <c r="I53" s="34"/>
      <c r="J53" s="34"/>
      <c r="K53" s="34"/>
      <c r="L53" s="111"/>
      <c r="S53" s="32"/>
      <c r="T53" s="32"/>
      <c r="U53" s="32"/>
      <c r="V53" s="32"/>
      <c r="W53" s="32"/>
      <c r="X53" s="32"/>
      <c r="Y53" s="32"/>
      <c r="Z53" s="32"/>
      <c r="AA53" s="32"/>
      <c r="AB53" s="32"/>
      <c r="AC53" s="32"/>
      <c r="AD53" s="32"/>
      <c r="AE53" s="32"/>
    </row>
    <row r="54" spans="1:31" s="2" customFormat="1" ht="14.45" customHeight="1">
      <c r="A54" s="32"/>
      <c r="B54" s="33"/>
      <c r="C54" s="34"/>
      <c r="D54" s="34"/>
      <c r="E54" s="696" t="str">
        <f>E11</f>
        <v xml:space="preserve">D.1.4.05 - Soupis prací - Vzduchotechnika </v>
      </c>
      <c r="F54" s="699"/>
      <c r="G54" s="699"/>
      <c r="H54" s="699"/>
      <c r="I54" s="34"/>
      <c r="J54" s="34"/>
      <c r="K54" s="34"/>
      <c r="L54" s="111"/>
      <c r="S54" s="32"/>
      <c r="T54" s="32"/>
      <c r="U54" s="32"/>
      <c r="V54" s="32"/>
      <c r="W54" s="32"/>
      <c r="X54" s="32"/>
      <c r="Y54" s="32"/>
      <c r="Z54" s="32"/>
      <c r="AA54" s="32"/>
      <c r="AB54" s="32"/>
      <c r="AC54" s="32"/>
      <c r="AD54" s="32"/>
      <c r="AE54" s="32"/>
    </row>
    <row r="55" spans="1:31" s="2" customFormat="1" ht="6.95" customHeight="1">
      <c r="A55" s="32"/>
      <c r="B55" s="33"/>
      <c r="C55" s="34"/>
      <c r="D55" s="34"/>
      <c r="E55" s="34"/>
      <c r="F55" s="34"/>
      <c r="G55" s="34"/>
      <c r="H55" s="34"/>
      <c r="I55" s="34"/>
      <c r="J55" s="34"/>
      <c r="K55" s="34"/>
      <c r="L55" s="111"/>
      <c r="S55" s="32"/>
      <c r="T55" s="32"/>
      <c r="U55" s="32"/>
      <c r="V55" s="32"/>
      <c r="W55" s="32"/>
      <c r="X55" s="32"/>
      <c r="Y55" s="32"/>
      <c r="Z55" s="32"/>
      <c r="AA55" s="32"/>
      <c r="AB55" s="32"/>
      <c r="AC55" s="32"/>
      <c r="AD55" s="32"/>
      <c r="AE55" s="32"/>
    </row>
    <row r="56" spans="1:31" s="2" customFormat="1" ht="12" customHeight="1">
      <c r="A56" s="32"/>
      <c r="B56" s="33"/>
      <c r="C56" s="27" t="s">
        <v>21</v>
      </c>
      <c r="D56" s="34"/>
      <c r="E56" s="34"/>
      <c r="F56" s="25" t="str">
        <f>F14</f>
        <v xml:space="preserve"> </v>
      </c>
      <c r="G56" s="34"/>
      <c r="H56" s="34"/>
      <c r="I56" s="27" t="s">
        <v>23</v>
      </c>
      <c r="J56" s="57" t="str">
        <f>IF(J14="","",J14)</f>
        <v>Vyplň údaj</v>
      </c>
      <c r="K56" s="34"/>
      <c r="L56" s="111"/>
      <c r="S56" s="32"/>
      <c r="T56" s="32"/>
      <c r="U56" s="32"/>
      <c r="V56" s="32"/>
      <c r="W56" s="32"/>
      <c r="X56" s="32"/>
      <c r="Y56" s="32"/>
      <c r="Z56" s="32"/>
      <c r="AA56" s="32"/>
      <c r="AB56" s="32"/>
      <c r="AC56" s="32"/>
      <c r="AD56" s="32"/>
      <c r="AE56" s="32"/>
    </row>
    <row r="57" spans="1:31" s="2" customFormat="1" ht="6.95" customHeight="1">
      <c r="A57" s="32"/>
      <c r="B57" s="33"/>
      <c r="C57" s="34"/>
      <c r="D57" s="34"/>
      <c r="E57" s="34"/>
      <c r="F57" s="34"/>
      <c r="G57" s="34"/>
      <c r="H57" s="34"/>
      <c r="I57" s="34"/>
      <c r="J57" s="34"/>
      <c r="K57" s="34"/>
      <c r="L57" s="111"/>
      <c r="S57" s="32"/>
      <c r="T57" s="32"/>
      <c r="U57" s="32"/>
      <c r="V57" s="32"/>
      <c r="W57" s="32"/>
      <c r="X57" s="32"/>
      <c r="Y57" s="32"/>
      <c r="Z57" s="32"/>
      <c r="AA57" s="32"/>
      <c r="AB57" s="32"/>
      <c r="AC57" s="32"/>
      <c r="AD57" s="32"/>
      <c r="AE57" s="32"/>
    </row>
    <row r="58" spans="1:31" s="2" customFormat="1" ht="26.45" customHeight="1">
      <c r="A58" s="32"/>
      <c r="B58" s="33"/>
      <c r="C58" s="27" t="s">
        <v>24</v>
      </c>
      <c r="D58" s="34"/>
      <c r="E58" s="34"/>
      <c r="F58" s="25" t="str">
        <f>E17</f>
        <v xml:space="preserve">Úřad vlády České republiky </v>
      </c>
      <c r="G58" s="34"/>
      <c r="H58" s="34"/>
      <c r="I58" s="27" t="s">
        <v>30</v>
      </c>
      <c r="J58" s="30" t="str">
        <f>E23</f>
        <v>Ateliér Simona Group</v>
      </c>
      <c r="K58" s="34"/>
      <c r="L58" s="111"/>
      <c r="S58" s="32"/>
      <c r="T58" s="32"/>
      <c r="U58" s="32"/>
      <c r="V58" s="32"/>
      <c r="W58" s="32"/>
      <c r="X58" s="32"/>
      <c r="Y58" s="32"/>
      <c r="Z58" s="32"/>
      <c r="AA58" s="32"/>
      <c r="AB58" s="32"/>
      <c r="AC58" s="32"/>
      <c r="AD58" s="32"/>
      <c r="AE58" s="32"/>
    </row>
    <row r="59" spans="1:31" s="2" customFormat="1" ht="26.45" customHeight="1">
      <c r="A59" s="32"/>
      <c r="B59" s="33"/>
      <c r="C59" s="27" t="s">
        <v>28</v>
      </c>
      <c r="D59" s="34"/>
      <c r="E59" s="34"/>
      <c r="F59" s="25" t="str">
        <f>IF(E20="","",E20)</f>
        <v>Vyplň údaj</v>
      </c>
      <c r="G59" s="34"/>
      <c r="H59" s="34"/>
      <c r="I59" s="27" t="s">
        <v>33</v>
      </c>
      <c r="J59" s="30" t="str">
        <f>E26</f>
        <v>Ateliér Simona Group</v>
      </c>
      <c r="K59" s="34"/>
      <c r="L59" s="111"/>
      <c r="S59" s="32"/>
      <c r="T59" s="32"/>
      <c r="U59" s="32"/>
      <c r="V59" s="32"/>
      <c r="W59" s="32"/>
      <c r="X59" s="32"/>
      <c r="Y59" s="32"/>
      <c r="Z59" s="32"/>
      <c r="AA59" s="32"/>
      <c r="AB59" s="32"/>
      <c r="AC59" s="32"/>
      <c r="AD59" s="32"/>
      <c r="AE59" s="32"/>
    </row>
    <row r="60" spans="1:31" s="2" customFormat="1" ht="10.35" customHeight="1">
      <c r="A60" s="32"/>
      <c r="B60" s="33"/>
      <c r="C60" s="34"/>
      <c r="D60" s="34"/>
      <c r="E60" s="34"/>
      <c r="F60" s="34"/>
      <c r="G60" s="34"/>
      <c r="H60" s="34"/>
      <c r="I60" s="34"/>
      <c r="J60" s="34"/>
      <c r="K60" s="34"/>
      <c r="L60" s="111"/>
      <c r="S60" s="32"/>
      <c r="T60" s="32"/>
      <c r="U60" s="32"/>
      <c r="V60" s="32"/>
      <c r="W60" s="32"/>
      <c r="X60" s="32"/>
      <c r="Y60" s="32"/>
      <c r="Z60" s="32"/>
      <c r="AA60" s="32"/>
      <c r="AB60" s="32"/>
      <c r="AC60" s="32"/>
      <c r="AD60" s="32"/>
      <c r="AE60" s="32"/>
    </row>
    <row r="61" spans="1:31" s="2" customFormat="1" ht="29.25" customHeight="1">
      <c r="A61" s="32"/>
      <c r="B61" s="33"/>
      <c r="C61" s="134" t="s">
        <v>148</v>
      </c>
      <c r="D61" s="135"/>
      <c r="E61" s="135"/>
      <c r="F61" s="135"/>
      <c r="G61" s="135"/>
      <c r="H61" s="135"/>
      <c r="I61" s="135"/>
      <c r="J61" s="136" t="s">
        <v>149</v>
      </c>
      <c r="K61" s="135"/>
      <c r="L61" s="111"/>
      <c r="S61" s="32"/>
      <c r="T61" s="32"/>
      <c r="U61" s="32"/>
      <c r="V61" s="32"/>
      <c r="W61" s="32"/>
      <c r="X61" s="32"/>
      <c r="Y61" s="32"/>
      <c r="Z61" s="32"/>
      <c r="AA61" s="32"/>
      <c r="AB61" s="32"/>
      <c r="AC61" s="32"/>
      <c r="AD61" s="32"/>
      <c r="AE61" s="32"/>
    </row>
    <row r="62" spans="1:31" s="2" customFormat="1" ht="10.35" customHeight="1">
      <c r="A62" s="32"/>
      <c r="B62" s="33"/>
      <c r="C62" s="34"/>
      <c r="D62" s="34"/>
      <c r="E62" s="34"/>
      <c r="F62" s="34"/>
      <c r="G62" s="34"/>
      <c r="H62" s="34"/>
      <c r="I62" s="34"/>
      <c r="J62" s="34"/>
      <c r="K62" s="34"/>
      <c r="L62" s="111"/>
      <c r="S62" s="32"/>
      <c r="T62" s="32"/>
      <c r="U62" s="32"/>
      <c r="V62" s="32"/>
      <c r="W62" s="32"/>
      <c r="X62" s="32"/>
      <c r="Y62" s="32"/>
      <c r="Z62" s="32"/>
      <c r="AA62" s="32"/>
      <c r="AB62" s="32"/>
      <c r="AC62" s="32"/>
      <c r="AD62" s="32"/>
      <c r="AE62" s="32"/>
    </row>
    <row r="63" spans="1:47" s="2" customFormat="1" ht="22.9" customHeight="1">
      <c r="A63" s="32"/>
      <c r="B63" s="33"/>
      <c r="C63" s="137" t="s">
        <v>68</v>
      </c>
      <c r="D63" s="34"/>
      <c r="E63" s="34"/>
      <c r="F63" s="34"/>
      <c r="G63" s="34"/>
      <c r="H63" s="34"/>
      <c r="I63" s="34"/>
      <c r="J63" s="75">
        <f>J87</f>
        <v>0</v>
      </c>
      <c r="K63" s="34"/>
      <c r="L63" s="111"/>
      <c r="S63" s="32"/>
      <c r="T63" s="32"/>
      <c r="U63" s="32"/>
      <c r="V63" s="32"/>
      <c r="W63" s="32"/>
      <c r="X63" s="32"/>
      <c r="Y63" s="32"/>
      <c r="Z63" s="32"/>
      <c r="AA63" s="32"/>
      <c r="AB63" s="32"/>
      <c r="AC63" s="32"/>
      <c r="AD63" s="32"/>
      <c r="AE63" s="32"/>
      <c r="AU63" s="15" t="s">
        <v>150</v>
      </c>
    </row>
    <row r="64" spans="2:12" s="9" customFormat="1" ht="24.95" customHeight="1">
      <c r="B64" s="138"/>
      <c r="C64" s="139"/>
      <c r="D64" s="140" t="s">
        <v>161</v>
      </c>
      <c r="E64" s="141"/>
      <c r="F64" s="141"/>
      <c r="G64" s="141"/>
      <c r="H64" s="141"/>
      <c r="I64" s="141"/>
      <c r="J64" s="142">
        <f>J88</f>
        <v>0</v>
      </c>
      <c r="K64" s="139"/>
      <c r="L64" s="143"/>
    </row>
    <row r="65" spans="2:12" s="10" customFormat="1" ht="19.9" customHeight="1">
      <c r="B65" s="144"/>
      <c r="C65" s="95"/>
      <c r="D65" s="145" t="s">
        <v>1467</v>
      </c>
      <c r="E65" s="146"/>
      <c r="F65" s="146"/>
      <c r="G65" s="146"/>
      <c r="H65" s="146"/>
      <c r="I65" s="146"/>
      <c r="J65" s="147">
        <f>J89</f>
        <v>0</v>
      </c>
      <c r="K65" s="95"/>
      <c r="L65" s="148"/>
    </row>
    <row r="66" spans="1:31" s="2" customFormat="1" ht="21.75" customHeight="1">
      <c r="A66" s="32"/>
      <c r="B66" s="33"/>
      <c r="C66" s="34"/>
      <c r="D66" s="34"/>
      <c r="E66" s="34"/>
      <c r="F66" s="34"/>
      <c r="G66" s="34"/>
      <c r="H66" s="34"/>
      <c r="I66" s="34"/>
      <c r="J66" s="34"/>
      <c r="K66" s="34"/>
      <c r="L66" s="111"/>
      <c r="S66" s="32"/>
      <c r="T66" s="32"/>
      <c r="U66" s="32"/>
      <c r="V66" s="32"/>
      <c r="W66" s="32"/>
      <c r="X66" s="32"/>
      <c r="Y66" s="32"/>
      <c r="Z66" s="32"/>
      <c r="AA66" s="32"/>
      <c r="AB66" s="32"/>
      <c r="AC66" s="32"/>
      <c r="AD66" s="32"/>
      <c r="AE66" s="32"/>
    </row>
    <row r="67" spans="1:31" s="2" customFormat="1" ht="6.95" customHeight="1">
      <c r="A67" s="32"/>
      <c r="B67" s="45"/>
      <c r="C67" s="46"/>
      <c r="D67" s="46"/>
      <c r="E67" s="46"/>
      <c r="F67" s="46"/>
      <c r="G67" s="46"/>
      <c r="H67" s="46"/>
      <c r="I67" s="46"/>
      <c r="J67" s="46"/>
      <c r="K67" s="46"/>
      <c r="L67" s="111"/>
      <c r="S67" s="32"/>
      <c r="T67" s="32"/>
      <c r="U67" s="32"/>
      <c r="V67" s="32"/>
      <c r="W67" s="32"/>
      <c r="X67" s="32"/>
      <c r="Y67" s="32"/>
      <c r="Z67" s="32"/>
      <c r="AA67" s="32"/>
      <c r="AB67" s="32"/>
      <c r="AC67" s="32"/>
      <c r="AD67" s="32"/>
      <c r="AE67" s="32"/>
    </row>
    <row r="71" spans="1:31" s="2" customFormat="1" ht="6.95" customHeight="1">
      <c r="A71" s="32"/>
      <c r="B71" s="47"/>
      <c r="C71" s="48"/>
      <c r="D71" s="48"/>
      <c r="E71" s="48"/>
      <c r="F71" s="48"/>
      <c r="G71" s="48"/>
      <c r="H71" s="48"/>
      <c r="I71" s="48"/>
      <c r="J71" s="48"/>
      <c r="K71" s="48"/>
      <c r="L71" s="111"/>
      <c r="S71" s="32"/>
      <c r="T71" s="32"/>
      <c r="U71" s="32"/>
      <c r="V71" s="32"/>
      <c r="W71" s="32"/>
      <c r="X71" s="32"/>
      <c r="Y71" s="32"/>
      <c r="Z71" s="32"/>
      <c r="AA71" s="32"/>
      <c r="AB71" s="32"/>
      <c r="AC71" s="32"/>
      <c r="AD71" s="32"/>
      <c r="AE71" s="32"/>
    </row>
    <row r="72" spans="1:31" s="2" customFormat="1" ht="24.95" customHeight="1">
      <c r="A72" s="32"/>
      <c r="B72" s="33"/>
      <c r="C72" s="21" t="s">
        <v>181</v>
      </c>
      <c r="D72" s="34"/>
      <c r="E72" s="34"/>
      <c r="F72" s="34"/>
      <c r="G72" s="34"/>
      <c r="H72" s="34"/>
      <c r="I72" s="34"/>
      <c r="J72" s="34"/>
      <c r="K72" s="34"/>
      <c r="L72" s="111"/>
      <c r="S72" s="32"/>
      <c r="T72" s="32"/>
      <c r="U72" s="32"/>
      <c r="V72" s="32"/>
      <c r="W72" s="32"/>
      <c r="X72" s="32"/>
      <c r="Y72" s="32"/>
      <c r="Z72" s="32"/>
      <c r="AA72" s="32"/>
      <c r="AB72" s="32"/>
      <c r="AC72" s="32"/>
      <c r="AD72" s="32"/>
      <c r="AE72" s="32"/>
    </row>
    <row r="73" spans="1:31" s="2" customFormat="1" ht="6.95" customHeight="1">
      <c r="A73" s="32"/>
      <c r="B73" s="33"/>
      <c r="C73" s="34"/>
      <c r="D73" s="34"/>
      <c r="E73" s="34"/>
      <c r="F73" s="34"/>
      <c r="G73" s="34"/>
      <c r="H73" s="34"/>
      <c r="I73" s="34"/>
      <c r="J73" s="34"/>
      <c r="K73" s="34"/>
      <c r="L73" s="111"/>
      <c r="S73" s="32"/>
      <c r="T73" s="32"/>
      <c r="U73" s="32"/>
      <c r="V73" s="32"/>
      <c r="W73" s="32"/>
      <c r="X73" s="32"/>
      <c r="Y73" s="32"/>
      <c r="Z73" s="32"/>
      <c r="AA73" s="32"/>
      <c r="AB73" s="32"/>
      <c r="AC73" s="32"/>
      <c r="AD73" s="32"/>
      <c r="AE73" s="32"/>
    </row>
    <row r="74" spans="1:31" s="2" customFormat="1" ht="12" customHeight="1">
      <c r="A74" s="32"/>
      <c r="B74" s="33"/>
      <c r="C74" s="27" t="s">
        <v>16</v>
      </c>
      <c r="D74" s="34"/>
      <c r="E74" s="34"/>
      <c r="F74" s="34"/>
      <c r="G74" s="34"/>
      <c r="H74" s="34"/>
      <c r="I74" s="34"/>
      <c r="J74" s="34"/>
      <c r="K74" s="34"/>
      <c r="L74" s="111"/>
      <c r="S74" s="32"/>
      <c r="T74" s="32"/>
      <c r="U74" s="32"/>
      <c r="V74" s="32"/>
      <c r="W74" s="32"/>
      <c r="X74" s="32"/>
      <c r="Y74" s="32"/>
      <c r="Z74" s="32"/>
      <c r="AA74" s="32"/>
      <c r="AB74" s="32"/>
      <c r="AC74" s="32"/>
      <c r="AD74" s="32"/>
      <c r="AE74" s="32"/>
    </row>
    <row r="75" spans="1:31" s="2" customFormat="1" ht="14.45" customHeight="1">
      <c r="A75" s="32"/>
      <c r="B75" s="33"/>
      <c r="C75" s="34"/>
      <c r="D75" s="34"/>
      <c r="E75" s="700" t="str">
        <f>E7</f>
        <v>Úpravy gastroprovozu Úřadu vlády ČR v 1.pp Strakovy akademie</v>
      </c>
      <c r="F75" s="701"/>
      <c r="G75" s="701"/>
      <c r="H75" s="701"/>
      <c r="I75" s="34"/>
      <c r="J75" s="34"/>
      <c r="K75" s="34"/>
      <c r="L75" s="111"/>
      <c r="S75" s="32"/>
      <c r="T75" s="32"/>
      <c r="U75" s="32"/>
      <c r="V75" s="32"/>
      <c r="W75" s="32"/>
      <c r="X75" s="32"/>
      <c r="Y75" s="32"/>
      <c r="Z75" s="32"/>
      <c r="AA75" s="32"/>
      <c r="AB75" s="32"/>
      <c r="AC75" s="32"/>
      <c r="AD75" s="32"/>
      <c r="AE75" s="32"/>
    </row>
    <row r="76" spans="2:12" s="1" customFormat="1" ht="12" customHeight="1">
      <c r="B76" s="19"/>
      <c r="C76" s="27" t="s">
        <v>142</v>
      </c>
      <c r="D76" s="20"/>
      <c r="E76" s="20"/>
      <c r="F76" s="20"/>
      <c r="G76" s="20"/>
      <c r="H76" s="20"/>
      <c r="I76" s="20"/>
      <c r="J76" s="20"/>
      <c r="K76" s="20"/>
      <c r="L76" s="18"/>
    </row>
    <row r="77" spans="1:31" s="2" customFormat="1" ht="14.45" customHeight="1">
      <c r="A77" s="32"/>
      <c r="B77" s="33"/>
      <c r="C77" s="34"/>
      <c r="D77" s="34"/>
      <c r="E77" s="700" t="s">
        <v>1429</v>
      </c>
      <c r="F77" s="699"/>
      <c r="G77" s="699"/>
      <c r="H77" s="699"/>
      <c r="I77" s="34"/>
      <c r="J77" s="34"/>
      <c r="K77" s="34"/>
      <c r="L77" s="111"/>
      <c r="S77" s="32"/>
      <c r="T77" s="32"/>
      <c r="U77" s="32"/>
      <c r="V77" s="32"/>
      <c r="W77" s="32"/>
      <c r="X77" s="32"/>
      <c r="Y77" s="32"/>
      <c r="Z77" s="32"/>
      <c r="AA77" s="32"/>
      <c r="AB77" s="32"/>
      <c r="AC77" s="32"/>
      <c r="AD77" s="32"/>
      <c r="AE77" s="32"/>
    </row>
    <row r="78" spans="1:31" s="2" customFormat="1" ht="12" customHeight="1">
      <c r="A78" s="32"/>
      <c r="B78" s="33"/>
      <c r="C78" s="27" t="s">
        <v>144</v>
      </c>
      <c r="D78" s="34"/>
      <c r="E78" s="34"/>
      <c r="F78" s="34"/>
      <c r="G78" s="34"/>
      <c r="H78" s="34"/>
      <c r="I78" s="34"/>
      <c r="J78" s="34"/>
      <c r="K78" s="34"/>
      <c r="L78" s="111"/>
      <c r="S78" s="32"/>
      <c r="T78" s="32"/>
      <c r="U78" s="32"/>
      <c r="V78" s="32"/>
      <c r="W78" s="32"/>
      <c r="X78" s="32"/>
      <c r="Y78" s="32"/>
      <c r="Z78" s="32"/>
      <c r="AA78" s="32"/>
      <c r="AB78" s="32"/>
      <c r="AC78" s="32"/>
      <c r="AD78" s="32"/>
      <c r="AE78" s="32"/>
    </row>
    <row r="79" spans="1:31" s="2" customFormat="1" ht="14.45" customHeight="1">
      <c r="A79" s="32"/>
      <c r="B79" s="33"/>
      <c r="C79" s="34"/>
      <c r="D79" s="34"/>
      <c r="E79" s="696" t="str">
        <f>E11</f>
        <v xml:space="preserve">D.1.4.05 - Soupis prací - Vzduchotechnika </v>
      </c>
      <c r="F79" s="699"/>
      <c r="G79" s="699"/>
      <c r="H79" s="699"/>
      <c r="I79" s="34"/>
      <c r="J79" s="34"/>
      <c r="K79" s="34"/>
      <c r="L79" s="111"/>
      <c r="S79" s="32"/>
      <c r="T79" s="32"/>
      <c r="U79" s="32"/>
      <c r="V79" s="32"/>
      <c r="W79" s="32"/>
      <c r="X79" s="32"/>
      <c r="Y79" s="32"/>
      <c r="Z79" s="32"/>
      <c r="AA79" s="32"/>
      <c r="AB79" s="32"/>
      <c r="AC79" s="32"/>
      <c r="AD79" s="32"/>
      <c r="AE79" s="32"/>
    </row>
    <row r="80" spans="1:31" s="2" customFormat="1" ht="6.95" customHeight="1">
      <c r="A80" s="32"/>
      <c r="B80" s="33"/>
      <c r="C80" s="34"/>
      <c r="D80" s="34"/>
      <c r="E80" s="34"/>
      <c r="F80" s="34"/>
      <c r="G80" s="34"/>
      <c r="H80" s="34"/>
      <c r="I80" s="34"/>
      <c r="J80" s="34"/>
      <c r="K80" s="34"/>
      <c r="L80" s="111"/>
      <c r="S80" s="32"/>
      <c r="T80" s="32"/>
      <c r="U80" s="32"/>
      <c r="V80" s="32"/>
      <c r="W80" s="32"/>
      <c r="X80" s="32"/>
      <c r="Y80" s="32"/>
      <c r="Z80" s="32"/>
      <c r="AA80" s="32"/>
      <c r="AB80" s="32"/>
      <c r="AC80" s="32"/>
      <c r="AD80" s="32"/>
      <c r="AE80" s="32"/>
    </row>
    <row r="81" spans="1:31" s="2" customFormat="1" ht="12" customHeight="1">
      <c r="A81" s="32"/>
      <c r="B81" s="33"/>
      <c r="C81" s="27" t="s">
        <v>21</v>
      </c>
      <c r="D81" s="34"/>
      <c r="E81" s="34"/>
      <c r="F81" s="25" t="str">
        <f>F14</f>
        <v xml:space="preserve"> </v>
      </c>
      <c r="G81" s="34"/>
      <c r="H81" s="34"/>
      <c r="I81" s="27" t="s">
        <v>23</v>
      </c>
      <c r="J81" s="57" t="str">
        <f>IF(J14="","",J14)</f>
        <v>Vyplň údaj</v>
      </c>
      <c r="K81" s="34"/>
      <c r="L81" s="111"/>
      <c r="S81" s="32"/>
      <c r="T81" s="32"/>
      <c r="U81" s="32"/>
      <c r="V81" s="32"/>
      <c r="W81" s="32"/>
      <c r="X81" s="32"/>
      <c r="Y81" s="32"/>
      <c r="Z81" s="32"/>
      <c r="AA81" s="32"/>
      <c r="AB81" s="32"/>
      <c r="AC81" s="32"/>
      <c r="AD81" s="32"/>
      <c r="AE81" s="32"/>
    </row>
    <row r="82" spans="1:31" s="2" customFormat="1" ht="6.95" customHeight="1">
      <c r="A82" s="32"/>
      <c r="B82" s="33"/>
      <c r="C82" s="34"/>
      <c r="D82" s="34"/>
      <c r="E82" s="34"/>
      <c r="F82" s="34"/>
      <c r="G82" s="34"/>
      <c r="H82" s="34"/>
      <c r="I82" s="34"/>
      <c r="J82" s="34"/>
      <c r="K82" s="34"/>
      <c r="L82" s="111"/>
      <c r="S82" s="32"/>
      <c r="T82" s="32"/>
      <c r="U82" s="32"/>
      <c r="V82" s="32"/>
      <c r="W82" s="32"/>
      <c r="X82" s="32"/>
      <c r="Y82" s="32"/>
      <c r="Z82" s="32"/>
      <c r="AA82" s="32"/>
      <c r="AB82" s="32"/>
      <c r="AC82" s="32"/>
      <c r="AD82" s="32"/>
      <c r="AE82" s="32"/>
    </row>
    <row r="83" spans="1:31" s="2" customFormat="1" ht="26.45" customHeight="1">
      <c r="A83" s="32"/>
      <c r="B83" s="33"/>
      <c r="C83" s="27" t="s">
        <v>24</v>
      </c>
      <c r="D83" s="34"/>
      <c r="E83" s="34"/>
      <c r="F83" s="25" t="str">
        <f>E17</f>
        <v xml:space="preserve">Úřad vlády České republiky </v>
      </c>
      <c r="G83" s="34"/>
      <c r="H83" s="34"/>
      <c r="I83" s="27" t="s">
        <v>30</v>
      </c>
      <c r="J83" s="30" t="str">
        <f>E23</f>
        <v>Ateliér Simona Group</v>
      </c>
      <c r="K83" s="34"/>
      <c r="L83" s="111"/>
      <c r="S83" s="32"/>
      <c r="T83" s="32"/>
      <c r="U83" s="32"/>
      <c r="V83" s="32"/>
      <c r="W83" s="32"/>
      <c r="X83" s="32"/>
      <c r="Y83" s="32"/>
      <c r="Z83" s="32"/>
      <c r="AA83" s="32"/>
      <c r="AB83" s="32"/>
      <c r="AC83" s="32"/>
      <c r="AD83" s="32"/>
      <c r="AE83" s="32"/>
    </row>
    <row r="84" spans="1:31" s="2" customFormat="1" ht="26.45" customHeight="1">
      <c r="A84" s="32"/>
      <c r="B84" s="33"/>
      <c r="C84" s="27" t="s">
        <v>28</v>
      </c>
      <c r="D84" s="34"/>
      <c r="E84" s="34"/>
      <c r="F84" s="25" t="str">
        <f>IF(E20="","",E20)</f>
        <v>Vyplň údaj</v>
      </c>
      <c r="G84" s="34"/>
      <c r="H84" s="34"/>
      <c r="I84" s="27" t="s">
        <v>33</v>
      </c>
      <c r="J84" s="30" t="str">
        <f>E26</f>
        <v>Ateliér Simona Group</v>
      </c>
      <c r="K84" s="34"/>
      <c r="L84" s="111"/>
      <c r="S84" s="32"/>
      <c r="T84" s="32"/>
      <c r="U84" s="32"/>
      <c r="V84" s="32"/>
      <c r="W84" s="32"/>
      <c r="X84" s="32"/>
      <c r="Y84" s="32"/>
      <c r="Z84" s="32"/>
      <c r="AA84" s="32"/>
      <c r="AB84" s="32"/>
      <c r="AC84" s="32"/>
      <c r="AD84" s="32"/>
      <c r="AE84" s="32"/>
    </row>
    <row r="85" spans="1:31" s="2" customFormat="1" ht="10.35" customHeight="1">
      <c r="A85" s="32"/>
      <c r="B85" s="33"/>
      <c r="C85" s="34"/>
      <c r="D85" s="34"/>
      <c r="E85" s="34"/>
      <c r="F85" s="34"/>
      <c r="G85" s="34"/>
      <c r="H85" s="34"/>
      <c r="I85" s="34"/>
      <c r="J85" s="34"/>
      <c r="K85" s="34"/>
      <c r="L85" s="111"/>
      <c r="S85" s="32"/>
      <c r="T85" s="32"/>
      <c r="U85" s="32"/>
      <c r="V85" s="32"/>
      <c r="W85" s="32"/>
      <c r="X85" s="32"/>
      <c r="Y85" s="32"/>
      <c r="Z85" s="32"/>
      <c r="AA85" s="32"/>
      <c r="AB85" s="32"/>
      <c r="AC85" s="32"/>
      <c r="AD85" s="32"/>
      <c r="AE85" s="32"/>
    </row>
    <row r="86" spans="1:31" s="11" customFormat="1" ht="29.25" customHeight="1">
      <c r="A86" s="149"/>
      <c r="B86" s="150"/>
      <c r="C86" s="151" t="s">
        <v>182</v>
      </c>
      <c r="D86" s="152" t="s">
        <v>55</v>
      </c>
      <c r="E86" s="152" t="s">
        <v>51</v>
      </c>
      <c r="F86" s="152" t="s">
        <v>52</v>
      </c>
      <c r="G86" s="152" t="s">
        <v>183</v>
      </c>
      <c r="H86" s="152" t="s">
        <v>184</v>
      </c>
      <c r="I86" s="152" t="s">
        <v>185</v>
      </c>
      <c r="J86" s="152" t="s">
        <v>149</v>
      </c>
      <c r="K86" s="153" t="s">
        <v>186</v>
      </c>
      <c r="L86" s="154"/>
      <c r="M86" s="66" t="s">
        <v>19</v>
      </c>
      <c r="N86" s="67" t="s">
        <v>40</v>
      </c>
      <c r="O86" s="67" t="s">
        <v>187</v>
      </c>
      <c r="P86" s="67" t="s">
        <v>188</v>
      </c>
      <c r="Q86" s="67" t="s">
        <v>189</v>
      </c>
      <c r="R86" s="67" t="s">
        <v>190</v>
      </c>
      <c r="S86" s="67" t="s">
        <v>191</v>
      </c>
      <c r="T86" s="68" t="s">
        <v>192</v>
      </c>
      <c r="U86" s="149"/>
      <c r="V86" s="149"/>
      <c r="W86" s="149"/>
      <c r="X86" s="149"/>
      <c r="Y86" s="149"/>
      <c r="Z86" s="149"/>
      <c r="AA86" s="149"/>
      <c r="AB86" s="149"/>
      <c r="AC86" s="149"/>
      <c r="AD86" s="149"/>
      <c r="AE86" s="149"/>
    </row>
    <row r="87" spans="1:63" s="2" customFormat="1" ht="22.9" customHeight="1">
      <c r="A87" s="32"/>
      <c r="B87" s="33"/>
      <c r="C87" s="73" t="s">
        <v>193</v>
      </c>
      <c r="D87" s="34"/>
      <c r="E87" s="34"/>
      <c r="F87" s="34"/>
      <c r="G87" s="34"/>
      <c r="H87" s="34"/>
      <c r="I87" s="34"/>
      <c r="J87" s="155">
        <f>BK87</f>
        <v>0</v>
      </c>
      <c r="K87" s="34"/>
      <c r="L87" s="37"/>
      <c r="M87" s="69"/>
      <c r="N87" s="156"/>
      <c r="O87" s="70"/>
      <c r="P87" s="157">
        <f>P88</f>
        <v>0</v>
      </c>
      <c r="Q87" s="70"/>
      <c r="R87" s="157">
        <f>R88</f>
        <v>0</v>
      </c>
      <c r="S87" s="70"/>
      <c r="T87" s="158">
        <f>T88</f>
        <v>0</v>
      </c>
      <c r="U87" s="32"/>
      <c r="V87" s="32"/>
      <c r="W87" s="32"/>
      <c r="X87" s="32"/>
      <c r="Y87" s="32"/>
      <c r="Z87" s="32"/>
      <c r="AA87" s="32"/>
      <c r="AB87" s="32"/>
      <c r="AC87" s="32"/>
      <c r="AD87" s="32"/>
      <c r="AE87" s="32"/>
      <c r="AT87" s="15" t="s">
        <v>69</v>
      </c>
      <c r="AU87" s="15" t="s">
        <v>150</v>
      </c>
      <c r="BK87" s="159">
        <f>BK88</f>
        <v>0</v>
      </c>
    </row>
    <row r="88" spans="2:63" s="12" customFormat="1" ht="25.9" customHeight="1">
      <c r="B88" s="160"/>
      <c r="C88" s="161"/>
      <c r="D88" s="162" t="s">
        <v>69</v>
      </c>
      <c r="E88" s="163" t="s">
        <v>694</v>
      </c>
      <c r="F88" s="163" t="s">
        <v>695</v>
      </c>
      <c r="G88" s="161"/>
      <c r="H88" s="161"/>
      <c r="I88" s="164"/>
      <c r="J88" s="165">
        <f>BK88</f>
        <v>0</v>
      </c>
      <c r="K88" s="161"/>
      <c r="L88" s="166"/>
      <c r="M88" s="167"/>
      <c r="N88" s="168"/>
      <c r="O88" s="168"/>
      <c r="P88" s="169">
        <f>P89</f>
        <v>0</v>
      </c>
      <c r="Q88" s="168"/>
      <c r="R88" s="169">
        <f>R89</f>
        <v>0</v>
      </c>
      <c r="S88" s="168"/>
      <c r="T88" s="170">
        <f>T89</f>
        <v>0</v>
      </c>
      <c r="AR88" s="171" t="s">
        <v>79</v>
      </c>
      <c r="AT88" s="172" t="s">
        <v>69</v>
      </c>
      <c r="AU88" s="172" t="s">
        <v>70</v>
      </c>
      <c r="AY88" s="171" t="s">
        <v>196</v>
      </c>
      <c r="BK88" s="173">
        <f>BK89</f>
        <v>0</v>
      </c>
    </row>
    <row r="89" spans="2:63" s="12" customFormat="1" ht="22.9" customHeight="1">
      <c r="B89" s="160"/>
      <c r="C89" s="161"/>
      <c r="D89" s="162" t="s">
        <v>69</v>
      </c>
      <c r="E89" s="174" t="s">
        <v>1468</v>
      </c>
      <c r="F89" s="174" t="s">
        <v>1469</v>
      </c>
      <c r="G89" s="161"/>
      <c r="H89" s="161"/>
      <c r="I89" s="164"/>
      <c r="J89" s="175">
        <f>BK89</f>
        <v>0</v>
      </c>
      <c r="K89" s="161"/>
      <c r="L89" s="166"/>
      <c r="M89" s="167"/>
      <c r="N89" s="168"/>
      <c r="O89" s="168"/>
      <c r="P89" s="169">
        <f>P90</f>
        <v>0</v>
      </c>
      <c r="Q89" s="168"/>
      <c r="R89" s="169">
        <f>R90</f>
        <v>0</v>
      </c>
      <c r="S89" s="168"/>
      <c r="T89" s="170">
        <f>T90</f>
        <v>0</v>
      </c>
      <c r="AR89" s="171" t="s">
        <v>79</v>
      </c>
      <c r="AT89" s="172" t="s">
        <v>69</v>
      </c>
      <c r="AU89" s="172" t="s">
        <v>77</v>
      </c>
      <c r="AY89" s="171" t="s">
        <v>196</v>
      </c>
      <c r="BK89" s="173">
        <f>BK90</f>
        <v>0</v>
      </c>
    </row>
    <row r="90" spans="1:65" s="2" customFormat="1" ht="13.9" customHeight="1">
      <c r="A90" s="32"/>
      <c r="B90" s="33"/>
      <c r="C90" s="176" t="s">
        <v>77</v>
      </c>
      <c r="D90" s="176" t="s">
        <v>198</v>
      </c>
      <c r="E90" s="177" t="s">
        <v>1468</v>
      </c>
      <c r="F90" s="178" t="s">
        <v>1470</v>
      </c>
      <c r="G90" s="179" t="s">
        <v>1437</v>
      </c>
      <c r="H90" s="180">
        <v>1</v>
      </c>
      <c r="I90" s="181">
        <f>VZT!J169</f>
        <v>0</v>
      </c>
      <c r="J90" s="182">
        <f>ROUND(I90*H90,2)</f>
        <v>0</v>
      </c>
      <c r="K90" s="178" t="s">
        <v>19</v>
      </c>
      <c r="L90" s="37"/>
      <c r="M90" s="204" t="s">
        <v>19</v>
      </c>
      <c r="N90" s="205" t="s">
        <v>41</v>
      </c>
      <c r="O90" s="206"/>
      <c r="P90" s="207">
        <f>O90*H90</f>
        <v>0</v>
      </c>
      <c r="Q90" s="207">
        <v>0</v>
      </c>
      <c r="R90" s="207">
        <f>Q90*H90</f>
        <v>0</v>
      </c>
      <c r="S90" s="207">
        <v>0</v>
      </c>
      <c r="T90" s="208">
        <f>S90*H90</f>
        <v>0</v>
      </c>
      <c r="U90" s="32"/>
      <c r="V90" s="32"/>
      <c r="W90" s="32"/>
      <c r="X90" s="32"/>
      <c r="Y90" s="32"/>
      <c r="Z90" s="32"/>
      <c r="AA90" s="32"/>
      <c r="AB90" s="32"/>
      <c r="AC90" s="32"/>
      <c r="AD90" s="32"/>
      <c r="AE90" s="32"/>
      <c r="AR90" s="187" t="s">
        <v>270</v>
      </c>
      <c r="AT90" s="187" t="s">
        <v>198</v>
      </c>
      <c r="AU90" s="187" t="s">
        <v>79</v>
      </c>
      <c r="AY90" s="15" t="s">
        <v>196</v>
      </c>
      <c r="BE90" s="188">
        <f>IF(N90="základní",J90,0)</f>
        <v>0</v>
      </c>
      <c r="BF90" s="188">
        <f>IF(N90="snížená",J90,0)</f>
        <v>0</v>
      </c>
      <c r="BG90" s="188">
        <f>IF(N90="zákl. přenesená",J90,0)</f>
        <v>0</v>
      </c>
      <c r="BH90" s="188">
        <f>IF(N90="sníž. přenesená",J90,0)</f>
        <v>0</v>
      </c>
      <c r="BI90" s="188">
        <f>IF(N90="nulová",J90,0)</f>
        <v>0</v>
      </c>
      <c r="BJ90" s="15" t="s">
        <v>77</v>
      </c>
      <c r="BK90" s="188">
        <f>ROUND(I90*H90,2)</f>
        <v>0</v>
      </c>
      <c r="BL90" s="15" t="s">
        <v>270</v>
      </c>
      <c r="BM90" s="187" t="s">
        <v>1471</v>
      </c>
    </row>
    <row r="91" spans="1:31" s="2" customFormat="1" ht="6.95" customHeight="1">
      <c r="A91" s="32"/>
      <c r="B91" s="45"/>
      <c r="C91" s="46"/>
      <c r="D91" s="46"/>
      <c r="E91" s="46"/>
      <c r="F91" s="46"/>
      <c r="G91" s="46"/>
      <c r="H91" s="46"/>
      <c r="I91" s="46"/>
      <c r="J91" s="46"/>
      <c r="K91" s="46"/>
      <c r="L91" s="37"/>
      <c r="M91" s="32"/>
      <c r="O91" s="32"/>
      <c r="P91" s="32"/>
      <c r="Q91" s="32"/>
      <c r="R91" s="32"/>
      <c r="S91" s="32"/>
      <c r="T91" s="32"/>
      <c r="U91" s="32"/>
      <c r="V91" s="32"/>
      <c r="W91" s="32"/>
      <c r="X91" s="32"/>
      <c r="Y91" s="32"/>
      <c r="Z91" s="32"/>
      <c r="AA91" s="32"/>
      <c r="AB91" s="32"/>
      <c r="AC91" s="32"/>
      <c r="AD91" s="32"/>
      <c r="AE91" s="32"/>
    </row>
  </sheetData>
  <sheetProtection algorithmName="SHA-512" hashValue="dUnWIXDW75sdraY2FgMkHQ6c/YmOhYuFdJV3wu/TQBWp7m/RnUEmHTU46tA8TChrE0+kBijT8sg9Cw74DCJ/ww==" saltValue="XP3PJ0oEVw4U+Ht7VtsIDyPSiYUvlmWWO5wr1cOTE0VdHqwE6yMicwPraDWn5wdCsME3ucfwp6Yg0Fn0zpoy+g==" spinCount="100000" sheet="1" objects="1" scenarios="1" formatColumns="0" formatRows="0" autoFilter="0"/>
  <autoFilter ref="C86:K90"/>
  <mergeCells count="12">
    <mergeCell ref="E79:H79"/>
    <mergeCell ref="L2:V2"/>
    <mergeCell ref="E50:H50"/>
    <mergeCell ref="E52:H52"/>
    <mergeCell ref="E54:H54"/>
    <mergeCell ref="E75:H75"/>
    <mergeCell ref="E77:H7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84FEBC-9FC7-4ACD-A275-12839CE9DED7}">
  <sheetPr>
    <tabColor rgb="FF0070C0"/>
    <pageSetUpPr fitToPage="1"/>
  </sheetPr>
  <dimension ref="A1:BG171"/>
  <sheetViews>
    <sheetView workbookViewId="0" topLeftCell="A1">
      <pane ySplit="11" topLeftCell="A145" activePane="bottomLeft" state="frozen"/>
      <selection pane="topLeft" activeCell="I91" sqref="I91"/>
      <selection pane="bottomLeft" activeCell="J169" sqref="J169"/>
    </sheetView>
  </sheetViews>
  <sheetFormatPr defaultColWidth="13.57421875" defaultRowHeight="12"/>
  <cols>
    <col min="1" max="1" width="4.28125" style="495" customWidth="1"/>
    <col min="2" max="2" width="8.8515625" style="495" customWidth="1"/>
    <col min="3" max="3" width="16.7109375" style="495" customWidth="1"/>
    <col min="4" max="4" width="143.7109375" style="495" customWidth="1"/>
    <col min="5" max="5" width="5.00390625" style="495" customWidth="1"/>
    <col min="6" max="6" width="15.00390625" style="495" customWidth="1"/>
    <col min="7" max="7" width="14.00390625" style="495" customWidth="1"/>
    <col min="8" max="10" width="16.7109375" style="495" customWidth="1"/>
    <col min="11" max="21" width="13.421875" style="495" customWidth="1"/>
    <col min="22" max="59" width="14.28125" style="495" hidden="1" customWidth="1"/>
    <col min="60" max="16384" width="13.421875" style="495" customWidth="1"/>
  </cols>
  <sheetData>
    <row r="1" spans="1:10" ht="73.15" customHeight="1">
      <c r="A1" s="753" t="s">
        <v>1976</v>
      </c>
      <c r="B1" s="754"/>
      <c r="C1" s="754"/>
      <c r="D1" s="754"/>
      <c r="E1" s="754"/>
      <c r="F1" s="754"/>
      <c r="G1" s="754"/>
      <c r="H1" s="754"/>
      <c r="I1" s="754"/>
      <c r="J1" s="754"/>
    </row>
    <row r="2" spans="1:11" ht="12">
      <c r="A2" s="755" t="s">
        <v>1975</v>
      </c>
      <c r="B2" s="756"/>
      <c r="C2" s="756"/>
      <c r="D2" s="757" t="s">
        <v>1974</v>
      </c>
      <c r="E2" s="759" t="s">
        <v>1973</v>
      </c>
      <c r="F2" s="756"/>
      <c r="G2" s="759" t="s">
        <v>146</v>
      </c>
      <c r="H2" s="760" t="s">
        <v>1972</v>
      </c>
      <c r="I2" s="760" t="s">
        <v>1971</v>
      </c>
      <c r="J2" s="756"/>
      <c r="K2" s="529"/>
    </row>
    <row r="3" spans="1:11" ht="12">
      <c r="A3" s="750"/>
      <c r="B3" s="749"/>
      <c r="C3" s="749"/>
      <c r="D3" s="758"/>
      <c r="E3" s="749"/>
      <c r="F3" s="749"/>
      <c r="G3" s="749"/>
      <c r="H3" s="749"/>
      <c r="I3" s="749"/>
      <c r="J3" s="749"/>
      <c r="K3" s="529"/>
    </row>
    <row r="4" spans="1:11" ht="12">
      <c r="A4" s="748" t="s">
        <v>1970</v>
      </c>
      <c r="B4" s="749"/>
      <c r="C4" s="749"/>
      <c r="D4" s="751" t="s">
        <v>2574</v>
      </c>
      <c r="E4" s="752" t="s">
        <v>1968</v>
      </c>
      <c r="F4" s="749"/>
      <c r="G4" s="752" t="s">
        <v>1963</v>
      </c>
      <c r="H4" s="751" t="s">
        <v>30</v>
      </c>
      <c r="I4" s="751" t="s">
        <v>1957</v>
      </c>
      <c r="J4" s="749"/>
      <c r="K4" s="529"/>
    </row>
    <row r="5" spans="1:11" ht="12">
      <c r="A5" s="750"/>
      <c r="B5" s="749"/>
      <c r="C5" s="749"/>
      <c r="D5" s="749"/>
      <c r="E5" s="749"/>
      <c r="F5" s="749"/>
      <c r="G5" s="749"/>
      <c r="H5" s="749"/>
      <c r="I5" s="749"/>
      <c r="J5" s="749"/>
      <c r="K5" s="529"/>
    </row>
    <row r="6" spans="1:11" ht="12">
      <c r="A6" s="748" t="s">
        <v>1966</v>
      </c>
      <c r="B6" s="749"/>
      <c r="C6" s="749"/>
      <c r="D6" s="751" t="s">
        <v>1965</v>
      </c>
      <c r="E6" s="752" t="s">
        <v>1964</v>
      </c>
      <c r="F6" s="749"/>
      <c r="G6" s="752" t="s">
        <v>1963</v>
      </c>
      <c r="H6" s="751" t="s">
        <v>1962</v>
      </c>
      <c r="I6" s="764">
        <v>0</v>
      </c>
      <c r="J6" s="749"/>
      <c r="K6" s="529"/>
    </row>
    <row r="7" spans="1:11" ht="12">
      <c r="A7" s="750"/>
      <c r="B7" s="749"/>
      <c r="C7" s="749"/>
      <c r="D7" s="749"/>
      <c r="E7" s="749"/>
      <c r="F7" s="749"/>
      <c r="G7" s="749"/>
      <c r="H7" s="749"/>
      <c r="I7" s="749"/>
      <c r="J7" s="749"/>
      <c r="K7" s="529"/>
    </row>
    <row r="8" spans="1:11" ht="12">
      <c r="A8" s="748" t="s">
        <v>1961</v>
      </c>
      <c r="B8" s="749"/>
      <c r="C8" s="749"/>
      <c r="D8" s="764">
        <v>0</v>
      </c>
      <c r="E8" s="752" t="s">
        <v>1960</v>
      </c>
      <c r="F8" s="749"/>
      <c r="G8" s="752" t="s">
        <v>1959</v>
      </c>
      <c r="H8" s="751" t="s">
        <v>1958</v>
      </c>
      <c r="I8" s="751" t="s">
        <v>1957</v>
      </c>
      <c r="J8" s="749"/>
      <c r="K8" s="529"/>
    </row>
    <row r="9" spans="1:11" ht="13.5" thickBot="1">
      <c r="A9" s="762"/>
      <c r="B9" s="763"/>
      <c r="C9" s="763"/>
      <c r="D9" s="763"/>
      <c r="E9" s="763"/>
      <c r="F9" s="763"/>
      <c r="G9" s="763"/>
      <c r="H9" s="763"/>
      <c r="I9" s="763"/>
      <c r="J9" s="763"/>
      <c r="K9" s="529"/>
    </row>
    <row r="10" spans="1:11" ht="12">
      <c r="A10" s="528" t="s">
        <v>1956</v>
      </c>
      <c r="B10" s="527" t="s">
        <v>1684</v>
      </c>
      <c r="C10" s="527" t="s">
        <v>51</v>
      </c>
      <c r="D10" s="527" t="s">
        <v>1955</v>
      </c>
      <c r="E10" s="527" t="s">
        <v>1954</v>
      </c>
      <c r="F10" s="526" t="s">
        <v>184</v>
      </c>
      <c r="G10" s="525" t="s">
        <v>1947</v>
      </c>
      <c r="H10" s="765" t="s">
        <v>1953</v>
      </c>
      <c r="I10" s="766"/>
      <c r="J10" s="767"/>
      <c r="K10" s="517"/>
    </row>
    <row r="11" spans="1:59" ht="13.5" thickBot="1">
      <c r="A11" s="524" t="s">
        <v>146</v>
      </c>
      <c r="B11" s="522" t="s">
        <v>146</v>
      </c>
      <c r="C11" s="522" t="s">
        <v>146</v>
      </c>
      <c r="D11" s="523" t="s">
        <v>1951</v>
      </c>
      <c r="E11" s="522" t="s">
        <v>146</v>
      </c>
      <c r="F11" s="522" t="s">
        <v>146</v>
      </c>
      <c r="G11" s="521" t="s">
        <v>1950</v>
      </c>
      <c r="H11" s="520" t="s">
        <v>1949</v>
      </c>
      <c r="I11" s="519" t="s">
        <v>1948</v>
      </c>
      <c r="J11" s="518" t="s">
        <v>1946</v>
      </c>
      <c r="K11" s="517"/>
      <c r="W11" s="501" t="s">
        <v>1945</v>
      </c>
      <c r="X11" s="501" t="s">
        <v>1944</v>
      </c>
      <c r="Y11" s="501" t="s">
        <v>1943</v>
      </c>
      <c r="Z11" s="501" t="s">
        <v>1942</v>
      </c>
      <c r="AA11" s="501" t="s">
        <v>1941</v>
      </c>
      <c r="AB11" s="501" t="s">
        <v>1940</v>
      </c>
      <c r="AC11" s="501" t="s">
        <v>1939</v>
      </c>
      <c r="AD11" s="501" t="s">
        <v>1938</v>
      </c>
      <c r="AE11" s="501" t="s">
        <v>1937</v>
      </c>
      <c r="BE11" s="501" t="s">
        <v>1936</v>
      </c>
      <c r="BF11" s="501" t="s">
        <v>1935</v>
      </c>
      <c r="BG11" s="501" t="s">
        <v>1934</v>
      </c>
    </row>
    <row r="12" spans="1:44" ht="12">
      <c r="A12" s="515"/>
      <c r="B12" s="516"/>
      <c r="C12" s="516" t="s">
        <v>2573</v>
      </c>
      <c r="D12" s="516" t="s">
        <v>2572</v>
      </c>
      <c r="E12" s="515" t="s">
        <v>146</v>
      </c>
      <c r="F12" s="515" t="s">
        <v>146</v>
      </c>
      <c r="G12" s="515" t="s">
        <v>146</v>
      </c>
      <c r="H12" s="514">
        <f>SUM(H13:H73)</f>
        <v>0</v>
      </c>
      <c r="I12" s="514">
        <f>SUM(I13:I73)</f>
        <v>0</v>
      </c>
      <c r="J12" s="514">
        <f>SUM(J13:J73)</f>
        <v>0</v>
      </c>
      <c r="AF12" s="501"/>
      <c r="AP12" s="507">
        <f>SUM(AG13:AG73)</f>
        <v>0</v>
      </c>
      <c r="AQ12" s="507">
        <f>SUM(AH13:AH73)</f>
        <v>0</v>
      </c>
      <c r="AR12" s="507">
        <f>SUM(AI13:AI73)</f>
        <v>0</v>
      </c>
    </row>
    <row r="13" spans="1:59" ht="12">
      <c r="A13" s="506" t="s">
        <v>77</v>
      </c>
      <c r="B13" s="506"/>
      <c r="C13" s="506" t="s">
        <v>2571</v>
      </c>
      <c r="D13" s="506" t="s">
        <v>2570</v>
      </c>
      <c r="E13" s="506" t="s">
        <v>1437</v>
      </c>
      <c r="F13" s="499">
        <v>1</v>
      </c>
      <c r="G13" s="530">
        <v>0</v>
      </c>
      <c r="H13" s="499">
        <f>F13*AL13</f>
        <v>0</v>
      </c>
      <c r="I13" s="499">
        <f>F13*AM13</f>
        <v>0</v>
      </c>
      <c r="J13" s="499">
        <f>F13*G13</f>
        <v>0</v>
      </c>
      <c r="W13" s="500">
        <f>IF(AN13="5",BG13,0)</f>
        <v>0</v>
      </c>
      <c r="Y13" s="500">
        <f>IF(AN13="1",BE13,0)</f>
        <v>0</v>
      </c>
      <c r="Z13" s="500">
        <f>IF(AN13="1",BF13,0)</f>
        <v>0</v>
      </c>
      <c r="AA13" s="500">
        <f>IF(AN13="7",BE13,0)</f>
        <v>0</v>
      </c>
      <c r="AB13" s="500">
        <f>IF(AN13="7",BF13,0)</f>
        <v>0</v>
      </c>
      <c r="AC13" s="500">
        <f>IF(AN13="2",BE13,0)</f>
        <v>0</v>
      </c>
      <c r="AD13" s="500">
        <f>IF(AN13="2",BF13,0)</f>
        <v>0</v>
      </c>
      <c r="AE13" s="500">
        <f>IF(AN13="0",BG13,0)</f>
        <v>0</v>
      </c>
      <c r="AF13" s="501"/>
      <c r="AG13" s="499">
        <f>IF(AK13=0,J13,0)</f>
        <v>0</v>
      </c>
      <c r="AH13" s="499">
        <f>IF(AK13=15,J13,0)</f>
        <v>0</v>
      </c>
      <c r="AI13" s="499">
        <f>IF(AK13=21,J13,0)</f>
        <v>0</v>
      </c>
      <c r="AK13" s="500">
        <v>21</v>
      </c>
      <c r="AL13" s="500">
        <f>G13*0.907524512803775</f>
        <v>0</v>
      </c>
      <c r="AM13" s="500">
        <f>G13*(1-0.907524512803775)</f>
        <v>0</v>
      </c>
      <c r="AN13" s="503" t="s">
        <v>225</v>
      </c>
      <c r="AS13" s="500">
        <f>AT13+AU13</f>
        <v>0</v>
      </c>
      <c r="AT13" s="500">
        <f>F13*AL13</f>
        <v>0</v>
      </c>
      <c r="AU13" s="500">
        <f>F13*AM13</f>
        <v>0</v>
      </c>
      <c r="AV13" s="502" t="s">
        <v>2492</v>
      </c>
      <c r="AW13" s="502" t="s">
        <v>1755</v>
      </c>
      <c r="AX13" s="501" t="s">
        <v>1749</v>
      </c>
      <c r="AZ13" s="500">
        <f>AT13+AU13</f>
        <v>0</v>
      </c>
      <c r="BA13" s="500">
        <f>G13/(100-BB13)*100</f>
        <v>0</v>
      </c>
      <c r="BB13" s="500">
        <v>0</v>
      </c>
      <c r="BC13" s="500" t="e">
        <f>#REF!</f>
        <v>#REF!</v>
      </c>
      <c r="BE13" s="499">
        <f>F13*AL13</f>
        <v>0</v>
      </c>
      <c r="BF13" s="499">
        <f>F13*AM13</f>
        <v>0</v>
      </c>
      <c r="BG13" s="499">
        <f>F13*G13</f>
        <v>0</v>
      </c>
    </row>
    <row r="14" spans="4:7" ht="216.75">
      <c r="D14" s="513" t="s">
        <v>2569</v>
      </c>
      <c r="G14" s="531"/>
    </row>
    <row r="15" spans="1:59" ht="12">
      <c r="A15" s="506" t="s">
        <v>79</v>
      </c>
      <c r="B15" s="506"/>
      <c r="C15" s="506" t="s">
        <v>2568</v>
      </c>
      <c r="D15" s="506" t="s">
        <v>2485</v>
      </c>
      <c r="E15" s="506" t="s">
        <v>2057</v>
      </c>
      <c r="F15" s="499">
        <v>3</v>
      </c>
      <c r="G15" s="530">
        <v>0</v>
      </c>
      <c r="H15" s="499">
        <f aca="true" t="shared" si="0" ref="H15:H63">F15*AL15</f>
        <v>0</v>
      </c>
      <c r="I15" s="499">
        <f aca="true" t="shared" si="1" ref="I15:I63">F15*AM15</f>
        <v>0</v>
      </c>
      <c r="J15" s="499">
        <f aca="true" t="shared" si="2" ref="J15:J63">F15*G15</f>
        <v>0</v>
      </c>
      <c r="W15" s="500">
        <f aca="true" t="shared" si="3" ref="W15:W46">IF(AN15="5",BG15,0)</f>
        <v>0</v>
      </c>
      <c r="Y15" s="500">
        <f aca="true" t="shared" si="4" ref="Y15:Y46">IF(AN15="1",BE15,0)</f>
        <v>0</v>
      </c>
      <c r="Z15" s="500">
        <f aca="true" t="shared" si="5" ref="Z15:Z46">IF(AN15="1",BF15,0)</f>
        <v>0</v>
      </c>
      <c r="AA15" s="500">
        <f aca="true" t="shared" si="6" ref="AA15:AA46">IF(AN15="7",BE15,0)</f>
        <v>0</v>
      </c>
      <c r="AB15" s="500">
        <f aca="true" t="shared" si="7" ref="AB15:AB46">IF(AN15="7",BF15,0)</f>
        <v>0</v>
      </c>
      <c r="AC15" s="500">
        <f aca="true" t="shared" si="8" ref="AC15:AC46">IF(AN15="2",BE15,0)</f>
        <v>0</v>
      </c>
      <c r="AD15" s="500">
        <f aca="true" t="shared" si="9" ref="AD15:AD46">IF(AN15="2",BF15,0)</f>
        <v>0</v>
      </c>
      <c r="AE15" s="500">
        <f aca="true" t="shared" si="10" ref="AE15:AE46">IF(AN15="0",BG15,0)</f>
        <v>0</v>
      </c>
      <c r="AF15" s="501"/>
      <c r="AG15" s="499">
        <f aca="true" t="shared" si="11" ref="AG15:AG46">IF(AK15=0,J15,0)</f>
        <v>0</v>
      </c>
      <c r="AH15" s="499">
        <f aca="true" t="shared" si="12" ref="AH15:AH46">IF(AK15=15,J15,0)</f>
        <v>0</v>
      </c>
      <c r="AI15" s="499">
        <f aca="true" t="shared" si="13" ref="AI15:AI46">IF(AK15=21,J15,0)</f>
        <v>0</v>
      </c>
      <c r="AK15" s="500">
        <v>21</v>
      </c>
      <c r="AL15" s="500">
        <f>G15*0.892857142857143</f>
        <v>0</v>
      </c>
      <c r="AM15" s="500">
        <f>G15*(1-0.892857142857143)</f>
        <v>0</v>
      </c>
      <c r="AN15" s="503" t="s">
        <v>225</v>
      </c>
      <c r="AS15" s="500">
        <f aca="true" t="shared" si="14" ref="AS15:AS46">AT15+AU15</f>
        <v>0</v>
      </c>
      <c r="AT15" s="500">
        <f aca="true" t="shared" si="15" ref="AT15:AT46">F15*AL15</f>
        <v>0</v>
      </c>
      <c r="AU15" s="500">
        <f aca="true" t="shared" si="16" ref="AU15:AU46">F15*AM15</f>
        <v>0</v>
      </c>
      <c r="AV15" s="502" t="s">
        <v>2492</v>
      </c>
      <c r="AW15" s="502" t="s">
        <v>1755</v>
      </c>
      <c r="AX15" s="501" t="s">
        <v>1749</v>
      </c>
      <c r="AZ15" s="500">
        <f aca="true" t="shared" si="17" ref="AZ15:AZ46">AT15+AU15</f>
        <v>0</v>
      </c>
      <c r="BA15" s="500">
        <f aca="true" t="shared" si="18" ref="BA15:BA46">G15/(100-BB15)*100</f>
        <v>0</v>
      </c>
      <c r="BB15" s="500">
        <v>0</v>
      </c>
      <c r="BC15" s="500" t="e">
        <f>#REF!</f>
        <v>#REF!</v>
      </c>
      <c r="BE15" s="499">
        <f aca="true" t="shared" si="19" ref="BE15:BE46">F15*AL15</f>
        <v>0</v>
      </c>
      <c r="BF15" s="499">
        <f aca="true" t="shared" si="20" ref="BF15:BF46">F15*AM15</f>
        <v>0</v>
      </c>
      <c r="BG15" s="499">
        <f aca="true" t="shared" si="21" ref="BG15:BG46">F15*G15</f>
        <v>0</v>
      </c>
    </row>
    <row r="16" spans="1:59" ht="12">
      <c r="A16" s="506" t="s">
        <v>102</v>
      </c>
      <c r="B16" s="506"/>
      <c r="C16" s="506" t="s">
        <v>2567</v>
      </c>
      <c r="D16" s="506" t="s">
        <v>2566</v>
      </c>
      <c r="E16" s="506" t="s">
        <v>258</v>
      </c>
      <c r="F16" s="499">
        <v>1</v>
      </c>
      <c r="G16" s="530">
        <v>0</v>
      </c>
      <c r="H16" s="499">
        <f t="shared" si="0"/>
        <v>0</v>
      </c>
      <c r="I16" s="499">
        <f t="shared" si="1"/>
        <v>0</v>
      </c>
      <c r="J16" s="499">
        <f t="shared" si="2"/>
        <v>0</v>
      </c>
      <c r="W16" s="500">
        <f t="shared" si="3"/>
        <v>0</v>
      </c>
      <c r="Y16" s="500">
        <f t="shared" si="4"/>
        <v>0</v>
      </c>
      <c r="Z16" s="500">
        <f t="shared" si="5"/>
        <v>0</v>
      </c>
      <c r="AA16" s="500">
        <f t="shared" si="6"/>
        <v>0</v>
      </c>
      <c r="AB16" s="500">
        <f t="shared" si="7"/>
        <v>0</v>
      </c>
      <c r="AC16" s="500">
        <f t="shared" si="8"/>
        <v>0</v>
      </c>
      <c r="AD16" s="500">
        <f t="shared" si="9"/>
        <v>0</v>
      </c>
      <c r="AE16" s="500">
        <f t="shared" si="10"/>
        <v>0</v>
      </c>
      <c r="AF16" s="501"/>
      <c r="AG16" s="499">
        <f t="shared" si="11"/>
        <v>0</v>
      </c>
      <c r="AH16" s="499">
        <f t="shared" si="12"/>
        <v>0</v>
      </c>
      <c r="AI16" s="499">
        <f t="shared" si="13"/>
        <v>0</v>
      </c>
      <c r="AK16" s="500">
        <v>21</v>
      </c>
      <c r="AL16" s="500">
        <f>G16*0.865692667742155</f>
        <v>0</v>
      </c>
      <c r="AM16" s="500">
        <f>G16*(1-0.865692667742155)</f>
        <v>0</v>
      </c>
      <c r="AN16" s="503" t="s">
        <v>225</v>
      </c>
      <c r="AS16" s="500">
        <f t="shared" si="14"/>
        <v>0</v>
      </c>
      <c r="AT16" s="500">
        <f t="shared" si="15"/>
        <v>0</v>
      </c>
      <c r="AU16" s="500">
        <f t="shared" si="16"/>
        <v>0</v>
      </c>
      <c r="AV16" s="502" t="s">
        <v>2492</v>
      </c>
      <c r="AW16" s="502" t="s">
        <v>1755</v>
      </c>
      <c r="AX16" s="501" t="s">
        <v>1749</v>
      </c>
      <c r="AZ16" s="500">
        <f t="shared" si="17"/>
        <v>0</v>
      </c>
      <c r="BA16" s="500">
        <f t="shared" si="18"/>
        <v>0</v>
      </c>
      <c r="BB16" s="500">
        <v>0</v>
      </c>
      <c r="BC16" s="500" t="e">
        <f>#REF!</f>
        <v>#REF!</v>
      </c>
      <c r="BE16" s="499">
        <f t="shared" si="19"/>
        <v>0</v>
      </c>
      <c r="BF16" s="499">
        <f t="shared" si="20"/>
        <v>0</v>
      </c>
      <c r="BG16" s="499">
        <f t="shared" si="21"/>
        <v>0</v>
      </c>
    </row>
    <row r="17" spans="1:59" ht="12">
      <c r="A17" s="506" t="s">
        <v>203</v>
      </c>
      <c r="B17" s="506"/>
      <c r="C17" s="506" t="s">
        <v>2565</v>
      </c>
      <c r="D17" s="506" t="s">
        <v>2481</v>
      </c>
      <c r="E17" s="506" t="s">
        <v>258</v>
      </c>
      <c r="F17" s="499">
        <v>1</v>
      </c>
      <c r="G17" s="530">
        <v>0</v>
      </c>
      <c r="H17" s="499">
        <f t="shared" si="0"/>
        <v>0</v>
      </c>
      <c r="I17" s="499">
        <f t="shared" si="1"/>
        <v>0</v>
      </c>
      <c r="J17" s="499">
        <f t="shared" si="2"/>
        <v>0</v>
      </c>
      <c r="W17" s="500">
        <f t="shared" si="3"/>
        <v>0</v>
      </c>
      <c r="Y17" s="500">
        <f t="shared" si="4"/>
        <v>0</v>
      </c>
      <c r="Z17" s="500">
        <f t="shared" si="5"/>
        <v>0</v>
      </c>
      <c r="AA17" s="500">
        <f t="shared" si="6"/>
        <v>0</v>
      </c>
      <c r="AB17" s="500">
        <f t="shared" si="7"/>
        <v>0</v>
      </c>
      <c r="AC17" s="500">
        <f t="shared" si="8"/>
        <v>0</v>
      </c>
      <c r="AD17" s="500">
        <f t="shared" si="9"/>
        <v>0</v>
      </c>
      <c r="AE17" s="500">
        <f t="shared" si="10"/>
        <v>0</v>
      </c>
      <c r="AF17" s="501"/>
      <c r="AG17" s="499">
        <f t="shared" si="11"/>
        <v>0</v>
      </c>
      <c r="AH17" s="499">
        <f t="shared" si="12"/>
        <v>0</v>
      </c>
      <c r="AI17" s="499">
        <f t="shared" si="13"/>
        <v>0</v>
      </c>
      <c r="AK17" s="500">
        <v>21</v>
      </c>
      <c r="AL17" s="500">
        <f>G17*0.943102451176654</f>
        <v>0</v>
      </c>
      <c r="AM17" s="500">
        <f>G17*(1-0.943102451176654)</f>
        <v>0</v>
      </c>
      <c r="AN17" s="503" t="s">
        <v>225</v>
      </c>
      <c r="AS17" s="500">
        <f t="shared" si="14"/>
        <v>0</v>
      </c>
      <c r="AT17" s="500">
        <f t="shared" si="15"/>
        <v>0</v>
      </c>
      <c r="AU17" s="500">
        <f t="shared" si="16"/>
        <v>0</v>
      </c>
      <c r="AV17" s="502" t="s">
        <v>2492</v>
      </c>
      <c r="AW17" s="502" t="s">
        <v>1755</v>
      </c>
      <c r="AX17" s="501" t="s">
        <v>1749</v>
      </c>
      <c r="AZ17" s="500">
        <f t="shared" si="17"/>
        <v>0</v>
      </c>
      <c r="BA17" s="500">
        <f t="shared" si="18"/>
        <v>0</v>
      </c>
      <c r="BB17" s="500">
        <v>0</v>
      </c>
      <c r="BC17" s="500" t="e">
        <f>#REF!</f>
        <v>#REF!</v>
      </c>
      <c r="BE17" s="499">
        <f t="shared" si="19"/>
        <v>0</v>
      </c>
      <c r="BF17" s="499">
        <f t="shared" si="20"/>
        <v>0</v>
      </c>
      <c r="BG17" s="499">
        <f t="shared" si="21"/>
        <v>0</v>
      </c>
    </row>
    <row r="18" spans="1:59" ht="12">
      <c r="A18" s="506" t="s">
        <v>217</v>
      </c>
      <c r="B18" s="506"/>
      <c r="C18" s="506" t="s">
        <v>2564</v>
      </c>
      <c r="D18" s="506" t="s">
        <v>2479</v>
      </c>
      <c r="E18" s="506" t="s">
        <v>258</v>
      </c>
      <c r="F18" s="499">
        <v>1</v>
      </c>
      <c r="G18" s="530">
        <v>0</v>
      </c>
      <c r="H18" s="499">
        <f t="shared" si="0"/>
        <v>0</v>
      </c>
      <c r="I18" s="499">
        <f t="shared" si="1"/>
        <v>0</v>
      </c>
      <c r="J18" s="499">
        <f t="shared" si="2"/>
        <v>0</v>
      </c>
      <c r="W18" s="500">
        <f t="shared" si="3"/>
        <v>0</v>
      </c>
      <c r="Y18" s="500">
        <f t="shared" si="4"/>
        <v>0</v>
      </c>
      <c r="Z18" s="500">
        <f t="shared" si="5"/>
        <v>0</v>
      </c>
      <c r="AA18" s="500">
        <f t="shared" si="6"/>
        <v>0</v>
      </c>
      <c r="AB18" s="500">
        <f t="shared" si="7"/>
        <v>0</v>
      </c>
      <c r="AC18" s="500">
        <f t="shared" si="8"/>
        <v>0</v>
      </c>
      <c r="AD18" s="500">
        <f t="shared" si="9"/>
        <v>0</v>
      </c>
      <c r="AE18" s="500">
        <f t="shared" si="10"/>
        <v>0</v>
      </c>
      <c r="AF18" s="501"/>
      <c r="AG18" s="499">
        <f t="shared" si="11"/>
        <v>0</v>
      </c>
      <c r="AH18" s="499">
        <f t="shared" si="12"/>
        <v>0</v>
      </c>
      <c r="AI18" s="499">
        <f t="shared" si="13"/>
        <v>0</v>
      </c>
      <c r="AK18" s="500">
        <v>21</v>
      </c>
      <c r="AL18" s="500">
        <f>G18*0.874243443174176</f>
        <v>0</v>
      </c>
      <c r="AM18" s="500">
        <f>G18*(1-0.874243443174176)</f>
        <v>0</v>
      </c>
      <c r="AN18" s="503" t="s">
        <v>225</v>
      </c>
      <c r="AS18" s="500">
        <f t="shared" si="14"/>
        <v>0</v>
      </c>
      <c r="AT18" s="500">
        <f t="shared" si="15"/>
        <v>0</v>
      </c>
      <c r="AU18" s="500">
        <f t="shared" si="16"/>
        <v>0</v>
      </c>
      <c r="AV18" s="502" t="s">
        <v>2492</v>
      </c>
      <c r="AW18" s="502" t="s">
        <v>1755</v>
      </c>
      <c r="AX18" s="501" t="s">
        <v>1749</v>
      </c>
      <c r="AZ18" s="500">
        <f t="shared" si="17"/>
        <v>0</v>
      </c>
      <c r="BA18" s="500">
        <f t="shared" si="18"/>
        <v>0</v>
      </c>
      <c r="BB18" s="500">
        <v>0</v>
      </c>
      <c r="BC18" s="500" t="e">
        <f>#REF!</f>
        <v>#REF!</v>
      </c>
      <c r="BE18" s="499">
        <f t="shared" si="19"/>
        <v>0</v>
      </c>
      <c r="BF18" s="499">
        <f t="shared" si="20"/>
        <v>0</v>
      </c>
      <c r="BG18" s="499">
        <f t="shared" si="21"/>
        <v>0</v>
      </c>
    </row>
    <row r="19" spans="1:59" ht="12">
      <c r="A19" s="506" t="s">
        <v>221</v>
      </c>
      <c r="B19" s="506"/>
      <c r="C19" s="506" t="s">
        <v>2563</v>
      </c>
      <c r="D19" s="506" t="s">
        <v>2477</v>
      </c>
      <c r="E19" s="506" t="s">
        <v>1437</v>
      </c>
      <c r="F19" s="499">
        <v>1</v>
      </c>
      <c r="G19" s="530">
        <v>0</v>
      </c>
      <c r="H19" s="499">
        <f t="shared" si="0"/>
        <v>0</v>
      </c>
      <c r="I19" s="499">
        <f t="shared" si="1"/>
        <v>0</v>
      </c>
      <c r="J19" s="499">
        <f t="shared" si="2"/>
        <v>0</v>
      </c>
      <c r="W19" s="500">
        <f t="shared" si="3"/>
        <v>0</v>
      </c>
      <c r="Y19" s="500">
        <f t="shared" si="4"/>
        <v>0</v>
      </c>
      <c r="Z19" s="500">
        <f t="shared" si="5"/>
        <v>0</v>
      </c>
      <c r="AA19" s="500">
        <f t="shared" si="6"/>
        <v>0</v>
      </c>
      <c r="AB19" s="500">
        <f t="shared" si="7"/>
        <v>0</v>
      </c>
      <c r="AC19" s="500">
        <f t="shared" si="8"/>
        <v>0</v>
      </c>
      <c r="AD19" s="500">
        <f t="shared" si="9"/>
        <v>0</v>
      </c>
      <c r="AE19" s="500">
        <f t="shared" si="10"/>
        <v>0</v>
      </c>
      <c r="AF19" s="501"/>
      <c r="AG19" s="499">
        <f t="shared" si="11"/>
        <v>0</v>
      </c>
      <c r="AH19" s="499">
        <f t="shared" si="12"/>
        <v>0</v>
      </c>
      <c r="AI19" s="499">
        <f t="shared" si="13"/>
        <v>0</v>
      </c>
      <c r="AK19" s="500">
        <v>21</v>
      </c>
      <c r="AL19" s="500">
        <f>G19*0.678562452877607</f>
        <v>0</v>
      </c>
      <c r="AM19" s="500">
        <f>G19*(1-0.678562452877607)</f>
        <v>0</v>
      </c>
      <c r="AN19" s="503" t="s">
        <v>225</v>
      </c>
      <c r="AS19" s="500">
        <f t="shared" si="14"/>
        <v>0</v>
      </c>
      <c r="AT19" s="500">
        <f t="shared" si="15"/>
        <v>0</v>
      </c>
      <c r="AU19" s="500">
        <f t="shared" si="16"/>
        <v>0</v>
      </c>
      <c r="AV19" s="502" t="s">
        <v>2492</v>
      </c>
      <c r="AW19" s="502" t="s">
        <v>1755</v>
      </c>
      <c r="AX19" s="501" t="s">
        <v>1749</v>
      </c>
      <c r="AZ19" s="500">
        <f t="shared" si="17"/>
        <v>0</v>
      </c>
      <c r="BA19" s="500">
        <f t="shared" si="18"/>
        <v>0</v>
      </c>
      <c r="BB19" s="500">
        <v>0</v>
      </c>
      <c r="BC19" s="500" t="e">
        <f>#REF!</f>
        <v>#REF!</v>
      </c>
      <c r="BE19" s="499">
        <f t="shared" si="19"/>
        <v>0</v>
      </c>
      <c r="BF19" s="499">
        <f t="shared" si="20"/>
        <v>0</v>
      </c>
      <c r="BG19" s="499">
        <f t="shared" si="21"/>
        <v>0</v>
      </c>
    </row>
    <row r="20" spans="1:59" ht="12">
      <c r="A20" s="506" t="s">
        <v>225</v>
      </c>
      <c r="B20" s="506"/>
      <c r="C20" s="506" t="s">
        <v>2562</v>
      </c>
      <c r="D20" s="506" t="s">
        <v>2561</v>
      </c>
      <c r="E20" s="506" t="s">
        <v>1437</v>
      </c>
      <c r="F20" s="499">
        <v>1</v>
      </c>
      <c r="G20" s="530">
        <v>0</v>
      </c>
      <c r="H20" s="499">
        <f t="shared" si="0"/>
        <v>0</v>
      </c>
      <c r="I20" s="499">
        <f t="shared" si="1"/>
        <v>0</v>
      </c>
      <c r="J20" s="499">
        <f t="shared" si="2"/>
        <v>0</v>
      </c>
      <c r="W20" s="500">
        <f t="shared" si="3"/>
        <v>0</v>
      </c>
      <c r="Y20" s="500">
        <f t="shared" si="4"/>
        <v>0</v>
      </c>
      <c r="Z20" s="500">
        <f t="shared" si="5"/>
        <v>0</v>
      </c>
      <c r="AA20" s="500">
        <f t="shared" si="6"/>
        <v>0</v>
      </c>
      <c r="AB20" s="500">
        <f t="shared" si="7"/>
        <v>0</v>
      </c>
      <c r="AC20" s="500">
        <f t="shared" si="8"/>
        <v>0</v>
      </c>
      <c r="AD20" s="500">
        <f t="shared" si="9"/>
        <v>0</v>
      </c>
      <c r="AE20" s="500">
        <f t="shared" si="10"/>
        <v>0</v>
      </c>
      <c r="AF20" s="501"/>
      <c r="AG20" s="499">
        <f t="shared" si="11"/>
        <v>0</v>
      </c>
      <c r="AH20" s="499">
        <f t="shared" si="12"/>
        <v>0</v>
      </c>
      <c r="AI20" s="499">
        <f t="shared" si="13"/>
        <v>0</v>
      </c>
      <c r="AK20" s="500">
        <v>21</v>
      </c>
      <c r="AL20" s="500">
        <f>G20*0.921987230646448</f>
        <v>0</v>
      </c>
      <c r="AM20" s="500">
        <f>G20*(1-0.921987230646448)</f>
        <v>0</v>
      </c>
      <c r="AN20" s="503" t="s">
        <v>225</v>
      </c>
      <c r="AS20" s="500">
        <f t="shared" si="14"/>
        <v>0</v>
      </c>
      <c r="AT20" s="500">
        <f t="shared" si="15"/>
        <v>0</v>
      </c>
      <c r="AU20" s="500">
        <f t="shared" si="16"/>
        <v>0</v>
      </c>
      <c r="AV20" s="502" t="s">
        <v>2492</v>
      </c>
      <c r="AW20" s="502" t="s">
        <v>1755</v>
      </c>
      <c r="AX20" s="501" t="s">
        <v>1749</v>
      </c>
      <c r="AZ20" s="500">
        <f t="shared" si="17"/>
        <v>0</v>
      </c>
      <c r="BA20" s="500">
        <f t="shared" si="18"/>
        <v>0</v>
      </c>
      <c r="BB20" s="500">
        <v>0</v>
      </c>
      <c r="BC20" s="500" t="e">
        <f>#REF!</f>
        <v>#REF!</v>
      </c>
      <c r="BE20" s="499">
        <f t="shared" si="19"/>
        <v>0</v>
      </c>
      <c r="BF20" s="499">
        <f t="shared" si="20"/>
        <v>0</v>
      </c>
      <c r="BG20" s="499">
        <f t="shared" si="21"/>
        <v>0</v>
      </c>
    </row>
    <row r="21" spans="1:59" ht="12">
      <c r="A21" s="506" t="s">
        <v>230</v>
      </c>
      <c r="B21" s="506"/>
      <c r="C21" s="506" t="s">
        <v>2476</v>
      </c>
      <c r="D21" s="506" t="s">
        <v>2475</v>
      </c>
      <c r="E21" s="506" t="s">
        <v>258</v>
      </c>
      <c r="F21" s="499">
        <v>3</v>
      </c>
      <c r="G21" s="530">
        <v>0</v>
      </c>
      <c r="H21" s="499">
        <f t="shared" si="0"/>
        <v>0</v>
      </c>
      <c r="I21" s="499">
        <f t="shared" si="1"/>
        <v>0</v>
      </c>
      <c r="J21" s="499">
        <f t="shared" si="2"/>
        <v>0</v>
      </c>
      <c r="W21" s="500">
        <f t="shared" si="3"/>
        <v>0</v>
      </c>
      <c r="Y21" s="500">
        <f t="shared" si="4"/>
        <v>0</v>
      </c>
      <c r="Z21" s="500">
        <f t="shared" si="5"/>
        <v>0</v>
      </c>
      <c r="AA21" s="500">
        <f t="shared" si="6"/>
        <v>0</v>
      </c>
      <c r="AB21" s="500">
        <f t="shared" si="7"/>
        <v>0</v>
      </c>
      <c r="AC21" s="500">
        <f t="shared" si="8"/>
        <v>0</v>
      </c>
      <c r="AD21" s="500">
        <f t="shared" si="9"/>
        <v>0</v>
      </c>
      <c r="AE21" s="500">
        <f t="shared" si="10"/>
        <v>0</v>
      </c>
      <c r="AF21" s="501"/>
      <c r="AG21" s="499">
        <f t="shared" si="11"/>
        <v>0</v>
      </c>
      <c r="AH21" s="499">
        <f t="shared" si="12"/>
        <v>0</v>
      </c>
      <c r="AI21" s="499">
        <f t="shared" si="13"/>
        <v>0</v>
      </c>
      <c r="AK21" s="500">
        <v>21</v>
      </c>
      <c r="AL21" s="500">
        <f>G21*0</f>
        <v>0</v>
      </c>
      <c r="AM21" s="500">
        <f>G21*(1-0)</f>
        <v>0</v>
      </c>
      <c r="AN21" s="503" t="s">
        <v>225</v>
      </c>
      <c r="AS21" s="500">
        <f t="shared" si="14"/>
        <v>0</v>
      </c>
      <c r="AT21" s="500">
        <f t="shared" si="15"/>
        <v>0</v>
      </c>
      <c r="AU21" s="500">
        <f t="shared" si="16"/>
        <v>0</v>
      </c>
      <c r="AV21" s="502" t="s">
        <v>2492</v>
      </c>
      <c r="AW21" s="502" t="s">
        <v>1755</v>
      </c>
      <c r="AX21" s="501" t="s">
        <v>1749</v>
      </c>
      <c r="AZ21" s="500">
        <f t="shared" si="17"/>
        <v>0</v>
      </c>
      <c r="BA21" s="500">
        <f t="shared" si="18"/>
        <v>0</v>
      </c>
      <c r="BB21" s="500">
        <v>0</v>
      </c>
      <c r="BC21" s="500" t="e">
        <f>#REF!</f>
        <v>#REF!</v>
      </c>
      <c r="BE21" s="499">
        <f t="shared" si="19"/>
        <v>0</v>
      </c>
      <c r="BF21" s="499">
        <f t="shared" si="20"/>
        <v>0</v>
      </c>
      <c r="BG21" s="499">
        <f t="shared" si="21"/>
        <v>0</v>
      </c>
    </row>
    <row r="22" spans="1:59" ht="12">
      <c r="A22" s="506" t="s">
        <v>234</v>
      </c>
      <c r="B22" s="506"/>
      <c r="C22" s="506" t="s">
        <v>2560</v>
      </c>
      <c r="D22" s="506" t="s">
        <v>2559</v>
      </c>
      <c r="E22" s="506" t="s">
        <v>258</v>
      </c>
      <c r="F22" s="499">
        <v>1</v>
      </c>
      <c r="G22" s="530">
        <v>0</v>
      </c>
      <c r="H22" s="499">
        <f t="shared" si="0"/>
        <v>0</v>
      </c>
      <c r="I22" s="499">
        <f t="shared" si="1"/>
        <v>0</v>
      </c>
      <c r="J22" s="499">
        <f t="shared" si="2"/>
        <v>0</v>
      </c>
      <c r="W22" s="500">
        <f t="shared" si="3"/>
        <v>0</v>
      </c>
      <c r="Y22" s="500">
        <f t="shared" si="4"/>
        <v>0</v>
      </c>
      <c r="Z22" s="500">
        <f t="shared" si="5"/>
        <v>0</v>
      </c>
      <c r="AA22" s="500">
        <f t="shared" si="6"/>
        <v>0</v>
      </c>
      <c r="AB22" s="500">
        <f t="shared" si="7"/>
        <v>0</v>
      </c>
      <c r="AC22" s="500">
        <f t="shared" si="8"/>
        <v>0</v>
      </c>
      <c r="AD22" s="500">
        <f t="shared" si="9"/>
        <v>0</v>
      </c>
      <c r="AE22" s="500">
        <f t="shared" si="10"/>
        <v>0</v>
      </c>
      <c r="AF22" s="501"/>
      <c r="AG22" s="499">
        <f t="shared" si="11"/>
        <v>0</v>
      </c>
      <c r="AH22" s="499">
        <f t="shared" si="12"/>
        <v>0</v>
      </c>
      <c r="AI22" s="499">
        <f t="shared" si="13"/>
        <v>0</v>
      </c>
      <c r="AK22" s="500">
        <v>21</v>
      </c>
      <c r="AL22" s="500">
        <f>G22*0</f>
        <v>0</v>
      </c>
      <c r="AM22" s="500">
        <f>G22*(1-0)</f>
        <v>0</v>
      </c>
      <c r="AN22" s="503" t="s">
        <v>225</v>
      </c>
      <c r="AS22" s="500">
        <f t="shared" si="14"/>
        <v>0</v>
      </c>
      <c r="AT22" s="500">
        <f t="shared" si="15"/>
        <v>0</v>
      </c>
      <c r="AU22" s="500">
        <f t="shared" si="16"/>
        <v>0</v>
      </c>
      <c r="AV22" s="502" t="s">
        <v>2492</v>
      </c>
      <c r="AW22" s="502" t="s">
        <v>1755</v>
      </c>
      <c r="AX22" s="501" t="s">
        <v>1749</v>
      </c>
      <c r="AZ22" s="500">
        <f t="shared" si="17"/>
        <v>0</v>
      </c>
      <c r="BA22" s="500">
        <f t="shared" si="18"/>
        <v>0</v>
      </c>
      <c r="BB22" s="500">
        <v>0</v>
      </c>
      <c r="BC22" s="500" t="e">
        <f>#REF!</f>
        <v>#REF!</v>
      </c>
      <c r="BE22" s="499">
        <f t="shared" si="19"/>
        <v>0</v>
      </c>
      <c r="BF22" s="499">
        <f t="shared" si="20"/>
        <v>0</v>
      </c>
      <c r="BG22" s="499">
        <f t="shared" si="21"/>
        <v>0</v>
      </c>
    </row>
    <row r="23" spans="1:59" ht="12">
      <c r="A23" s="512" t="s">
        <v>239</v>
      </c>
      <c r="B23" s="512"/>
      <c r="C23" s="512" t="s">
        <v>2558</v>
      </c>
      <c r="D23" s="512" t="s">
        <v>2557</v>
      </c>
      <c r="E23" s="512" t="s">
        <v>258</v>
      </c>
      <c r="F23" s="510">
        <v>6</v>
      </c>
      <c r="G23" s="532">
        <v>0</v>
      </c>
      <c r="H23" s="510">
        <f t="shared" si="0"/>
        <v>0</v>
      </c>
      <c r="I23" s="510">
        <f t="shared" si="1"/>
        <v>0</v>
      </c>
      <c r="J23" s="510">
        <f t="shared" si="2"/>
        <v>0</v>
      </c>
      <c r="W23" s="500">
        <f t="shared" si="3"/>
        <v>0</v>
      </c>
      <c r="Y23" s="500">
        <f t="shared" si="4"/>
        <v>0</v>
      </c>
      <c r="Z23" s="500">
        <f t="shared" si="5"/>
        <v>0</v>
      </c>
      <c r="AA23" s="500">
        <f t="shared" si="6"/>
        <v>0</v>
      </c>
      <c r="AB23" s="500">
        <f t="shared" si="7"/>
        <v>0</v>
      </c>
      <c r="AC23" s="500">
        <f t="shared" si="8"/>
        <v>0</v>
      </c>
      <c r="AD23" s="500">
        <f t="shared" si="9"/>
        <v>0</v>
      </c>
      <c r="AE23" s="500">
        <f t="shared" si="10"/>
        <v>0</v>
      </c>
      <c r="AF23" s="501"/>
      <c r="AG23" s="510">
        <f t="shared" si="11"/>
        <v>0</v>
      </c>
      <c r="AH23" s="510">
        <f t="shared" si="12"/>
        <v>0</v>
      </c>
      <c r="AI23" s="510">
        <f t="shared" si="13"/>
        <v>0</v>
      </c>
      <c r="AK23" s="500">
        <v>21</v>
      </c>
      <c r="AL23" s="500">
        <f>G23*1</f>
        <v>0</v>
      </c>
      <c r="AM23" s="500">
        <f>G23*(1-1)</f>
        <v>0</v>
      </c>
      <c r="AN23" s="511" t="s">
        <v>225</v>
      </c>
      <c r="AS23" s="500">
        <f t="shared" si="14"/>
        <v>0</v>
      </c>
      <c r="AT23" s="500">
        <f t="shared" si="15"/>
        <v>0</v>
      </c>
      <c r="AU23" s="500">
        <f t="shared" si="16"/>
        <v>0</v>
      </c>
      <c r="AV23" s="502" t="s">
        <v>2492</v>
      </c>
      <c r="AW23" s="502" t="s">
        <v>1755</v>
      </c>
      <c r="AX23" s="501" t="s">
        <v>1749</v>
      </c>
      <c r="AZ23" s="500">
        <f t="shared" si="17"/>
        <v>0</v>
      </c>
      <c r="BA23" s="500">
        <f t="shared" si="18"/>
        <v>0</v>
      </c>
      <c r="BB23" s="500">
        <v>0</v>
      </c>
      <c r="BC23" s="500" t="e">
        <f>#REF!</f>
        <v>#REF!</v>
      </c>
      <c r="BE23" s="510">
        <f t="shared" si="19"/>
        <v>0</v>
      </c>
      <c r="BF23" s="510">
        <f t="shared" si="20"/>
        <v>0</v>
      </c>
      <c r="BG23" s="510">
        <f t="shared" si="21"/>
        <v>0</v>
      </c>
    </row>
    <row r="24" spans="1:59" ht="12">
      <c r="A24" s="512" t="s">
        <v>245</v>
      </c>
      <c r="B24" s="512"/>
      <c r="C24" s="512" t="s">
        <v>2556</v>
      </c>
      <c r="D24" s="512" t="s">
        <v>2555</v>
      </c>
      <c r="E24" s="512" t="s">
        <v>258</v>
      </c>
      <c r="F24" s="510">
        <v>2</v>
      </c>
      <c r="G24" s="532">
        <v>0</v>
      </c>
      <c r="H24" s="510">
        <f t="shared" si="0"/>
        <v>0</v>
      </c>
      <c r="I24" s="510">
        <f t="shared" si="1"/>
        <v>0</v>
      </c>
      <c r="J24" s="510">
        <f t="shared" si="2"/>
        <v>0</v>
      </c>
      <c r="W24" s="500">
        <f t="shared" si="3"/>
        <v>0</v>
      </c>
      <c r="Y24" s="500">
        <f t="shared" si="4"/>
        <v>0</v>
      </c>
      <c r="Z24" s="500">
        <f t="shared" si="5"/>
        <v>0</v>
      </c>
      <c r="AA24" s="500">
        <f t="shared" si="6"/>
        <v>0</v>
      </c>
      <c r="AB24" s="500">
        <f t="shared" si="7"/>
        <v>0</v>
      </c>
      <c r="AC24" s="500">
        <f t="shared" si="8"/>
        <v>0</v>
      </c>
      <c r="AD24" s="500">
        <f t="shared" si="9"/>
        <v>0</v>
      </c>
      <c r="AE24" s="500">
        <f t="shared" si="10"/>
        <v>0</v>
      </c>
      <c r="AF24" s="501"/>
      <c r="AG24" s="510">
        <f t="shared" si="11"/>
        <v>0</v>
      </c>
      <c r="AH24" s="510">
        <f t="shared" si="12"/>
        <v>0</v>
      </c>
      <c r="AI24" s="510">
        <f t="shared" si="13"/>
        <v>0</v>
      </c>
      <c r="AK24" s="500">
        <v>21</v>
      </c>
      <c r="AL24" s="500">
        <f>G24*1</f>
        <v>0</v>
      </c>
      <c r="AM24" s="500">
        <f>G24*(1-1)</f>
        <v>0</v>
      </c>
      <c r="AN24" s="511" t="s">
        <v>225</v>
      </c>
      <c r="AS24" s="500">
        <f t="shared" si="14"/>
        <v>0</v>
      </c>
      <c r="AT24" s="500">
        <f t="shared" si="15"/>
        <v>0</v>
      </c>
      <c r="AU24" s="500">
        <f t="shared" si="16"/>
        <v>0</v>
      </c>
      <c r="AV24" s="502" t="s">
        <v>2492</v>
      </c>
      <c r="AW24" s="502" t="s">
        <v>1755</v>
      </c>
      <c r="AX24" s="501" t="s">
        <v>1749</v>
      </c>
      <c r="AZ24" s="500">
        <f t="shared" si="17"/>
        <v>0</v>
      </c>
      <c r="BA24" s="500">
        <f t="shared" si="18"/>
        <v>0</v>
      </c>
      <c r="BB24" s="500">
        <v>0</v>
      </c>
      <c r="BC24" s="500" t="e">
        <f>#REF!</f>
        <v>#REF!</v>
      </c>
      <c r="BE24" s="510">
        <f t="shared" si="19"/>
        <v>0</v>
      </c>
      <c r="BF24" s="510">
        <f t="shared" si="20"/>
        <v>0</v>
      </c>
      <c r="BG24" s="510">
        <f t="shared" si="21"/>
        <v>0</v>
      </c>
    </row>
    <row r="25" spans="1:59" ht="12">
      <c r="A25" s="512" t="s">
        <v>250</v>
      </c>
      <c r="B25" s="512"/>
      <c r="C25" s="512" t="s">
        <v>2554</v>
      </c>
      <c r="D25" s="512" t="s">
        <v>2553</v>
      </c>
      <c r="E25" s="512" t="s">
        <v>258</v>
      </c>
      <c r="F25" s="510">
        <v>1</v>
      </c>
      <c r="G25" s="532">
        <v>0</v>
      </c>
      <c r="H25" s="510">
        <f t="shared" si="0"/>
        <v>0</v>
      </c>
      <c r="I25" s="510">
        <f t="shared" si="1"/>
        <v>0</v>
      </c>
      <c r="J25" s="510">
        <f t="shared" si="2"/>
        <v>0</v>
      </c>
      <c r="W25" s="500">
        <f t="shared" si="3"/>
        <v>0</v>
      </c>
      <c r="Y25" s="500">
        <f t="shared" si="4"/>
        <v>0</v>
      </c>
      <c r="Z25" s="500">
        <f t="shared" si="5"/>
        <v>0</v>
      </c>
      <c r="AA25" s="500">
        <f t="shared" si="6"/>
        <v>0</v>
      </c>
      <c r="AB25" s="500">
        <f t="shared" si="7"/>
        <v>0</v>
      </c>
      <c r="AC25" s="500">
        <f t="shared" si="8"/>
        <v>0</v>
      </c>
      <c r="AD25" s="500">
        <f t="shared" si="9"/>
        <v>0</v>
      </c>
      <c r="AE25" s="500">
        <f t="shared" si="10"/>
        <v>0</v>
      </c>
      <c r="AF25" s="501"/>
      <c r="AG25" s="510">
        <f t="shared" si="11"/>
        <v>0</v>
      </c>
      <c r="AH25" s="510">
        <f t="shared" si="12"/>
        <v>0</v>
      </c>
      <c r="AI25" s="510">
        <f t="shared" si="13"/>
        <v>0</v>
      </c>
      <c r="AK25" s="500">
        <v>21</v>
      </c>
      <c r="AL25" s="500">
        <f>G25*1</f>
        <v>0</v>
      </c>
      <c r="AM25" s="500">
        <f>G25*(1-1)</f>
        <v>0</v>
      </c>
      <c r="AN25" s="511" t="s">
        <v>225</v>
      </c>
      <c r="AS25" s="500">
        <f t="shared" si="14"/>
        <v>0</v>
      </c>
      <c r="AT25" s="500">
        <f t="shared" si="15"/>
        <v>0</v>
      </c>
      <c r="AU25" s="500">
        <f t="shared" si="16"/>
        <v>0</v>
      </c>
      <c r="AV25" s="502" t="s">
        <v>2492</v>
      </c>
      <c r="AW25" s="502" t="s">
        <v>1755</v>
      </c>
      <c r="AX25" s="501" t="s">
        <v>1749</v>
      </c>
      <c r="AZ25" s="500">
        <f t="shared" si="17"/>
        <v>0</v>
      </c>
      <c r="BA25" s="500">
        <f t="shared" si="18"/>
        <v>0</v>
      </c>
      <c r="BB25" s="500">
        <v>0</v>
      </c>
      <c r="BC25" s="500" t="e">
        <f>#REF!</f>
        <v>#REF!</v>
      </c>
      <c r="BE25" s="510">
        <f t="shared" si="19"/>
        <v>0</v>
      </c>
      <c r="BF25" s="510">
        <f t="shared" si="20"/>
        <v>0</v>
      </c>
      <c r="BG25" s="510">
        <f t="shared" si="21"/>
        <v>0</v>
      </c>
    </row>
    <row r="26" spans="1:59" ht="12">
      <c r="A26" s="512" t="s">
        <v>255</v>
      </c>
      <c r="B26" s="512"/>
      <c r="C26" s="512" t="s">
        <v>2552</v>
      </c>
      <c r="D26" s="512" t="s">
        <v>2551</v>
      </c>
      <c r="E26" s="512" t="s">
        <v>258</v>
      </c>
      <c r="F26" s="510">
        <v>2</v>
      </c>
      <c r="G26" s="532">
        <v>0</v>
      </c>
      <c r="H26" s="510">
        <f t="shared" si="0"/>
        <v>0</v>
      </c>
      <c r="I26" s="510">
        <f t="shared" si="1"/>
        <v>0</v>
      </c>
      <c r="J26" s="510">
        <f t="shared" si="2"/>
        <v>0</v>
      </c>
      <c r="W26" s="500">
        <f t="shared" si="3"/>
        <v>0</v>
      </c>
      <c r="Y26" s="500">
        <f t="shared" si="4"/>
        <v>0</v>
      </c>
      <c r="Z26" s="500">
        <f t="shared" si="5"/>
        <v>0</v>
      </c>
      <c r="AA26" s="500">
        <f t="shared" si="6"/>
        <v>0</v>
      </c>
      <c r="AB26" s="500">
        <f t="shared" si="7"/>
        <v>0</v>
      </c>
      <c r="AC26" s="500">
        <f t="shared" si="8"/>
        <v>0</v>
      </c>
      <c r="AD26" s="500">
        <f t="shared" si="9"/>
        <v>0</v>
      </c>
      <c r="AE26" s="500">
        <f t="shared" si="10"/>
        <v>0</v>
      </c>
      <c r="AF26" s="501"/>
      <c r="AG26" s="510">
        <f t="shared" si="11"/>
        <v>0</v>
      </c>
      <c r="AH26" s="510">
        <f t="shared" si="12"/>
        <v>0</v>
      </c>
      <c r="AI26" s="510">
        <f t="shared" si="13"/>
        <v>0</v>
      </c>
      <c r="AK26" s="500">
        <v>21</v>
      </c>
      <c r="AL26" s="500">
        <f>G26*1</f>
        <v>0</v>
      </c>
      <c r="AM26" s="500">
        <f>G26*(1-1)</f>
        <v>0</v>
      </c>
      <c r="AN26" s="511" t="s">
        <v>225</v>
      </c>
      <c r="AS26" s="500">
        <f t="shared" si="14"/>
        <v>0</v>
      </c>
      <c r="AT26" s="500">
        <f t="shared" si="15"/>
        <v>0</v>
      </c>
      <c r="AU26" s="500">
        <f t="shared" si="16"/>
        <v>0</v>
      </c>
      <c r="AV26" s="502" t="s">
        <v>2492</v>
      </c>
      <c r="AW26" s="502" t="s">
        <v>1755</v>
      </c>
      <c r="AX26" s="501" t="s">
        <v>1749</v>
      </c>
      <c r="AZ26" s="500">
        <f t="shared" si="17"/>
        <v>0</v>
      </c>
      <c r="BA26" s="500">
        <f t="shared" si="18"/>
        <v>0</v>
      </c>
      <c r="BB26" s="500">
        <v>0</v>
      </c>
      <c r="BC26" s="500" t="e">
        <f>#REF!</f>
        <v>#REF!</v>
      </c>
      <c r="BE26" s="510">
        <f t="shared" si="19"/>
        <v>0</v>
      </c>
      <c r="BF26" s="510">
        <f t="shared" si="20"/>
        <v>0</v>
      </c>
      <c r="BG26" s="510">
        <f t="shared" si="21"/>
        <v>0</v>
      </c>
    </row>
    <row r="27" spans="1:59" ht="12">
      <c r="A27" s="506" t="s">
        <v>261</v>
      </c>
      <c r="B27" s="506"/>
      <c r="C27" s="506" t="s">
        <v>2550</v>
      </c>
      <c r="D27" s="506" t="s">
        <v>2549</v>
      </c>
      <c r="E27" s="506" t="s">
        <v>258</v>
      </c>
      <c r="F27" s="499">
        <v>2</v>
      </c>
      <c r="G27" s="530">
        <v>0</v>
      </c>
      <c r="H27" s="499">
        <f t="shared" si="0"/>
        <v>0</v>
      </c>
      <c r="I27" s="499">
        <f t="shared" si="1"/>
        <v>0</v>
      </c>
      <c r="J27" s="499">
        <f t="shared" si="2"/>
        <v>0</v>
      </c>
      <c r="W27" s="500">
        <f t="shared" si="3"/>
        <v>0</v>
      </c>
      <c r="Y27" s="500">
        <f t="shared" si="4"/>
        <v>0</v>
      </c>
      <c r="Z27" s="500">
        <f t="shared" si="5"/>
        <v>0</v>
      </c>
      <c r="AA27" s="500">
        <f t="shared" si="6"/>
        <v>0</v>
      </c>
      <c r="AB27" s="500">
        <f t="shared" si="7"/>
        <v>0</v>
      </c>
      <c r="AC27" s="500">
        <f t="shared" si="8"/>
        <v>0</v>
      </c>
      <c r="AD27" s="500">
        <f t="shared" si="9"/>
        <v>0</v>
      </c>
      <c r="AE27" s="500">
        <f t="shared" si="10"/>
        <v>0</v>
      </c>
      <c r="AF27" s="501"/>
      <c r="AG27" s="499">
        <f t="shared" si="11"/>
        <v>0</v>
      </c>
      <c r="AH27" s="499">
        <f t="shared" si="12"/>
        <v>0</v>
      </c>
      <c r="AI27" s="499">
        <f t="shared" si="13"/>
        <v>0</v>
      </c>
      <c r="AK27" s="500">
        <v>21</v>
      </c>
      <c r="AL27" s="500">
        <f>G27*0</f>
        <v>0</v>
      </c>
      <c r="AM27" s="500">
        <f>G27*(1-0)</f>
        <v>0</v>
      </c>
      <c r="AN27" s="503" t="s">
        <v>225</v>
      </c>
      <c r="AS27" s="500">
        <f t="shared" si="14"/>
        <v>0</v>
      </c>
      <c r="AT27" s="500">
        <f t="shared" si="15"/>
        <v>0</v>
      </c>
      <c r="AU27" s="500">
        <f t="shared" si="16"/>
        <v>0</v>
      </c>
      <c r="AV27" s="502" t="s">
        <v>2492</v>
      </c>
      <c r="AW27" s="502" t="s">
        <v>1755</v>
      </c>
      <c r="AX27" s="501" t="s">
        <v>1749</v>
      </c>
      <c r="AZ27" s="500">
        <f t="shared" si="17"/>
        <v>0</v>
      </c>
      <c r="BA27" s="500">
        <f t="shared" si="18"/>
        <v>0</v>
      </c>
      <c r="BB27" s="500">
        <v>0</v>
      </c>
      <c r="BC27" s="500" t="e">
        <f>#REF!</f>
        <v>#REF!</v>
      </c>
      <c r="BE27" s="499">
        <f t="shared" si="19"/>
        <v>0</v>
      </c>
      <c r="BF27" s="499">
        <f t="shared" si="20"/>
        <v>0</v>
      </c>
      <c r="BG27" s="499">
        <f t="shared" si="21"/>
        <v>0</v>
      </c>
    </row>
    <row r="28" spans="1:59" ht="12">
      <c r="A28" s="512" t="s">
        <v>8</v>
      </c>
      <c r="B28" s="512"/>
      <c r="C28" s="512" t="s">
        <v>2548</v>
      </c>
      <c r="D28" s="512" t="s">
        <v>2547</v>
      </c>
      <c r="E28" s="512" t="s">
        <v>258</v>
      </c>
      <c r="F28" s="510">
        <v>1</v>
      </c>
      <c r="G28" s="532">
        <v>0</v>
      </c>
      <c r="H28" s="510">
        <f t="shared" si="0"/>
        <v>0</v>
      </c>
      <c r="I28" s="510">
        <f t="shared" si="1"/>
        <v>0</v>
      </c>
      <c r="J28" s="510">
        <f t="shared" si="2"/>
        <v>0</v>
      </c>
      <c r="W28" s="500">
        <f t="shared" si="3"/>
        <v>0</v>
      </c>
      <c r="Y28" s="500">
        <f t="shared" si="4"/>
        <v>0</v>
      </c>
      <c r="Z28" s="500">
        <f t="shared" si="5"/>
        <v>0</v>
      </c>
      <c r="AA28" s="500">
        <f t="shared" si="6"/>
        <v>0</v>
      </c>
      <c r="AB28" s="500">
        <f t="shared" si="7"/>
        <v>0</v>
      </c>
      <c r="AC28" s="500">
        <f t="shared" si="8"/>
        <v>0</v>
      </c>
      <c r="AD28" s="500">
        <f t="shared" si="9"/>
        <v>0</v>
      </c>
      <c r="AE28" s="500">
        <f t="shared" si="10"/>
        <v>0</v>
      </c>
      <c r="AF28" s="501"/>
      <c r="AG28" s="510">
        <f t="shared" si="11"/>
        <v>0</v>
      </c>
      <c r="AH28" s="510">
        <f t="shared" si="12"/>
        <v>0</v>
      </c>
      <c r="AI28" s="510">
        <f t="shared" si="13"/>
        <v>0</v>
      </c>
      <c r="AK28" s="500">
        <v>21</v>
      </c>
      <c r="AL28" s="500">
        <f>G28*1</f>
        <v>0</v>
      </c>
      <c r="AM28" s="500">
        <f>G28*(1-1)</f>
        <v>0</v>
      </c>
      <c r="AN28" s="511" t="s">
        <v>225</v>
      </c>
      <c r="AS28" s="500">
        <f t="shared" si="14"/>
        <v>0</v>
      </c>
      <c r="AT28" s="500">
        <f t="shared" si="15"/>
        <v>0</v>
      </c>
      <c r="AU28" s="500">
        <f t="shared" si="16"/>
        <v>0</v>
      </c>
      <c r="AV28" s="502" t="s">
        <v>2492</v>
      </c>
      <c r="AW28" s="502" t="s">
        <v>1755</v>
      </c>
      <c r="AX28" s="501" t="s">
        <v>1749</v>
      </c>
      <c r="AZ28" s="500">
        <f t="shared" si="17"/>
        <v>0</v>
      </c>
      <c r="BA28" s="500">
        <f t="shared" si="18"/>
        <v>0</v>
      </c>
      <c r="BB28" s="500">
        <v>0</v>
      </c>
      <c r="BC28" s="500" t="e">
        <f>#REF!</f>
        <v>#REF!</v>
      </c>
      <c r="BE28" s="510">
        <f t="shared" si="19"/>
        <v>0</v>
      </c>
      <c r="BF28" s="510">
        <f t="shared" si="20"/>
        <v>0</v>
      </c>
      <c r="BG28" s="510">
        <f t="shared" si="21"/>
        <v>0</v>
      </c>
    </row>
    <row r="29" spans="1:59" ht="12">
      <c r="A29" s="512" t="s">
        <v>270</v>
      </c>
      <c r="B29" s="512"/>
      <c r="C29" s="512" t="s">
        <v>2546</v>
      </c>
      <c r="D29" s="512" t="s">
        <v>2545</v>
      </c>
      <c r="E29" s="512" t="s">
        <v>258</v>
      </c>
      <c r="F29" s="510">
        <v>1</v>
      </c>
      <c r="G29" s="532">
        <v>0</v>
      </c>
      <c r="H29" s="510">
        <f t="shared" si="0"/>
        <v>0</v>
      </c>
      <c r="I29" s="510">
        <f t="shared" si="1"/>
        <v>0</v>
      </c>
      <c r="J29" s="510">
        <f t="shared" si="2"/>
        <v>0</v>
      </c>
      <c r="W29" s="500">
        <f t="shared" si="3"/>
        <v>0</v>
      </c>
      <c r="Y29" s="500">
        <f t="shared" si="4"/>
        <v>0</v>
      </c>
      <c r="Z29" s="500">
        <f t="shared" si="5"/>
        <v>0</v>
      </c>
      <c r="AA29" s="500">
        <f t="shared" si="6"/>
        <v>0</v>
      </c>
      <c r="AB29" s="500">
        <f t="shared" si="7"/>
        <v>0</v>
      </c>
      <c r="AC29" s="500">
        <f t="shared" si="8"/>
        <v>0</v>
      </c>
      <c r="AD29" s="500">
        <f t="shared" si="9"/>
        <v>0</v>
      </c>
      <c r="AE29" s="500">
        <f t="shared" si="10"/>
        <v>0</v>
      </c>
      <c r="AF29" s="501"/>
      <c r="AG29" s="510">
        <f t="shared" si="11"/>
        <v>0</v>
      </c>
      <c r="AH29" s="510">
        <f t="shared" si="12"/>
        <v>0</v>
      </c>
      <c r="AI29" s="510">
        <f t="shared" si="13"/>
        <v>0</v>
      </c>
      <c r="AK29" s="500">
        <v>21</v>
      </c>
      <c r="AL29" s="500">
        <f>G29*1</f>
        <v>0</v>
      </c>
      <c r="AM29" s="500">
        <f>G29*(1-1)</f>
        <v>0</v>
      </c>
      <c r="AN29" s="511" t="s">
        <v>225</v>
      </c>
      <c r="AS29" s="500">
        <f t="shared" si="14"/>
        <v>0</v>
      </c>
      <c r="AT29" s="500">
        <f t="shared" si="15"/>
        <v>0</v>
      </c>
      <c r="AU29" s="500">
        <f t="shared" si="16"/>
        <v>0</v>
      </c>
      <c r="AV29" s="502" t="s">
        <v>2492</v>
      </c>
      <c r="AW29" s="502" t="s">
        <v>1755</v>
      </c>
      <c r="AX29" s="501" t="s">
        <v>1749</v>
      </c>
      <c r="AZ29" s="500">
        <f t="shared" si="17"/>
        <v>0</v>
      </c>
      <c r="BA29" s="500">
        <f t="shared" si="18"/>
        <v>0</v>
      </c>
      <c r="BB29" s="500">
        <v>0</v>
      </c>
      <c r="BC29" s="500" t="e">
        <f>#REF!</f>
        <v>#REF!</v>
      </c>
      <c r="BE29" s="510">
        <f t="shared" si="19"/>
        <v>0</v>
      </c>
      <c r="BF29" s="510">
        <f t="shared" si="20"/>
        <v>0</v>
      </c>
      <c r="BG29" s="510">
        <f t="shared" si="21"/>
        <v>0</v>
      </c>
    </row>
    <row r="30" spans="1:59" ht="12">
      <c r="A30" s="506" t="s">
        <v>274</v>
      </c>
      <c r="B30" s="506"/>
      <c r="C30" s="506" t="s">
        <v>2544</v>
      </c>
      <c r="D30" s="506" t="s">
        <v>2543</v>
      </c>
      <c r="E30" s="506" t="s">
        <v>258</v>
      </c>
      <c r="F30" s="499">
        <v>1</v>
      </c>
      <c r="G30" s="530">
        <v>0</v>
      </c>
      <c r="H30" s="499">
        <f t="shared" si="0"/>
        <v>0</v>
      </c>
      <c r="I30" s="499">
        <f t="shared" si="1"/>
        <v>0</v>
      </c>
      <c r="J30" s="499">
        <f t="shared" si="2"/>
        <v>0</v>
      </c>
      <c r="W30" s="500">
        <f t="shared" si="3"/>
        <v>0</v>
      </c>
      <c r="Y30" s="500">
        <f t="shared" si="4"/>
        <v>0</v>
      </c>
      <c r="Z30" s="500">
        <f t="shared" si="5"/>
        <v>0</v>
      </c>
      <c r="AA30" s="500">
        <f t="shared" si="6"/>
        <v>0</v>
      </c>
      <c r="AB30" s="500">
        <f t="shared" si="7"/>
        <v>0</v>
      </c>
      <c r="AC30" s="500">
        <f t="shared" si="8"/>
        <v>0</v>
      </c>
      <c r="AD30" s="500">
        <f t="shared" si="9"/>
        <v>0</v>
      </c>
      <c r="AE30" s="500">
        <f t="shared" si="10"/>
        <v>0</v>
      </c>
      <c r="AF30" s="501"/>
      <c r="AG30" s="499">
        <f t="shared" si="11"/>
        <v>0</v>
      </c>
      <c r="AH30" s="499">
        <f t="shared" si="12"/>
        <v>0</v>
      </c>
      <c r="AI30" s="499">
        <f t="shared" si="13"/>
        <v>0</v>
      </c>
      <c r="AK30" s="500">
        <v>21</v>
      </c>
      <c r="AL30" s="500">
        <f>G30*0</f>
        <v>0</v>
      </c>
      <c r="AM30" s="500">
        <f>G30*(1-0)</f>
        <v>0</v>
      </c>
      <c r="AN30" s="503" t="s">
        <v>225</v>
      </c>
      <c r="AS30" s="500">
        <f t="shared" si="14"/>
        <v>0</v>
      </c>
      <c r="AT30" s="500">
        <f t="shared" si="15"/>
        <v>0</v>
      </c>
      <c r="AU30" s="500">
        <f t="shared" si="16"/>
        <v>0</v>
      </c>
      <c r="AV30" s="502" t="s">
        <v>2492</v>
      </c>
      <c r="AW30" s="502" t="s">
        <v>1755</v>
      </c>
      <c r="AX30" s="501" t="s">
        <v>1749</v>
      </c>
      <c r="AZ30" s="500">
        <f t="shared" si="17"/>
        <v>0</v>
      </c>
      <c r="BA30" s="500">
        <f t="shared" si="18"/>
        <v>0</v>
      </c>
      <c r="BB30" s="500">
        <v>0</v>
      </c>
      <c r="BC30" s="500" t="e">
        <f>#REF!</f>
        <v>#REF!</v>
      </c>
      <c r="BE30" s="499">
        <f t="shared" si="19"/>
        <v>0</v>
      </c>
      <c r="BF30" s="499">
        <f t="shared" si="20"/>
        <v>0</v>
      </c>
      <c r="BG30" s="499">
        <f t="shared" si="21"/>
        <v>0</v>
      </c>
    </row>
    <row r="31" spans="1:59" ht="12">
      <c r="A31" s="512" t="s">
        <v>279</v>
      </c>
      <c r="B31" s="512"/>
      <c r="C31" s="512" t="s">
        <v>2542</v>
      </c>
      <c r="D31" s="512" t="s">
        <v>2541</v>
      </c>
      <c r="E31" s="512" t="s">
        <v>258</v>
      </c>
      <c r="F31" s="510">
        <v>1</v>
      </c>
      <c r="G31" s="532">
        <v>0</v>
      </c>
      <c r="H31" s="510">
        <f t="shared" si="0"/>
        <v>0</v>
      </c>
      <c r="I31" s="510">
        <f t="shared" si="1"/>
        <v>0</v>
      </c>
      <c r="J31" s="510">
        <f t="shared" si="2"/>
        <v>0</v>
      </c>
      <c r="W31" s="500">
        <f t="shared" si="3"/>
        <v>0</v>
      </c>
      <c r="Y31" s="500">
        <f t="shared" si="4"/>
        <v>0</v>
      </c>
      <c r="Z31" s="500">
        <f t="shared" si="5"/>
        <v>0</v>
      </c>
      <c r="AA31" s="500">
        <f t="shared" si="6"/>
        <v>0</v>
      </c>
      <c r="AB31" s="500">
        <f t="shared" si="7"/>
        <v>0</v>
      </c>
      <c r="AC31" s="500">
        <f t="shared" si="8"/>
        <v>0</v>
      </c>
      <c r="AD31" s="500">
        <f t="shared" si="9"/>
        <v>0</v>
      </c>
      <c r="AE31" s="500">
        <f t="shared" si="10"/>
        <v>0</v>
      </c>
      <c r="AF31" s="501"/>
      <c r="AG31" s="510">
        <f t="shared" si="11"/>
        <v>0</v>
      </c>
      <c r="AH31" s="510">
        <f t="shared" si="12"/>
        <v>0</v>
      </c>
      <c r="AI31" s="510">
        <f t="shared" si="13"/>
        <v>0</v>
      </c>
      <c r="AK31" s="500">
        <v>21</v>
      </c>
      <c r="AL31" s="500">
        <f>G31*1</f>
        <v>0</v>
      </c>
      <c r="AM31" s="500">
        <f>G31*(1-1)</f>
        <v>0</v>
      </c>
      <c r="AN31" s="511" t="s">
        <v>225</v>
      </c>
      <c r="AS31" s="500">
        <f t="shared" si="14"/>
        <v>0</v>
      </c>
      <c r="AT31" s="500">
        <f t="shared" si="15"/>
        <v>0</v>
      </c>
      <c r="AU31" s="500">
        <f t="shared" si="16"/>
        <v>0</v>
      </c>
      <c r="AV31" s="502" t="s">
        <v>2492</v>
      </c>
      <c r="AW31" s="502" t="s">
        <v>1755</v>
      </c>
      <c r="AX31" s="501" t="s">
        <v>1749</v>
      </c>
      <c r="AZ31" s="500">
        <f t="shared" si="17"/>
        <v>0</v>
      </c>
      <c r="BA31" s="500">
        <f t="shared" si="18"/>
        <v>0</v>
      </c>
      <c r="BB31" s="500">
        <v>0</v>
      </c>
      <c r="BC31" s="500" t="e">
        <f>#REF!</f>
        <v>#REF!</v>
      </c>
      <c r="BE31" s="510">
        <f t="shared" si="19"/>
        <v>0</v>
      </c>
      <c r="BF31" s="510">
        <f t="shared" si="20"/>
        <v>0</v>
      </c>
      <c r="BG31" s="510">
        <f t="shared" si="21"/>
        <v>0</v>
      </c>
    </row>
    <row r="32" spans="1:59" ht="12">
      <c r="A32" s="506" t="s">
        <v>283</v>
      </c>
      <c r="B32" s="506"/>
      <c r="C32" s="506" t="s">
        <v>2364</v>
      </c>
      <c r="D32" s="506" t="s">
        <v>2363</v>
      </c>
      <c r="E32" s="506" t="s">
        <v>258</v>
      </c>
      <c r="F32" s="499">
        <v>4</v>
      </c>
      <c r="G32" s="530">
        <v>0</v>
      </c>
      <c r="H32" s="499">
        <f t="shared" si="0"/>
        <v>0</v>
      </c>
      <c r="I32" s="499">
        <f t="shared" si="1"/>
        <v>0</v>
      </c>
      <c r="J32" s="499">
        <f t="shared" si="2"/>
        <v>0</v>
      </c>
      <c r="W32" s="500">
        <f t="shared" si="3"/>
        <v>0</v>
      </c>
      <c r="Y32" s="500">
        <f t="shared" si="4"/>
        <v>0</v>
      </c>
      <c r="Z32" s="500">
        <f t="shared" si="5"/>
        <v>0</v>
      </c>
      <c r="AA32" s="500">
        <f t="shared" si="6"/>
        <v>0</v>
      </c>
      <c r="AB32" s="500">
        <f t="shared" si="7"/>
        <v>0</v>
      </c>
      <c r="AC32" s="500">
        <f t="shared" si="8"/>
        <v>0</v>
      </c>
      <c r="AD32" s="500">
        <f t="shared" si="9"/>
        <v>0</v>
      </c>
      <c r="AE32" s="500">
        <f t="shared" si="10"/>
        <v>0</v>
      </c>
      <c r="AF32" s="501"/>
      <c r="AG32" s="499">
        <f t="shared" si="11"/>
        <v>0</v>
      </c>
      <c r="AH32" s="499">
        <f t="shared" si="12"/>
        <v>0</v>
      </c>
      <c r="AI32" s="499">
        <f t="shared" si="13"/>
        <v>0</v>
      </c>
      <c r="AK32" s="500">
        <v>21</v>
      </c>
      <c r="AL32" s="500">
        <f>G32*0</f>
        <v>0</v>
      </c>
      <c r="AM32" s="500">
        <f>G32*(1-0)</f>
        <v>0</v>
      </c>
      <c r="AN32" s="503" t="s">
        <v>225</v>
      </c>
      <c r="AS32" s="500">
        <f t="shared" si="14"/>
        <v>0</v>
      </c>
      <c r="AT32" s="500">
        <f t="shared" si="15"/>
        <v>0</v>
      </c>
      <c r="AU32" s="500">
        <f t="shared" si="16"/>
        <v>0</v>
      </c>
      <c r="AV32" s="502" t="s">
        <v>2492</v>
      </c>
      <c r="AW32" s="502" t="s">
        <v>1755</v>
      </c>
      <c r="AX32" s="501" t="s">
        <v>1749</v>
      </c>
      <c r="AZ32" s="500">
        <f t="shared" si="17"/>
        <v>0</v>
      </c>
      <c r="BA32" s="500">
        <f t="shared" si="18"/>
        <v>0</v>
      </c>
      <c r="BB32" s="500">
        <v>0</v>
      </c>
      <c r="BC32" s="500" t="e">
        <f>#REF!</f>
        <v>#REF!</v>
      </c>
      <c r="BE32" s="499">
        <f t="shared" si="19"/>
        <v>0</v>
      </c>
      <c r="BF32" s="499">
        <f t="shared" si="20"/>
        <v>0</v>
      </c>
      <c r="BG32" s="499">
        <f t="shared" si="21"/>
        <v>0</v>
      </c>
    </row>
    <row r="33" spans="1:59" ht="12">
      <c r="A33" s="512" t="s">
        <v>288</v>
      </c>
      <c r="B33" s="512"/>
      <c r="C33" s="512" t="s">
        <v>2540</v>
      </c>
      <c r="D33" s="512" t="s">
        <v>2421</v>
      </c>
      <c r="E33" s="512" t="s">
        <v>2057</v>
      </c>
      <c r="F33" s="510">
        <v>3</v>
      </c>
      <c r="G33" s="532">
        <v>0</v>
      </c>
      <c r="H33" s="510">
        <f t="shared" si="0"/>
        <v>0</v>
      </c>
      <c r="I33" s="510">
        <f t="shared" si="1"/>
        <v>0</v>
      </c>
      <c r="J33" s="510">
        <f t="shared" si="2"/>
        <v>0</v>
      </c>
      <c r="W33" s="500">
        <f t="shared" si="3"/>
        <v>0</v>
      </c>
      <c r="Y33" s="500">
        <f t="shared" si="4"/>
        <v>0</v>
      </c>
      <c r="Z33" s="500">
        <f t="shared" si="5"/>
        <v>0</v>
      </c>
      <c r="AA33" s="500">
        <f t="shared" si="6"/>
        <v>0</v>
      </c>
      <c r="AB33" s="500">
        <f t="shared" si="7"/>
        <v>0</v>
      </c>
      <c r="AC33" s="500">
        <f t="shared" si="8"/>
        <v>0</v>
      </c>
      <c r="AD33" s="500">
        <f t="shared" si="9"/>
        <v>0</v>
      </c>
      <c r="AE33" s="500">
        <f t="shared" si="10"/>
        <v>0</v>
      </c>
      <c r="AF33" s="501"/>
      <c r="AG33" s="510">
        <f t="shared" si="11"/>
        <v>0</v>
      </c>
      <c r="AH33" s="510">
        <f t="shared" si="12"/>
        <v>0</v>
      </c>
      <c r="AI33" s="510">
        <f t="shared" si="13"/>
        <v>0</v>
      </c>
      <c r="AK33" s="500">
        <v>21</v>
      </c>
      <c r="AL33" s="500">
        <f>G33*1</f>
        <v>0</v>
      </c>
      <c r="AM33" s="500">
        <f>G33*(1-1)</f>
        <v>0</v>
      </c>
      <c r="AN33" s="511" t="s">
        <v>225</v>
      </c>
      <c r="AS33" s="500">
        <f t="shared" si="14"/>
        <v>0</v>
      </c>
      <c r="AT33" s="500">
        <f t="shared" si="15"/>
        <v>0</v>
      </c>
      <c r="AU33" s="500">
        <f t="shared" si="16"/>
        <v>0</v>
      </c>
      <c r="AV33" s="502" t="s">
        <v>2492</v>
      </c>
      <c r="AW33" s="502" t="s">
        <v>1755</v>
      </c>
      <c r="AX33" s="501" t="s">
        <v>1749</v>
      </c>
      <c r="AZ33" s="500">
        <f t="shared" si="17"/>
        <v>0</v>
      </c>
      <c r="BA33" s="500">
        <f t="shared" si="18"/>
        <v>0</v>
      </c>
      <c r="BB33" s="500">
        <v>0</v>
      </c>
      <c r="BC33" s="500" t="e">
        <f>#REF!</f>
        <v>#REF!</v>
      </c>
      <c r="BE33" s="510">
        <f t="shared" si="19"/>
        <v>0</v>
      </c>
      <c r="BF33" s="510">
        <f t="shared" si="20"/>
        <v>0</v>
      </c>
      <c r="BG33" s="510">
        <f t="shared" si="21"/>
        <v>0</v>
      </c>
    </row>
    <row r="34" spans="1:59" ht="12">
      <c r="A34" s="512" t="s">
        <v>7</v>
      </c>
      <c r="B34" s="512"/>
      <c r="C34" s="512" t="s">
        <v>2539</v>
      </c>
      <c r="D34" s="512" t="s">
        <v>2538</v>
      </c>
      <c r="E34" s="512" t="s">
        <v>2057</v>
      </c>
      <c r="F34" s="510">
        <v>1</v>
      </c>
      <c r="G34" s="532">
        <v>0</v>
      </c>
      <c r="H34" s="510">
        <f t="shared" si="0"/>
        <v>0</v>
      </c>
      <c r="I34" s="510">
        <f t="shared" si="1"/>
        <v>0</v>
      </c>
      <c r="J34" s="510">
        <f t="shared" si="2"/>
        <v>0</v>
      </c>
      <c r="W34" s="500">
        <f t="shared" si="3"/>
        <v>0</v>
      </c>
      <c r="Y34" s="500">
        <f t="shared" si="4"/>
        <v>0</v>
      </c>
      <c r="Z34" s="500">
        <f t="shared" si="5"/>
        <v>0</v>
      </c>
      <c r="AA34" s="500">
        <f t="shared" si="6"/>
        <v>0</v>
      </c>
      <c r="AB34" s="500">
        <f t="shared" si="7"/>
        <v>0</v>
      </c>
      <c r="AC34" s="500">
        <f t="shared" si="8"/>
        <v>0</v>
      </c>
      <c r="AD34" s="500">
        <f t="shared" si="9"/>
        <v>0</v>
      </c>
      <c r="AE34" s="500">
        <f t="shared" si="10"/>
        <v>0</v>
      </c>
      <c r="AF34" s="501"/>
      <c r="AG34" s="510">
        <f t="shared" si="11"/>
        <v>0</v>
      </c>
      <c r="AH34" s="510">
        <f t="shared" si="12"/>
        <v>0</v>
      </c>
      <c r="AI34" s="510">
        <f t="shared" si="13"/>
        <v>0</v>
      </c>
      <c r="AK34" s="500">
        <v>21</v>
      </c>
      <c r="AL34" s="500">
        <f>G34*1</f>
        <v>0</v>
      </c>
      <c r="AM34" s="500">
        <f>G34*(1-1)</f>
        <v>0</v>
      </c>
      <c r="AN34" s="511" t="s">
        <v>225</v>
      </c>
      <c r="AS34" s="500">
        <f t="shared" si="14"/>
        <v>0</v>
      </c>
      <c r="AT34" s="500">
        <f t="shared" si="15"/>
        <v>0</v>
      </c>
      <c r="AU34" s="500">
        <f t="shared" si="16"/>
        <v>0</v>
      </c>
      <c r="AV34" s="502" t="s">
        <v>2492</v>
      </c>
      <c r="AW34" s="502" t="s">
        <v>1755</v>
      </c>
      <c r="AX34" s="501" t="s">
        <v>1749</v>
      </c>
      <c r="AZ34" s="500">
        <f t="shared" si="17"/>
        <v>0</v>
      </c>
      <c r="BA34" s="500">
        <f t="shared" si="18"/>
        <v>0</v>
      </c>
      <c r="BB34" s="500">
        <v>0</v>
      </c>
      <c r="BC34" s="500" t="e">
        <f>#REF!</f>
        <v>#REF!</v>
      </c>
      <c r="BE34" s="510">
        <f t="shared" si="19"/>
        <v>0</v>
      </c>
      <c r="BF34" s="510">
        <f t="shared" si="20"/>
        <v>0</v>
      </c>
      <c r="BG34" s="510">
        <f t="shared" si="21"/>
        <v>0</v>
      </c>
    </row>
    <row r="35" spans="1:59" ht="12">
      <c r="A35" s="506" t="s">
        <v>295</v>
      </c>
      <c r="B35" s="506"/>
      <c r="C35" s="506" t="s">
        <v>2537</v>
      </c>
      <c r="D35" s="506" t="s">
        <v>2536</v>
      </c>
      <c r="E35" s="506" t="s">
        <v>258</v>
      </c>
      <c r="F35" s="499">
        <v>1</v>
      </c>
      <c r="G35" s="530">
        <v>0</v>
      </c>
      <c r="H35" s="499">
        <f t="shared" si="0"/>
        <v>0</v>
      </c>
      <c r="I35" s="499">
        <f t="shared" si="1"/>
        <v>0</v>
      </c>
      <c r="J35" s="499">
        <f t="shared" si="2"/>
        <v>0</v>
      </c>
      <c r="W35" s="500">
        <f t="shared" si="3"/>
        <v>0</v>
      </c>
      <c r="Y35" s="500">
        <f t="shared" si="4"/>
        <v>0</v>
      </c>
      <c r="Z35" s="500">
        <f t="shared" si="5"/>
        <v>0</v>
      </c>
      <c r="AA35" s="500">
        <f t="shared" si="6"/>
        <v>0</v>
      </c>
      <c r="AB35" s="500">
        <f t="shared" si="7"/>
        <v>0</v>
      </c>
      <c r="AC35" s="500">
        <f t="shared" si="8"/>
        <v>0</v>
      </c>
      <c r="AD35" s="500">
        <f t="shared" si="9"/>
        <v>0</v>
      </c>
      <c r="AE35" s="500">
        <f t="shared" si="10"/>
        <v>0</v>
      </c>
      <c r="AF35" s="501"/>
      <c r="AG35" s="499">
        <f t="shared" si="11"/>
        <v>0</v>
      </c>
      <c r="AH35" s="499">
        <f t="shared" si="12"/>
        <v>0</v>
      </c>
      <c r="AI35" s="499">
        <f t="shared" si="13"/>
        <v>0</v>
      </c>
      <c r="AK35" s="500">
        <v>21</v>
      </c>
      <c r="AL35" s="500">
        <f>G35*0</f>
        <v>0</v>
      </c>
      <c r="AM35" s="500">
        <f>G35*(1-0)</f>
        <v>0</v>
      </c>
      <c r="AN35" s="503" t="s">
        <v>225</v>
      </c>
      <c r="AS35" s="500">
        <f t="shared" si="14"/>
        <v>0</v>
      </c>
      <c r="AT35" s="500">
        <f t="shared" si="15"/>
        <v>0</v>
      </c>
      <c r="AU35" s="500">
        <f t="shared" si="16"/>
        <v>0</v>
      </c>
      <c r="AV35" s="502" t="s">
        <v>2492</v>
      </c>
      <c r="AW35" s="502" t="s">
        <v>1755</v>
      </c>
      <c r="AX35" s="501" t="s">
        <v>1749</v>
      </c>
      <c r="AZ35" s="500">
        <f t="shared" si="17"/>
        <v>0</v>
      </c>
      <c r="BA35" s="500">
        <f t="shared" si="18"/>
        <v>0</v>
      </c>
      <c r="BB35" s="500">
        <v>0</v>
      </c>
      <c r="BC35" s="500" t="e">
        <f>#REF!</f>
        <v>#REF!</v>
      </c>
      <c r="BE35" s="499">
        <f t="shared" si="19"/>
        <v>0</v>
      </c>
      <c r="BF35" s="499">
        <f t="shared" si="20"/>
        <v>0</v>
      </c>
      <c r="BG35" s="499">
        <f t="shared" si="21"/>
        <v>0</v>
      </c>
    </row>
    <row r="36" spans="1:59" ht="12">
      <c r="A36" s="512" t="s">
        <v>299</v>
      </c>
      <c r="B36" s="512"/>
      <c r="C36" s="512" t="s">
        <v>2535</v>
      </c>
      <c r="D36" s="512" t="s">
        <v>2534</v>
      </c>
      <c r="E36" s="512" t="s">
        <v>258</v>
      </c>
      <c r="F36" s="510">
        <v>1</v>
      </c>
      <c r="G36" s="532">
        <v>0</v>
      </c>
      <c r="H36" s="510">
        <f t="shared" si="0"/>
        <v>0</v>
      </c>
      <c r="I36" s="510">
        <f t="shared" si="1"/>
        <v>0</v>
      </c>
      <c r="J36" s="510">
        <f t="shared" si="2"/>
        <v>0</v>
      </c>
      <c r="W36" s="500">
        <f t="shared" si="3"/>
        <v>0</v>
      </c>
      <c r="Y36" s="500">
        <f t="shared" si="4"/>
        <v>0</v>
      </c>
      <c r="Z36" s="500">
        <f t="shared" si="5"/>
        <v>0</v>
      </c>
      <c r="AA36" s="500">
        <f t="shared" si="6"/>
        <v>0</v>
      </c>
      <c r="AB36" s="500">
        <f t="shared" si="7"/>
        <v>0</v>
      </c>
      <c r="AC36" s="500">
        <f t="shared" si="8"/>
        <v>0</v>
      </c>
      <c r="AD36" s="500">
        <f t="shared" si="9"/>
        <v>0</v>
      </c>
      <c r="AE36" s="500">
        <f t="shared" si="10"/>
        <v>0</v>
      </c>
      <c r="AF36" s="501"/>
      <c r="AG36" s="510">
        <f t="shared" si="11"/>
        <v>0</v>
      </c>
      <c r="AH36" s="510">
        <f t="shared" si="12"/>
        <v>0</v>
      </c>
      <c r="AI36" s="510">
        <f t="shared" si="13"/>
        <v>0</v>
      </c>
      <c r="AK36" s="500">
        <v>21</v>
      </c>
      <c r="AL36" s="500">
        <f>G36*1</f>
        <v>0</v>
      </c>
      <c r="AM36" s="500">
        <f>G36*(1-1)</f>
        <v>0</v>
      </c>
      <c r="AN36" s="511" t="s">
        <v>225</v>
      </c>
      <c r="AS36" s="500">
        <f t="shared" si="14"/>
        <v>0</v>
      </c>
      <c r="AT36" s="500">
        <f t="shared" si="15"/>
        <v>0</v>
      </c>
      <c r="AU36" s="500">
        <f t="shared" si="16"/>
        <v>0</v>
      </c>
      <c r="AV36" s="502" t="s">
        <v>2492</v>
      </c>
      <c r="AW36" s="502" t="s">
        <v>1755</v>
      </c>
      <c r="AX36" s="501" t="s">
        <v>1749</v>
      </c>
      <c r="AZ36" s="500">
        <f t="shared" si="17"/>
        <v>0</v>
      </c>
      <c r="BA36" s="500">
        <f t="shared" si="18"/>
        <v>0</v>
      </c>
      <c r="BB36" s="500">
        <v>0</v>
      </c>
      <c r="BC36" s="500" t="e">
        <f>#REF!</f>
        <v>#REF!</v>
      </c>
      <c r="BE36" s="510">
        <f t="shared" si="19"/>
        <v>0</v>
      </c>
      <c r="BF36" s="510">
        <f t="shared" si="20"/>
        <v>0</v>
      </c>
      <c r="BG36" s="510">
        <f t="shared" si="21"/>
        <v>0</v>
      </c>
    </row>
    <row r="37" spans="1:59" ht="12">
      <c r="A37" s="506" t="s">
        <v>303</v>
      </c>
      <c r="B37" s="506"/>
      <c r="C37" s="506" t="s">
        <v>2466</v>
      </c>
      <c r="D37" s="506" t="s">
        <v>2465</v>
      </c>
      <c r="E37" s="506" t="s">
        <v>258</v>
      </c>
      <c r="F37" s="499">
        <v>7</v>
      </c>
      <c r="G37" s="530">
        <v>0</v>
      </c>
      <c r="H37" s="499">
        <f t="shared" si="0"/>
        <v>0</v>
      </c>
      <c r="I37" s="499">
        <f t="shared" si="1"/>
        <v>0</v>
      </c>
      <c r="J37" s="499">
        <f t="shared" si="2"/>
        <v>0</v>
      </c>
      <c r="W37" s="500">
        <f t="shared" si="3"/>
        <v>0</v>
      </c>
      <c r="Y37" s="500">
        <f t="shared" si="4"/>
        <v>0</v>
      </c>
      <c r="Z37" s="500">
        <f t="shared" si="5"/>
        <v>0</v>
      </c>
      <c r="AA37" s="500">
        <f t="shared" si="6"/>
        <v>0</v>
      </c>
      <c r="AB37" s="500">
        <f t="shared" si="7"/>
        <v>0</v>
      </c>
      <c r="AC37" s="500">
        <f t="shared" si="8"/>
        <v>0</v>
      </c>
      <c r="AD37" s="500">
        <f t="shared" si="9"/>
        <v>0</v>
      </c>
      <c r="AE37" s="500">
        <f t="shared" si="10"/>
        <v>0</v>
      </c>
      <c r="AF37" s="501"/>
      <c r="AG37" s="499">
        <f t="shared" si="11"/>
        <v>0</v>
      </c>
      <c r="AH37" s="499">
        <f t="shared" si="12"/>
        <v>0</v>
      </c>
      <c r="AI37" s="499">
        <f t="shared" si="13"/>
        <v>0</v>
      </c>
      <c r="AK37" s="500">
        <v>21</v>
      </c>
      <c r="AL37" s="500">
        <f>G37*0</f>
        <v>0</v>
      </c>
      <c r="AM37" s="500">
        <f>G37*(1-0)</f>
        <v>0</v>
      </c>
      <c r="AN37" s="503" t="s">
        <v>225</v>
      </c>
      <c r="AS37" s="500">
        <f t="shared" si="14"/>
        <v>0</v>
      </c>
      <c r="AT37" s="500">
        <f t="shared" si="15"/>
        <v>0</v>
      </c>
      <c r="AU37" s="500">
        <f t="shared" si="16"/>
        <v>0</v>
      </c>
      <c r="AV37" s="502" t="s">
        <v>2492</v>
      </c>
      <c r="AW37" s="502" t="s">
        <v>1755</v>
      </c>
      <c r="AX37" s="501" t="s">
        <v>1749</v>
      </c>
      <c r="AZ37" s="500">
        <f t="shared" si="17"/>
        <v>0</v>
      </c>
      <c r="BA37" s="500">
        <f t="shared" si="18"/>
        <v>0</v>
      </c>
      <c r="BB37" s="500">
        <v>0</v>
      </c>
      <c r="BC37" s="500" t="e">
        <f>#REF!</f>
        <v>#REF!</v>
      </c>
      <c r="BE37" s="499">
        <f t="shared" si="19"/>
        <v>0</v>
      </c>
      <c r="BF37" s="499">
        <f t="shared" si="20"/>
        <v>0</v>
      </c>
      <c r="BG37" s="499">
        <f t="shared" si="21"/>
        <v>0</v>
      </c>
    </row>
    <row r="38" spans="1:59" ht="12">
      <c r="A38" s="512" t="s">
        <v>307</v>
      </c>
      <c r="B38" s="512"/>
      <c r="C38" s="512" t="s">
        <v>2533</v>
      </c>
      <c r="D38" s="512" t="s">
        <v>2532</v>
      </c>
      <c r="E38" s="512" t="s">
        <v>258</v>
      </c>
      <c r="F38" s="510">
        <v>5</v>
      </c>
      <c r="G38" s="532">
        <v>0</v>
      </c>
      <c r="H38" s="510">
        <f t="shared" si="0"/>
        <v>0</v>
      </c>
      <c r="I38" s="510">
        <f t="shared" si="1"/>
        <v>0</v>
      </c>
      <c r="J38" s="510">
        <f t="shared" si="2"/>
        <v>0</v>
      </c>
      <c r="W38" s="500">
        <f t="shared" si="3"/>
        <v>0</v>
      </c>
      <c r="Y38" s="500">
        <f t="shared" si="4"/>
        <v>0</v>
      </c>
      <c r="Z38" s="500">
        <f t="shared" si="5"/>
        <v>0</v>
      </c>
      <c r="AA38" s="500">
        <f t="shared" si="6"/>
        <v>0</v>
      </c>
      <c r="AB38" s="500">
        <f t="shared" si="7"/>
        <v>0</v>
      </c>
      <c r="AC38" s="500">
        <f t="shared" si="8"/>
        <v>0</v>
      </c>
      <c r="AD38" s="500">
        <f t="shared" si="9"/>
        <v>0</v>
      </c>
      <c r="AE38" s="500">
        <f t="shared" si="10"/>
        <v>0</v>
      </c>
      <c r="AF38" s="501"/>
      <c r="AG38" s="510">
        <f t="shared" si="11"/>
        <v>0</v>
      </c>
      <c r="AH38" s="510">
        <f t="shared" si="12"/>
        <v>0</v>
      </c>
      <c r="AI38" s="510">
        <f t="shared" si="13"/>
        <v>0</v>
      </c>
      <c r="AK38" s="500">
        <v>21</v>
      </c>
      <c r="AL38" s="500">
        <f>G38*1</f>
        <v>0</v>
      </c>
      <c r="AM38" s="500">
        <f>G38*(1-1)</f>
        <v>0</v>
      </c>
      <c r="AN38" s="511" t="s">
        <v>225</v>
      </c>
      <c r="AS38" s="500">
        <f t="shared" si="14"/>
        <v>0</v>
      </c>
      <c r="AT38" s="500">
        <f t="shared" si="15"/>
        <v>0</v>
      </c>
      <c r="AU38" s="500">
        <f t="shared" si="16"/>
        <v>0</v>
      </c>
      <c r="AV38" s="502" t="s">
        <v>2492</v>
      </c>
      <c r="AW38" s="502" t="s">
        <v>1755</v>
      </c>
      <c r="AX38" s="501" t="s">
        <v>1749</v>
      </c>
      <c r="AZ38" s="500">
        <f t="shared" si="17"/>
        <v>0</v>
      </c>
      <c r="BA38" s="500">
        <f t="shared" si="18"/>
        <v>0</v>
      </c>
      <c r="BB38" s="500">
        <v>0</v>
      </c>
      <c r="BC38" s="500" t="e">
        <f>#REF!</f>
        <v>#REF!</v>
      </c>
      <c r="BE38" s="510">
        <f t="shared" si="19"/>
        <v>0</v>
      </c>
      <c r="BF38" s="510">
        <f t="shared" si="20"/>
        <v>0</v>
      </c>
      <c r="BG38" s="510">
        <f t="shared" si="21"/>
        <v>0</v>
      </c>
    </row>
    <row r="39" spans="1:59" ht="12">
      <c r="A39" s="512" t="s">
        <v>313</v>
      </c>
      <c r="B39" s="512"/>
      <c r="C39" s="512" t="s">
        <v>2528</v>
      </c>
      <c r="D39" s="512" t="s">
        <v>2531</v>
      </c>
      <c r="E39" s="512" t="s">
        <v>258</v>
      </c>
      <c r="F39" s="510">
        <v>2</v>
      </c>
      <c r="G39" s="532">
        <v>0</v>
      </c>
      <c r="H39" s="510">
        <f t="shared" si="0"/>
        <v>0</v>
      </c>
      <c r="I39" s="510">
        <f t="shared" si="1"/>
        <v>0</v>
      </c>
      <c r="J39" s="510">
        <f t="shared" si="2"/>
        <v>0</v>
      </c>
      <c r="W39" s="500">
        <f t="shared" si="3"/>
        <v>0</v>
      </c>
      <c r="Y39" s="500">
        <f t="shared" si="4"/>
        <v>0</v>
      </c>
      <c r="Z39" s="500">
        <f t="shared" si="5"/>
        <v>0</v>
      </c>
      <c r="AA39" s="500">
        <f t="shared" si="6"/>
        <v>0</v>
      </c>
      <c r="AB39" s="500">
        <f t="shared" si="7"/>
        <v>0</v>
      </c>
      <c r="AC39" s="500">
        <f t="shared" si="8"/>
        <v>0</v>
      </c>
      <c r="AD39" s="500">
        <f t="shared" si="9"/>
        <v>0</v>
      </c>
      <c r="AE39" s="500">
        <f t="shared" si="10"/>
        <v>0</v>
      </c>
      <c r="AF39" s="501"/>
      <c r="AG39" s="510">
        <f t="shared" si="11"/>
        <v>0</v>
      </c>
      <c r="AH39" s="510">
        <f t="shared" si="12"/>
        <v>0</v>
      </c>
      <c r="AI39" s="510">
        <f t="shared" si="13"/>
        <v>0</v>
      </c>
      <c r="AK39" s="500">
        <v>21</v>
      </c>
      <c r="AL39" s="500">
        <f>G39*1</f>
        <v>0</v>
      </c>
      <c r="AM39" s="500">
        <f>G39*(1-1)</f>
        <v>0</v>
      </c>
      <c r="AN39" s="511" t="s">
        <v>225</v>
      </c>
      <c r="AS39" s="500">
        <f t="shared" si="14"/>
        <v>0</v>
      </c>
      <c r="AT39" s="500">
        <f t="shared" si="15"/>
        <v>0</v>
      </c>
      <c r="AU39" s="500">
        <f t="shared" si="16"/>
        <v>0</v>
      </c>
      <c r="AV39" s="502" t="s">
        <v>2492</v>
      </c>
      <c r="AW39" s="502" t="s">
        <v>1755</v>
      </c>
      <c r="AX39" s="501" t="s">
        <v>1749</v>
      </c>
      <c r="AZ39" s="500">
        <f t="shared" si="17"/>
        <v>0</v>
      </c>
      <c r="BA39" s="500">
        <f t="shared" si="18"/>
        <v>0</v>
      </c>
      <c r="BB39" s="500">
        <v>0</v>
      </c>
      <c r="BC39" s="500" t="e">
        <f>#REF!</f>
        <v>#REF!</v>
      </c>
      <c r="BE39" s="510">
        <f t="shared" si="19"/>
        <v>0</v>
      </c>
      <c r="BF39" s="510">
        <f t="shared" si="20"/>
        <v>0</v>
      </c>
      <c r="BG39" s="510">
        <f t="shared" si="21"/>
        <v>0</v>
      </c>
    </row>
    <row r="40" spans="1:59" ht="12">
      <c r="A40" s="506" t="s">
        <v>317</v>
      </c>
      <c r="B40" s="506"/>
      <c r="C40" s="506" t="s">
        <v>2530</v>
      </c>
      <c r="D40" s="506" t="s">
        <v>2529</v>
      </c>
      <c r="E40" s="506" t="s">
        <v>258</v>
      </c>
      <c r="F40" s="499">
        <v>1</v>
      </c>
      <c r="G40" s="530">
        <v>0</v>
      </c>
      <c r="H40" s="499">
        <f t="shared" si="0"/>
        <v>0</v>
      </c>
      <c r="I40" s="499">
        <f t="shared" si="1"/>
        <v>0</v>
      </c>
      <c r="J40" s="499">
        <f t="shared" si="2"/>
        <v>0</v>
      </c>
      <c r="W40" s="500">
        <f t="shared" si="3"/>
        <v>0</v>
      </c>
      <c r="Y40" s="500">
        <f t="shared" si="4"/>
        <v>0</v>
      </c>
      <c r="Z40" s="500">
        <f t="shared" si="5"/>
        <v>0</v>
      </c>
      <c r="AA40" s="500">
        <f t="shared" si="6"/>
        <v>0</v>
      </c>
      <c r="AB40" s="500">
        <f t="shared" si="7"/>
        <v>0</v>
      </c>
      <c r="AC40" s="500">
        <f t="shared" si="8"/>
        <v>0</v>
      </c>
      <c r="AD40" s="500">
        <f t="shared" si="9"/>
        <v>0</v>
      </c>
      <c r="AE40" s="500">
        <f t="shared" si="10"/>
        <v>0</v>
      </c>
      <c r="AF40" s="501"/>
      <c r="AG40" s="499">
        <f t="shared" si="11"/>
        <v>0</v>
      </c>
      <c r="AH40" s="499">
        <f t="shared" si="12"/>
        <v>0</v>
      </c>
      <c r="AI40" s="499">
        <f t="shared" si="13"/>
        <v>0</v>
      </c>
      <c r="AK40" s="500">
        <v>21</v>
      </c>
      <c r="AL40" s="500">
        <f>G40*0</f>
        <v>0</v>
      </c>
      <c r="AM40" s="500">
        <f>G40*(1-0)</f>
        <v>0</v>
      </c>
      <c r="AN40" s="503" t="s">
        <v>225</v>
      </c>
      <c r="AS40" s="500">
        <f t="shared" si="14"/>
        <v>0</v>
      </c>
      <c r="AT40" s="500">
        <f t="shared" si="15"/>
        <v>0</v>
      </c>
      <c r="AU40" s="500">
        <f t="shared" si="16"/>
        <v>0</v>
      </c>
      <c r="AV40" s="502" t="s">
        <v>2492</v>
      </c>
      <c r="AW40" s="502" t="s">
        <v>1755</v>
      </c>
      <c r="AX40" s="501" t="s">
        <v>1749</v>
      </c>
      <c r="AZ40" s="500">
        <f t="shared" si="17"/>
        <v>0</v>
      </c>
      <c r="BA40" s="500">
        <f t="shared" si="18"/>
        <v>0</v>
      </c>
      <c r="BB40" s="500">
        <v>0</v>
      </c>
      <c r="BC40" s="500" t="e">
        <f>#REF!</f>
        <v>#REF!</v>
      </c>
      <c r="BE40" s="499">
        <f t="shared" si="19"/>
        <v>0</v>
      </c>
      <c r="BF40" s="499">
        <f t="shared" si="20"/>
        <v>0</v>
      </c>
      <c r="BG40" s="499">
        <f t="shared" si="21"/>
        <v>0</v>
      </c>
    </row>
    <row r="41" spans="1:59" ht="12">
      <c r="A41" s="512" t="s">
        <v>322</v>
      </c>
      <c r="B41" s="512"/>
      <c r="C41" s="512" t="s">
        <v>2528</v>
      </c>
      <c r="D41" s="512" t="s">
        <v>2527</v>
      </c>
      <c r="E41" s="512" t="s">
        <v>258</v>
      </c>
      <c r="F41" s="510">
        <v>1</v>
      </c>
      <c r="G41" s="532">
        <v>0</v>
      </c>
      <c r="H41" s="510">
        <f t="shared" si="0"/>
        <v>0</v>
      </c>
      <c r="I41" s="510">
        <f t="shared" si="1"/>
        <v>0</v>
      </c>
      <c r="J41" s="510">
        <f t="shared" si="2"/>
        <v>0</v>
      </c>
      <c r="W41" s="500">
        <f t="shared" si="3"/>
        <v>0</v>
      </c>
      <c r="Y41" s="500">
        <f t="shared" si="4"/>
        <v>0</v>
      </c>
      <c r="Z41" s="500">
        <f t="shared" si="5"/>
        <v>0</v>
      </c>
      <c r="AA41" s="500">
        <f t="shared" si="6"/>
        <v>0</v>
      </c>
      <c r="AB41" s="500">
        <f t="shared" si="7"/>
        <v>0</v>
      </c>
      <c r="AC41" s="500">
        <f t="shared" si="8"/>
        <v>0</v>
      </c>
      <c r="AD41" s="500">
        <f t="shared" si="9"/>
        <v>0</v>
      </c>
      <c r="AE41" s="500">
        <f t="shared" si="10"/>
        <v>0</v>
      </c>
      <c r="AF41" s="501"/>
      <c r="AG41" s="510">
        <f t="shared" si="11"/>
        <v>0</v>
      </c>
      <c r="AH41" s="510">
        <f t="shared" si="12"/>
        <v>0</v>
      </c>
      <c r="AI41" s="510">
        <f t="shared" si="13"/>
        <v>0</v>
      </c>
      <c r="AK41" s="500">
        <v>21</v>
      </c>
      <c r="AL41" s="500">
        <f>G41*1</f>
        <v>0</v>
      </c>
      <c r="AM41" s="500">
        <f>G41*(1-1)</f>
        <v>0</v>
      </c>
      <c r="AN41" s="511" t="s">
        <v>225</v>
      </c>
      <c r="AS41" s="500">
        <f t="shared" si="14"/>
        <v>0</v>
      </c>
      <c r="AT41" s="500">
        <f t="shared" si="15"/>
        <v>0</v>
      </c>
      <c r="AU41" s="500">
        <f t="shared" si="16"/>
        <v>0</v>
      </c>
      <c r="AV41" s="502" t="s">
        <v>2492</v>
      </c>
      <c r="AW41" s="502" t="s">
        <v>1755</v>
      </c>
      <c r="AX41" s="501" t="s">
        <v>1749</v>
      </c>
      <c r="AZ41" s="500">
        <f t="shared" si="17"/>
        <v>0</v>
      </c>
      <c r="BA41" s="500">
        <f t="shared" si="18"/>
        <v>0</v>
      </c>
      <c r="BB41" s="500">
        <v>0</v>
      </c>
      <c r="BC41" s="500" t="e">
        <f>#REF!</f>
        <v>#REF!</v>
      </c>
      <c r="BE41" s="510">
        <f t="shared" si="19"/>
        <v>0</v>
      </c>
      <c r="BF41" s="510">
        <f t="shared" si="20"/>
        <v>0</v>
      </c>
      <c r="BG41" s="510">
        <f t="shared" si="21"/>
        <v>0</v>
      </c>
    </row>
    <row r="42" spans="1:59" ht="12">
      <c r="A42" s="506" t="s">
        <v>327</v>
      </c>
      <c r="B42" s="506"/>
      <c r="C42" s="506" t="s">
        <v>2368</v>
      </c>
      <c r="D42" s="506" t="s">
        <v>2367</v>
      </c>
      <c r="E42" s="506" t="s">
        <v>258</v>
      </c>
      <c r="F42" s="499">
        <v>2</v>
      </c>
      <c r="G42" s="530">
        <v>0</v>
      </c>
      <c r="H42" s="499">
        <f t="shared" si="0"/>
        <v>0</v>
      </c>
      <c r="I42" s="499">
        <f t="shared" si="1"/>
        <v>0</v>
      </c>
      <c r="J42" s="499">
        <f t="shared" si="2"/>
        <v>0</v>
      </c>
      <c r="W42" s="500">
        <f t="shared" si="3"/>
        <v>0</v>
      </c>
      <c r="Y42" s="500">
        <f t="shared" si="4"/>
        <v>0</v>
      </c>
      <c r="Z42" s="500">
        <f t="shared" si="5"/>
        <v>0</v>
      </c>
      <c r="AA42" s="500">
        <f t="shared" si="6"/>
        <v>0</v>
      </c>
      <c r="AB42" s="500">
        <f t="shared" si="7"/>
        <v>0</v>
      </c>
      <c r="AC42" s="500">
        <f t="shared" si="8"/>
        <v>0</v>
      </c>
      <c r="AD42" s="500">
        <f t="shared" si="9"/>
        <v>0</v>
      </c>
      <c r="AE42" s="500">
        <f t="shared" si="10"/>
        <v>0</v>
      </c>
      <c r="AF42" s="501"/>
      <c r="AG42" s="499">
        <f t="shared" si="11"/>
        <v>0</v>
      </c>
      <c r="AH42" s="499">
        <f t="shared" si="12"/>
        <v>0</v>
      </c>
      <c r="AI42" s="499">
        <f t="shared" si="13"/>
        <v>0</v>
      </c>
      <c r="AK42" s="500">
        <v>21</v>
      </c>
      <c r="AL42" s="500">
        <f>G42*0</f>
        <v>0</v>
      </c>
      <c r="AM42" s="500">
        <f>G42*(1-0)</f>
        <v>0</v>
      </c>
      <c r="AN42" s="503" t="s">
        <v>225</v>
      </c>
      <c r="AS42" s="500">
        <f t="shared" si="14"/>
        <v>0</v>
      </c>
      <c r="AT42" s="500">
        <f t="shared" si="15"/>
        <v>0</v>
      </c>
      <c r="AU42" s="500">
        <f t="shared" si="16"/>
        <v>0</v>
      </c>
      <c r="AV42" s="502" t="s">
        <v>2492</v>
      </c>
      <c r="AW42" s="502" t="s">
        <v>1755</v>
      </c>
      <c r="AX42" s="501" t="s">
        <v>1749</v>
      </c>
      <c r="AZ42" s="500">
        <f t="shared" si="17"/>
        <v>0</v>
      </c>
      <c r="BA42" s="500">
        <f t="shared" si="18"/>
        <v>0</v>
      </c>
      <c r="BB42" s="500">
        <v>0</v>
      </c>
      <c r="BC42" s="500" t="e">
        <f>#REF!</f>
        <v>#REF!</v>
      </c>
      <c r="BE42" s="499">
        <f t="shared" si="19"/>
        <v>0</v>
      </c>
      <c r="BF42" s="499">
        <f t="shared" si="20"/>
        <v>0</v>
      </c>
      <c r="BG42" s="499">
        <f t="shared" si="21"/>
        <v>0</v>
      </c>
    </row>
    <row r="43" spans="1:59" ht="12">
      <c r="A43" s="506" t="s">
        <v>331</v>
      </c>
      <c r="B43" s="506"/>
      <c r="C43" s="506" t="s">
        <v>2526</v>
      </c>
      <c r="D43" s="506" t="s">
        <v>2525</v>
      </c>
      <c r="E43" s="506" t="s">
        <v>258</v>
      </c>
      <c r="F43" s="499">
        <v>1</v>
      </c>
      <c r="G43" s="530">
        <v>0</v>
      </c>
      <c r="H43" s="499">
        <f t="shared" si="0"/>
        <v>0</v>
      </c>
      <c r="I43" s="499">
        <f t="shared" si="1"/>
        <v>0</v>
      </c>
      <c r="J43" s="499">
        <f t="shared" si="2"/>
        <v>0</v>
      </c>
      <c r="W43" s="500">
        <f t="shared" si="3"/>
        <v>0</v>
      </c>
      <c r="Y43" s="500">
        <f t="shared" si="4"/>
        <v>0</v>
      </c>
      <c r="Z43" s="500">
        <f t="shared" si="5"/>
        <v>0</v>
      </c>
      <c r="AA43" s="500">
        <f t="shared" si="6"/>
        <v>0</v>
      </c>
      <c r="AB43" s="500">
        <f t="shared" si="7"/>
        <v>0</v>
      </c>
      <c r="AC43" s="500">
        <f t="shared" si="8"/>
        <v>0</v>
      </c>
      <c r="AD43" s="500">
        <f t="shared" si="9"/>
        <v>0</v>
      </c>
      <c r="AE43" s="500">
        <f t="shared" si="10"/>
        <v>0</v>
      </c>
      <c r="AF43" s="501"/>
      <c r="AG43" s="499">
        <f t="shared" si="11"/>
        <v>0</v>
      </c>
      <c r="AH43" s="499">
        <f t="shared" si="12"/>
        <v>0</v>
      </c>
      <c r="AI43" s="499">
        <f t="shared" si="13"/>
        <v>0</v>
      </c>
      <c r="AK43" s="500">
        <v>21</v>
      </c>
      <c r="AL43" s="500">
        <f>G43*1</f>
        <v>0</v>
      </c>
      <c r="AM43" s="500">
        <f>G43*(1-1)</f>
        <v>0</v>
      </c>
      <c r="AN43" s="503" t="s">
        <v>225</v>
      </c>
      <c r="AS43" s="500">
        <f t="shared" si="14"/>
        <v>0</v>
      </c>
      <c r="AT43" s="500">
        <f t="shared" si="15"/>
        <v>0</v>
      </c>
      <c r="AU43" s="500">
        <f t="shared" si="16"/>
        <v>0</v>
      </c>
      <c r="AV43" s="502" t="s">
        <v>2492</v>
      </c>
      <c r="AW43" s="502" t="s">
        <v>1755</v>
      </c>
      <c r="AX43" s="501" t="s">
        <v>1749</v>
      </c>
      <c r="AZ43" s="500">
        <f t="shared" si="17"/>
        <v>0</v>
      </c>
      <c r="BA43" s="500">
        <f t="shared" si="18"/>
        <v>0</v>
      </c>
      <c r="BB43" s="500">
        <v>0</v>
      </c>
      <c r="BC43" s="500" t="e">
        <f>#REF!</f>
        <v>#REF!</v>
      </c>
      <c r="BE43" s="499">
        <f t="shared" si="19"/>
        <v>0</v>
      </c>
      <c r="BF43" s="499">
        <f t="shared" si="20"/>
        <v>0</v>
      </c>
      <c r="BG43" s="499">
        <f t="shared" si="21"/>
        <v>0</v>
      </c>
    </row>
    <row r="44" spans="1:59" ht="12">
      <c r="A44" s="506" t="s">
        <v>336</v>
      </c>
      <c r="B44" s="506"/>
      <c r="C44" s="506" t="s">
        <v>2458</v>
      </c>
      <c r="D44" s="506" t="s">
        <v>2457</v>
      </c>
      <c r="E44" s="506" t="s">
        <v>258</v>
      </c>
      <c r="F44" s="499">
        <v>1</v>
      </c>
      <c r="G44" s="530">
        <v>0</v>
      </c>
      <c r="H44" s="499">
        <f t="shared" si="0"/>
        <v>0</v>
      </c>
      <c r="I44" s="499">
        <f t="shared" si="1"/>
        <v>0</v>
      </c>
      <c r="J44" s="499">
        <f t="shared" si="2"/>
        <v>0</v>
      </c>
      <c r="W44" s="500">
        <f t="shared" si="3"/>
        <v>0</v>
      </c>
      <c r="Y44" s="500">
        <f t="shared" si="4"/>
        <v>0</v>
      </c>
      <c r="Z44" s="500">
        <f t="shared" si="5"/>
        <v>0</v>
      </c>
      <c r="AA44" s="500">
        <f t="shared" si="6"/>
        <v>0</v>
      </c>
      <c r="AB44" s="500">
        <f t="shared" si="7"/>
        <v>0</v>
      </c>
      <c r="AC44" s="500">
        <f t="shared" si="8"/>
        <v>0</v>
      </c>
      <c r="AD44" s="500">
        <f t="shared" si="9"/>
        <v>0</v>
      </c>
      <c r="AE44" s="500">
        <f t="shared" si="10"/>
        <v>0</v>
      </c>
      <c r="AF44" s="501"/>
      <c r="AG44" s="499">
        <f t="shared" si="11"/>
        <v>0</v>
      </c>
      <c r="AH44" s="499">
        <f t="shared" si="12"/>
        <v>0</v>
      </c>
      <c r="AI44" s="499">
        <f t="shared" si="13"/>
        <v>0</v>
      </c>
      <c r="AK44" s="500">
        <v>21</v>
      </c>
      <c r="AL44" s="500">
        <f>G44*1</f>
        <v>0</v>
      </c>
      <c r="AM44" s="500">
        <f>G44*(1-1)</f>
        <v>0</v>
      </c>
      <c r="AN44" s="503" t="s">
        <v>225</v>
      </c>
      <c r="AS44" s="500">
        <f t="shared" si="14"/>
        <v>0</v>
      </c>
      <c r="AT44" s="500">
        <f t="shared" si="15"/>
        <v>0</v>
      </c>
      <c r="AU44" s="500">
        <f t="shared" si="16"/>
        <v>0</v>
      </c>
      <c r="AV44" s="502" t="s">
        <v>2492</v>
      </c>
      <c r="AW44" s="502" t="s">
        <v>1755</v>
      </c>
      <c r="AX44" s="501" t="s">
        <v>1749</v>
      </c>
      <c r="AZ44" s="500">
        <f t="shared" si="17"/>
        <v>0</v>
      </c>
      <c r="BA44" s="500">
        <f t="shared" si="18"/>
        <v>0</v>
      </c>
      <c r="BB44" s="500">
        <v>0</v>
      </c>
      <c r="BC44" s="500" t="e">
        <f>#REF!</f>
        <v>#REF!</v>
      </c>
      <c r="BE44" s="499">
        <f t="shared" si="19"/>
        <v>0</v>
      </c>
      <c r="BF44" s="499">
        <f t="shared" si="20"/>
        <v>0</v>
      </c>
      <c r="BG44" s="499">
        <f t="shared" si="21"/>
        <v>0</v>
      </c>
    </row>
    <row r="45" spans="1:59" ht="12">
      <c r="A45" s="506" t="s">
        <v>340</v>
      </c>
      <c r="B45" s="506"/>
      <c r="C45" s="506" t="s">
        <v>2456</v>
      </c>
      <c r="D45" s="506" t="s">
        <v>2455</v>
      </c>
      <c r="E45" s="506" t="s">
        <v>258</v>
      </c>
      <c r="F45" s="499">
        <v>3</v>
      </c>
      <c r="G45" s="530">
        <v>0</v>
      </c>
      <c r="H45" s="499">
        <f t="shared" si="0"/>
        <v>0</v>
      </c>
      <c r="I45" s="499">
        <f t="shared" si="1"/>
        <v>0</v>
      </c>
      <c r="J45" s="499">
        <f t="shared" si="2"/>
        <v>0</v>
      </c>
      <c r="W45" s="500">
        <f t="shared" si="3"/>
        <v>0</v>
      </c>
      <c r="Y45" s="500">
        <f t="shared" si="4"/>
        <v>0</v>
      </c>
      <c r="Z45" s="500">
        <f t="shared" si="5"/>
        <v>0</v>
      </c>
      <c r="AA45" s="500">
        <f t="shared" si="6"/>
        <v>0</v>
      </c>
      <c r="AB45" s="500">
        <f t="shared" si="7"/>
        <v>0</v>
      </c>
      <c r="AC45" s="500">
        <f t="shared" si="8"/>
        <v>0</v>
      </c>
      <c r="AD45" s="500">
        <f t="shared" si="9"/>
        <v>0</v>
      </c>
      <c r="AE45" s="500">
        <f t="shared" si="10"/>
        <v>0</v>
      </c>
      <c r="AF45" s="501"/>
      <c r="AG45" s="499">
        <f t="shared" si="11"/>
        <v>0</v>
      </c>
      <c r="AH45" s="499">
        <f t="shared" si="12"/>
        <v>0</v>
      </c>
      <c r="AI45" s="499">
        <f t="shared" si="13"/>
        <v>0</v>
      </c>
      <c r="AK45" s="500">
        <v>21</v>
      </c>
      <c r="AL45" s="500">
        <f>G45*0</f>
        <v>0</v>
      </c>
      <c r="AM45" s="500">
        <f>G45*(1-0)</f>
        <v>0</v>
      </c>
      <c r="AN45" s="503" t="s">
        <v>225</v>
      </c>
      <c r="AS45" s="500">
        <f t="shared" si="14"/>
        <v>0</v>
      </c>
      <c r="AT45" s="500">
        <f t="shared" si="15"/>
        <v>0</v>
      </c>
      <c r="AU45" s="500">
        <f t="shared" si="16"/>
        <v>0</v>
      </c>
      <c r="AV45" s="502" t="s">
        <v>2492</v>
      </c>
      <c r="AW45" s="502" t="s">
        <v>1755</v>
      </c>
      <c r="AX45" s="501" t="s">
        <v>1749</v>
      </c>
      <c r="AZ45" s="500">
        <f t="shared" si="17"/>
        <v>0</v>
      </c>
      <c r="BA45" s="500">
        <f t="shared" si="18"/>
        <v>0</v>
      </c>
      <c r="BB45" s="500">
        <v>0</v>
      </c>
      <c r="BC45" s="500" t="e">
        <f>#REF!</f>
        <v>#REF!</v>
      </c>
      <c r="BE45" s="499">
        <f t="shared" si="19"/>
        <v>0</v>
      </c>
      <c r="BF45" s="499">
        <f t="shared" si="20"/>
        <v>0</v>
      </c>
      <c r="BG45" s="499">
        <f t="shared" si="21"/>
        <v>0</v>
      </c>
    </row>
    <row r="46" spans="1:59" ht="12">
      <c r="A46" s="506" t="s">
        <v>344</v>
      </c>
      <c r="B46" s="506"/>
      <c r="C46" s="506" t="s">
        <v>2524</v>
      </c>
      <c r="D46" s="506" t="s">
        <v>2523</v>
      </c>
      <c r="E46" s="506" t="s">
        <v>258</v>
      </c>
      <c r="F46" s="499">
        <v>1</v>
      </c>
      <c r="G46" s="530">
        <v>0</v>
      </c>
      <c r="H46" s="499">
        <f t="shared" si="0"/>
        <v>0</v>
      </c>
      <c r="I46" s="499">
        <f t="shared" si="1"/>
        <v>0</v>
      </c>
      <c r="J46" s="499">
        <f t="shared" si="2"/>
        <v>0</v>
      </c>
      <c r="W46" s="500">
        <f t="shared" si="3"/>
        <v>0</v>
      </c>
      <c r="Y46" s="500">
        <f t="shared" si="4"/>
        <v>0</v>
      </c>
      <c r="Z46" s="500">
        <f t="shared" si="5"/>
        <v>0</v>
      </c>
      <c r="AA46" s="500">
        <f t="shared" si="6"/>
        <v>0</v>
      </c>
      <c r="AB46" s="500">
        <f t="shared" si="7"/>
        <v>0</v>
      </c>
      <c r="AC46" s="500">
        <f t="shared" si="8"/>
        <v>0</v>
      </c>
      <c r="AD46" s="500">
        <f t="shared" si="9"/>
        <v>0</v>
      </c>
      <c r="AE46" s="500">
        <f t="shared" si="10"/>
        <v>0</v>
      </c>
      <c r="AF46" s="501"/>
      <c r="AG46" s="499">
        <f t="shared" si="11"/>
        <v>0</v>
      </c>
      <c r="AH46" s="499">
        <f t="shared" si="12"/>
        <v>0</v>
      </c>
      <c r="AI46" s="499">
        <f t="shared" si="13"/>
        <v>0</v>
      </c>
      <c r="AK46" s="500">
        <v>21</v>
      </c>
      <c r="AL46" s="500">
        <f>G46*1</f>
        <v>0</v>
      </c>
      <c r="AM46" s="500">
        <f>G46*(1-1)</f>
        <v>0</v>
      </c>
      <c r="AN46" s="503" t="s">
        <v>225</v>
      </c>
      <c r="AS46" s="500">
        <f t="shared" si="14"/>
        <v>0</v>
      </c>
      <c r="AT46" s="500">
        <f t="shared" si="15"/>
        <v>0</v>
      </c>
      <c r="AU46" s="500">
        <f t="shared" si="16"/>
        <v>0</v>
      </c>
      <c r="AV46" s="502" t="s">
        <v>2492</v>
      </c>
      <c r="AW46" s="502" t="s">
        <v>1755</v>
      </c>
      <c r="AX46" s="501" t="s">
        <v>1749</v>
      </c>
      <c r="AZ46" s="500">
        <f t="shared" si="17"/>
        <v>0</v>
      </c>
      <c r="BA46" s="500">
        <f t="shared" si="18"/>
        <v>0</v>
      </c>
      <c r="BB46" s="500">
        <v>0</v>
      </c>
      <c r="BC46" s="500" t="e">
        <f>#REF!</f>
        <v>#REF!</v>
      </c>
      <c r="BE46" s="499">
        <f t="shared" si="19"/>
        <v>0</v>
      </c>
      <c r="BF46" s="499">
        <f t="shared" si="20"/>
        <v>0</v>
      </c>
      <c r="BG46" s="499">
        <f t="shared" si="21"/>
        <v>0</v>
      </c>
    </row>
    <row r="47" spans="1:59" ht="12">
      <c r="A47" s="506" t="s">
        <v>348</v>
      </c>
      <c r="B47" s="506"/>
      <c r="C47" s="506" t="s">
        <v>2522</v>
      </c>
      <c r="D47" s="506" t="s">
        <v>2521</v>
      </c>
      <c r="E47" s="506" t="s">
        <v>258</v>
      </c>
      <c r="F47" s="499">
        <v>1</v>
      </c>
      <c r="G47" s="530">
        <v>0</v>
      </c>
      <c r="H47" s="499">
        <f t="shared" si="0"/>
        <v>0</v>
      </c>
      <c r="I47" s="499">
        <f t="shared" si="1"/>
        <v>0</v>
      </c>
      <c r="J47" s="499">
        <f t="shared" si="2"/>
        <v>0</v>
      </c>
      <c r="W47" s="500">
        <f aca="true" t="shared" si="22" ref="W47:W63">IF(AN47="5",BG47,0)</f>
        <v>0</v>
      </c>
      <c r="Y47" s="500">
        <f aca="true" t="shared" si="23" ref="Y47:Y63">IF(AN47="1",BE47,0)</f>
        <v>0</v>
      </c>
      <c r="Z47" s="500">
        <f aca="true" t="shared" si="24" ref="Z47:Z63">IF(AN47="1",BF47,0)</f>
        <v>0</v>
      </c>
      <c r="AA47" s="500">
        <f aca="true" t="shared" si="25" ref="AA47:AA63">IF(AN47="7",BE47,0)</f>
        <v>0</v>
      </c>
      <c r="AB47" s="500">
        <f aca="true" t="shared" si="26" ref="AB47:AB63">IF(AN47="7",BF47,0)</f>
        <v>0</v>
      </c>
      <c r="AC47" s="500">
        <f aca="true" t="shared" si="27" ref="AC47:AC63">IF(AN47="2",BE47,0)</f>
        <v>0</v>
      </c>
      <c r="AD47" s="500">
        <f aca="true" t="shared" si="28" ref="AD47:AD63">IF(AN47="2",BF47,0)</f>
        <v>0</v>
      </c>
      <c r="AE47" s="500">
        <f aca="true" t="shared" si="29" ref="AE47:AE63">IF(AN47="0",BG47,0)</f>
        <v>0</v>
      </c>
      <c r="AF47" s="501"/>
      <c r="AG47" s="499">
        <f aca="true" t="shared" si="30" ref="AG47:AG63">IF(AK47=0,J47,0)</f>
        <v>0</v>
      </c>
      <c r="AH47" s="499">
        <f aca="true" t="shared" si="31" ref="AH47:AH63">IF(AK47=15,J47,0)</f>
        <v>0</v>
      </c>
      <c r="AI47" s="499">
        <f aca="true" t="shared" si="32" ref="AI47:AI63">IF(AK47=21,J47,0)</f>
        <v>0</v>
      </c>
      <c r="AK47" s="500">
        <v>21</v>
      </c>
      <c r="AL47" s="500">
        <f>G47*1</f>
        <v>0</v>
      </c>
      <c r="AM47" s="500">
        <f>G47*(1-1)</f>
        <v>0</v>
      </c>
      <c r="AN47" s="503" t="s">
        <v>225</v>
      </c>
      <c r="AS47" s="500">
        <f aca="true" t="shared" si="33" ref="AS47:AS63">AT47+AU47</f>
        <v>0</v>
      </c>
      <c r="AT47" s="500">
        <f aca="true" t="shared" si="34" ref="AT47:AT63">F47*AL47</f>
        <v>0</v>
      </c>
      <c r="AU47" s="500">
        <f aca="true" t="shared" si="35" ref="AU47:AU63">F47*AM47</f>
        <v>0</v>
      </c>
      <c r="AV47" s="502" t="s">
        <v>2492</v>
      </c>
      <c r="AW47" s="502" t="s">
        <v>1755</v>
      </c>
      <c r="AX47" s="501" t="s">
        <v>1749</v>
      </c>
      <c r="AZ47" s="500">
        <f aca="true" t="shared" si="36" ref="AZ47:AZ63">AT47+AU47</f>
        <v>0</v>
      </c>
      <c r="BA47" s="500">
        <f aca="true" t="shared" si="37" ref="BA47:BA63">G47/(100-BB47)*100</f>
        <v>0</v>
      </c>
      <c r="BB47" s="500">
        <v>0</v>
      </c>
      <c r="BC47" s="500" t="e">
        <f>#REF!</f>
        <v>#REF!</v>
      </c>
      <c r="BE47" s="499">
        <f aca="true" t="shared" si="38" ref="BE47:BE63">F47*AL47</f>
        <v>0</v>
      </c>
      <c r="BF47" s="499">
        <f aca="true" t="shared" si="39" ref="BF47:BF63">F47*AM47</f>
        <v>0</v>
      </c>
      <c r="BG47" s="499">
        <f aca="true" t="shared" si="40" ref="BG47:BG63">F47*G47</f>
        <v>0</v>
      </c>
    </row>
    <row r="48" spans="1:59" ht="12">
      <c r="A48" s="506" t="s">
        <v>353</v>
      </c>
      <c r="B48" s="506"/>
      <c r="C48" s="506" t="s">
        <v>2520</v>
      </c>
      <c r="D48" s="506" t="s">
        <v>2519</v>
      </c>
      <c r="E48" s="506" t="s">
        <v>258</v>
      </c>
      <c r="F48" s="499">
        <v>1</v>
      </c>
      <c r="G48" s="530">
        <v>0</v>
      </c>
      <c r="H48" s="499">
        <f t="shared" si="0"/>
        <v>0</v>
      </c>
      <c r="I48" s="499">
        <f t="shared" si="1"/>
        <v>0</v>
      </c>
      <c r="J48" s="499">
        <f t="shared" si="2"/>
        <v>0</v>
      </c>
      <c r="W48" s="500">
        <f t="shared" si="22"/>
        <v>0</v>
      </c>
      <c r="Y48" s="500">
        <f t="shared" si="23"/>
        <v>0</v>
      </c>
      <c r="Z48" s="500">
        <f t="shared" si="24"/>
        <v>0</v>
      </c>
      <c r="AA48" s="500">
        <f t="shared" si="25"/>
        <v>0</v>
      </c>
      <c r="AB48" s="500">
        <f t="shared" si="26"/>
        <v>0</v>
      </c>
      <c r="AC48" s="500">
        <f t="shared" si="27"/>
        <v>0</v>
      </c>
      <c r="AD48" s="500">
        <f t="shared" si="28"/>
        <v>0</v>
      </c>
      <c r="AE48" s="500">
        <f t="shared" si="29"/>
        <v>0</v>
      </c>
      <c r="AF48" s="501"/>
      <c r="AG48" s="499">
        <f t="shared" si="30"/>
        <v>0</v>
      </c>
      <c r="AH48" s="499">
        <f t="shared" si="31"/>
        <v>0</v>
      </c>
      <c r="AI48" s="499">
        <f t="shared" si="32"/>
        <v>0</v>
      </c>
      <c r="AK48" s="500">
        <v>21</v>
      </c>
      <c r="AL48" s="500">
        <f>G48*1</f>
        <v>0</v>
      </c>
      <c r="AM48" s="500">
        <f>G48*(1-1)</f>
        <v>0</v>
      </c>
      <c r="AN48" s="503" t="s">
        <v>225</v>
      </c>
      <c r="AS48" s="500">
        <f t="shared" si="33"/>
        <v>0</v>
      </c>
      <c r="AT48" s="500">
        <f t="shared" si="34"/>
        <v>0</v>
      </c>
      <c r="AU48" s="500">
        <f t="shared" si="35"/>
        <v>0</v>
      </c>
      <c r="AV48" s="502" t="s">
        <v>2492</v>
      </c>
      <c r="AW48" s="502" t="s">
        <v>1755</v>
      </c>
      <c r="AX48" s="501" t="s">
        <v>1749</v>
      </c>
      <c r="AZ48" s="500">
        <f t="shared" si="36"/>
        <v>0</v>
      </c>
      <c r="BA48" s="500">
        <f t="shared" si="37"/>
        <v>0</v>
      </c>
      <c r="BB48" s="500">
        <v>0</v>
      </c>
      <c r="BC48" s="500" t="e">
        <f>#REF!</f>
        <v>#REF!</v>
      </c>
      <c r="BE48" s="499">
        <f t="shared" si="38"/>
        <v>0</v>
      </c>
      <c r="BF48" s="499">
        <f t="shared" si="39"/>
        <v>0</v>
      </c>
      <c r="BG48" s="499">
        <f t="shared" si="40"/>
        <v>0</v>
      </c>
    </row>
    <row r="49" spans="1:59" ht="12">
      <c r="A49" s="506" t="s">
        <v>357</v>
      </c>
      <c r="B49" s="506"/>
      <c r="C49" s="506" t="s">
        <v>2518</v>
      </c>
      <c r="D49" s="506" t="s">
        <v>2517</v>
      </c>
      <c r="E49" s="506" t="s">
        <v>258</v>
      </c>
      <c r="F49" s="499">
        <v>1</v>
      </c>
      <c r="G49" s="530">
        <v>0</v>
      </c>
      <c r="H49" s="499">
        <f t="shared" si="0"/>
        <v>0</v>
      </c>
      <c r="I49" s="499">
        <f t="shared" si="1"/>
        <v>0</v>
      </c>
      <c r="J49" s="499">
        <f t="shared" si="2"/>
        <v>0</v>
      </c>
      <c r="W49" s="500">
        <f t="shared" si="22"/>
        <v>0</v>
      </c>
      <c r="Y49" s="500">
        <f t="shared" si="23"/>
        <v>0</v>
      </c>
      <c r="Z49" s="500">
        <f t="shared" si="24"/>
        <v>0</v>
      </c>
      <c r="AA49" s="500">
        <f t="shared" si="25"/>
        <v>0</v>
      </c>
      <c r="AB49" s="500">
        <f t="shared" si="26"/>
        <v>0</v>
      </c>
      <c r="AC49" s="500">
        <f t="shared" si="27"/>
        <v>0</v>
      </c>
      <c r="AD49" s="500">
        <f t="shared" si="28"/>
        <v>0</v>
      </c>
      <c r="AE49" s="500">
        <f t="shared" si="29"/>
        <v>0</v>
      </c>
      <c r="AF49" s="501"/>
      <c r="AG49" s="499">
        <f t="shared" si="30"/>
        <v>0</v>
      </c>
      <c r="AH49" s="499">
        <f t="shared" si="31"/>
        <v>0</v>
      </c>
      <c r="AI49" s="499">
        <f t="shared" si="32"/>
        <v>0</v>
      </c>
      <c r="AK49" s="500">
        <v>21</v>
      </c>
      <c r="AL49" s="500">
        <f>G49*0</f>
        <v>0</v>
      </c>
      <c r="AM49" s="500">
        <f>G49*(1-0)</f>
        <v>0</v>
      </c>
      <c r="AN49" s="503" t="s">
        <v>225</v>
      </c>
      <c r="AS49" s="500">
        <f t="shared" si="33"/>
        <v>0</v>
      </c>
      <c r="AT49" s="500">
        <f t="shared" si="34"/>
        <v>0</v>
      </c>
      <c r="AU49" s="500">
        <f t="shared" si="35"/>
        <v>0</v>
      </c>
      <c r="AV49" s="502" t="s">
        <v>2492</v>
      </c>
      <c r="AW49" s="502" t="s">
        <v>1755</v>
      </c>
      <c r="AX49" s="501" t="s">
        <v>1749</v>
      </c>
      <c r="AZ49" s="500">
        <f t="shared" si="36"/>
        <v>0</v>
      </c>
      <c r="BA49" s="500">
        <f t="shared" si="37"/>
        <v>0</v>
      </c>
      <c r="BB49" s="500">
        <v>0</v>
      </c>
      <c r="BC49" s="500" t="e">
        <f>#REF!</f>
        <v>#REF!</v>
      </c>
      <c r="BE49" s="499">
        <f t="shared" si="38"/>
        <v>0</v>
      </c>
      <c r="BF49" s="499">
        <f t="shared" si="39"/>
        <v>0</v>
      </c>
      <c r="BG49" s="499">
        <f t="shared" si="40"/>
        <v>0</v>
      </c>
    </row>
    <row r="50" spans="1:59" ht="12">
      <c r="A50" s="506" t="s">
        <v>362</v>
      </c>
      <c r="B50" s="506"/>
      <c r="C50" s="506" t="s">
        <v>2516</v>
      </c>
      <c r="D50" s="506" t="s">
        <v>2515</v>
      </c>
      <c r="E50" s="506" t="s">
        <v>258</v>
      </c>
      <c r="F50" s="499">
        <v>1</v>
      </c>
      <c r="G50" s="530">
        <v>0</v>
      </c>
      <c r="H50" s="499">
        <f t="shared" si="0"/>
        <v>0</v>
      </c>
      <c r="I50" s="499">
        <f t="shared" si="1"/>
        <v>0</v>
      </c>
      <c r="J50" s="499">
        <f t="shared" si="2"/>
        <v>0</v>
      </c>
      <c r="W50" s="500">
        <f t="shared" si="22"/>
        <v>0</v>
      </c>
      <c r="Y50" s="500">
        <f t="shared" si="23"/>
        <v>0</v>
      </c>
      <c r="Z50" s="500">
        <f t="shared" si="24"/>
        <v>0</v>
      </c>
      <c r="AA50" s="500">
        <f t="shared" si="25"/>
        <v>0</v>
      </c>
      <c r="AB50" s="500">
        <f t="shared" si="26"/>
        <v>0</v>
      </c>
      <c r="AC50" s="500">
        <f t="shared" si="27"/>
        <v>0</v>
      </c>
      <c r="AD50" s="500">
        <f t="shared" si="28"/>
        <v>0</v>
      </c>
      <c r="AE50" s="500">
        <f t="shared" si="29"/>
        <v>0</v>
      </c>
      <c r="AF50" s="501"/>
      <c r="AG50" s="499">
        <f t="shared" si="30"/>
        <v>0</v>
      </c>
      <c r="AH50" s="499">
        <f t="shared" si="31"/>
        <v>0</v>
      </c>
      <c r="AI50" s="499">
        <f t="shared" si="32"/>
        <v>0</v>
      </c>
      <c r="AK50" s="500">
        <v>21</v>
      </c>
      <c r="AL50" s="500">
        <f>G50*1</f>
        <v>0</v>
      </c>
      <c r="AM50" s="500">
        <f>G50*(1-1)</f>
        <v>0</v>
      </c>
      <c r="AN50" s="503" t="s">
        <v>225</v>
      </c>
      <c r="AS50" s="500">
        <f t="shared" si="33"/>
        <v>0</v>
      </c>
      <c r="AT50" s="500">
        <f t="shared" si="34"/>
        <v>0</v>
      </c>
      <c r="AU50" s="500">
        <f t="shared" si="35"/>
        <v>0</v>
      </c>
      <c r="AV50" s="502" t="s">
        <v>2492</v>
      </c>
      <c r="AW50" s="502" t="s">
        <v>1755</v>
      </c>
      <c r="AX50" s="501" t="s">
        <v>1749</v>
      </c>
      <c r="AZ50" s="500">
        <f t="shared" si="36"/>
        <v>0</v>
      </c>
      <c r="BA50" s="500">
        <f t="shared" si="37"/>
        <v>0</v>
      </c>
      <c r="BB50" s="500">
        <v>0</v>
      </c>
      <c r="BC50" s="500" t="e">
        <f>#REF!</f>
        <v>#REF!</v>
      </c>
      <c r="BE50" s="499">
        <f t="shared" si="38"/>
        <v>0</v>
      </c>
      <c r="BF50" s="499">
        <f t="shared" si="39"/>
        <v>0</v>
      </c>
      <c r="BG50" s="499">
        <f t="shared" si="40"/>
        <v>0</v>
      </c>
    </row>
    <row r="51" spans="1:59" ht="12">
      <c r="A51" s="506" t="s">
        <v>366</v>
      </c>
      <c r="B51" s="506"/>
      <c r="C51" s="506" t="s">
        <v>2420</v>
      </c>
      <c r="D51" s="506" t="s">
        <v>2419</v>
      </c>
      <c r="E51" s="506" t="s">
        <v>310</v>
      </c>
      <c r="F51" s="499">
        <v>19</v>
      </c>
      <c r="G51" s="530">
        <v>0</v>
      </c>
      <c r="H51" s="499">
        <f t="shared" si="0"/>
        <v>0</v>
      </c>
      <c r="I51" s="499">
        <f t="shared" si="1"/>
        <v>0</v>
      </c>
      <c r="J51" s="499">
        <f t="shared" si="2"/>
        <v>0</v>
      </c>
      <c r="W51" s="500">
        <f t="shared" si="22"/>
        <v>0</v>
      </c>
      <c r="Y51" s="500">
        <f t="shared" si="23"/>
        <v>0</v>
      </c>
      <c r="Z51" s="500">
        <f t="shared" si="24"/>
        <v>0</v>
      </c>
      <c r="AA51" s="500">
        <f t="shared" si="25"/>
        <v>0</v>
      </c>
      <c r="AB51" s="500">
        <f t="shared" si="26"/>
        <v>0</v>
      </c>
      <c r="AC51" s="500">
        <f t="shared" si="27"/>
        <v>0</v>
      </c>
      <c r="AD51" s="500">
        <f t="shared" si="28"/>
        <v>0</v>
      </c>
      <c r="AE51" s="500">
        <f t="shared" si="29"/>
        <v>0</v>
      </c>
      <c r="AF51" s="501"/>
      <c r="AG51" s="499">
        <f t="shared" si="30"/>
        <v>0</v>
      </c>
      <c r="AH51" s="499">
        <f t="shared" si="31"/>
        <v>0</v>
      </c>
      <c r="AI51" s="499">
        <f t="shared" si="32"/>
        <v>0</v>
      </c>
      <c r="AK51" s="500">
        <v>21</v>
      </c>
      <c r="AL51" s="500">
        <f>G51*0</f>
        <v>0</v>
      </c>
      <c r="AM51" s="500">
        <f>G51*(1-0)</f>
        <v>0</v>
      </c>
      <c r="AN51" s="503" t="s">
        <v>225</v>
      </c>
      <c r="AS51" s="500">
        <f t="shared" si="33"/>
        <v>0</v>
      </c>
      <c r="AT51" s="500">
        <f t="shared" si="34"/>
        <v>0</v>
      </c>
      <c r="AU51" s="500">
        <f t="shared" si="35"/>
        <v>0</v>
      </c>
      <c r="AV51" s="502" t="s">
        <v>2492</v>
      </c>
      <c r="AW51" s="502" t="s">
        <v>1755</v>
      </c>
      <c r="AX51" s="501" t="s">
        <v>1749</v>
      </c>
      <c r="AZ51" s="500">
        <f t="shared" si="36"/>
        <v>0</v>
      </c>
      <c r="BA51" s="500">
        <f t="shared" si="37"/>
        <v>0</v>
      </c>
      <c r="BB51" s="500">
        <v>0</v>
      </c>
      <c r="BC51" s="500" t="e">
        <f>#REF!</f>
        <v>#REF!</v>
      </c>
      <c r="BE51" s="499">
        <f t="shared" si="38"/>
        <v>0</v>
      </c>
      <c r="BF51" s="499">
        <f t="shared" si="39"/>
        <v>0</v>
      </c>
      <c r="BG51" s="499">
        <f t="shared" si="40"/>
        <v>0</v>
      </c>
    </row>
    <row r="52" spans="1:59" ht="12">
      <c r="A52" s="512" t="s">
        <v>370</v>
      </c>
      <c r="B52" s="512"/>
      <c r="C52" s="512" t="s">
        <v>2575</v>
      </c>
      <c r="D52" s="512" t="s">
        <v>2417</v>
      </c>
      <c r="E52" s="512" t="s">
        <v>2384</v>
      </c>
      <c r="F52" s="510">
        <v>10</v>
      </c>
      <c r="G52" s="532">
        <v>0</v>
      </c>
      <c r="H52" s="510">
        <f t="shared" si="0"/>
        <v>0</v>
      </c>
      <c r="I52" s="510">
        <f t="shared" si="1"/>
        <v>0</v>
      </c>
      <c r="J52" s="510">
        <f t="shared" si="2"/>
        <v>0</v>
      </c>
      <c r="W52" s="500">
        <f t="shared" si="22"/>
        <v>0</v>
      </c>
      <c r="Y52" s="500">
        <f t="shared" si="23"/>
        <v>0</v>
      </c>
      <c r="Z52" s="500">
        <f t="shared" si="24"/>
        <v>0</v>
      </c>
      <c r="AA52" s="500">
        <f t="shared" si="25"/>
        <v>0</v>
      </c>
      <c r="AB52" s="500">
        <f t="shared" si="26"/>
        <v>0</v>
      </c>
      <c r="AC52" s="500">
        <f t="shared" si="27"/>
        <v>0</v>
      </c>
      <c r="AD52" s="500">
        <f t="shared" si="28"/>
        <v>0</v>
      </c>
      <c r="AE52" s="500">
        <f t="shared" si="29"/>
        <v>0</v>
      </c>
      <c r="AF52" s="501"/>
      <c r="AG52" s="510">
        <f t="shared" si="30"/>
        <v>0</v>
      </c>
      <c r="AH52" s="510">
        <f t="shared" si="31"/>
        <v>0</v>
      </c>
      <c r="AI52" s="510">
        <f t="shared" si="32"/>
        <v>0</v>
      </c>
      <c r="AK52" s="500">
        <v>21</v>
      </c>
      <c r="AL52" s="500">
        <f>G52*1</f>
        <v>0</v>
      </c>
      <c r="AM52" s="500">
        <f>G52*(1-1)</f>
        <v>0</v>
      </c>
      <c r="AN52" s="511" t="s">
        <v>225</v>
      </c>
      <c r="AS52" s="500">
        <f t="shared" si="33"/>
        <v>0</v>
      </c>
      <c r="AT52" s="500">
        <f t="shared" si="34"/>
        <v>0</v>
      </c>
      <c r="AU52" s="500">
        <f t="shared" si="35"/>
        <v>0</v>
      </c>
      <c r="AV52" s="502" t="s">
        <v>2492</v>
      </c>
      <c r="AW52" s="502" t="s">
        <v>1755</v>
      </c>
      <c r="AX52" s="501" t="s">
        <v>1749</v>
      </c>
      <c r="AZ52" s="500">
        <f t="shared" si="36"/>
        <v>0</v>
      </c>
      <c r="BA52" s="500">
        <f t="shared" si="37"/>
        <v>0</v>
      </c>
      <c r="BB52" s="500">
        <v>0</v>
      </c>
      <c r="BC52" s="500" t="e">
        <f>#REF!</f>
        <v>#REF!</v>
      </c>
      <c r="BE52" s="510">
        <f t="shared" si="38"/>
        <v>0</v>
      </c>
      <c r="BF52" s="510">
        <f t="shared" si="39"/>
        <v>0</v>
      </c>
      <c r="BG52" s="510">
        <f t="shared" si="40"/>
        <v>0</v>
      </c>
    </row>
    <row r="53" spans="1:59" ht="12">
      <c r="A53" s="512" t="s">
        <v>375</v>
      </c>
      <c r="B53" s="512"/>
      <c r="C53" s="512" t="s">
        <v>2576</v>
      </c>
      <c r="D53" s="512" t="s">
        <v>2433</v>
      </c>
      <c r="E53" s="512" t="s">
        <v>2384</v>
      </c>
      <c r="F53" s="510">
        <v>8</v>
      </c>
      <c r="G53" s="532">
        <v>0</v>
      </c>
      <c r="H53" s="510">
        <f t="shared" si="0"/>
        <v>0</v>
      </c>
      <c r="I53" s="510">
        <f t="shared" si="1"/>
        <v>0</v>
      </c>
      <c r="J53" s="510">
        <f t="shared" si="2"/>
        <v>0</v>
      </c>
      <c r="W53" s="500">
        <f t="shared" si="22"/>
        <v>0</v>
      </c>
      <c r="Y53" s="500">
        <f t="shared" si="23"/>
        <v>0</v>
      </c>
      <c r="Z53" s="500">
        <f t="shared" si="24"/>
        <v>0</v>
      </c>
      <c r="AA53" s="500">
        <f t="shared" si="25"/>
        <v>0</v>
      </c>
      <c r="AB53" s="500">
        <f t="shared" si="26"/>
        <v>0</v>
      </c>
      <c r="AC53" s="500">
        <f t="shared" si="27"/>
        <v>0</v>
      </c>
      <c r="AD53" s="500">
        <f t="shared" si="28"/>
        <v>0</v>
      </c>
      <c r="AE53" s="500">
        <f t="shared" si="29"/>
        <v>0</v>
      </c>
      <c r="AF53" s="501"/>
      <c r="AG53" s="510">
        <f t="shared" si="30"/>
        <v>0</v>
      </c>
      <c r="AH53" s="510">
        <f t="shared" si="31"/>
        <v>0</v>
      </c>
      <c r="AI53" s="510">
        <f t="shared" si="32"/>
        <v>0</v>
      </c>
      <c r="AK53" s="500">
        <v>21</v>
      </c>
      <c r="AL53" s="500">
        <f>G53*1</f>
        <v>0</v>
      </c>
      <c r="AM53" s="500">
        <f>G53*(1-1)</f>
        <v>0</v>
      </c>
      <c r="AN53" s="511" t="s">
        <v>225</v>
      </c>
      <c r="AS53" s="500">
        <f t="shared" si="33"/>
        <v>0</v>
      </c>
      <c r="AT53" s="500">
        <f t="shared" si="34"/>
        <v>0</v>
      </c>
      <c r="AU53" s="500">
        <f t="shared" si="35"/>
        <v>0</v>
      </c>
      <c r="AV53" s="502" t="s">
        <v>2492</v>
      </c>
      <c r="AW53" s="502" t="s">
        <v>1755</v>
      </c>
      <c r="AX53" s="501" t="s">
        <v>1749</v>
      </c>
      <c r="AZ53" s="500">
        <f t="shared" si="36"/>
        <v>0</v>
      </c>
      <c r="BA53" s="500">
        <f t="shared" si="37"/>
        <v>0</v>
      </c>
      <c r="BB53" s="500">
        <v>0</v>
      </c>
      <c r="BC53" s="500" t="e">
        <f>#REF!</f>
        <v>#REF!</v>
      </c>
      <c r="BE53" s="510">
        <f t="shared" si="38"/>
        <v>0</v>
      </c>
      <c r="BF53" s="510">
        <f t="shared" si="39"/>
        <v>0</v>
      </c>
      <c r="BG53" s="510">
        <f t="shared" si="40"/>
        <v>0</v>
      </c>
    </row>
    <row r="54" spans="1:59" ht="12">
      <c r="A54" s="512" t="s">
        <v>380</v>
      </c>
      <c r="B54" s="512"/>
      <c r="C54" s="512" t="s">
        <v>2577</v>
      </c>
      <c r="D54" s="512" t="s">
        <v>2431</v>
      </c>
      <c r="E54" s="512" t="s">
        <v>2384</v>
      </c>
      <c r="F54" s="510">
        <v>1</v>
      </c>
      <c r="G54" s="532">
        <v>0</v>
      </c>
      <c r="H54" s="510">
        <f t="shared" si="0"/>
        <v>0</v>
      </c>
      <c r="I54" s="510">
        <f t="shared" si="1"/>
        <v>0</v>
      </c>
      <c r="J54" s="510">
        <f t="shared" si="2"/>
        <v>0</v>
      </c>
      <c r="W54" s="500">
        <f t="shared" si="22"/>
        <v>0</v>
      </c>
      <c r="Y54" s="500">
        <f t="shared" si="23"/>
        <v>0</v>
      </c>
      <c r="Z54" s="500">
        <f t="shared" si="24"/>
        <v>0</v>
      </c>
      <c r="AA54" s="500">
        <f t="shared" si="25"/>
        <v>0</v>
      </c>
      <c r="AB54" s="500">
        <f t="shared" si="26"/>
        <v>0</v>
      </c>
      <c r="AC54" s="500">
        <f t="shared" si="27"/>
        <v>0</v>
      </c>
      <c r="AD54" s="500">
        <f t="shared" si="28"/>
        <v>0</v>
      </c>
      <c r="AE54" s="500">
        <f t="shared" si="29"/>
        <v>0</v>
      </c>
      <c r="AF54" s="501"/>
      <c r="AG54" s="510">
        <f t="shared" si="30"/>
        <v>0</v>
      </c>
      <c r="AH54" s="510">
        <f t="shared" si="31"/>
        <v>0</v>
      </c>
      <c r="AI54" s="510">
        <f t="shared" si="32"/>
        <v>0</v>
      </c>
      <c r="AK54" s="500">
        <v>21</v>
      </c>
      <c r="AL54" s="500">
        <f>G54*1</f>
        <v>0</v>
      </c>
      <c r="AM54" s="500">
        <f>G54*(1-1)</f>
        <v>0</v>
      </c>
      <c r="AN54" s="511" t="s">
        <v>225</v>
      </c>
      <c r="AS54" s="500">
        <f t="shared" si="33"/>
        <v>0</v>
      </c>
      <c r="AT54" s="500">
        <f t="shared" si="34"/>
        <v>0</v>
      </c>
      <c r="AU54" s="500">
        <f t="shared" si="35"/>
        <v>0</v>
      </c>
      <c r="AV54" s="502" t="s">
        <v>2492</v>
      </c>
      <c r="AW54" s="502" t="s">
        <v>1755</v>
      </c>
      <c r="AX54" s="501" t="s">
        <v>1749</v>
      </c>
      <c r="AZ54" s="500">
        <f t="shared" si="36"/>
        <v>0</v>
      </c>
      <c r="BA54" s="500">
        <f t="shared" si="37"/>
        <v>0</v>
      </c>
      <c r="BB54" s="500">
        <v>0</v>
      </c>
      <c r="BC54" s="500" t="e">
        <f>#REF!</f>
        <v>#REF!</v>
      </c>
      <c r="BE54" s="510">
        <f t="shared" si="38"/>
        <v>0</v>
      </c>
      <c r="BF54" s="510">
        <f t="shared" si="39"/>
        <v>0</v>
      </c>
      <c r="BG54" s="510">
        <f t="shared" si="40"/>
        <v>0</v>
      </c>
    </row>
    <row r="55" spans="1:59" ht="12">
      <c r="A55" s="506" t="s">
        <v>384</v>
      </c>
      <c r="B55" s="506"/>
      <c r="C55" s="506" t="s">
        <v>2514</v>
      </c>
      <c r="D55" s="506" t="s">
        <v>2513</v>
      </c>
      <c r="E55" s="506" t="s">
        <v>310</v>
      </c>
      <c r="F55" s="499">
        <v>8</v>
      </c>
      <c r="G55" s="530">
        <v>0</v>
      </c>
      <c r="H55" s="499">
        <f t="shared" si="0"/>
        <v>0</v>
      </c>
      <c r="I55" s="499">
        <f t="shared" si="1"/>
        <v>0</v>
      </c>
      <c r="J55" s="499">
        <f t="shared" si="2"/>
        <v>0</v>
      </c>
      <c r="W55" s="500">
        <f t="shared" si="22"/>
        <v>0</v>
      </c>
      <c r="Y55" s="500">
        <f t="shared" si="23"/>
        <v>0</v>
      </c>
      <c r="Z55" s="500">
        <f t="shared" si="24"/>
        <v>0</v>
      </c>
      <c r="AA55" s="500">
        <f t="shared" si="25"/>
        <v>0</v>
      </c>
      <c r="AB55" s="500">
        <f t="shared" si="26"/>
        <v>0</v>
      </c>
      <c r="AC55" s="500">
        <f t="shared" si="27"/>
        <v>0</v>
      </c>
      <c r="AD55" s="500">
        <f t="shared" si="28"/>
        <v>0</v>
      </c>
      <c r="AE55" s="500">
        <f t="shared" si="29"/>
        <v>0</v>
      </c>
      <c r="AF55" s="501"/>
      <c r="AG55" s="499">
        <f t="shared" si="30"/>
        <v>0</v>
      </c>
      <c r="AH55" s="499">
        <f t="shared" si="31"/>
        <v>0</v>
      </c>
      <c r="AI55" s="499">
        <f t="shared" si="32"/>
        <v>0</v>
      </c>
      <c r="AK55" s="500">
        <v>21</v>
      </c>
      <c r="AL55" s="500">
        <f>G55*0</f>
        <v>0</v>
      </c>
      <c r="AM55" s="500">
        <f>G55*(1-0)</f>
        <v>0</v>
      </c>
      <c r="AN55" s="503" t="s">
        <v>225</v>
      </c>
      <c r="AS55" s="500">
        <f t="shared" si="33"/>
        <v>0</v>
      </c>
      <c r="AT55" s="500">
        <f t="shared" si="34"/>
        <v>0</v>
      </c>
      <c r="AU55" s="500">
        <f t="shared" si="35"/>
        <v>0</v>
      </c>
      <c r="AV55" s="502" t="s">
        <v>2492</v>
      </c>
      <c r="AW55" s="502" t="s">
        <v>1755</v>
      </c>
      <c r="AX55" s="501" t="s">
        <v>1749</v>
      </c>
      <c r="AZ55" s="500">
        <f t="shared" si="36"/>
        <v>0</v>
      </c>
      <c r="BA55" s="500">
        <f t="shared" si="37"/>
        <v>0</v>
      </c>
      <c r="BB55" s="500">
        <v>0</v>
      </c>
      <c r="BC55" s="500" t="e">
        <f>#REF!</f>
        <v>#REF!</v>
      </c>
      <c r="BE55" s="499">
        <f t="shared" si="38"/>
        <v>0</v>
      </c>
      <c r="BF55" s="499">
        <f t="shared" si="39"/>
        <v>0</v>
      </c>
      <c r="BG55" s="499">
        <f t="shared" si="40"/>
        <v>0</v>
      </c>
    </row>
    <row r="56" spans="1:59" ht="12">
      <c r="A56" s="512" t="s">
        <v>388</v>
      </c>
      <c r="B56" s="512"/>
      <c r="C56" s="512" t="s">
        <v>2578</v>
      </c>
      <c r="D56" s="512" t="s">
        <v>2512</v>
      </c>
      <c r="E56" s="512" t="s">
        <v>2384</v>
      </c>
      <c r="F56" s="510">
        <v>8</v>
      </c>
      <c r="G56" s="532">
        <v>0</v>
      </c>
      <c r="H56" s="510">
        <f t="shared" si="0"/>
        <v>0</v>
      </c>
      <c r="I56" s="510">
        <f t="shared" si="1"/>
        <v>0</v>
      </c>
      <c r="J56" s="510">
        <f t="shared" si="2"/>
        <v>0</v>
      </c>
      <c r="W56" s="500">
        <f t="shared" si="22"/>
        <v>0</v>
      </c>
      <c r="Y56" s="500">
        <f t="shared" si="23"/>
        <v>0</v>
      </c>
      <c r="Z56" s="500">
        <f t="shared" si="24"/>
        <v>0</v>
      </c>
      <c r="AA56" s="500">
        <f t="shared" si="25"/>
        <v>0</v>
      </c>
      <c r="AB56" s="500">
        <f t="shared" si="26"/>
        <v>0</v>
      </c>
      <c r="AC56" s="500">
        <f t="shared" si="27"/>
        <v>0</v>
      </c>
      <c r="AD56" s="500">
        <f t="shared" si="28"/>
        <v>0</v>
      </c>
      <c r="AE56" s="500">
        <f t="shared" si="29"/>
        <v>0</v>
      </c>
      <c r="AF56" s="501"/>
      <c r="AG56" s="510">
        <f t="shared" si="30"/>
        <v>0</v>
      </c>
      <c r="AH56" s="510">
        <f t="shared" si="31"/>
        <v>0</v>
      </c>
      <c r="AI56" s="510">
        <f t="shared" si="32"/>
        <v>0</v>
      </c>
      <c r="AK56" s="500">
        <v>21</v>
      </c>
      <c r="AL56" s="500">
        <f>G56*1</f>
        <v>0</v>
      </c>
      <c r="AM56" s="500">
        <f>G56*(1-1)</f>
        <v>0</v>
      </c>
      <c r="AN56" s="511" t="s">
        <v>225</v>
      </c>
      <c r="AS56" s="500">
        <f t="shared" si="33"/>
        <v>0</v>
      </c>
      <c r="AT56" s="500">
        <f t="shared" si="34"/>
        <v>0</v>
      </c>
      <c r="AU56" s="500">
        <f t="shared" si="35"/>
        <v>0</v>
      </c>
      <c r="AV56" s="502" t="s">
        <v>2492</v>
      </c>
      <c r="AW56" s="502" t="s">
        <v>1755</v>
      </c>
      <c r="AX56" s="501" t="s">
        <v>1749</v>
      </c>
      <c r="AZ56" s="500">
        <f t="shared" si="36"/>
        <v>0</v>
      </c>
      <c r="BA56" s="500">
        <f t="shared" si="37"/>
        <v>0</v>
      </c>
      <c r="BB56" s="500">
        <v>0</v>
      </c>
      <c r="BC56" s="500" t="e">
        <f>#REF!</f>
        <v>#REF!</v>
      </c>
      <c r="BE56" s="510">
        <f t="shared" si="38"/>
        <v>0</v>
      </c>
      <c r="BF56" s="510">
        <f t="shared" si="39"/>
        <v>0</v>
      </c>
      <c r="BG56" s="510">
        <f t="shared" si="40"/>
        <v>0</v>
      </c>
    </row>
    <row r="57" spans="1:59" ht="12">
      <c r="A57" s="506" t="s">
        <v>392</v>
      </c>
      <c r="B57" s="506"/>
      <c r="C57" s="506" t="s">
        <v>2511</v>
      </c>
      <c r="D57" s="506" t="s">
        <v>2447</v>
      </c>
      <c r="E57" s="506" t="s">
        <v>253</v>
      </c>
      <c r="F57" s="499">
        <v>150</v>
      </c>
      <c r="G57" s="530">
        <v>0</v>
      </c>
      <c r="H57" s="499">
        <f t="shared" si="0"/>
        <v>0</v>
      </c>
      <c r="I57" s="499">
        <f t="shared" si="1"/>
        <v>0</v>
      </c>
      <c r="J57" s="499">
        <f t="shared" si="2"/>
        <v>0</v>
      </c>
      <c r="W57" s="500">
        <f t="shared" si="22"/>
        <v>0</v>
      </c>
      <c r="Y57" s="500">
        <f t="shared" si="23"/>
        <v>0</v>
      </c>
      <c r="Z57" s="500">
        <f t="shared" si="24"/>
        <v>0</v>
      </c>
      <c r="AA57" s="500">
        <f t="shared" si="25"/>
        <v>0</v>
      </c>
      <c r="AB57" s="500">
        <f t="shared" si="26"/>
        <v>0</v>
      </c>
      <c r="AC57" s="500">
        <f t="shared" si="27"/>
        <v>0</v>
      </c>
      <c r="AD57" s="500">
        <f t="shared" si="28"/>
        <v>0</v>
      </c>
      <c r="AE57" s="500">
        <f t="shared" si="29"/>
        <v>0</v>
      </c>
      <c r="AF57" s="501"/>
      <c r="AG57" s="499">
        <f t="shared" si="30"/>
        <v>0</v>
      </c>
      <c r="AH57" s="499">
        <f t="shared" si="31"/>
        <v>0</v>
      </c>
      <c r="AI57" s="499">
        <f t="shared" si="32"/>
        <v>0</v>
      </c>
      <c r="AK57" s="500">
        <v>21</v>
      </c>
      <c r="AL57" s="500">
        <f>G57*0.740740740740741</f>
        <v>0</v>
      </c>
      <c r="AM57" s="500">
        <f>G57*(1-0.740740740740741)</f>
        <v>0</v>
      </c>
      <c r="AN57" s="503" t="s">
        <v>225</v>
      </c>
      <c r="AS57" s="500">
        <f t="shared" si="33"/>
        <v>0</v>
      </c>
      <c r="AT57" s="500">
        <f t="shared" si="34"/>
        <v>0</v>
      </c>
      <c r="AU57" s="500">
        <f t="shared" si="35"/>
        <v>0</v>
      </c>
      <c r="AV57" s="502" t="s">
        <v>2492</v>
      </c>
      <c r="AW57" s="502" t="s">
        <v>1755</v>
      </c>
      <c r="AX57" s="501" t="s">
        <v>1749</v>
      </c>
      <c r="AZ57" s="500">
        <f t="shared" si="36"/>
        <v>0</v>
      </c>
      <c r="BA57" s="500">
        <f t="shared" si="37"/>
        <v>0</v>
      </c>
      <c r="BB57" s="500">
        <v>0</v>
      </c>
      <c r="BC57" s="500" t="e">
        <f>#REF!</f>
        <v>#REF!</v>
      </c>
      <c r="BE57" s="499">
        <f t="shared" si="38"/>
        <v>0</v>
      </c>
      <c r="BF57" s="499">
        <f t="shared" si="39"/>
        <v>0</v>
      </c>
      <c r="BG57" s="499">
        <f t="shared" si="40"/>
        <v>0</v>
      </c>
    </row>
    <row r="58" spans="1:59" ht="12">
      <c r="A58" s="506" t="s">
        <v>396</v>
      </c>
      <c r="B58" s="506"/>
      <c r="C58" s="506" t="s">
        <v>2441</v>
      </c>
      <c r="D58" s="506" t="s">
        <v>2440</v>
      </c>
      <c r="E58" s="506" t="s">
        <v>253</v>
      </c>
      <c r="F58" s="499">
        <v>35</v>
      </c>
      <c r="G58" s="530">
        <v>0</v>
      </c>
      <c r="H58" s="499">
        <f t="shared" si="0"/>
        <v>0</v>
      </c>
      <c r="I58" s="499">
        <f t="shared" si="1"/>
        <v>0</v>
      </c>
      <c r="J58" s="499">
        <f t="shared" si="2"/>
        <v>0</v>
      </c>
      <c r="W58" s="500">
        <f t="shared" si="22"/>
        <v>0</v>
      </c>
      <c r="Y58" s="500">
        <f t="shared" si="23"/>
        <v>0</v>
      </c>
      <c r="Z58" s="500">
        <f t="shared" si="24"/>
        <v>0</v>
      </c>
      <c r="AA58" s="500">
        <f t="shared" si="25"/>
        <v>0</v>
      </c>
      <c r="AB58" s="500">
        <f t="shared" si="26"/>
        <v>0</v>
      </c>
      <c r="AC58" s="500">
        <f t="shared" si="27"/>
        <v>0</v>
      </c>
      <c r="AD58" s="500">
        <f t="shared" si="28"/>
        <v>0</v>
      </c>
      <c r="AE58" s="500">
        <f t="shared" si="29"/>
        <v>0</v>
      </c>
      <c r="AF58" s="501"/>
      <c r="AG58" s="499">
        <f t="shared" si="30"/>
        <v>0</v>
      </c>
      <c r="AH58" s="499">
        <f t="shared" si="31"/>
        <v>0</v>
      </c>
      <c r="AI58" s="499">
        <f t="shared" si="32"/>
        <v>0</v>
      </c>
      <c r="AK58" s="500">
        <v>21</v>
      </c>
      <c r="AL58" s="500">
        <f>G58*0.674199623352166</f>
        <v>0</v>
      </c>
      <c r="AM58" s="500">
        <f>G58*(1-0.674199623352166)</f>
        <v>0</v>
      </c>
      <c r="AN58" s="503" t="s">
        <v>225</v>
      </c>
      <c r="AS58" s="500">
        <f t="shared" si="33"/>
        <v>0</v>
      </c>
      <c r="AT58" s="500">
        <f t="shared" si="34"/>
        <v>0</v>
      </c>
      <c r="AU58" s="500">
        <f t="shared" si="35"/>
        <v>0</v>
      </c>
      <c r="AV58" s="502" t="s">
        <v>2492</v>
      </c>
      <c r="AW58" s="502" t="s">
        <v>1755</v>
      </c>
      <c r="AX58" s="501" t="s">
        <v>1749</v>
      </c>
      <c r="AZ58" s="500">
        <f t="shared" si="36"/>
        <v>0</v>
      </c>
      <c r="BA58" s="500">
        <f t="shared" si="37"/>
        <v>0</v>
      </c>
      <c r="BB58" s="500">
        <v>0</v>
      </c>
      <c r="BC58" s="500" t="e">
        <f>#REF!</f>
        <v>#REF!</v>
      </c>
      <c r="BE58" s="499">
        <f t="shared" si="38"/>
        <v>0</v>
      </c>
      <c r="BF58" s="499">
        <f t="shared" si="39"/>
        <v>0</v>
      </c>
      <c r="BG58" s="499">
        <f t="shared" si="40"/>
        <v>0</v>
      </c>
    </row>
    <row r="59" spans="1:59" ht="12">
      <c r="A59" s="506" t="s">
        <v>401</v>
      </c>
      <c r="B59" s="506"/>
      <c r="C59" s="506" t="s">
        <v>2510</v>
      </c>
      <c r="D59" s="506" t="s">
        <v>2509</v>
      </c>
      <c r="E59" s="506" t="s">
        <v>253</v>
      </c>
      <c r="F59" s="499">
        <v>15</v>
      </c>
      <c r="G59" s="530">
        <v>0</v>
      </c>
      <c r="H59" s="499">
        <f t="shared" si="0"/>
        <v>0</v>
      </c>
      <c r="I59" s="499">
        <f t="shared" si="1"/>
        <v>0</v>
      </c>
      <c r="J59" s="499">
        <f t="shared" si="2"/>
        <v>0</v>
      </c>
      <c r="W59" s="500">
        <f t="shared" si="22"/>
        <v>0</v>
      </c>
      <c r="Y59" s="500">
        <f t="shared" si="23"/>
        <v>0</v>
      </c>
      <c r="Z59" s="500">
        <f t="shared" si="24"/>
        <v>0</v>
      </c>
      <c r="AA59" s="500">
        <f t="shared" si="25"/>
        <v>0</v>
      </c>
      <c r="AB59" s="500">
        <f t="shared" si="26"/>
        <v>0</v>
      </c>
      <c r="AC59" s="500">
        <f t="shared" si="27"/>
        <v>0</v>
      </c>
      <c r="AD59" s="500">
        <f t="shared" si="28"/>
        <v>0</v>
      </c>
      <c r="AE59" s="500">
        <f t="shared" si="29"/>
        <v>0</v>
      </c>
      <c r="AF59" s="501"/>
      <c r="AG59" s="499">
        <f t="shared" si="30"/>
        <v>0</v>
      </c>
      <c r="AH59" s="499">
        <f t="shared" si="31"/>
        <v>0</v>
      </c>
      <c r="AI59" s="499">
        <f t="shared" si="32"/>
        <v>0</v>
      </c>
      <c r="AK59" s="500">
        <v>21</v>
      </c>
      <c r="AL59" s="500">
        <f>G59*0.731681034482759</f>
        <v>0</v>
      </c>
      <c r="AM59" s="500">
        <f>G59*(1-0.731681034482759)</f>
        <v>0</v>
      </c>
      <c r="AN59" s="503" t="s">
        <v>225</v>
      </c>
      <c r="AS59" s="500">
        <f t="shared" si="33"/>
        <v>0</v>
      </c>
      <c r="AT59" s="500">
        <f t="shared" si="34"/>
        <v>0</v>
      </c>
      <c r="AU59" s="500">
        <f t="shared" si="35"/>
        <v>0</v>
      </c>
      <c r="AV59" s="502" t="s">
        <v>2492</v>
      </c>
      <c r="AW59" s="502" t="s">
        <v>1755</v>
      </c>
      <c r="AX59" s="501" t="s">
        <v>1749</v>
      </c>
      <c r="AZ59" s="500">
        <f t="shared" si="36"/>
        <v>0</v>
      </c>
      <c r="BA59" s="500">
        <f t="shared" si="37"/>
        <v>0</v>
      </c>
      <c r="BB59" s="500">
        <v>0</v>
      </c>
      <c r="BC59" s="500" t="e">
        <f>#REF!</f>
        <v>#REF!</v>
      </c>
      <c r="BE59" s="499">
        <f t="shared" si="38"/>
        <v>0</v>
      </c>
      <c r="BF59" s="499">
        <f t="shared" si="39"/>
        <v>0</v>
      </c>
      <c r="BG59" s="499">
        <f t="shared" si="40"/>
        <v>0</v>
      </c>
    </row>
    <row r="60" spans="1:59" ht="12">
      <c r="A60" s="506" t="s">
        <v>405</v>
      </c>
      <c r="B60" s="506"/>
      <c r="C60" s="506" t="s">
        <v>2508</v>
      </c>
      <c r="D60" s="506" t="s">
        <v>2507</v>
      </c>
      <c r="E60" s="506" t="s">
        <v>253</v>
      </c>
      <c r="F60" s="499">
        <v>55</v>
      </c>
      <c r="G60" s="530">
        <v>0</v>
      </c>
      <c r="H60" s="499">
        <f t="shared" si="0"/>
        <v>0</v>
      </c>
      <c r="I60" s="499">
        <f t="shared" si="1"/>
        <v>0</v>
      </c>
      <c r="J60" s="499">
        <f t="shared" si="2"/>
        <v>0</v>
      </c>
      <c r="W60" s="500">
        <f t="shared" si="22"/>
        <v>0</v>
      </c>
      <c r="Y60" s="500">
        <f t="shared" si="23"/>
        <v>0</v>
      </c>
      <c r="Z60" s="500">
        <f t="shared" si="24"/>
        <v>0</v>
      </c>
      <c r="AA60" s="500">
        <f t="shared" si="25"/>
        <v>0</v>
      </c>
      <c r="AB60" s="500">
        <f t="shared" si="26"/>
        <v>0</v>
      </c>
      <c r="AC60" s="500">
        <f t="shared" si="27"/>
        <v>0</v>
      </c>
      <c r="AD60" s="500">
        <f t="shared" si="28"/>
        <v>0</v>
      </c>
      <c r="AE60" s="500">
        <f t="shared" si="29"/>
        <v>0</v>
      </c>
      <c r="AF60" s="501"/>
      <c r="AG60" s="499">
        <f t="shared" si="30"/>
        <v>0</v>
      </c>
      <c r="AH60" s="499">
        <f t="shared" si="31"/>
        <v>0</v>
      </c>
      <c r="AI60" s="499">
        <f t="shared" si="32"/>
        <v>0</v>
      </c>
      <c r="AK60" s="500">
        <v>21</v>
      </c>
      <c r="AL60" s="500">
        <f>G60*0.864820846905538</f>
        <v>0</v>
      </c>
      <c r="AM60" s="500">
        <f>G60*(1-0.864820846905538)</f>
        <v>0</v>
      </c>
      <c r="AN60" s="503" t="s">
        <v>225</v>
      </c>
      <c r="AS60" s="500">
        <f t="shared" si="33"/>
        <v>0</v>
      </c>
      <c r="AT60" s="500">
        <f t="shared" si="34"/>
        <v>0</v>
      </c>
      <c r="AU60" s="500">
        <f t="shared" si="35"/>
        <v>0</v>
      </c>
      <c r="AV60" s="502" t="s">
        <v>2492</v>
      </c>
      <c r="AW60" s="502" t="s">
        <v>1755</v>
      </c>
      <c r="AX60" s="501" t="s">
        <v>1749</v>
      </c>
      <c r="AZ60" s="500">
        <f t="shared" si="36"/>
        <v>0</v>
      </c>
      <c r="BA60" s="500">
        <f t="shared" si="37"/>
        <v>0</v>
      </c>
      <c r="BB60" s="500">
        <v>0</v>
      </c>
      <c r="BC60" s="500" t="e">
        <f>#REF!</f>
        <v>#REF!</v>
      </c>
      <c r="BE60" s="499">
        <f t="shared" si="38"/>
        <v>0</v>
      </c>
      <c r="BF60" s="499">
        <f t="shared" si="39"/>
        <v>0</v>
      </c>
      <c r="BG60" s="499">
        <f t="shared" si="40"/>
        <v>0</v>
      </c>
    </row>
    <row r="61" spans="1:59" ht="12">
      <c r="A61" s="506" t="s">
        <v>410</v>
      </c>
      <c r="B61" s="506"/>
      <c r="C61" s="506" t="s">
        <v>2392</v>
      </c>
      <c r="D61" s="506" t="s">
        <v>2391</v>
      </c>
      <c r="E61" s="506" t="s">
        <v>258</v>
      </c>
      <c r="F61" s="499">
        <v>25</v>
      </c>
      <c r="G61" s="530">
        <v>0</v>
      </c>
      <c r="H61" s="499">
        <f t="shared" si="0"/>
        <v>0</v>
      </c>
      <c r="I61" s="499">
        <f t="shared" si="1"/>
        <v>0</v>
      </c>
      <c r="J61" s="499">
        <f t="shared" si="2"/>
        <v>0</v>
      </c>
      <c r="W61" s="500">
        <f t="shared" si="22"/>
        <v>0</v>
      </c>
      <c r="Y61" s="500">
        <f t="shared" si="23"/>
        <v>0</v>
      </c>
      <c r="Z61" s="500">
        <f t="shared" si="24"/>
        <v>0</v>
      </c>
      <c r="AA61" s="500">
        <f t="shared" si="25"/>
        <v>0</v>
      </c>
      <c r="AB61" s="500">
        <f t="shared" si="26"/>
        <v>0</v>
      </c>
      <c r="AC61" s="500">
        <f t="shared" si="27"/>
        <v>0</v>
      </c>
      <c r="AD61" s="500">
        <f t="shared" si="28"/>
        <v>0</v>
      </c>
      <c r="AE61" s="500">
        <f t="shared" si="29"/>
        <v>0</v>
      </c>
      <c r="AF61" s="501"/>
      <c r="AG61" s="499">
        <f t="shared" si="30"/>
        <v>0</v>
      </c>
      <c r="AH61" s="499">
        <f t="shared" si="31"/>
        <v>0</v>
      </c>
      <c r="AI61" s="499">
        <f t="shared" si="32"/>
        <v>0</v>
      </c>
      <c r="AK61" s="500">
        <v>21</v>
      </c>
      <c r="AL61" s="500">
        <f>G61*0.838235294117647</f>
        <v>0</v>
      </c>
      <c r="AM61" s="500">
        <f>G61*(1-0.838235294117647)</f>
        <v>0</v>
      </c>
      <c r="AN61" s="503" t="s">
        <v>225</v>
      </c>
      <c r="AS61" s="500">
        <f t="shared" si="33"/>
        <v>0</v>
      </c>
      <c r="AT61" s="500">
        <f t="shared" si="34"/>
        <v>0</v>
      </c>
      <c r="AU61" s="500">
        <f t="shared" si="35"/>
        <v>0</v>
      </c>
      <c r="AV61" s="502" t="s">
        <v>2492</v>
      </c>
      <c r="AW61" s="502" t="s">
        <v>1755</v>
      </c>
      <c r="AX61" s="501" t="s">
        <v>1749</v>
      </c>
      <c r="AZ61" s="500">
        <f t="shared" si="36"/>
        <v>0</v>
      </c>
      <c r="BA61" s="500">
        <f t="shared" si="37"/>
        <v>0</v>
      </c>
      <c r="BB61" s="500">
        <v>0</v>
      </c>
      <c r="BC61" s="500" t="e">
        <f>#REF!</f>
        <v>#REF!</v>
      </c>
      <c r="BE61" s="499">
        <f t="shared" si="38"/>
        <v>0</v>
      </c>
      <c r="BF61" s="499">
        <f t="shared" si="39"/>
        <v>0</v>
      </c>
      <c r="BG61" s="499">
        <f t="shared" si="40"/>
        <v>0</v>
      </c>
    </row>
    <row r="62" spans="1:59" ht="12">
      <c r="A62" s="506" t="s">
        <v>415</v>
      </c>
      <c r="B62" s="506"/>
      <c r="C62" s="506" t="s">
        <v>2388</v>
      </c>
      <c r="D62" s="506" t="s">
        <v>2387</v>
      </c>
      <c r="E62" s="506" t="s">
        <v>258</v>
      </c>
      <c r="F62" s="499">
        <v>25</v>
      </c>
      <c r="G62" s="530">
        <v>0</v>
      </c>
      <c r="H62" s="499">
        <f t="shared" si="0"/>
        <v>0</v>
      </c>
      <c r="I62" s="499">
        <f t="shared" si="1"/>
        <v>0</v>
      </c>
      <c r="J62" s="499">
        <f t="shared" si="2"/>
        <v>0</v>
      </c>
      <c r="W62" s="500">
        <f t="shared" si="22"/>
        <v>0</v>
      </c>
      <c r="Y62" s="500">
        <f t="shared" si="23"/>
        <v>0</v>
      </c>
      <c r="Z62" s="500">
        <f t="shared" si="24"/>
        <v>0</v>
      </c>
      <c r="AA62" s="500">
        <f t="shared" si="25"/>
        <v>0</v>
      </c>
      <c r="AB62" s="500">
        <f t="shared" si="26"/>
        <v>0</v>
      </c>
      <c r="AC62" s="500">
        <f t="shared" si="27"/>
        <v>0</v>
      </c>
      <c r="AD62" s="500">
        <f t="shared" si="28"/>
        <v>0</v>
      </c>
      <c r="AE62" s="500">
        <f t="shared" si="29"/>
        <v>0</v>
      </c>
      <c r="AF62" s="501"/>
      <c r="AG62" s="499">
        <f t="shared" si="30"/>
        <v>0</v>
      </c>
      <c r="AH62" s="499">
        <f t="shared" si="31"/>
        <v>0</v>
      </c>
      <c r="AI62" s="499">
        <f t="shared" si="32"/>
        <v>0</v>
      </c>
      <c r="AK62" s="500">
        <v>21</v>
      </c>
      <c r="AL62" s="500">
        <f>G62*0.834710743801653</f>
        <v>0</v>
      </c>
      <c r="AM62" s="500">
        <f>G62*(1-0.834710743801653)</f>
        <v>0</v>
      </c>
      <c r="AN62" s="503" t="s">
        <v>225</v>
      </c>
      <c r="AS62" s="500">
        <f t="shared" si="33"/>
        <v>0</v>
      </c>
      <c r="AT62" s="500">
        <f t="shared" si="34"/>
        <v>0</v>
      </c>
      <c r="AU62" s="500">
        <f t="shared" si="35"/>
        <v>0</v>
      </c>
      <c r="AV62" s="502" t="s">
        <v>2492</v>
      </c>
      <c r="AW62" s="502" t="s">
        <v>1755</v>
      </c>
      <c r="AX62" s="501" t="s">
        <v>1749</v>
      </c>
      <c r="AZ62" s="500">
        <f t="shared" si="36"/>
        <v>0</v>
      </c>
      <c r="BA62" s="500">
        <f t="shared" si="37"/>
        <v>0</v>
      </c>
      <c r="BB62" s="500">
        <v>0</v>
      </c>
      <c r="BC62" s="500" t="e">
        <f>#REF!</f>
        <v>#REF!</v>
      </c>
      <c r="BE62" s="499">
        <f t="shared" si="38"/>
        <v>0</v>
      </c>
      <c r="BF62" s="499">
        <f t="shared" si="39"/>
        <v>0</v>
      </c>
      <c r="BG62" s="499">
        <f t="shared" si="40"/>
        <v>0</v>
      </c>
    </row>
    <row r="63" spans="1:59" ht="12">
      <c r="A63" s="506" t="s">
        <v>419</v>
      </c>
      <c r="B63" s="506"/>
      <c r="C63" s="506" t="s">
        <v>2380</v>
      </c>
      <c r="D63" s="506" t="s">
        <v>2379</v>
      </c>
      <c r="E63" s="506" t="s">
        <v>310</v>
      </c>
      <c r="F63" s="499">
        <v>25</v>
      </c>
      <c r="G63" s="530">
        <v>0</v>
      </c>
      <c r="H63" s="499">
        <f t="shared" si="0"/>
        <v>0</v>
      </c>
      <c r="I63" s="499">
        <f t="shared" si="1"/>
        <v>0</v>
      </c>
      <c r="J63" s="499">
        <f t="shared" si="2"/>
        <v>0</v>
      </c>
      <c r="W63" s="500">
        <f t="shared" si="22"/>
        <v>0</v>
      </c>
      <c r="Y63" s="500">
        <f t="shared" si="23"/>
        <v>0</v>
      </c>
      <c r="Z63" s="500">
        <f t="shared" si="24"/>
        <v>0</v>
      </c>
      <c r="AA63" s="500">
        <f t="shared" si="25"/>
        <v>0</v>
      </c>
      <c r="AB63" s="500">
        <f t="shared" si="26"/>
        <v>0</v>
      </c>
      <c r="AC63" s="500">
        <f t="shared" si="27"/>
        <v>0</v>
      </c>
      <c r="AD63" s="500">
        <f t="shared" si="28"/>
        <v>0</v>
      </c>
      <c r="AE63" s="500">
        <f t="shared" si="29"/>
        <v>0</v>
      </c>
      <c r="AF63" s="501"/>
      <c r="AG63" s="499">
        <f t="shared" si="30"/>
        <v>0</v>
      </c>
      <c r="AH63" s="499">
        <f t="shared" si="31"/>
        <v>0</v>
      </c>
      <c r="AI63" s="499">
        <f t="shared" si="32"/>
        <v>0</v>
      </c>
      <c r="AK63" s="500">
        <v>21</v>
      </c>
      <c r="AL63" s="500">
        <f>G63*0.333333333333333</f>
        <v>0</v>
      </c>
      <c r="AM63" s="500">
        <f>G63*(1-0.333333333333333)</f>
        <v>0</v>
      </c>
      <c r="AN63" s="503" t="s">
        <v>79</v>
      </c>
      <c r="AS63" s="500">
        <f t="shared" si="33"/>
        <v>0</v>
      </c>
      <c r="AT63" s="500">
        <f t="shared" si="34"/>
        <v>0</v>
      </c>
      <c r="AU63" s="500">
        <f t="shared" si="35"/>
        <v>0</v>
      </c>
      <c r="AV63" s="502" t="s">
        <v>2492</v>
      </c>
      <c r="AW63" s="502" t="s">
        <v>1755</v>
      </c>
      <c r="AX63" s="501" t="s">
        <v>1749</v>
      </c>
      <c r="AZ63" s="500">
        <f t="shared" si="36"/>
        <v>0</v>
      </c>
      <c r="BA63" s="500">
        <f t="shared" si="37"/>
        <v>0</v>
      </c>
      <c r="BB63" s="500">
        <v>0</v>
      </c>
      <c r="BC63" s="500" t="e">
        <f>#REF!</f>
        <v>#REF!</v>
      </c>
      <c r="BE63" s="499">
        <f t="shared" si="38"/>
        <v>0</v>
      </c>
      <c r="BF63" s="499">
        <f t="shared" si="39"/>
        <v>0</v>
      </c>
      <c r="BG63" s="499">
        <f t="shared" si="40"/>
        <v>0</v>
      </c>
    </row>
    <row r="64" spans="4:7" ht="12">
      <c r="D64" s="513" t="s">
        <v>2378</v>
      </c>
      <c r="G64" s="531">
        <v>0</v>
      </c>
    </row>
    <row r="65" spans="1:59" ht="12">
      <c r="A65" s="506" t="s">
        <v>424</v>
      </c>
      <c r="B65" s="506"/>
      <c r="C65" s="506" t="s">
        <v>2439</v>
      </c>
      <c r="D65" s="506" t="s">
        <v>2381</v>
      </c>
      <c r="E65" s="506" t="s">
        <v>972</v>
      </c>
      <c r="F65" s="499">
        <v>3</v>
      </c>
      <c r="G65" s="530">
        <v>0</v>
      </c>
      <c r="H65" s="499">
        <f aca="true" t="shared" si="41" ref="H65:H73">F65*AL65</f>
        <v>0</v>
      </c>
      <c r="I65" s="499">
        <f aca="true" t="shared" si="42" ref="I65:I73">F65*AM65</f>
        <v>0</v>
      </c>
      <c r="J65" s="499">
        <f aca="true" t="shared" si="43" ref="J65:J73">F65*G65</f>
        <v>0</v>
      </c>
      <c r="W65" s="500">
        <f aca="true" t="shared" si="44" ref="W65:W73">IF(AN65="5",BG65,0)</f>
        <v>0</v>
      </c>
      <c r="Y65" s="500">
        <f aca="true" t="shared" si="45" ref="Y65:Y73">IF(AN65="1",BE65,0)</f>
        <v>0</v>
      </c>
      <c r="Z65" s="500">
        <f aca="true" t="shared" si="46" ref="Z65:Z73">IF(AN65="1",BF65,0)</f>
        <v>0</v>
      </c>
      <c r="AA65" s="500">
        <f aca="true" t="shared" si="47" ref="AA65:AA73">IF(AN65="7",BE65,0)</f>
        <v>0</v>
      </c>
      <c r="AB65" s="500">
        <f aca="true" t="shared" si="48" ref="AB65:AB73">IF(AN65="7",BF65,0)</f>
        <v>0</v>
      </c>
      <c r="AC65" s="500">
        <f aca="true" t="shared" si="49" ref="AC65:AC73">IF(AN65="2",BE65,0)</f>
        <v>0</v>
      </c>
      <c r="AD65" s="500">
        <f aca="true" t="shared" si="50" ref="AD65:AD73">IF(AN65="2",BF65,0)</f>
        <v>0</v>
      </c>
      <c r="AE65" s="500">
        <f aca="true" t="shared" si="51" ref="AE65:AE73">IF(AN65="0",BG65,0)</f>
        <v>0</v>
      </c>
      <c r="AF65" s="501"/>
      <c r="AG65" s="499">
        <f aca="true" t="shared" si="52" ref="AG65:AG73">IF(AK65=0,J65,0)</f>
        <v>0</v>
      </c>
      <c r="AH65" s="499">
        <f aca="true" t="shared" si="53" ref="AH65:AH73">IF(AK65=15,J65,0)</f>
        <v>0</v>
      </c>
      <c r="AI65" s="499">
        <f aca="true" t="shared" si="54" ref="AI65:AI73">IF(AK65=21,J65,0)</f>
        <v>0</v>
      </c>
      <c r="AK65" s="500">
        <v>21</v>
      </c>
      <c r="AL65" s="500">
        <f>G65*0.955840455840456</f>
        <v>0</v>
      </c>
      <c r="AM65" s="500">
        <f>G65*(1-0.955840455840456)</f>
        <v>0</v>
      </c>
      <c r="AN65" s="503" t="s">
        <v>225</v>
      </c>
      <c r="AS65" s="500">
        <f aca="true" t="shared" si="55" ref="AS65:AS73">AT65+AU65</f>
        <v>0</v>
      </c>
      <c r="AT65" s="500">
        <f aca="true" t="shared" si="56" ref="AT65:AT73">F65*AL65</f>
        <v>0</v>
      </c>
      <c r="AU65" s="500">
        <f aca="true" t="shared" si="57" ref="AU65:AU73">F65*AM65</f>
        <v>0</v>
      </c>
      <c r="AV65" s="502" t="s">
        <v>2492</v>
      </c>
      <c r="AW65" s="502" t="s">
        <v>1755</v>
      </c>
      <c r="AX65" s="501" t="s">
        <v>1749</v>
      </c>
      <c r="AZ65" s="500">
        <f aca="true" t="shared" si="58" ref="AZ65:AZ73">AT65+AU65</f>
        <v>0</v>
      </c>
      <c r="BA65" s="500">
        <f aca="true" t="shared" si="59" ref="BA65:BA73">G65/(100-BB65)*100</f>
        <v>0</v>
      </c>
      <c r="BB65" s="500">
        <v>0</v>
      </c>
      <c r="BC65" s="500" t="e">
        <f>#REF!</f>
        <v>#REF!</v>
      </c>
      <c r="BE65" s="499">
        <f aca="true" t="shared" si="60" ref="BE65:BE73">F65*AL65</f>
        <v>0</v>
      </c>
      <c r="BF65" s="499">
        <f aca="true" t="shared" si="61" ref="BF65:BF73">F65*AM65</f>
        <v>0</v>
      </c>
      <c r="BG65" s="499">
        <f aca="true" t="shared" si="62" ref="BG65:BG73">F65*G65</f>
        <v>0</v>
      </c>
    </row>
    <row r="66" spans="1:59" ht="12">
      <c r="A66" s="506" t="s">
        <v>428</v>
      </c>
      <c r="B66" s="506"/>
      <c r="C66" s="506" t="s">
        <v>2506</v>
      </c>
      <c r="D66" s="506" t="s">
        <v>2505</v>
      </c>
      <c r="E66" s="506" t="s">
        <v>1437</v>
      </c>
      <c r="F66" s="499">
        <v>2</v>
      </c>
      <c r="G66" s="530">
        <v>0</v>
      </c>
      <c r="H66" s="499">
        <f t="shared" si="41"/>
        <v>0</v>
      </c>
      <c r="I66" s="499">
        <f t="shared" si="42"/>
        <v>0</v>
      </c>
      <c r="J66" s="499">
        <f t="shared" si="43"/>
        <v>0</v>
      </c>
      <c r="W66" s="500">
        <f t="shared" si="44"/>
        <v>0</v>
      </c>
      <c r="Y66" s="500">
        <f t="shared" si="45"/>
        <v>0</v>
      </c>
      <c r="Z66" s="500">
        <f t="shared" si="46"/>
        <v>0</v>
      </c>
      <c r="AA66" s="500">
        <f t="shared" si="47"/>
        <v>0</v>
      </c>
      <c r="AB66" s="500">
        <f t="shared" si="48"/>
        <v>0</v>
      </c>
      <c r="AC66" s="500">
        <f t="shared" si="49"/>
        <v>0</v>
      </c>
      <c r="AD66" s="500">
        <f t="shared" si="50"/>
        <v>0</v>
      </c>
      <c r="AE66" s="500">
        <f t="shared" si="51"/>
        <v>0</v>
      </c>
      <c r="AF66" s="501"/>
      <c r="AG66" s="499">
        <f t="shared" si="52"/>
        <v>0</v>
      </c>
      <c r="AH66" s="499">
        <f t="shared" si="53"/>
        <v>0</v>
      </c>
      <c r="AI66" s="499">
        <f t="shared" si="54"/>
        <v>0</v>
      </c>
      <c r="AK66" s="500">
        <v>21</v>
      </c>
      <c r="AL66" s="500">
        <f aca="true" t="shared" si="63" ref="AL66:AL73">G66*0</f>
        <v>0</v>
      </c>
      <c r="AM66" s="500">
        <f aca="true" t="shared" si="64" ref="AM66:AM73">G66*(1-0)</f>
        <v>0</v>
      </c>
      <c r="AN66" s="503" t="s">
        <v>225</v>
      </c>
      <c r="AS66" s="500">
        <f t="shared" si="55"/>
        <v>0</v>
      </c>
      <c r="AT66" s="500">
        <f t="shared" si="56"/>
        <v>0</v>
      </c>
      <c r="AU66" s="500">
        <f t="shared" si="57"/>
        <v>0</v>
      </c>
      <c r="AV66" s="502" t="s">
        <v>2492</v>
      </c>
      <c r="AW66" s="502" t="s">
        <v>1755</v>
      </c>
      <c r="AX66" s="501" t="s">
        <v>1749</v>
      </c>
      <c r="AZ66" s="500">
        <f t="shared" si="58"/>
        <v>0</v>
      </c>
      <c r="BA66" s="500">
        <f t="shared" si="59"/>
        <v>0</v>
      </c>
      <c r="BB66" s="500">
        <v>0</v>
      </c>
      <c r="BC66" s="500" t="e">
        <f>#REF!</f>
        <v>#REF!</v>
      </c>
      <c r="BE66" s="499">
        <f t="shared" si="60"/>
        <v>0</v>
      </c>
      <c r="BF66" s="499">
        <f t="shared" si="61"/>
        <v>0</v>
      </c>
      <c r="BG66" s="499">
        <f t="shared" si="62"/>
        <v>0</v>
      </c>
    </row>
    <row r="67" spans="1:59" ht="12">
      <c r="A67" s="506" t="s">
        <v>433</v>
      </c>
      <c r="B67" s="506"/>
      <c r="C67" s="506" t="s">
        <v>2356</v>
      </c>
      <c r="D67" s="506" t="s">
        <v>2355</v>
      </c>
      <c r="E67" s="506" t="s">
        <v>258</v>
      </c>
      <c r="F67" s="499">
        <v>2</v>
      </c>
      <c r="G67" s="530">
        <v>0</v>
      </c>
      <c r="H67" s="499">
        <f t="shared" si="41"/>
        <v>0</v>
      </c>
      <c r="I67" s="499">
        <f t="shared" si="42"/>
        <v>0</v>
      </c>
      <c r="J67" s="499">
        <f t="shared" si="43"/>
        <v>0</v>
      </c>
      <c r="W67" s="500">
        <f t="shared" si="44"/>
        <v>0</v>
      </c>
      <c r="Y67" s="500">
        <f t="shared" si="45"/>
        <v>0</v>
      </c>
      <c r="Z67" s="500">
        <f t="shared" si="46"/>
        <v>0</v>
      </c>
      <c r="AA67" s="500">
        <f t="shared" si="47"/>
        <v>0</v>
      </c>
      <c r="AB67" s="500">
        <f t="shared" si="48"/>
        <v>0</v>
      </c>
      <c r="AC67" s="500">
        <f t="shared" si="49"/>
        <v>0</v>
      </c>
      <c r="AD67" s="500">
        <f t="shared" si="50"/>
        <v>0</v>
      </c>
      <c r="AE67" s="500">
        <f t="shared" si="51"/>
        <v>0</v>
      </c>
      <c r="AF67" s="501"/>
      <c r="AG67" s="499">
        <f t="shared" si="52"/>
        <v>0</v>
      </c>
      <c r="AH67" s="499">
        <f t="shared" si="53"/>
        <v>0</v>
      </c>
      <c r="AI67" s="499">
        <f t="shared" si="54"/>
        <v>0</v>
      </c>
      <c r="AK67" s="500">
        <v>21</v>
      </c>
      <c r="AL67" s="500">
        <f t="shared" si="63"/>
        <v>0</v>
      </c>
      <c r="AM67" s="500">
        <f t="shared" si="64"/>
        <v>0</v>
      </c>
      <c r="AN67" s="503" t="s">
        <v>225</v>
      </c>
      <c r="AS67" s="500">
        <f t="shared" si="55"/>
        <v>0</v>
      </c>
      <c r="AT67" s="500">
        <f t="shared" si="56"/>
        <v>0</v>
      </c>
      <c r="AU67" s="500">
        <f t="shared" si="57"/>
        <v>0</v>
      </c>
      <c r="AV67" s="502" t="s">
        <v>2492</v>
      </c>
      <c r="AW67" s="502" t="s">
        <v>1755</v>
      </c>
      <c r="AX67" s="501" t="s">
        <v>1749</v>
      </c>
      <c r="AZ67" s="500">
        <f t="shared" si="58"/>
        <v>0</v>
      </c>
      <c r="BA67" s="500">
        <f t="shared" si="59"/>
        <v>0</v>
      </c>
      <c r="BB67" s="500">
        <v>0</v>
      </c>
      <c r="BC67" s="500" t="e">
        <f>#REF!</f>
        <v>#REF!</v>
      </c>
      <c r="BE67" s="499">
        <f t="shared" si="60"/>
        <v>0</v>
      </c>
      <c r="BF67" s="499">
        <f t="shared" si="61"/>
        <v>0</v>
      </c>
      <c r="BG67" s="499">
        <f t="shared" si="62"/>
        <v>0</v>
      </c>
    </row>
    <row r="68" spans="1:59" ht="12">
      <c r="A68" s="506" t="s">
        <v>437</v>
      </c>
      <c r="B68" s="506"/>
      <c r="C68" s="506" t="s">
        <v>2504</v>
      </c>
      <c r="D68" s="506" t="s">
        <v>2503</v>
      </c>
      <c r="E68" s="506" t="s">
        <v>258</v>
      </c>
      <c r="F68" s="499">
        <v>4</v>
      </c>
      <c r="G68" s="530">
        <v>0</v>
      </c>
      <c r="H68" s="499">
        <f t="shared" si="41"/>
        <v>0</v>
      </c>
      <c r="I68" s="499">
        <f t="shared" si="42"/>
        <v>0</v>
      </c>
      <c r="J68" s="499">
        <f t="shared" si="43"/>
        <v>0</v>
      </c>
      <c r="W68" s="500">
        <f t="shared" si="44"/>
        <v>0</v>
      </c>
      <c r="Y68" s="500">
        <f t="shared" si="45"/>
        <v>0</v>
      </c>
      <c r="Z68" s="500">
        <f t="shared" si="46"/>
        <v>0</v>
      </c>
      <c r="AA68" s="500">
        <f t="shared" si="47"/>
        <v>0</v>
      </c>
      <c r="AB68" s="500">
        <f t="shared" si="48"/>
        <v>0</v>
      </c>
      <c r="AC68" s="500">
        <f t="shared" si="49"/>
        <v>0</v>
      </c>
      <c r="AD68" s="500">
        <f t="shared" si="50"/>
        <v>0</v>
      </c>
      <c r="AE68" s="500">
        <f t="shared" si="51"/>
        <v>0</v>
      </c>
      <c r="AF68" s="501"/>
      <c r="AG68" s="499">
        <f t="shared" si="52"/>
        <v>0</v>
      </c>
      <c r="AH68" s="499">
        <f t="shared" si="53"/>
        <v>0</v>
      </c>
      <c r="AI68" s="499">
        <f t="shared" si="54"/>
        <v>0</v>
      </c>
      <c r="AK68" s="500">
        <v>21</v>
      </c>
      <c r="AL68" s="500">
        <f t="shared" si="63"/>
        <v>0</v>
      </c>
      <c r="AM68" s="500">
        <f t="shared" si="64"/>
        <v>0</v>
      </c>
      <c r="AN68" s="503" t="s">
        <v>225</v>
      </c>
      <c r="AS68" s="500">
        <f t="shared" si="55"/>
        <v>0</v>
      </c>
      <c r="AT68" s="500">
        <f t="shared" si="56"/>
        <v>0</v>
      </c>
      <c r="AU68" s="500">
        <f t="shared" si="57"/>
        <v>0</v>
      </c>
      <c r="AV68" s="502" t="s">
        <v>2492</v>
      </c>
      <c r="AW68" s="502" t="s">
        <v>1755</v>
      </c>
      <c r="AX68" s="501" t="s">
        <v>1749</v>
      </c>
      <c r="AZ68" s="500">
        <f t="shared" si="58"/>
        <v>0</v>
      </c>
      <c r="BA68" s="500">
        <f t="shared" si="59"/>
        <v>0</v>
      </c>
      <c r="BB68" s="500">
        <v>0</v>
      </c>
      <c r="BC68" s="500" t="e">
        <f>#REF!</f>
        <v>#REF!</v>
      </c>
      <c r="BE68" s="499">
        <f t="shared" si="60"/>
        <v>0</v>
      </c>
      <c r="BF68" s="499">
        <f t="shared" si="61"/>
        <v>0</v>
      </c>
      <c r="BG68" s="499">
        <f t="shared" si="62"/>
        <v>0</v>
      </c>
    </row>
    <row r="69" spans="1:59" ht="12">
      <c r="A69" s="506" t="s">
        <v>442</v>
      </c>
      <c r="B69" s="506"/>
      <c r="C69" s="506" t="s">
        <v>2502</v>
      </c>
      <c r="D69" s="506" t="s">
        <v>2501</v>
      </c>
      <c r="E69" s="506" t="s">
        <v>258</v>
      </c>
      <c r="F69" s="499">
        <v>2</v>
      </c>
      <c r="G69" s="530">
        <v>0</v>
      </c>
      <c r="H69" s="499">
        <f t="shared" si="41"/>
        <v>0</v>
      </c>
      <c r="I69" s="499">
        <f t="shared" si="42"/>
        <v>0</v>
      </c>
      <c r="J69" s="499">
        <f t="shared" si="43"/>
        <v>0</v>
      </c>
      <c r="W69" s="500">
        <f t="shared" si="44"/>
        <v>0</v>
      </c>
      <c r="Y69" s="500">
        <f t="shared" si="45"/>
        <v>0</v>
      </c>
      <c r="Z69" s="500">
        <f t="shared" si="46"/>
        <v>0</v>
      </c>
      <c r="AA69" s="500">
        <f t="shared" si="47"/>
        <v>0</v>
      </c>
      <c r="AB69" s="500">
        <f t="shared" si="48"/>
        <v>0</v>
      </c>
      <c r="AC69" s="500">
        <f t="shared" si="49"/>
        <v>0</v>
      </c>
      <c r="AD69" s="500">
        <f t="shared" si="50"/>
        <v>0</v>
      </c>
      <c r="AE69" s="500">
        <f t="shared" si="51"/>
        <v>0</v>
      </c>
      <c r="AF69" s="501"/>
      <c r="AG69" s="499">
        <f t="shared" si="52"/>
        <v>0</v>
      </c>
      <c r="AH69" s="499">
        <f t="shared" si="53"/>
        <v>0</v>
      </c>
      <c r="AI69" s="499">
        <f t="shared" si="54"/>
        <v>0</v>
      </c>
      <c r="AK69" s="500">
        <v>21</v>
      </c>
      <c r="AL69" s="500">
        <f t="shared" si="63"/>
        <v>0</v>
      </c>
      <c r="AM69" s="500">
        <f t="shared" si="64"/>
        <v>0</v>
      </c>
      <c r="AN69" s="503" t="s">
        <v>225</v>
      </c>
      <c r="AS69" s="500">
        <f t="shared" si="55"/>
        <v>0</v>
      </c>
      <c r="AT69" s="500">
        <f t="shared" si="56"/>
        <v>0</v>
      </c>
      <c r="AU69" s="500">
        <f t="shared" si="57"/>
        <v>0</v>
      </c>
      <c r="AV69" s="502" t="s">
        <v>2492</v>
      </c>
      <c r="AW69" s="502" t="s">
        <v>1755</v>
      </c>
      <c r="AX69" s="501" t="s">
        <v>1749</v>
      </c>
      <c r="AZ69" s="500">
        <f t="shared" si="58"/>
        <v>0</v>
      </c>
      <c r="BA69" s="500">
        <f t="shared" si="59"/>
        <v>0</v>
      </c>
      <c r="BB69" s="500">
        <v>0</v>
      </c>
      <c r="BC69" s="500" t="e">
        <f>#REF!</f>
        <v>#REF!</v>
      </c>
      <c r="BE69" s="499">
        <f t="shared" si="60"/>
        <v>0</v>
      </c>
      <c r="BF69" s="499">
        <f t="shared" si="61"/>
        <v>0</v>
      </c>
      <c r="BG69" s="499">
        <f t="shared" si="62"/>
        <v>0</v>
      </c>
    </row>
    <row r="70" spans="1:59" ht="12">
      <c r="A70" s="506" t="s">
        <v>447</v>
      </c>
      <c r="B70" s="506"/>
      <c r="C70" s="506" t="s">
        <v>2500</v>
      </c>
      <c r="D70" s="506" t="s">
        <v>2499</v>
      </c>
      <c r="E70" s="506" t="s">
        <v>258</v>
      </c>
      <c r="F70" s="499">
        <v>1</v>
      </c>
      <c r="G70" s="530">
        <v>0</v>
      </c>
      <c r="H70" s="499">
        <f t="shared" si="41"/>
        <v>0</v>
      </c>
      <c r="I70" s="499">
        <f t="shared" si="42"/>
        <v>0</v>
      </c>
      <c r="J70" s="499">
        <f t="shared" si="43"/>
        <v>0</v>
      </c>
      <c r="W70" s="500">
        <f t="shared" si="44"/>
        <v>0</v>
      </c>
      <c r="Y70" s="500">
        <f t="shared" si="45"/>
        <v>0</v>
      </c>
      <c r="Z70" s="500">
        <f t="shared" si="46"/>
        <v>0</v>
      </c>
      <c r="AA70" s="500">
        <f t="shared" si="47"/>
        <v>0</v>
      </c>
      <c r="AB70" s="500">
        <f t="shared" si="48"/>
        <v>0</v>
      </c>
      <c r="AC70" s="500">
        <f t="shared" si="49"/>
        <v>0</v>
      </c>
      <c r="AD70" s="500">
        <f t="shared" si="50"/>
        <v>0</v>
      </c>
      <c r="AE70" s="500">
        <f t="shared" si="51"/>
        <v>0</v>
      </c>
      <c r="AF70" s="501"/>
      <c r="AG70" s="499">
        <f t="shared" si="52"/>
        <v>0</v>
      </c>
      <c r="AH70" s="499">
        <f t="shared" si="53"/>
        <v>0</v>
      </c>
      <c r="AI70" s="499">
        <f t="shared" si="54"/>
        <v>0</v>
      </c>
      <c r="AK70" s="500">
        <v>21</v>
      </c>
      <c r="AL70" s="500">
        <f t="shared" si="63"/>
        <v>0</v>
      </c>
      <c r="AM70" s="500">
        <f t="shared" si="64"/>
        <v>0</v>
      </c>
      <c r="AN70" s="503" t="s">
        <v>225</v>
      </c>
      <c r="AS70" s="500">
        <f t="shared" si="55"/>
        <v>0</v>
      </c>
      <c r="AT70" s="500">
        <f t="shared" si="56"/>
        <v>0</v>
      </c>
      <c r="AU70" s="500">
        <f t="shared" si="57"/>
        <v>0</v>
      </c>
      <c r="AV70" s="502" t="s">
        <v>2492</v>
      </c>
      <c r="AW70" s="502" t="s">
        <v>1755</v>
      </c>
      <c r="AX70" s="501" t="s">
        <v>1749</v>
      </c>
      <c r="AZ70" s="500">
        <f t="shared" si="58"/>
        <v>0</v>
      </c>
      <c r="BA70" s="500">
        <f t="shared" si="59"/>
        <v>0</v>
      </c>
      <c r="BB70" s="500">
        <v>0</v>
      </c>
      <c r="BC70" s="500" t="e">
        <f>#REF!</f>
        <v>#REF!</v>
      </c>
      <c r="BE70" s="499">
        <f t="shared" si="60"/>
        <v>0</v>
      </c>
      <c r="BF70" s="499">
        <f t="shared" si="61"/>
        <v>0</v>
      </c>
      <c r="BG70" s="499">
        <f t="shared" si="62"/>
        <v>0</v>
      </c>
    </row>
    <row r="71" spans="1:59" ht="12">
      <c r="A71" s="506" t="s">
        <v>452</v>
      </c>
      <c r="B71" s="506"/>
      <c r="C71" s="506" t="s">
        <v>2498</v>
      </c>
      <c r="D71" s="506" t="s">
        <v>2497</v>
      </c>
      <c r="E71" s="506" t="s">
        <v>258</v>
      </c>
      <c r="F71" s="499">
        <v>15</v>
      </c>
      <c r="G71" s="530">
        <v>0</v>
      </c>
      <c r="H71" s="499">
        <f t="shared" si="41"/>
        <v>0</v>
      </c>
      <c r="I71" s="499">
        <f t="shared" si="42"/>
        <v>0</v>
      </c>
      <c r="J71" s="499">
        <f t="shared" si="43"/>
        <v>0</v>
      </c>
      <c r="W71" s="500">
        <f t="shared" si="44"/>
        <v>0</v>
      </c>
      <c r="Y71" s="500">
        <f t="shared" si="45"/>
        <v>0</v>
      </c>
      <c r="Z71" s="500">
        <f t="shared" si="46"/>
        <v>0</v>
      </c>
      <c r="AA71" s="500">
        <f t="shared" si="47"/>
        <v>0</v>
      </c>
      <c r="AB71" s="500">
        <f t="shared" si="48"/>
        <v>0</v>
      </c>
      <c r="AC71" s="500">
        <f t="shared" si="49"/>
        <v>0</v>
      </c>
      <c r="AD71" s="500">
        <f t="shared" si="50"/>
        <v>0</v>
      </c>
      <c r="AE71" s="500">
        <f t="shared" si="51"/>
        <v>0</v>
      </c>
      <c r="AF71" s="501"/>
      <c r="AG71" s="499">
        <f t="shared" si="52"/>
        <v>0</v>
      </c>
      <c r="AH71" s="499">
        <f t="shared" si="53"/>
        <v>0</v>
      </c>
      <c r="AI71" s="499">
        <f t="shared" si="54"/>
        <v>0</v>
      </c>
      <c r="AK71" s="500">
        <v>21</v>
      </c>
      <c r="AL71" s="500">
        <f t="shared" si="63"/>
        <v>0</v>
      </c>
      <c r="AM71" s="500">
        <f t="shared" si="64"/>
        <v>0</v>
      </c>
      <c r="AN71" s="503" t="s">
        <v>225</v>
      </c>
      <c r="AS71" s="500">
        <f t="shared" si="55"/>
        <v>0</v>
      </c>
      <c r="AT71" s="500">
        <f t="shared" si="56"/>
        <v>0</v>
      </c>
      <c r="AU71" s="500">
        <f t="shared" si="57"/>
        <v>0</v>
      </c>
      <c r="AV71" s="502" t="s">
        <v>2492</v>
      </c>
      <c r="AW71" s="502" t="s">
        <v>1755</v>
      </c>
      <c r="AX71" s="501" t="s">
        <v>1749</v>
      </c>
      <c r="AZ71" s="500">
        <f t="shared" si="58"/>
        <v>0</v>
      </c>
      <c r="BA71" s="500">
        <f t="shared" si="59"/>
        <v>0</v>
      </c>
      <c r="BB71" s="500">
        <v>0</v>
      </c>
      <c r="BC71" s="500" t="e">
        <f>#REF!</f>
        <v>#REF!</v>
      </c>
      <c r="BE71" s="499">
        <f t="shared" si="60"/>
        <v>0</v>
      </c>
      <c r="BF71" s="499">
        <f t="shared" si="61"/>
        <v>0</v>
      </c>
      <c r="BG71" s="499">
        <f t="shared" si="62"/>
        <v>0</v>
      </c>
    </row>
    <row r="72" spans="1:59" ht="12">
      <c r="A72" s="506" t="s">
        <v>456</v>
      </c>
      <c r="B72" s="506"/>
      <c r="C72" s="506" t="s">
        <v>2496</v>
      </c>
      <c r="D72" s="506" t="s">
        <v>2495</v>
      </c>
      <c r="E72" s="506" t="s">
        <v>258</v>
      </c>
      <c r="F72" s="499">
        <v>1</v>
      </c>
      <c r="G72" s="530">
        <v>0</v>
      </c>
      <c r="H72" s="499">
        <f t="shared" si="41"/>
        <v>0</v>
      </c>
      <c r="I72" s="499">
        <f t="shared" si="42"/>
        <v>0</v>
      </c>
      <c r="J72" s="499">
        <f t="shared" si="43"/>
        <v>0</v>
      </c>
      <c r="W72" s="500">
        <f t="shared" si="44"/>
        <v>0</v>
      </c>
      <c r="Y72" s="500">
        <f t="shared" si="45"/>
        <v>0</v>
      </c>
      <c r="Z72" s="500">
        <f t="shared" si="46"/>
        <v>0</v>
      </c>
      <c r="AA72" s="500">
        <f t="shared" si="47"/>
        <v>0</v>
      </c>
      <c r="AB72" s="500">
        <f t="shared" si="48"/>
        <v>0</v>
      </c>
      <c r="AC72" s="500">
        <f t="shared" si="49"/>
        <v>0</v>
      </c>
      <c r="AD72" s="500">
        <f t="shared" si="50"/>
        <v>0</v>
      </c>
      <c r="AE72" s="500">
        <f t="shared" si="51"/>
        <v>0</v>
      </c>
      <c r="AF72" s="501"/>
      <c r="AG72" s="499">
        <f t="shared" si="52"/>
        <v>0</v>
      </c>
      <c r="AH72" s="499">
        <f t="shared" si="53"/>
        <v>0</v>
      </c>
      <c r="AI72" s="499">
        <f t="shared" si="54"/>
        <v>0</v>
      </c>
      <c r="AK72" s="500">
        <v>21</v>
      </c>
      <c r="AL72" s="500">
        <f t="shared" si="63"/>
        <v>0</v>
      </c>
      <c r="AM72" s="500">
        <f t="shared" si="64"/>
        <v>0</v>
      </c>
      <c r="AN72" s="503" t="s">
        <v>225</v>
      </c>
      <c r="AS72" s="500">
        <f t="shared" si="55"/>
        <v>0</v>
      </c>
      <c r="AT72" s="500">
        <f t="shared" si="56"/>
        <v>0</v>
      </c>
      <c r="AU72" s="500">
        <f t="shared" si="57"/>
        <v>0</v>
      </c>
      <c r="AV72" s="502" t="s">
        <v>2492</v>
      </c>
      <c r="AW72" s="502" t="s">
        <v>1755</v>
      </c>
      <c r="AX72" s="501" t="s">
        <v>1749</v>
      </c>
      <c r="AZ72" s="500">
        <f t="shared" si="58"/>
        <v>0</v>
      </c>
      <c r="BA72" s="500">
        <f t="shared" si="59"/>
        <v>0</v>
      </c>
      <c r="BB72" s="500">
        <v>0</v>
      </c>
      <c r="BC72" s="500" t="e">
        <f>#REF!</f>
        <v>#REF!</v>
      </c>
      <c r="BE72" s="499">
        <f t="shared" si="60"/>
        <v>0</v>
      </c>
      <c r="BF72" s="499">
        <f t="shared" si="61"/>
        <v>0</v>
      </c>
      <c r="BG72" s="499">
        <f t="shared" si="62"/>
        <v>0</v>
      </c>
    </row>
    <row r="73" spans="1:59" ht="12">
      <c r="A73" s="506" t="s">
        <v>460</v>
      </c>
      <c r="B73" s="506"/>
      <c r="C73" s="506" t="s">
        <v>2494</v>
      </c>
      <c r="D73" s="506" t="s">
        <v>2493</v>
      </c>
      <c r="E73" s="506" t="s">
        <v>253</v>
      </c>
      <c r="F73" s="499">
        <v>125</v>
      </c>
      <c r="G73" s="530">
        <v>0</v>
      </c>
      <c r="H73" s="499">
        <f t="shared" si="41"/>
        <v>0</v>
      </c>
      <c r="I73" s="499">
        <f t="shared" si="42"/>
        <v>0</v>
      </c>
      <c r="J73" s="499">
        <f t="shared" si="43"/>
        <v>0</v>
      </c>
      <c r="W73" s="500">
        <f t="shared" si="44"/>
        <v>0</v>
      </c>
      <c r="Y73" s="500">
        <f t="shared" si="45"/>
        <v>0</v>
      </c>
      <c r="Z73" s="500">
        <f t="shared" si="46"/>
        <v>0</v>
      </c>
      <c r="AA73" s="500">
        <f t="shared" si="47"/>
        <v>0</v>
      </c>
      <c r="AB73" s="500">
        <f t="shared" si="48"/>
        <v>0</v>
      </c>
      <c r="AC73" s="500">
        <f t="shared" si="49"/>
        <v>0</v>
      </c>
      <c r="AD73" s="500">
        <f t="shared" si="50"/>
        <v>0</v>
      </c>
      <c r="AE73" s="500">
        <f t="shared" si="51"/>
        <v>0</v>
      </c>
      <c r="AF73" s="501"/>
      <c r="AG73" s="499">
        <f t="shared" si="52"/>
        <v>0</v>
      </c>
      <c r="AH73" s="499">
        <f t="shared" si="53"/>
        <v>0</v>
      </c>
      <c r="AI73" s="499">
        <f t="shared" si="54"/>
        <v>0</v>
      </c>
      <c r="AK73" s="500">
        <v>21</v>
      </c>
      <c r="AL73" s="500">
        <f t="shared" si="63"/>
        <v>0</v>
      </c>
      <c r="AM73" s="500">
        <f t="shared" si="64"/>
        <v>0</v>
      </c>
      <c r="AN73" s="503" t="s">
        <v>225</v>
      </c>
      <c r="AS73" s="500">
        <f t="shared" si="55"/>
        <v>0</v>
      </c>
      <c r="AT73" s="500">
        <f t="shared" si="56"/>
        <v>0</v>
      </c>
      <c r="AU73" s="500">
        <f t="shared" si="57"/>
        <v>0</v>
      </c>
      <c r="AV73" s="502" t="s">
        <v>2492</v>
      </c>
      <c r="AW73" s="502" t="s">
        <v>1755</v>
      </c>
      <c r="AX73" s="501" t="s">
        <v>1749</v>
      </c>
      <c r="AZ73" s="500">
        <f t="shared" si="58"/>
        <v>0</v>
      </c>
      <c r="BA73" s="500">
        <f t="shared" si="59"/>
        <v>0</v>
      </c>
      <c r="BB73" s="500">
        <v>0</v>
      </c>
      <c r="BC73" s="500" t="e">
        <f>#REF!</f>
        <v>#REF!</v>
      </c>
      <c r="BE73" s="499">
        <f t="shared" si="60"/>
        <v>0</v>
      </c>
      <c r="BF73" s="499">
        <f t="shared" si="61"/>
        <v>0</v>
      </c>
      <c r="BG73" s="499">
        <f t="shared" si="62"/>
        <v>0</v>
      </c>
    </row>
    <row r="74" spans="1:44" ht="12">
      <c r="A74" s="508"/>
      <c r="B74" s="509"/>
      <c r="C74" s="509" t="s">
        <v>2491</v>
      </c>
      <c r="D74" s="509" t="s">
        <v>2490</v>
      </c>
      <c r="E74" s="508" t="s">
        <v>146</v>
      </c>
      <c r="F74" s="508" t="s">
        <v>146</v>
      </c>
      <c r="G74" s="533"/>
      <c r="H74" s="507">
        <f>SUM(H75:H108)</f>
        <v>0</v>
      </c>
      <c r="I74" s="507">
        <f>SUM(I75:I108)</f>
        <v>0</v>
      </c>
      <c r="J74" s="507">
        <f>SUM(J75:J108)</f>
        <v>0</v>
      </c>
      <c r="AF74" s="501"/>
      <c r="AP74" s="507">
        <f>SUM(AG75:AG108)</f>
        <v>0</v>
      </c>
      <c r="AQ74" s="507">
        <f>SUM(AH75:AH108)</f>
        <v>0</v>
      </c>
      <c r="AR74" s="507">
        <f>SUM(AI75:AI108)</f>
        <v>0</v>
      </c>
    </row>
    <row r="75" spans="1:59" ht="12">
      <c r="A75" s="506" t="s">
        <v>465</v>
      </c>
      <c r="B75" s="506"/>
      <c r="C75" s="506" t="s">
        <v>2489</v>
      </c>
      <c r="D75" s="506" t="s">
        <v>2488</v>
      </c>
      <c r="E75" s="506" t="s">
        <v>1437</v>
      </c>
      <c r="F75" s="499">
        <v>1</v>
      </c>
      <c r="G75" s="530">
        <v>0</v>
      </c>
      <c r="H75" s="499">
        <f>F75*AL75</f>
        <v>0</v>
      </c>
      <c r="I75" s="499">
        <f>F75*AM75</f>
        <v>0</v>
      </c>
      <c r="J75" s="499">
        <f>F75*G75</f>
        <v>0</v>
      </c>
      <c r="W75" s="500">
        <f>IF(AN75="5",BG75,0)</f>
        <v>0</v>
      </c>
      <c r="Y75" s="500">
        <f>IF(AN75="1",BE75,0)</f>
        <v>0</v>
      </c>
      <c r="Z75" s="500">
        <f>IF(AN75="1",BF75,0)</f>
        <v>0</v>
      </c>
      <c r="AA75" s="500">
        <f>IF(AN75="7",BE75,0)</f>
        <v>0</v>
      </c>
      <c r="AB75" s="500">
        <f>IF(AN75="7",BF75,0)</f>
        <v>0</v>
      </c>
      <c r="AC75" s="500">
        <f>IF(AN75="2",BE75,0)</f>
        <v>0</v>
      </c>
      <c r="AD75" s="500">
        <f>IF(AN75="2",BF75,0)</f>
        <v>0</v>
      </c>
      <c r="AE75" s="500">
        <f>IF(AN75="0",BG75,0)</f>
        <v>0</v>
      </c>
      <c r="AF75" s="501"/>
      <c r="AG75" s="499">
        <f>IF(AK75=0,J75,0)</f>
        <v>0</v>
      </c>
      <c r="AH75" s="499">
        <f>IF(AK75=15,J75,0)</f>
        <v>0</v>
      </c>
      <c r="AI75" s="499">
        <f>IF(AK75=21,J75,0)</f>
        <v>0</v>
      </c>
      <c r="AK75" s="500">
        <v>21</v>
      </c>
      <c r="AL75" s="500">
        <f>G75*0.902489668206756</f>
        <v>0</v>
      </c>
      <c r="AM75" s="500">
        <f>G75*(1-0.902489668206756)</f>
        <v>0</v>
      </c>
      <c r="AN75" s="503" t="s">
        <v>225</v>
      </c>
      <c r="AS75" s="500">
        <f>AT75+AU75</f>
        <v>0</v>
      </c>
      <c r="AT75" s="500">
        <f>F75*AL75</f>
        <v>0</v>
      </c>
      <c r="AU75" s="500">
        <f>F75*AM75</f>
        <v>0</v>
      </c>
      <c r="AV75" s="502" t="s">
        <v>2438</v>
      </c>
      <c r="AW75" s="502" t="s">
        <v>1755</v>
      </c>
      <c r="AX75" s="501" t="s">
        <v>1749</v>
      </c>
      <c r="AZ75" s="500">
        <f>AT75+AU75</f>
        <v>0</v>
      </c>
      <c r="BA75" s="500">
        <f>G75/(100-BB75)*100</f>
        <v>0</v>
      </c>
      <c r="BB75" s="500">
        <v>0</v>
      </c>
      <c r="BC75" s="500" t="e">
        <f>#REF!</f>
        <v>#REF!</v>
      </c>
      <c r="BE75" s="499">
        <f>F75*AL75</f>
        <v>0</v>
      </c>
      <c r="BF75" s="499">
        <f>F75*AM75</f>
        <v>0</v>
      </c>
      <c r="BG75" s="499">
        <f>F75*G75</f>
        <v>0</v>
      </c>
    </row>
    <row r="76" spans="4:7" ht="216.75">
      <c r="D76" s="513" t="s">
        <v>2487</v>
      </c>
      <c r="G76" s="531">
        <v>0</v>
      </c>
    </row>
    <row r="77" spans="1:59" ht="12">
      <c r="A77" s="506" t="s">
        <v>470</v>
      </c>
      <c r="B77" s="506"/>
      <c r="C77" s="506" t="s">
        <v>2486</v>
      </c>
      <c r="D77" s="506" t="s">
        <v>2485</v>
      </c>
      <c r="E77" s="506" t="s">
        <v>2057</v>
      </c>
      <c r="F77" s="499">
        <v>3</v>
      </c>
      <c r="G77" s="530">
        <v>0</v>
      </c>
      <c r="H77" s="499">
        <f aca="true" t="shared" si="65" ref="H77:H106">F77*AL77</f>
        <v>0</v>
      </c>
      <c r="I77" s="499">
        <f aca="true" t="shared" si="66" ref="I77:I106">F77*AM77</f>
        <v>0</v>
      </c>
      <c r="J77" s="499">
        <f aca="true" t="shared" si="67" ref="J77:J106">F77*G77</f>
        <v>0</v>
      </c>
      <c r="W77" s="500">
        <f aca="true" t="shared" si="68" ref="W77:W106">IF(AN77="5",BG77,0)</f>
        <v>0</v>
      </c>
      <c r="Y77" s="500">
        <f aca="true" t="shared" si="69" ref="Y77:Y106">IF(AN77="1",BE77,0)</f>
        <v>0</v>
      </c>
      <c r="Z77" s="500">
        <f aca="true" t="shared" si="70" ref="Z77:Z106">IF(AN77="1",BF77,0)</f>
        <v>0</v>
      </c>
      <c r="AA77" s="500">
        <f aca="true" t="shared" si="71" ref="AA77:AA106">IF(AN77="7",BE77,0)</f>
        <v>0</v>
      </c>
      <c r="AB77" s="500">
        <f aca="true" t="shared" si="72" ref="AB77:AB106">IF(AN77="7",BF77,0)</f>
        <v>0</v>
      </c>
      <c r="AC77" s="500">
        <f aca="true" t="shared" si="73" ref="AC77:AC106">IF(AN77="2",BE77,0)</f>
        <v>0</v>
      </c>
      <c r="AD77" s="500">
        <f aca="true" t="shared" si="74" ref="AD77:AD106">IF(AN77="2",BF77,0)</f>
        <v>0</v>
      </c>
      <c r="AE77" s="500">
        <f aca="true" t="shared" si="75" ref="AE77:AE106">IF(AN77="0",BG77,0)</f>
        <v>0</v>
      </c>
      <c r="AF77" s="501"/>
      <c r="AG77" s="499">
        <f aca="true" t="shared" si="76" ref="AG77:AG106">IF(AK77=0,J77,0)</f>
        <v>0</v>
      </c>
      <c r="AH77" s="499">
        <f aca="true" t="shared" si="77" ref="AH77:AH106">IF(AK77=15,J77,0)</f>
        <v>0</v>
      </c>
      <c r="AI77" s="499">
        <f aca="true" t="shared" si="78" ref="AI77:AI106">IF(AK77=21,J77,0)</f>
        <v>0</v>
      </c>
      <c r="AK77" s="500">
        <v>21</v>
      </c>
      <c r="AL77" s="500">
        <f>G77*0.892857142857143</f>
        <v>0</v>
      </c>
      <c r="AM77" s="500">
        <f>G77*(1-0.892857142857143)</f>
        <v>0</v>
      </c>
      <c r="AN77" s="503" t="s">
        <v>225</v>
      </c>
      <c r="AS77" s="500">
        <f aca="true" t="shared" si="79" ref="AS77:AS106">AT77+AU77</f>
        <v>0</v>
      </c>
      <c r="AT77" s="500">
        <f aca="true" t="shared" si="80" ref="AT77:AT106">F77*AL77</f>
        <v>0</v>
      </c>
      <c r="AU77" s="500">
        <f aca="true" t="shared" si="81" ref="AU77:AU106">F77*AM77</f>
        <v>0</v>
      </c>
      <c r="AV77" s="502" t="s">
        <v>2438</v>
      </c>
      <c r="AW77" s="502" t="s">
        <v>1755</v>
      </c>
      <c r="AX77" s="501" t="s">
        <v>1749</v>
      </c>
      <c r="AZ77" s="500">
        <f aca="true" t="shared" si="82" ref="AZ77:AZ106">AT77+AU77</f>
        <v>0</v>
      </c>
      <c r="BA77" s="500">
        <f aca="true" t="shared" si="83" ref="BA77:BA106">G77/(100-BB77)*100</f>
        <v>0</v>
      </c>
      <c r="BB77" s="500">
        <v>0</v>
      </c>
      <c r="BC77" s="500" t="e">
        <f>#REF!</f>
        <v>#REF!</v>
      </c>
      <c r="BE77" s="499">
        <f aca="true" t="shared" si="84" ref="BE77:BE106">F77*AL77</f>
        <v>0</v>
      </c>
      <c r="BF77" s="499">
        <f aca="true" t="shared" si="85" ref="BF77:BF106">F77*AM77</f>
        <v>0</v>
      </c>
      <c r="BG77" s="499">
        <f aca="true" t="shared" si="86" ref="BG77:BG106">F77*G77</f>
        <v>0</v>
      </c>
    </row>
    <row r="78" spans="1:59" ht="12">
      <c r="A78" s="506" t="s">
        <v>475</v>
      </c>
      <c r="B78" s="506"/>
      <c r="C78" s="506" t="s">
        <v>2484</v>
      </c>
      <c r="D78" s="506" t="s">
        <v>2483</v>
      </c>
      <c r="E78" s="506" t="s">
        <v>258</v>
      </c>
      <c r="F78" s="499">
        <v>1</v>
      </c>
      <c r="G78" s="530">
        <v>0</v>
      </c>
      <c r="H78" s="499">
        <f t="shared" si="65"/>
        <v>0</v>
      </c>
      <c r="I78" s="499">
        <f t="shared" si="66"/>
        <v>0</v>
      </c>
      <c r="J78" s="499">
        <f t="shared" si="67"/>
        <v>0</v>
      </c>
      <c r="W78" s="500">
        <f t="shared" si="68"/>
        <v>0</v>
      </c>
      <c r="Y78" s="500">
        <f t="shared" si="69"/>
        <v>0</v>
      </c>
      <c r="Z78" s="500">
        <f t="shared" si="70"/>
        <v>0</v>
      </c>
      <c r="AA78" s="500">
        <f t="shared" si="71"/>
        <v>0</v>
      </c>
      <c r="AB78" s="500">
        <f t="shared" si="72"/>
        <v>0</v>
      </c>
      <c r="AC78" s="500">
        <f t="shared" si="73"/>
        <v>0</v>
      </c>
      <c r="AD78" s="500">
        <f t="shared" si="74"/>
        <v>0</v>
      </c>
      <c r="AE78" s="500">
        <f t="shared" si="75"/>
        <v>0</v>
      </c>
      <c r="AF78" s="501"/>
      <c r="AG78" s="499">
        <f t="shared" si="76"/>
        <v>0</v>
      </c>
      <c r="AH78" s="499">
        <f t="shared" si="77"/>
        <v>0</v>
      </c>
      <c r="AI78" s="499">
        <f t="shared" si="78"/>
        <v>0</v>
      </c>
      <c r="AK78" s="500">
        <v>21</v>
      </c>
      <c r="AL78" s="500">
        <f>G78*0.851895467414998</f>
        <v>0</v>
      </c>
      <c r="AM78" s="500">
        <f>G78*(1-0.851895467414998)</f>
        <v>0</v>
      </c>
      <c r="AN78" s="503" t="s">
        <v>225</v>
      </c>
      <c r="AS78" s="500">
        <f t="shared" si="79"/>
        <v>0</v>
      </c>
      <c r="AT78" s="500">
        <f t="shared" si="80"/>
        <v>0</v>
      </c>
      <c r="AU78" s="500">
        <f t="shared" si="81"/>
        <v>0</v>
      </c>
      <c r="AV78" s="502" t="s">
        <v>2438</v>
      </c>
      <c r="AW78" s="502" t="s">
        <v>1755</v>
      </c>
      <c r="AX78" s="501" t="s">
        <v>1749</v>
      </c>
      <c r="AZ78" s="500">
        <f t="shared" si="82"/>
        <v>0</v>
      </c>
      <c r="BA78" s="500">
        <f t="shared" si="83"/>
        <v>0</v>
      </c>
      <c r="BB78" s="500">
        <v>0</v>
      </c>
      <c r="BC78" s="500" t="e">
        <f>#REF!</f>
        <v>#REF!</v>
      </c>
      <c r="BE78" s="499">
        <f t="shared" si="84"/>
        <v>0</v>
      </c>
      <c r="BF78" s="499">
        <f t="shared" si="85"/>
        <v>0</v>
      </c>
      <c r="BG78" s="499">
        <f t="shared" si="86"/>
        <v>0</v>
      </c>
    </row>
    <row r="79" spans="1:59" ht="12">
      <c r="A79" s="506" t="s">
        <v>480</v>
      </c>
      <c r="B79" s="506"/>
      <c r="C79" s="506" t="s">
        <v>2482</v>
      </c>
      <c r="D79" s="506" t="s">
        <v>2481</v>
      </c>
      <c r="E79" s="506" t="s">
        <v>258</v>
      </c>
      <c r="F79" s="499">
        <v>1</v>
      </c>
      <c r="G79" s="530">
        <v>0</v>
      </c>
      <c r="H79" s="499">
        <f t="shared" si="65"/>
        <v>0</v>
      </c>
      <c r="I79" s="499">
        <f t="shared" si="66"/>
        <v>0</v>
      </c>
      <c r="J79" s="499">
        <f t="shared" si="67"/>
        <v>0</v>
      </c>
      <c r="W79" s="500">
        <f t="shared" si="68"/>
        <v>0</v>
      </c>
      <c r="Y79" s="500">
        <f t="shared" si="69"/>
        <v>0</v>
      </c>
      <c r="Z79" s="500">
        <f t="shared" si="70"/>
        <v>0</v>
      </c>
      <c r="AA79" s="500">
        <f t="shared" si="71"/>
        <v>0</v>
      </c>
      <c r="AB79" s="500">
        <f t="shared" si="72"/>
        <v>0</v>
      </c>
      <c r="AC79" s="500">
        <f t="shared" si="73"/>
        <v>0</v>
      </c>
      <c r="AD79" s="500">
        <f t="shared" si="74"/>
        <v>0</v>
      </c>
      <c r="AE79" s="500">
        <f t="shared" si="75"/>
        <v>0</v>
      </c>
      <c r="AF79" s="501"/>
      <c r="AG79" s="499">
        <f t="shared" si="76"/>
        <v>0</v>
      </c>
      <c r="AH79" s="499">
        <f t="shared" si="77"/>
        <v>0</v>
      </c>
      <c r="AI79" s="499">
        <f t="shared" si="78"/>
        <v>0</v>
      </c>
      <c r="AK79" s="500">
        <v>21</v>
      </c>
      <c r="AL79" s="500">
        <f>G79*0.943102451176654</f>
        <v>0</v>
      </c>
      <c r="AM79" s="500">
        <f>G79*(1-0.943102451176654)</f>
        <v>0</v>
      </c>
      <c r="AN79" s="503" t="s">
        <v>225</v>
      </c>
      <c r="AS79" s="500">
        <f t="shared" si="79"/>
        <v>0</v>
      </c>
      <c r="AT79" s="500">
        <f t="shared" si="80"/>
        <v>0</v>
      </c>
      <c r="AU79" s="500">
        <f t="shared" si="81"/>
        <v>0</v>
      </c>
      <c r="AV79" s="502" t="s">
        <v>2438</v>
      </c>
      <c r="AW79" s="502" t="s">
        <v>1755</v>
      </c>
      <c r="AX79" s="501" t="s">
        <v>1749</v>
      </c>
      <c r="AZ79" s="500">
        <f t="shared" si="82"/>
        <v>0</v>
      </c>
      <c r="BA79" s="500">
        <f t="shared" si="83"/>
        <v>0</v>
      </c>
      <c r="BB79" s="500">
        <v>0</v>
      </c>
      <c r="BC79" s="500" t="e">
        <f>#REF!</f>
        <v>#REF!</v>
      </c>
      <c r="BE79" s="499">
        <f t="shared" si="84"/>
        <v>0</v>
      </c>
      <c r="BF79" s="499">
        <f t="shared" si="85"/>
        <v>0</v>
      </c>
      <c r="BG79" s="499">
        <f t="shared" si="86"/>
        <v>0</v>
      </c>
    </row>
    <row r="80" spans="1:59" ht="12">
      <c r="A80" s="506" t="s">
        <v>485</v>
      </c>
      <c r="B80" s="506"/>
      <c r="C80" s="506" t="s">
        <v>2480</v>
      </c>
      <c r="D80" s="506" t="s">
        <v>2479</v>
      </c>
      <c r="E80" s="506" t="s">
        <v>258</v>
      </c>
      <c r="F80" s="499">
        <v>1</v>
      </c>
      <c r="G80" s="530">
        <v>0</v>
      </c>
      <c r="H80" s="499">
        <f t="shared" si="65"/>
        <v>0</v>
      </c>
      <c r="I80" s="499">
        <f t="shared" si="66"/>
        <v>0</v>
      </c>
      <c r="J80" s="499">
        <f t="shared" si="67"/>
        <v>0</v>
      </c>
      <c r="W80" s="500">
        <f t="shared" si="68"/>
        <v>0</v>
      </c>
      <c r="Y80" s="500">
        <f t="shared" si="69"/>
        <v>0</v>
      </c>
      <c r="Z80" s="500">
        <f t="shared" si="70"/>
        <v>0</v>
      </c>
      <c r="AA80" s="500">
        <f t="shared" si="71"/>
        <v>0</v>
      </c>
      <c r="AB80" s="500">
        <f t="shared" si="72"/>
        <v>0</v>
      </c>
      <c r="AC80" s="500">
        <f t="shared" si="73"/>
        <v>0</v>
      </c>
      <c r="AD80" s="500">
        <f t="shared" si="74"/>
        <v>0</v>
      </c>
      <c r="AE80" s="500">
        <f t="shared" si="75"/>
        <v>0</v>
      </c>
      <c r="AF80" s="501"/>
      <c r="AG80" s="499">
        <f t="shared" si="76"/>
        <v>0</v>
      </c>
      <c r="AH80" s="499">
        <f t="shared" si="77"/>
        <v>0</v>
      </c>
      <c r="AI80" s="499">
        <f t="shared" si="78"/>
        <v>0</v>
      </c>
      <c r="AK80" s="500">
        <v>21</v>
      </c>
      <c r="AL80" s="500">
        <f>G80*0.874243443174176</f>
        <v>0</v>
      </c>
      <c r="AM80" s="500">
        <f>G80*(1-0.874243443174176)</f>
        <v>0</v>
      </c>
      <c r="AN80" s="503" t="s">
        <v>225</v>
      </c>
      <c r="AS80" s="500">
        <f t="shared" si="79"/>
        <v>0</v>
      </c>
      <c r="AT80" s="500">
        <f t="shared" si="80"/>
        <v>0</v>
      </c>
      <c r="AU80" s="500">
        <f t="shared" si="81"/>
        <v>0</v>
      </c>
      <c r="AV80" s="502" t="s">
        <v>2438</v>
      </c>
      <c r="AW80" s="502" t="s">
        <v>1755</v>
      </c>
      <c r="AX80" s="501" t="s">
        <v>1749</v>
      </c>
      <c r="AZ80" s="500">
        <f t="shared" si="82"/>
        <v>0</v>
      </c>
      <c r="BA80" s="500">
        <f t="shared" si="83"/>
        <v>0</v>
      </c>
      <c r="BB80" s="500">
        <v>0</v>
      </c>
      <c r="BC80" s="500" t="e">
        <f>#REF!</f>
        <v>#REF!</v>
      </c>
      <c r="BE80" s="499">
        <f t="shared" si="84"/>
        <v>0</v>
      </c>
      <c r="BF80" s="499">
        <f t="shared" si="85"/>
        <v>0</v>
      </c>
      <c r="BG80" s="499">
        <f t="shared" si="86"/>
        <v>0</v>
      </c>
    </row>
    <row r="81" spans="1:59" ht="12">
      <c r="A81" s="506" t="s">
        <v>489</v>
      </c>
      <c r="B81" s="506"/>
      <c r="C81" s="506" t="s">
        <v>2478</v>
      </c>
      <c r="D81" s="506" t="s">
        <v>2477</v>
      </c>
      <c r="E81" s="506" t="s">
        <v>1437</v>
      </c>
      <c r="F81" s="499">
        <v>1</v>
      </c>
      <c r="G81" s="530">
        <v>0</v>
      </c>
      <c r="H81" s="499">
        <f t="shared" si="65"/>
        <v>0</v>
      </c>
      <c r="I81" s="499">
        <f t="shared" si="66"/>
        <v>0</v>
      </c>
      <c r="J81" s="499">
        <f t="shared" si="67"/>
        <v>0</v>
      </c>
      <c r="W81" s="500">
        <f t="shared" si="68"/>
        <v>0</v>
      </c>
      <c r="Y81" s="500">
        <f t="shared" si="69"/>
        <v>0</v>
      </c>
      <c r="Z81" s="500">
        <f t="shared" si="70"/>
        <v>0</v>
      </c>
      <c r="AA81" s="500">
        <f t="shared" si="71"/>
        <v>0</v>
      </c>
      <c r="AB81" s="500">
        <f t="shared" si="72"/>
        <v>0</v>
      </c>
      <c r="AC81" s="500">
        <f t="shared" si="73"/>
        <v>0</v>
      </c>
      <c r="AD81" s="500">
        <f t="shared" si="74"/>
        <v>0</v>
      </c>
      <c r="AE81" s="500">
        <f t="shared" si="75"/>
        <v>0</v>
      </c>
      <c r="AF81" s="501"/>
      <c r="AG81" s="499">
        <f t="shared" si="76"/>
        <v>0</v>
      </c>
      <c r="AH81" s="499">
        <f t="shared" si="77"/>
        <v>0</v>
      </c>
      <c r="AI81" s="499">
        <f t="shared" si="78"/>
        <v>0</v>
      </c>
      <c r="AK81" s="500">
        <v>21</v>
      </c>
      <c r="AL81" s="500">
        <f>G81*0.678562452877607</f>
        <v>0</v>
      </c>
      <c r="AM81" s="500">
        <f>G81*(1-0.678562452877607)</f>
        <v>0</v>
      </c>
      <c r="AN81" s="503" t="s">
        <v>225</v>
      </c>
      <c r="AS81" s="500">
        <f t="shared" si="79"/>
        <v>0</v>
      </c>
      <c r="AT81" s="500">
        <f t="shared" si="80"/>
        <v>0</v>
      </c>
      <c r="AU81" s="500">
        <f t="shared" si="81"/>
        <v>0</v>
      </c>
      <c r="AV81" s="502" t="s">
        <v>2438</v>
      </c>
      <c r="AW81" s="502" t="s">
        <v>1755</v>
      </c>
      <c r="AX81" s="501" t="s">
        <v>1749</v>
      </c>
      <c r="AZ81" s="500">
        <f t="shared" si="82"/>
        <v>0</v>
      </c>
      <c r="BA81" s="500">
        <f t="shared" si="83"/>
        <v>0</v>
      </c>
      <c r="BB81" s="500">
        <v>0</v>
      </c>
      <c r="BC81" s="500" t="e">
        <f>#REF!</f>
        <v>#REF!</v>
      </c>
      <c r="BE81" s="499">
        <f t="shared" si="84"/>
        <v>0</v>
      </c>
      <c r="BF81" s="499">
        <f t="shared" si="85"/>
        <v>0</v>
      </c>
      <c r="BG81" s="499">
        <f t="shared" si="86"/>
        <v>0</v>
      </c>
    </row>
    <row r="82" spans="1:59" ht="12">
      <c r="A82" s="506" t="s">
        <v>493</v>
      </c>
      <c r="B82" s="506"/>
      <c r="C82" s="506" t="s">
        <v>2476</v>
      </c>
      <c r="D82" s="506" t="s">
        <v>2475</v>
      </c>
      <c r="E82" s="506" t="s">
        <v>258</v>
      </c>
      <c r="F82" s="499">
        <v>3</v>
      </c>
      <c r="G82" s="530">
        <v>0</v>
      </c>
      <c r="H82" s="499">
        <f t="shared" si="65"/>
        <v>0</v>
      </c>
      <c r="I82" s="499">
        <f t="shared" si="66"/>
        <v>0</v>
      </c>
      <c r="J82" s="499">
        <f t="shared" si="67"/>
        <v>0</v>
      </c>
      <c r="W82" s="500">
        <f t="shared" si="68"/>
        <v>0</v>
      </c>
      <c r="Y82" s="500">
        <f t="shared" si="69"/>
        <v>0</v>
      </c>
      <c r="Z82" s="500">
        <f t="shared" si="70"/>
        <v>0</v>
      </c>
      <c r="AA82" s="500">
        <f t="shared" si="71"/>
        <v>0</v>
      </c>
      <c r="AB82" s="500">
        <f t="shared" si="72"/>
        <v>0</v>
      </c>
      <c r="AC82" s="500">
        <f t="shared" si="73"/>
        <v>0</v>
      </c>
      <c r="AD82" s="500">
        <f t="shared" si="74"/>
        <v>0</v>
      </c>
      <c r="AE82" s="500">
        <f t="shared" si="75"/>
        <v>0</v>
      </c>
      <c r="AF82" s="501"/>
      <c r="AG82" s="499">
        <f t="shared" si="76"/>
        <v>0</v>
      </c>
      <c r="AH82" s="499">
        <f t="shared" si="77"/>
        <v>0</v>
      </c>
      <c r="AI82" s="499">
        <f t="shared" si="78"/>
        <v>0</v>
      </c>
      <c r="AK82" s="500">
        <v>21</v>
      </c>
      <c r="AL82" s="500">
        <f>G82*0</f>
        <v>0</v>
      </c>
      <c r="AM82" s="500">
        <f>G82*(1-0)</f>
        <v>0</v>
      </c>
      <c r="AN82" s="503" t="s">
        <v>225</v>
      </c>
      <c r="AS82" s="500">
        <f t="shared" si="79"/>
        <v>0</v>
      </c>
      <c r="AT82" s="500">
        <f t="shared" si="80"/>
        <v>0</v>
      </c>
      <c r="AU82" s="500">
        <f t="shared" si="81"/>
        <v>0</v>
      </c>
      <c r="AV82" s="502" t="s">
        <v>2438</v>
      </c>
      <c r="AW82" s="502" t="s">
        <v>1755</v>
      </c>
      <c r="AX82" s="501" t="s">
        <v>1749</v>
      </c>
      <c r="AZ82" s="500">
        <f t="shared" si="82"/>
        <v>0</v>
      </c>
      <c r="BA82" s="500">
        <f t="shared" si="83"/>
        <v>0</v>
      </c>
      <c r="BB82" s="500">
        <v>0</v>
      </c>
      <c r="BC82" s="500" t="e">
        <f>#REF!</f>
        <v>#REF!</v>
      </c>
      <c r="BE82" s="499">
        <f t="shared" si="84"/>
        <v>0</v>
      </c>
      <c r="BF82" s="499">
        <f t="shared" si="85"/>
        <v>0</v>
      </c>
      <c r="BG82" s="499">
        <f t="shared" si="86"/>
        <v>0</v>
      </c>
    </row>
    <row r="83" spans="1:59" ht="12">
      <c r="A83" s="512" t="s">
        <v>497</v>
      </c>
      <c r="B83" s="512"/>
      <c r="C83" s="512" t="s">
        <v>2474</v>
      </c>
      <c r="D83" s="512" t="s">
        <v>2473</v>
      </c>
      <c r="E83" s="512" t="s">
        <v>258</v>
      </c>
      <c r="F83" s="510">
        <v>1</v>
      </c>
      <c r="G83" s="532">
        <v>0</v>
      </c>
      <c r="H83" s="510">
        <f t="shared" si="65"/>
        <v>0</v>
      </c>
      <c r="I83" s="510">
        <f t="shared" si="66"/>
        <v>0</v>
      </c>
      <c r="J83" s="510">
        <f t="shared" si="67"/>
        <v>0</v>
      </c>
      <c r="W83" s="500">
        <f t="shared" si="68"/>
        <v>0</v>
      </c>
      <c r="Y83" s="500">
        <f t="shared" si="69"/>
        <v>0</v>
      </c>
      <c r="Z83" s="500">
        <f t="shared" si="70"/>
        <v>0</v>
      </c>
      <c r="AA83" s="500">
        <f t="shared" si="71"/>
        <v>0</v>
      </c>
      <c r="AB83" s="500">
        <f t="shared" si="72"/>
        <v>0</v>
      </c>
      <c r="AC83" s="500">
        <f t="shared" si="73"/>
        <v>0</v>
      </c>
      <c r="AD83" s="500">
        <f t="shared" si="74"/>
        <v>0</v>
      </c>
      <c r="AE83" s="500">
        <f t="shared" si="75"/>
        <v>0</v>
      </c>
      <c r="AF83" s="501"/>
      <c r="AG83" s="510">
        <f t="shared" si="76"/>
        <v>0</v>
      </c>
      <c r="AH83" s="510">
        <f t="shared" si="77"/>
        <v>0</v>
      </c>
      <c r="AI83" s="510">
        <f t="shared" si="78"/>
        <v>0</v>
      </c>
      <c r="AK83" s="500">
        <v>21</v>
      </c>
      <c r="AL83" s="500">
        <f>G83*1</f>
        <v>0</v>
      </c>
      <c r="AM83" s="500">
        <f>G83*(1-1)</f>
        <v>0</v>
      </c>
      <c r="AN83" s="511" t="s">
        <v>225</v>
      </c>
      <c r="AS83" s="500">
        <f t="shared" si="79"/>
        <v>0</v>
      </c>
      <c r="AT83" s="500">
        <f t="shared" si="80"/>
        <v>0</v>
      </c>
      <c r="AU83" s="500">
        <f t="shared" si="81"/>
        <v>0</v>
      </c>
      <c r="AV83" s="502" t="s">
        <v>2438</v>
      </c>
      <c r="AW83" s="502" t="s">
        <v>1755</v>
      </c>
      <c r="AX83" s="501" t="s">
        <v>1749</v>
      </c>
      <c r="AZ83" s="500">
        <f t="shared" si="82"/>
        <v>0</v>
      </c>
      <c r="BA83" s="500">
        <f t="shared" si="83"/>
        <v>0</v>
      </c>
      <c r="BB83" s="500">
        <v>0</v>
      </c>
      <c r="BC83" s="500" t="e">
        <f>#REF!</f>
        <v>#REF!</v>
      </c>
      <c r="BE83" s="510">
        <f t="shared" si="84"/>
        <v>0</v>
      </c>
      <c r="BF83" s="510">
        <f t="shared" si="85"/>
        <v>0</v>
      </c>
      <c r="BG83" s="510">
        <f t="shared" si="86"/>
        <v>0</v>
      </c>
    </row>
    <row r="84" spans="1:59" ht="12">
      <c r="A84" s="512" t="s">
        <v>501</v>
      </c>
      <c r="B84" s="512"/>
      <c r="C84" s="512" t="s">
        <v>2472</v>
      </c>
      <c r="D84" s="512" t="s">
        <v>2471</v>
      </c>
      <c r="E84" s="512" t="s">
        <v>258</v>
      </c>
      <c r="F84" s="510">
        <v>2</v>
      </c>
      <c r="G84" s="532">
        <v>0</v>
      </c>
      <c r="H84" s="510">
        <f t="shared" si="65"/>
        <v>0</v>
      </c>
      <c r="I84" s="510">
        <f t="shared" si="66"/>
        <v>0</v>
      </c>
      <c r="J84" s="510">
        <f t="shared" si="67"/>
        <v>0</v>
      </c>
      <c r="W84" s="500">
        <f t="shared" si="68"/>
        <v>0</v>
      </c>
      <c r="Y84" s="500">
        <f t="shared" si="69"/>
        <v>0</v>
      </c>
      <c r="Z84" s="500">
        <f t="shared" si="70"/>
        <v>0</v>
      </c>
      <c r="AA84" s="500">
        <f t="shared" si="71"/>
        <v>0</v>
      </c>
      <c r="AB84" s="500">
        <f t="shared" si="72"/>
        <v>0</v>
      </c>
      <c r="AC84" s="500">
        <f t="shared" si="73"/>
        <v>0</v>
      </c>
      <c r="AD84" s="500">
        <f t="shared" si="74"/>
        <v>0</v>
      </c>
      <c r="AE84" s="500">
        <f t="shared" si="75"/>
        <v>0</v>
      </c>
      <c r="AF84" s="501"/>
      <c r="AG84" s="510">
        <f t="shared" si="76"/>
        <v>0</v>
      </c>
      <c r="AH84" s="510">
        <f t="shared" si="77"/>
        <v>0</v>
      </c>
      <c r="AI84" s="510">
        <f t="shared" si="78"/>
        <v>0</v>
      </c>
      <c r="AK84" s="500">
        <v>21</v>
      </c>
      <c r="AL84" s="500">
        <f>G84*1</f>
        <v>0</v>
      </c>
      <c r="AM84" s="500">
        <f>G84*(1-1)</f>
        <v>0</v>
      </c>
      <c r="AN84" s="511" t="s">
        <v>225</v>
      </c>
      <c r="AS84" s="500">
        <f t="shared" si="79"/>
        <v>0</v>
      </c>
      <c r="AT84" s="500">
        <f t="shared" si="80"/>
        <v>0</v>
      </c>
      <c r="AU84" s="500">
        <f t="shared" si="81"/>
        <v>0</v>
      </c>
      <c r="AV84" s="502" t="s">
        <v>2438</v>
      </c>
      <c r="AW84" s="502" t="s">
        <v>1755</v>
      </c>
      <c r="AX84" s="501" t="s">
        <v>1749</v>
      </c>
      <c r="AZ84" s="500">
        <f t="shared" si="82"/>
        <v>0</v>
      </c>
      <c r="BA84" s="500">
        <f t="shared" si="83"/>
        <v>0</v>
      </c>
      <c r="BB84" s="500">
        <v>0</v>
      </c>
      <c r="BC84" s="500" t="e">
        <f>#REF!</f>
        <v>#REF!</v>
      </c>
      <c r="BE84" s="510">
        <f t="shared" si="84"/>
        <v>0</v>
      </c>
      <c r="BF84" s="510">
        <f t="shared" si="85"/>
        <v>0</v>
      </c>
      <c r="BG84" s="510">
        <f t="shared" si="86"/>
        <v>0</v>
      </c>
    </row>
    <row r="85" spans="1:59" ht="12">
      <c r="A85" s="506" t="s">
        <v>506</v>
      </c>
      <c r="B85" s="506"/>
      <c r="C85" s="506" t="s">
        <v>2470</v>
      </c>
      <c r="D85" s="506" t="s">
        <v>2469</v>
      </c>
      <c r="E85" s="506" t="s">
        <v>258</v>
      </c>
      <c r="F85" s="499">
        <v>4</v>
      </c>
      <c r="G85" s="530">
        <v>0</v>
      </c>
      <c r="H85" s="499">
        <f t="shared" si="65"/>
        <v>0</v>
      </c>
      <c r="I85" s="499">
        <f t="shared" si="66"/>
        <v>0</v>
      </c>
      <c r="J85" s="499">
        <f t="shared" si="67"/>
        <v>0</v>
      </c>
      <c r="W85" s="500">
        <f t="shared" si="68"/>
        <v>0</v>
      </c>
      <c r="Y85" s="500">
        <f t="shared" si="69"/>
        <v>0</v>
      </c>
      <c r="Z85" s="500">
        <f t="shared" si="70"/>
        <v>0</v>
      </c>
      <c r="AA85" s="500">
        <f t="shared" si="71"/>
        <v>0</v>
      </c>
      <c r="AB85" s="500">
        <f t="shared" si="72"/>
        <v>0</v>
      </c>
      <c r="AC85" s="500">
        <f t="shared" si="73"/>
        <v>0</v>
      </c>
      <c r="AD85" s="500">
        <f t="shared" si="74"/>
        <v>0</v>
      </c>
      <c r="AE85" s="500">
        <f t="shared" si="75"/>
        <v>0</v>
      </c>
      <c r="AF85" s="501"/>
      <c r="AG85" s="499">
        <f t="shared" si="76"/>
        <v>0</v>
      </c>
      <c r="AH85" s="499">
        <f t="shared" si="77"/>
        <v>0</v>
      </c>
      <c r="AI85" s="499">
        <f t="shared" si="78"/>
        <v>0</v>
      </c>
      <c r="AK85" s="500">
        <v>21</v>
      </c>
      <c r="AL85" s="500">
        <f>G85*0</f>
        <v>0</v>
      </c>
      <c r="AM85" s="500">
        <f>G85*(1-0)</f>
        <v>0</v>
      </c>
      <c r="AN85" s="503" t="s">
        <v>225</v>
      </c>
      <c r="AS85" s="500">
        <f t="shared" si="79"/>
        <v>0</v>
      </c>
      <c r="AT85" s="500">
        <f t="shared" si="80"/>
        <v>0</v>
      </c>
      <c r="AU85" s="500">
        <f t="shared" si="81"/>
        <v>0</v>
      </c>
      <c r="AV85" s="502" t="s">
        <v>2438</v>
      </c>
      <c r="AW85" s="502" t="s">
        <v>1755</v>
      </c>
      <c r="AX85" s="501" t="s">
        <v>1749</v>
      </c>
      <c r="AZ85" s="500">
        <f t="shared" si="82"/>
        <v>0</v>
      </c>
      <c r="BA85" s="500">
        <f t="shared" si="83"/>
        <v>0</v>
      </c>
      <c r="BB85" s="500">
        <v>0</v>
      </c>
      <c r="BC85" s="500" t="e">
        <f>#REF!</f>
        <v>#REF!</v>
      </c>
      <c r="BE85" s="499">
        <f t="shared" si="84"/>
        <v>0</v>
      </c>
      <c r="BF85" s="499">
        <f t="shared" si="85"/>
        <v>0</v>
      </c>
      <c r="BG85" s="499">
        <f t="shared" si="86"/>
        <v>0</v>
      </c>
    </row>
    <row r="86" spans="1:59" ht="12">
      <c r="A86" s="512" t="s">
        <v>510</v>
      </c>
      <c r="B86" s="512"/>
      <c r="C86" s="512" t="s">
        <v>2468</v>
      </c>
      <c r="D86" s="512" t="s">
        <v>2467</v>
      </c>
      <c r="E86" s="512" t="s">
        <v>258</v>
      </c>
      <c r="F86" s="510">
        <v>4</v>
      </c>
      <c r="G86" s="532">
        <v>0</v>
      </c>
      <c r="H86" s="510">
        <f t="shared" si="65"/>
        <v>0</v>
      </c>
      <c r="I86" s="510">
        <f t="shared" si="66"/>
        <v>0</v>
      </c>
      <c r="J86" s="510">
        <f t="shared" si="67"/>
        <v>0</v>
      </c>
      <c r="W86" s="500">
        <f t="shared" si="68"/>
        <v>0</v>
      </c>
      <c r="Y86" s="500">
        <f t="shared" si="69"/>
        <v>0</v>
      </c>
      <c r="Z86" s="500">
        <f t="shared" si="70"/>
        <v>0</v>
      </c>
      <c r="AA86" s="500">
        <f t="shared" si="71"/>
        <v>0</v>
      </c>
      <c r="AB86" s="500">
        <f t="shared" si="72"/>
        <v>0</v>
      </c>
      <c r="AC86" s="500">
        <f t="shared" si="73"/>
        <v>0</v>
      </c>
      <c r="AD86" s="500">
        <f t="shared" si="74"/>
        <v>0</v>
      </c>
      <c r="AE86" s="500">
        <f t="shared" si="75"/>
        <v>0</v>
      </c>
      <c r="AF86" s="501"/>
      <c r="AG86" s="510">
        <f t="shared" si="76"/>
        <v>0</v>
      </c>
      <c r="AH86" s="510">
        <f t="shared" si="77"/>
        <v>0</v>
      </c>
      <c r="AI86" s="510">
        <f t="shared" si="78"/>
        <v>0</v>
      </c>
      <c r="AK86" s="500">
        <v>21</v>
      </c>
      <c r="AL86" s="500">
        <f>G86*1</f>
        <v>0</v>
      </c>
      <c r="AM86" s="500">
        <f>G86*(1-1)</f>
        <v>0</v>
      </c>
      <c r="AN86" s="511" t="s">
        <v>225</v>
      </c>
      <c r="AS86" s="500">
        <f t="shared" si="79"/>
        <v>0</v>
      </c>
      <c r="AT86" s="500">
        <f t="shared" si="80"/>
        <v>0</v>
      </c>
      <c r="AU86" s="500">
        <f t="shared" si="81"/>
        <v>0</v>
      </c>
      <c r="AV86" s="502" t="s">
        <v>2438</v>
      </c>
      <c r="AW86" s="502" t="s">
        <v>1755</v>
      </c>
      <c r="AX86" s="501" t="s">
        <v>1749</v>
      </c>
      <c r="AZ86" s="500">
        <f t="shared" si="82"/>
        <v>0</v>
      </c>
      <c r="BA86" s="500">
        <f t="shared" si="83"/>
        <v>0</v>
      </c>
      <c r="BB86" s="500">
        <v>0</v>
      </c>
      <c r="BC86" s="500" t="e">
        <f>#REF!</f>
        <v>#REF!</v>
      </c>
      <c r="BE86" s="510">
        <f t="shared" si="84"/>
        <v>0</v>
      </c>
      <c r="BF86" s="510">
        <f t="shared" si="85"/>
        <v>0</v>
      </c>
      <c r="BG86" s="510">
        <f t="shared" si="86"/>
        <v>0</v>
      </c>
    </row>
    <row r="87" spans="1:59" ht="12">
      <c r="A87" s="506" t="s">
        <v>514</v>
      </c>
      <c r="B87" s="506"/>
      <c r="C87" s="506" t="s">
        <v>2466</v>
      </c>
      <c r="D87" s="506" t="s">
        <v>2465</v>
      </c>
      <c r="E87" s="506" t="s">
        <v>258</v>
      </c>
      <c r="F87" s="499">
        <v>6</v>
      </c>
      <c r="G87" s="530">
        <v>0</v>
      </c>
      <c r="H87" s="499">
        <f t="shared" si="65"/>
        <v>0</v>
      </c>
      <c r="I87" s="499">
        <f t="shared" si="66"/>
        <v>0</v>
      </c>
      <c r="J87" s="499">
        <f t="shared" si="67"/>
        <v>0</v>
      </c>
      <c r="W87" s="500">
        <f t="shared" si="68"/>
        <v>0</v>
      </c>
      <c r="Y87" s="500">
        <f t="shared" si="69"/>
        <v>0</v>
      </c>
      <c r="Z87" s="500">
        <f t="shared" si="70"/>
        <v>0</v>
      </c>
      <c r="AA87" s="500">
        <f t="shared" si="71"/>
        <v>0</v>
      </c>
      <c r="AB87" s="500">
        <f t="shared" si="72"/>
        <v>0</v>
      </c>
      <c r="AC87" s="500">
        <f t="shared" si="73"/>
        <v>0</v>
      </c>
      <c r="AD87" s="500">
        <f t="shared" si="74"/>
        <v>0</v>
      </c>
      <c r="AE87" s="500">
        <f t="shared" si="75"/>
        <v>0</v>
      </c>
      <c r="AF87" s="501"/>
      <c r="AG87" s="499">
        <f t="shared" si="76"/>
        <v>0</v>
      </c>
      <c r="AH87" s="499">
        <f t="shared" si="77"/>
        <v>0</v>
      </c>
      <c r="AI87" s="499">
        <f t="shared" si="78"/>
        <v>0</v>
      </c>
      <c r="AK87" s="500">
        <v>21</v>
      </c>
      <c r="AL87" s="500">
        <f>G87*0</f>
        <v>0</v>
      </c>
      <c r="AM87" s="500">
        <f>G87*(1-0)</f>
        <v>0</v>
      </c>
      <c r="AN87" s="503" t="s">
        <v>225</v>
      </c>
      <c r="AS87" s="500">
        <f t="shared" si="79"/>
        <v>0</v>
      </c>
      <c r="AT87" s="500">
        <f t="shared" si="80"/>
        <v>0</v>
      </c>
      <c r="AU87" s="500">
        <f t="shared" si="81"/>
        <v>0</v>
      </c>
      <c r="AV87" s="502" t="s">
        <v>2438</v>
      </c>
      <c r="AW87" s="502" t="s">
        <v>1755</v>
      </c>
      <c r="AX87" s="501" t="s">
        <v>1749</v>
      </c>
      <c r="AZ87" s="500">
        <f t="shared" si="82"/>
        <v>0</v>
      </c>
      <c r="BA87" s="500">
        <f t="shared" si="83"/>
        <v>0</v>
      </c>
      <c r="BB87" s="500">
        <v>0</v>
      </c>
      <c r="BC87" s="500" t="e">
        <f>#REF!</f>
        <v>#REF!</v>
      </c>
      <c r="BE87" s="499">
        <f t="shared" si="84"/>
        <v>0</v>
      </c>
      <c r="BF87" s="499">
        <f t="shared" si="85"/>
        <v>0</v>
      </c>
      <c r="BG87" s="499">
        <f t="shared" si="86"/>
        <v>0</v>
      </c>
    </row>
    <row r="88" spans="1:59" ht="12">
      <c r="A88" s="512" t="s">
        <v>518</v>
      </c>
      <c r="B88" s="512"/>
      <c r="C88" s="512" t="s">
        <v>2464</v>
      </c>
      <c r="D88" s="512" t="s">
        <v>2463</v>
      </c>
      <c r="E88" s="512" t="s">
        <v>258</v>
      </c>
      <c r="F88" s="510">
        <v>4</v>
      </c>
      <c r="G88" s="532">
        <v>0</v>
      </c>
      <c r="H88" s="510">
        <f t="shared" si="65"/>
        <v>0</v>
      </c>
      <c r="I88" s="510">
        <f t="shared" si="66"/>
        <v>0</v>
      </c>
      <c r="J88" s="510">
        <f t="shared" si="67"/>
        <v>0</v>
      </c>
      <c r="W88" s="500">
        <f t="shared" si="68"/>
        <v>0</v>
      </c>
      <c r="Y88" s="500">
        <f t="shared" si="69"/>
        <v>0</v>
      </c>
      <c r="Z88" s="500">
        <f t="shared" si="70"/>
        <v>0</v>
      </c>
      <c r="AA88" s="500">
        <f t="shared" si="71"/>
        <v>0</v>
      </c>
      <c r="AB88" s="500">
        <f t="shared" si="72"/>
        <v>0</v>
      </c>
      <c r="AC88" s="500">
        <f t="shared" si="73"/>
        <v>0</v>
      </c>
      <c r="AD88" s="500">
        <f t="shared" si="74"/>
        <v>0</v>
      </c>
      <c r="AE88" s="500">
        <f t="shared" si="75"/>
        <v>0</v>
      </c>
      <c r="AF88" s="501"/>
      <c r="AG88" s="510">
        <f t="shared" si="76"/>
        <v>0</v>
      </c>
      <c r="AH88" s="510">
        <f t="shared" si="77"/>
        <v>0</v>
      </c>
      <c r="AI88" s="510">
        <f t="shared" si="78"/>
        <v>0</v>
      </c>
      <c r="AK88" s="500">
        <v>21</v>
      </c>
      <c r="AL88" s="500">
        <f>G88*1</f>
        <v>0</v>
      </c>
      <c r="AM88" s="500">
        <f>G88*(1-1)</f>
        <v>0</v>
      </c>
      <c r="AN88" s="511" t="s">
        <v>225</v>
      </c>
      <c r="AS88" s="500">
        <f t="shared" si="79"/>
        <v>0</v>
      </c>
      <c r="AT88" s="500">
        <f t="shared" si="80"/>
        <v>0</v>
      </c>
      <c r="AU88" s="500">
        <f t="shared" si="81"/>
        <v>0</v>
      </c>
      <c r="AV88" s="502" t="s">
        <v>2438</v>
      </c>
      <c r="AW88" s="502" t="s">
        <v>1755</v>
      </c>
      <c r="AX88" s="501" t="s">
        <v>1749</v>
      </c>
      <c r="AZ88" s="500">
        <f t="shared" si="82"/>
        <v>0</v>
      </c>
      <c r="BA88" s="500">
        <f t="shared" si="83"/>
        <v>0</v>
      </c>
      <c r="BB88" s="500">
        <v>0</v>
      </c>
      <c r="BC88" s="500" t="e">
        <f>#REF!</f>
        <v>#REF!</v>
      </c>
      <c r="BE88" s="510">
        <f t="shared" si="84"/>
        <v>0</v>
      </c>
      <c r="BF88" s="510">
        <f t="shared" si="85"/>
        <v>0</v>
      </c>
      <c r="BG88" s="510">
        <f t="shared" si="86"/>
        <v>0</v>
      </c>
    </row>
    <row r="89" spans="1:59" ht="12">
      <c r="A89" s="512" t="s">
        <v>523</v>
      </c>
      <c r="B89" s="512"/>
      <c r="C89" s="512" t="s">
        <v>2462</v>
      </c>
      <c r="D89" s="512" t="s">
        <v>2461</v>
      </c>
      <c r="E89" s="512" t="s">
        <v>258</v>
      </c>
      <c r="F89" s="510">
        <v>1</v>
      </c>
      <c r="G89" s="532">
        <v>0</v>
      </c>
      <c r="H89" s="510">
        <f t="shared" si="65"/>
        <v>0</v>
      </c>
      <c r="I89" s="510">
        <f t="shared" si="66"/>
        <v>0</v>
      </c>
      <c r="J89" s="510">
        <f t="shared" si="67"/>
        <v>0</v>
      </c>
      <c r="W89" s="500">
        <f t="shared" si="68"/>
        <v>0</v>
      </c>
      <c r="Y89" s="500">
        <f t="shared" si="69"/>
        <v>0</v>
      </c>
      <c r="Z89" s="500">
        <f t="shared" si="70"/>
        <v>0</v>
      </c>
      <c r="AA89" s="500">
        <f t="shared" si="71"/>
        <v>0</v>
      </c>
      <c r="AB89" s="500">
        <f t="shared" si="72"/>
        <v>0</v>
      </c>
      <c r="AC89" s="500">
        <f t="shared" si="73"/>
        <v>0</v>
      </c>
      <c r="AD89" s="500">
        <f t="shared" si="74"/>
        <v>0</v>
      </c>
      <c r="AE89" s="500">
        <f t="shared" si="75"/>
        <v>0</v>
      </c>
      <c r="AF89" s="501"/>
      <c r="AG89" s="510">
        <f t="shared" si="76"/>
        <v>0</v>
      </c>
      <c r="AH89" s="510">
        <f t="shared" si="77"/>
        <v>0</v>
      </c>
      <c r="AI89" s="510">
        <f t="shared" si="78"/>
        <v>0</v>
      </c>
      <c r="AK89" s="500">
        <v>21</v>
      </c>
      <c r="AL89" s="500">
        <f>G89*1</f>
        <v>0</v>
      </c>
      <c r="AM89" s="500">
        <f>G89*(1-1)</f>
        <v>0</v>
      </c>
      <c r="AN89" s="511" t="s">
        <v>225</v>
      </c>
      <c r="AS89" s="500">
        <f t="shared" si="79"/>
        <v>0</v>
      </c>
      <c r="AT89" s="500">
        <f t="shared" si="80"/>
        <v>0</v>
      </c>
      <c r="AU89" s="500">
        <f t="shared" si="81"/>
        <v>0</v>
      </c>
      <c r="AV89" s="502" t="s">
        <v>2438</v>
      </c>
      <c r="AW89" s="502" t="s">
        <v>1755</v>
      </c>
      <c r="AX89" s="501" t="s">
        <v>1749</v>
      </c>
      <c r="AZ89" s="500">
        <f t="shared" si="82"/>
        <v>0</v>
      </c>
      <c r="BA89" s="500">
        <f t="shared" si="83"/>
        <v>0</v>
      </c>
      <c r="BB89" s="500">
        <v>0</v>
      </c>
      <c r="BC89" s="500" t="e">
        <f>#REF!</f>
        <v>#REF!</v>
      </c>
      <c r="BE89" s="510">
        <f t="shared" si="84"/>
        <v>0</v>
      </c>
      <c r="BF89" s="510">
        <f t="shared" si="85"/>
        <v>0</v>
      </c>
      <c r="BG89" s="510">
        <f t="shared" si="86"/>
        <v>0</v>
      </c>
    </row>
    <row r="90" spans="1:59" ht="12">
      <c r="A90" s="512" t="s">
        <v>527</v>
      </c>
      <c r="B90" s="512"/>
      <c r="C90" s="512" t="s">
        <v>2460</v>
      </c>
      <c r="D90" s="512" t="s">
        <v>2459</v>
      </c>
      <c r="E90" s="512" t="s">
        <v>258</v>
      </c>
      <c r="F90" s="510">
        <v>1</v>
      </c>
      <c r="G90" s="532">
        <v>0</v>
      </c>
      <c r="H90" s="510">
        <f t="shared" si="65"/>
        <v>0</v>
      </c>
      <c r="I90" s="510">
        <f t="shared" si="66"/>
        <v>0</v>
      </c>
      <c r="J90" s="510">
        <f t="shared" si="67"/>
        <v>0</v>
      </c>
      <c r="W90" s="500">
        <f t="shared" si="68"/>
        <v>0</v>
      </c>
      <c r="Y90" s="500">
        <f t="shared" si="69"/>
        <v>0</v>
      </c>
      <c r="Z90" s="500">
        <f t="shared" si="70"/>
        <v>0</v>
      </c>
      <c r="AA90" s="500">
        <f t="shared" si="71"/>
        <v>0</v>
      </c>
      <c r="AB90" s="500">
        <f t="shared" si="72"/>
        <v>0</v>
      </c>
      <c r="AC90" s="500">
        <f t="shared" si="73"/>
        <v>0</v>
      </c>
      <c r="AD90" s="500">
        <f t="shared" si="74"/>
        <v>0</v>
      </c>
      <c r="AE90" s="500">
        <f t="shared" si="75"/>
        <v>0</v>
      </c>
      <c r="AF90" s="501"/>
      <c r="AG90" s="510">
        <f t="shared" si="76"/>
        <v>0</v>
      </c>
      <c r="AH90" s="510">
        <f t="shared" si="77"/>
        <v>0</v>
      </c>
      <c r="AI90" s="510">
        <f t="shared" si="78"/>
        <v>0</v>
      </c>
      <c r="AK90" s="500">
        <v>21</v>
      </c>
      <c r="AL90" s="500">
        <f>G90*1</f>
        <v>0</v>
      </c>
      <c r="AM90" s="500">
        <f>G90*(1-1)</f>
        <v>0</v>
      </c>
      <c r="AN90" s="511" t="s">
        <v>225</v>
      </c>
      <c r="AS90" s="500">
        <f t="shared" si="79"/>
        <v>0</v>
      </c>
      <c r="AT90" s="500">
        <f t="shared" si="80"/>
        <v>0</v>
      </c>
      <c r="AU90" s="500">
        <f t="shared" si="81"/>
        <v>0</v>
      </c>
      <c r="AV90" s="502" t="s">
        <v>2438</v>
      </c>
      <c r="AW90" s="502" t="s">
        <v>1755</v>
      </c>
      <c r="AX90" s="501" t="s">
        <v>1749</v>
      </c>
      <c r="AZ90" s="500">
        <f t="shared" si="82"/>
        <v>0</v>
      </c>
      <c r="BA90" s="500">
        <f t="shared" si="83"/>
        <v>0</v>
      </c>
      <c r="BB90" s="500">
        <v>0</v>
      </c>
      <c r="BC90" s="500" t="e">
        <f>#REF!</f>
        <v>#REF!</v>
      </c>
      <c r="BE90" s="510">
        <f t="shared" si="84"/>
        <v>0</v>
      </c>
      <c r="BF90" s="510">
        <f t="shared" si="85"/>
        <v>0</v>
      </c>
      <c r="BG90" s="510">
        <f t="shared" si="86"/>
        <v>0</v>
      </c>
    </row>
    <row r="91" spans="1:59" ht="12">
      <c r="A91" s="506" t="s">
        <v>531</v>
      </c>
      <c r="B91" s="506"/>
      <c r="C91" s="506" t="s">
        <v>2368</v>
      </c>
      <c r="D91" s="506" t="s">
        <v>2367</v>
      </c>
      <c r="E91" s="506" t="s">
        <v>258</v>
      </c>
      <c r="F91" s="499">
        <v>2</v>
      </c>
      <c r="G91" s="530">
        <v>0</v>
      </c>
      <c r="H91" s="499">
        <f t="shared" si="65"/>
        <v>0</v>
      </c>
      <c r="I91" s="499">
        <f t="shared" si="66"/>
        <v>0</v>
      </c>
      <c r="J91" s="499">
        <f t="shared" si="67"/>
        <v>0</v>
      </c>
      <c r="W91" s="500">
        <f t="shared" si="68"/>
        <v>0</v>
      </c>
      <c r="Y91" s="500">
        <f t="shared" si="69"/>
        <v>0</v>
      </c>
      <c r="Z91" s="500">
        <f t="shared" si="70"/>
        <v>0</v>
      </c>
      <c r="AA91" s="500">
        <f t="shared" si="71"/>
        <v>0</v>
      </c>
      <c r="AB91" s="500">
        <f t="shared" si="72"/>
        <v>0</v>
      </c>
      <c r="AC91" s="500">
        <f t="shared" si="73"/>
        <v>0</v>
      </c>
      <c r="AD91" s="500">
        <f t="shared" si="74"/>
        <v>0</v>
      </c>
      <c r="AE91" s="500">
        <f t="shared" si="75"/>
        <v>0</v>
      </c>
      <c r="AF91" s="501"/>
      <c r="AG91" s="499">
        <f t="shared" si="76"/>
        <v>0</v>
      </c>
      <c r="AH91" s="499">
        <f t="shared" si="77"/>
        <v>0</v>
      </c>
      <c r="AI91" s="499">
        <f t="shared" si="78"/>
        <v>0</v>
      </c>
      <c r="AK91" s="500">
        <v>21</v>
      </c>
      <c r="AL91" s="500">
        <f>G91*0</f>
        <v>0</v>
      </c>
      <c r="AM91" s="500">
        <f>G91*(1-0)</f>
        <v>0</v>
      </c>
      <c r="AN91" s="503" t="s">
        <v>225</v>
      </c>
      <c r="AS91" s="500">
        <f t="shared" si="79"/>
        <v>0</v>
      </c>
      <c r="AT91" s="500">
        <f t="shared" si="80"/>
        <v>0</v>
      </c>
      <c r="AU91" s="500">
        <f t="shared" si="81"/>
        <v>0</v>
      </c>
      <c r="AV91" s="502" t="s">
        <v>2438</v>
      </c>
      <c r="AW91" s="502" t="s">
        <v>1755</v>
      </c>
      <c r="AX91" s="501" t="s">
        <v>1749</v>
      </c>
      <c r="AZ91" s="500">
        <f t="shared" si="82"/>
        <v>0</v>
      </c>
      <c r="BA91" s="500">
        <f t="shared" si="83"/>
        <v>0</v>
      </c>
      <c r="BB91" s="500">
        <v>0</v>
      </c>
      <c r="BC91" s="500" t="e">
        <f>#REF!</f>
        <v>#REF!</v>
      </c>
      <c r="BE91" s="499">
        <f t="shared" si="84"/>
        <v>0</v>
      </c>
      <c r="BF91" s="499">
        <f t="shared" si="85"/>
        <v>0</v>
      </c>
      <c r="BG91" s="499">
        <f t="shared" si="86"/>
        <v>0</v>
      </c>
    </row>
    <row r="92" spans="1:59" ht="12">
      <c r="A92" s="506" t="s">
        <v>535</v>
      </c>
      <c r="B92" s="506"/>
      <c r="C92" s="506" t="s">
        <v>2458</v>
      </c>
      <c r="D92" s="506" t="s">
        <v>2457</v>
      </c>
      <c r="E92" s="506" t="s">
        <v>258</v>
      </c>
      <c r="F92" s="499">
        <v>2</v>
      </c>
      <c r="G92" s="530">
        <v>0</v>
      </c>
      <c r="H92" s="499">
        <f t="shared" si="65"/>
        <v>0</v>
      </c>
      <c r="I92" s="499">
        <f t="shared" si="66"/>
        <v>0</v>
      </c>
      <c r="J92" s="499">
        <f t="shared" si="67"/>
        <v>0</v>
      </c>
      <c r="W92" s="500">
        <f t="shared" si="68"/>
        <v>0</v>
      </c>
      <c r="Y92" s="500">
        <f t="shared" si="69"/>
        <v>0</v>
      </c>
      <c r="Z92" s="500">
        <f t="shared" si="70"/>
        <v>0</v>
      </c>
      <c r="AA92" s="500">
        <f t="shared" si="71"/>
        <v>0</v>
      </c>
      <c r="AB92" s="500">
        <f t="shared" si="72"/>
        <v>0</v>
      </c>
      <c r="AC92" s="500">
        <f t="shared" si="73"/>
        <v>0</v>
      </c>
      <c r="AD92" s="500">
        <f t="shared" si="74"/>
        <v>0</v>
      </c>
      <c r="AE92" s="500">
        <f t="shared" si="75"/>
        <v>0</v>
      </c>
      <c r="AF92" s="501"/>
      <c r="AG92" s="499">
        <f t="shared" si="76"/>
        <v>0</v>
      </c>
      <c r="AH92" s="499">
        <f t="shared" si="77"/>
        <v>0</v>
      </c>
      <c r="AI92" s="499">
        <f t="shared" si="78"/>
        <v>0</v>
      </c>
      <c r="AK92" s="500">
        <v>21</v>
      </c>
      <c r="AL92" s="500">
        <f>G92*1</f>
        <v>0</v>
      </c>
      <c r="AM92" s="500">
        <f>G92*(1-1)</f>
        <v>0</v>
      </c>
      <c r="AN92" s="503" t="s">
        <v>225</v>
      </c>
      <c r="AS92" s="500">
        <f t="shared" si="79"/>
        <v>0</v>
      </c>
      <c r="AT92" s="500">
        <f t="shared" si="80"/>
        <v>0</v>
      </c>
      <c r="AU92" s="500">
        <f t="shared" si="81"/>
        <v>0</v>
      </c>
      <c r="AV92" s="502" t="s">
        <v>2438</v>
      </c>
      <c r="AW92" s="502" t="s">
        <v>1755</v>
      </c>
      <c r="AX92" s="501" t="s">
        <v>1749</v>
      </c>
      <c r="AZ92" s="500">
        <f t="shared" si="82"/>
        <v>0</v>
      </c>
      <c r="BA92" s="500">
        <f t="shared" si="83"/>
        <v>0</v>
      </c>
      <c r="BB92" s="500">
        <v>0</v>
      </c>
      <c r="BC92" s="500" t="e">
        <f>#REF!</f>
        <v>#REF!</v>
      </c>
      <c r="BE92" s="499">
        <f t="shared" si="84"/>
        <v>0</v>
      </c>
      <c r="BF92" s="499">
        <f t="shared" si="85"/>
        <v>0</v>
      </c>
      <c r="BG92" s="499">
        <f t="shared" si="86"/>
        <v>0</v>
      </c>
    </row>
    <row r="93" spans="1:59" ht="12">
      <c r="A93" s="506" t="s">
        <v>539</v>
      </c>
      <c r="B93" s="506"/>
      <c r="C93" s="506" t="s">
        <v>2456</v>
      </c>
      <c r="D93" s="506" t="s">
        <v>2455</v>
      </c>
      <c r="E93" s="506" t="s">
        <v>258</v>
      </c>
      <c r="F93" s="499">
        <v>2</v>
      </c>
      <c r="G93" s="530">
        <v>0</v>
      </c>
      <c r="H93" s="499">
        <f t="shared" si="65"/>
        <v>0</v>
      </c>
      <c r="I93" s="499">
        <f t="shared" si="66"/>
        <v>0</v>
      </c>
      <c r="J93" s="499">
        <f t="shared" si="67"/>
        <v>0</v>
      </c>
      <c r="W93" s="500">
        <f t="shared" si="68"/>
        <v>0</v>
      </c>
      <c r="Y93" s="500">
        <f t="shared" si="69"/>
        <v>0</v>
      </c>
      <c r="Z93" s="500">
        <f t="shared" si="70"/>
        <v>0</v>
      </c>
      <c r="AA93" s="500">
        <f t="shared" si="71"/>
        <v>0</v>
      </c>
      <c r="AB93" s="500">
        <f t="shared" si="72"/>
        <v>0</v>
      </c>
      <c r="AC93" s="500">
        <f t="shared" si="73"/>
        <v>0</v>
      </c>
      <c r="AD93" s="500">
        <f t="shared" si="74"/>
        <v>0</v>
      </c>
      <c r="AE93" s="500">
        <f t="shared" si="75"/>
        <v>0</v>
      </c>
      <c r="AF93" s="501"/>
      <c r="AG93" s="499">
        <f t="shared" si="76"/>
        <v>0</v>
      </c>
      <c r="AH93" s="499">
        <f t="shared" si="77"/>
        <v>0</v>
      </c>
      <c r="AI93" s="499">
        <f t="shared" si="78"/>
        <v>0</v>
      </c>
      <c r="AK93" s="500">
        <v>21</v>
      </c>
      <c r="AL93" s="500">
        <f>G93*0</f>
        <v>0</v>
      </c>
      <c r="AM93" s="500">
        <f>G93*(1-0)</f>
        <v>0</v>
      </c>
      <c r="AN93" s="503" t="s">
        <v>225</v>
      </c>
      <c r="AS93" s="500">
        <f t="shared" si="79"/>
        <v>0</v>
      </c>
      <c r="AT93" s="500">
        <f t="shared" si="80"/>
        <v>0</v>
      </c>
      <c r="AU93" s="500">
        <f t="shared" si="81"/>
        <v>0</v>
      </c>
      <c r="AV93" s="502" t="s">
        <v>2438</v>
      </c>
      <c r="AW93" s="502" t="s">
        <v>1755</v>
      </c>
      <c r="AX93" s="501" t="s">
        <v>1749</v>
      </c>
      <c r="AZ93" s="500">
        <f t="shared" si="82"/>
        <v>0</v>
      </c>
      <c r="BA93" s="500">
        <f t="shared" si="83"/>
        <v>0</v>
      </c>
      <c r="BB93" s="500">
        <v>0</v>
      </c>
      <c r="BC93" s="500" t="e">
        <f>#REF!</f>
        <v>#REF!</v>
      </c>
      <c r="BE93" s="499">
        <f t="shared" si="84"/>
        <v>0</v>
      </c>
      <c r="BF93" s="499">
        <f t="shared" si="85"/>
        <v>0</v>
      </c>
      <c r="BG93" s="499">
        <f t="shared" si="86"/>
        <v>0</v>
      </c>
    </row>
    <row r="94" spans="1:59" ht="12">
      <c r="A94" s="506" t="s">
        <v>543</v>
      </c>
      <c r="B94" s="506"/>
      <c r="C94" s="506" t="s">
        <v>2454</v>
      </c>
      <c r="D94" s="506" t="s">
        <v>2453</v>
      </c>
      <c r="E94" s="506" t="s">
        <v>258</v>
      </c>
      <c r="F94" s="499">
        <v>2</v>
      </c>
      <c r="G94" s="530">
        <v>0</v>
      </c>
      <c r="H94" s="499">
        <f t="shared" si="65"/>
        <v>0</v>
      </c>
      <c r="I94" s="499">
        <f t="shared" si="66"/>
        <v>0</v>
      </c>
      <c r="J94" s="499">
        <f t="shared" si="67"/>
        <v>0</v>
      </c>
      <c r="W94" s="500">
        <f t="shared" si="68"/>
        <v>0</v>
      </c>
      <c r="Y94" s="500">
        <f t="shared" si="69"/>
        <v>0</v>
      </c>
      <c r="Z94" s="500">
        <f t="shared" si="70"/>
        <v>0</v>
      </c>
      <c r="AA94" s="500">
        <f t="shared" si="71"/>
        <v>0</v>
      </c>
      <c r="AB94" s="500">
        <f t="shared" si="72"/>
        <v>0</v>
      </c>
      <c r="AC94" s="500">
        <f t="shared" si="73"/>
        <v>0</v>
      </c>
      <c r="AD94" s="500">
        <f t="shared" si="74"/>
        <v>0</v>
      </c>
      <c r="AE94" s="500">
        <f t="shared" si="75"/>
        <v>0</v>
      </c>
      <c r="AF94" s="501"/>
      <c r="AG94" s="499">
        <f t="shared" si="76"/>
        <v>0</v>
      </c>
      <c r="AH94" s="499">
        <f t="shared" si="77"/>
        <v>0</v>
      </c>
      <c r="AI94" s="499">
        <f t="shared" si="78"/>
        <v>0</v>
      </c>
      <c r="AK94" s="500">
        <v>21</v>
      </c>
      <c r="AL94" s="500">
        <f>G94*1</f>
        <v>0</v>
      </c>
      <c r="AM94" s="500">
        <f>G94*(1-1)</f>
        <v>0</v>
      </c>
      <c r="AN94" s="503" t="s">
        <v>225</v>
      </c>
      <c r="AS94" s="500">
        <f t="shared" si="79"/>
        <v>0</v>
      </c>
      <c r="AT94" s="500">
        <f t="shared" si="80"/>
        <v>0</v>
      </c>
      <c r="AU94" s="500">
        <f t="shared" si="81"/>
        <v>0</v>
      </c>
      <c r="AV94" s="502" t="s">
        <v>2438</v>
      </c>
      <c r="AW94" s="502" t="s">
        <v>1755</v>
      </c>
      <c r="AX94" s="501" t="s">
        <v>1749</v>
      </c>
      <c r="AZ94" s="500">
        <f t="shared" si="82"/>
        <v>0</v>
      </c>
      <c r="BA94" s="500">
        <f t="shared" si="83"/>
        <v>0</v>
      </c>
      <c r="BB94" s="500">
        <v>0</v>
      </c>
      <c r="BC94" s="500" t="e">
        <f>#REF!</f>
        <v>#REF!</v>
      </c>
      <c r="BE94" s="499">
        <f t="shared" si="84"/>
        <v>0</v>
      </c>
      <c r="BF94" s="499">
        <f t="shared" si="85"/>
        <v>0</v>
      </c>
      <c r="BG94" s="499">
        <f t="shared" si="86"/>
        <v>0</v>
      </c>
    </row>
    <row r="95" spans="1:59" ht="12">
      <c r="A95" s="506" t="s">
        <v>547</v>
      </c>
      <c r="B95" s="506"/>
      <c r="C95" s="506" t="s">
        <v>2420</v>
      </c>
      <c r="D95" s="506" t="s">
        <v>2419</v>
      </c>
      <c r="E95" s="506" t="s">
        <v>310</v>
      </c>
      <c r="F95" s="499">
        <v>45</v>
      </c>
      <c r="G95" s="530">
        <v>0</v>
      </c>
      <c r="H95" s="499">
        <f t="shared" si="65"/>
        <v>0</v>
      </c>
      <c r="I95" s="499">
        <f t="shared" si="66"/>
        <v>0</v>
      </c>
      <c r="J95" s="499">
        <f t="shared" si="67"/>
        <v>0</v>
      </c>
      <c r="W95" s="500">
        <f t="shared" si="68"/>
        <v>0</v>
      </c>
      <c r="Y95" s="500">
        <f t="shared" si="69"/>
        <v>0</v>
      </c>
      <c r="Z95" s="500">
        <f t="shared" si="70"/>
        <v>0</v>
      </c>
      <c r="AA95" s="500">
        <f t="shared" si="71"/>
        <v>0</v>
      </c>
      <c r="AB95" s="500">
        <f t="shared" si="72"/>
        <v>0</v>
      </c>
      <c r="AC95" s="500">
        <f t="shared" si="73"/>
        <v>0</v>
      </c>
      <c r="AD95" s="500">
        <f t="shared" si="74"/>
        <v>0</v>
      </c>
      <c r="AE95" s="500">
        <f t="shared" si="75"/>
        <v>0</v>
      </c>
      <c r="AF95" s="501"/>
      <c r="AG95" s="499">
        <f t="shared" si="76"/>
        <v>0</v>
      </c>
      <c r="AH95" s="499">
        <f t="shared" si="77"/>
        <v>0</v>
      </c>
      <c r="AI95" s="499">
        <f t="shared" si="78"/>
        <v>0</v>
      </c>
      <c r="AK95" s="500">
        <v>21</v>
      </c>
      <c r="AL95" s="500">
        <f>G95*0</f>
        <v>0</v>
      </c>
      <c r="AM95" s="500">
        <f>G95*(1-0)</f>
        <v>0</v>
      </c>
      <c r="AN95" s="503" t="s">
        <v>225</v>
      </c>
      <c r="AS95" s="500">
        <f t="shared" si="79"/>
        <v>0</v>
      </c>
      <c r="AT95" s="500">
        <f t="shared" si="80"/>
        <v>0</v>
      </c>
      <c r="AU95" s="500">
        <f t="shared" si="81"/>
        <v>0</v>
      </c>
      <c r="AV95" s="502" t="s">
        <v>2438</v>
      </c>
      <c r="AW95" s="502" t="s">
        <v>1755</v>
      </c>
      <c r="AX95" s="501" t="s">
        <v>1749</v>
      </c>
      <c r="AZ95" s="500">
        <f t="shared" si="82"/>
        <v>0</v>
      </c>
      <c r="BA95" s="500">
        <f t="shared" si="83"/>
        <v>0</v>
      </c>
      <c r="BB95" s="500">
        <v>0</v>
      </c>
      <c r="BC95" s="500" t="e">
        <f>#REF!</f>
        <v>#REF!</v>
      </c>
      <c r="BE95" s="499">
        <f t="shared" si="84"/>
        <v>0</v>
      </c>
      <c r="BF95" s="499">
        <f t="shared" si="85"/>
        <v>0</v>
      </c>
      <c r="BG95" s="499">
        <f t="shared" si="86"/>
        <v>0</v>
      </c>
    </row>
    <row r="96" spans="1:59" ht="12">
      <c r="A96" s="512" t="s">
        <v>551</v>
      </c>
      <c r="B96" s="512"/>
      <c r="C96" s="512" t="s">
        <v>2452</v>
      </c>
      <c r="D96" s="512" t="s">
        <v>2433</v>
      </c>
      <c r="E96" s="512" t="s">
        <v>2384</v>
      </c>
      <c r="F96" s="510">
        <v>45</v>
      </c>
      <c r="G96" s="532">
        <v>0</v>
      </c>
      <c r="H96" s="510">
        <f t="shared" si="65"/>
        <v>0</v>
      </c>
      <c r="I96" s="510">
        <f t="shared" si="66"/>
        <v>0</v>
      </c>
      <c r="J96" s="510">
        <f t="shared" si="67"/>
        <v>0</v>
      </c>
      <c r="W96" s="500">
        <f t="shared" si="68"/>
        <v>0</v>
      </c>
      <c r="Y96" s="500">
        <f t="shared" si="69"/>
        <v>0</v>
      </c>
      <c r="Z96" s="500">
        <f t="shared" si="70"/>
        <v>0</v>
      </c>
      <c r="AA96" s="500">
        <f t="shared" si="71"/>
        <v>0</v>
      </c>
      <c r="AB96" s="500">
        <f t="shared" si="72"/>
        <v>0</v>
      </c>
      <c r="AC96" s="500">
        <f t="shared" si="73"/>
        <v>0</v>
      </c>
      <c r="AD96" s="500">
        <f t="shared" si="74"/>
        <v>0</v>
      </c>
      <c r="AE96" s="500">
        <f t="shared" si="75"/>
        <v>0</v>
      </c>
      <c r="AF96" s="501"/>
      <c r="AG96" s="510">
        <f t="shared" si="76"/>
        <v>0</v>
      </c>
      <c r="AH96" s="510">
        <f t="shared" si="77"/>
        <v>0</v>
      </c>
      <c r="AI96" s="510">
        <f t="shared" si="78"/>
        <v>0</v>
      </c>
      <c r="AK96" s="500">
        <v>21</v>
      </c>
      <c r="AL96" s="500">
        <f>G96*1</f>
        <v>0</v>
      </c>
      <c r="AM96" s="500">
        <f>G96*(1-1)</f>
        <v>0</v>
      </c>
      <c r="AN96" s="511" t="s">
        <v>225</v>
      </c>
      <c r="AS96" s="500">
        <f t="shared" si="79"/>
        <v>0</v>
      </c>
      <c r="AT96" s="500">
        <f t="shared" si="80"/>
        <v>0</v>
      </c>
      <c r="AU96" s="500">
        <f t="shared" si="81"/>
        <v>0</v>
      </c>
      <c r="AV96" s="502" t="s">
        <v>2438</v>
      </c>
      <c r="AW96" s="502" t="s">
        <v>1755</v>
      </c>
      <c r="AX96" s="501" t="s">
        <v>1749</v>
      </c>
      <c r="AZ96" s="500">
        <f t="shared" si="82"/>
        <v>0</v>
      </c>
      <c r="BA96" s="500">
        <f t="shared" si="83"/>
        <v>0</v>
      </c>
      <c r="BB96" s="500">
        <v>0</v>
      </c>
      <c r="BC96" s="500" t="e">
        <f>#REF!</f>
        <v>#REF!</v>
      </c>
      <c r="BE96" s="510">
        <f t="shared" si="84"/>
        <v>0</v>
      </c>
      <c r="BF96" s="510">
        <f t="shared" si="85"/>
        <v>0</v>
      </c>
      <c r="BG96" s="510">
        <f t="shared" si="86"/>
        <v>0</v>
      </c>
    </row>
    <row r="97" spans="1:59" ht="12">
      <c r="A97" s="506" t="s">
        <v>555</v>
      </c>
      <c r="B97" s="506"/>
      <c r="C97" s="506" t="s">
        <v>2451</v>
      </c>
      <c r="D97" s="506" t="s">
        <v>2450</v>
      </c>
      <c r="E97" s="506" t="s">
        <v>310</v>
      </c>
      <c r="F97" s="499">
        <v>15</v>
      </c>
      <c r="G97" s="530">
        <v>0</v>
      </c>
      <c r="H97" s="499">
        <f t="shared" si="65"/>
        <v>0</v>
      </c>
      <c r="I97" s="499">
        <f t="shared" si="66"/>
        <v>0</v>
      </c>
      <c r="J97" s="499">
        <f t="shared" si="67"/>
        <v>0</v>
      </c>
      <c r="W97" s="500">
        <f t="shared" si="68"/>
        <v>0</v>
      </c>
      <c r="Y97" s="500">
        <f t="shared" si="69"/>
        <v>0</v>
      </c>
      <c r="Z97" s="500">
        <f t="shared" si="70"/>
        <v>0</v>
      </c>
      <c r="AA97" s="500">
        <f t="shared" si="71"/>
        <v>0</v>
      </c>
      <c r="AB97" s="500">
        <f t="shared" si="72"/>
        <v>0</v>
      </c>
      <c r="AC97" s="500">
        <f t="shared" si="73"/>
        <v>0</v>
      </c>
      <c r="AD97" s="500">
        <f t="shared" si="74"/>
        <v>0</v>
      </c>
      <c r="AE97" s="500">
        <f t="shared" si="75"/>
        <v>0</v>
      </c>
      <c r="AF97" s="501"/>
      <c r="AG97" s="499">
        <f t="shared" si="76"/>
        <v>0</v>
      </c>
      <c r="AH97" s="499">
        <f t="shared" si="77"/>
        <v>0</v>
      </c>
      <c r="AI97" s="499">
        <f t="shared" si="78"/>
        <v>0</v>
      </c>
      <c r="AK97" s="500">
        <v>21</v>
      </c>
      <c r="AL97" s="500">
        <f>G97*0</f>
        <v>0</v>
      </c>
      <c r="AM97" s="500">
        <f>G97*(1-0)</f>
        <v>0</v>
      </c>
      <c r="AN97" s="503" t="s">
        <v>225</v>
      </c>
      <c r="AS97" s="500">
        <f t="shared" si="79"/>
        <v>0</v>
      </c>
      <c r="AT97" s="500">
        <f t="shared" si="80"/>
        <v>0</v>
      </c>
      <c r="AU97" s="500">
        <f t="shared" si="81"/>
        <v>0</v>
      </c>
      <c r="AV97" s="502" t="s">
        <v>2438</v>
      </c>
      <c r="AW97" s="502" t="s">
        <v>1755</v>
      </c>
      <c r="AX97" s="501" t="s">
        <v>1749</v>
      </c>
      <c r="AZ97" s="500">
        <f t="shared" si="82"/>
        <v>0</v>
      </c>
      <c r="BA97" s="500">
        <f t="shared" si="83"/>
        <v>0</v>
      </c>
      <c r="BB97" s="500">
        <v>0</v>
      </c>
      <c r="BC97" s="500" t="e">
        <f>#REF!</f>
        <v>#REF!</v>
      </c>
      <c r="BE97" s="499">
        <f t="shared" si="84"/>
        <v>0</v>
      </c>
      <c r="BF97" s="499">
        <f t="shared" si="85"/>
        <v>0</v>
      </c>
      <c r="BG97" s="499">
        <f t="shared" si="86"/>
        <v>0</v>
      </c>
    </row>
    <row r="98" spans="1:59" ht="12">
      <c r="A98" s="512" t="s">
        <v>559</v>
      </c>
      <c r="B98" s="512"/>
      <c r="C98" s="512" t="s">
        <v>2579</v>
      </c>
      <c r="D98" s="512" t="s">
        <v>2449</v>
      </c>
      <c r="E98" s="512" t="s">
        <v>2384</v>
      </c>
      <c r="F98" s="510">
        <v>15</v>
      </c>
      <c r="G98" s="532">
        <v>0</v>
      </c>
      <c r="H98" s="510">
        <f t="shared" si="65"/>
        <v>0</v>
      </c>
      <c r="I98" s="510">
        <f t="shared" si="66"/>
        <v>0</v>
      </c>
      <c r="J98" s="510">
        <f t="shared" si="67"/>
        <v>0</v>
      </c>
      <c r="W98" s="500">
        <f t="shared" si="68"/>
        <v>0</v>
      </c>
      <c r="Y98" s="500">
        <f t="shared" si="69"/>
        <v>0</v>
      </c>
      <c r="Z98" s="500">
        <f t="shared" si="70"/>
        <v>0</v>
      </c>
      <c r="AA98" s="500">
        <f t="shared" si="71"/>
        <v>0</v>
      </c>
      <c r="AB98" s="500">
        <f t="shared" si="72"/>
        <v>0</v>
      </c>
      <c r="AC98" s="500">
        <f t="shared" si="73"/>
        <v>0</v>
      </c>
      <c r="AD98" s="500">
        <f t="shared" si="74"/>
        <v>0</v>
      </c>
      <c r="AE98" s="500">
        <f t="shared" si="75"/>
        <v>0</v>
      </c>
      <c r="AF98" s="501"/>
      <c r="AG98" s="510">
        <f t="shared" si="76"/>
        <v>0</v>
      </c>
      <c r="AH98" s="510">
        <f t="shared" si="77"/>
        <v>0</v>
      </c>
      <c r="AI98" s="510">
        <f t="shared" si="78"/>
        <v>0</v>
      </c>
      <c r="AK98" s="500">
        <v>21</v>
      </c>
      <c r="AL98" s="500">
        <f>G98*1</f>
        <v>0</v>
      </c>
      <c r="AM98" s="500">
        <f>G98*(1-1)</f>
        <v>0</v>
      </c>
      <c r="AN98" s="511" t="s">
        <v>225</v>
      </c>
      <c r="AS98" s="500">
        <f t="shared" si="79"/>
        <v>0</v>
      </c>
      <c r="AT98" s="500">
        <f t="shared" si="80"/>
        <v>0</v>
      </c>
      <c r="AU98" s="500">
        <f t="shared" si="81"/>
        <v>0</v>
      </c>
      <c r="AV98" s="502" t="s">
        <v>2438</v>
      </c>
      <c r="AW98" s="502" t="s">
        <v>1755</v>
      </c>
      <c r="AX98" s="501" t="s">
        <v>1749</v>
      </c>
      <c r="AZ98" s="500">
        <f t="shared" si="82"/>
        <v>0</v>
      </c>
      <c r="BA98" s="500">
        <f t="shared" si="83"/>
        <v>0</v>
      </c>
      <c r="BB98" s="500">
        <v>0</v>
      </c>
      <c r="BC98" s="500" t="e">
        <f>#REF!</f>
        <v>#REF!</v>
      </c>
      <c r="BE98" s="510">
        <f t="shared" si="84"/>
        <v>0</v>
      </c>
      <c r="BF98" s="510">
        <f t="shared" si="85"/>
        <v>0</v>
      </c>
      <c r="BG98" s="510">
        <f t="shared" si="86"/>
        <v>0</v>
      </c>
    </row>
    <row r="99" spans="1:59" ht="12">
      <c r="A99" s="506" t="s">
        <v>563</v>
      </c>
      <c r="B99" s="506"/>
      <c r="C99" s="506" t="s">
        <v>2448</v>
      </c>
      <c r="D99" s="506" t="s">
        <v>2447</v>
      </c>
      <c r="E99" s="506" t="s">
        <v>253</v>
      </c>
      <c r="F99" s="499">
        <v>45</v>
      </c>
      <c r="G99" s="530">
        <v>0</v>
      </c>
      <c r="H99" s="499">
        <f t="shared" si="65"/>
        <v>0</v>
      </c>
      <c r="I99" s="499">
        <f t="shared" si="66"/>
        <v>0</v>
      </c>
      <c r="J99" s="499">
        <f t="shared" si="67"/>
        <v>0</v>
      </c>
      <c r="W99" s="500">
        <f t="shared" si="68"/>
        <v>0</v>
      </c>
      <c r="Y99" s="500">
        <f t="shared" si="69"/>
        <v>0</v>
      </c>
      <c r="Z99" s="500">
        <f t="shared" si="70"/>
        <v>0</v>
      </c>
      <c r="AA99" s="500">
        <f t="shared" si="71"/>
        <v>0</v>
      </c>
      <c r="AB99" s="500">
        <f t="shared" si="72"/>
        <v>0</v>
      </c>
      <c r="AC99" s="500">
        <f t="shared" si="73"/>
        <v>0</v>
      </c>
      <c r="AD99" s="500">
        <f t="shared" si="74"/>
        <v>0</v>
      </c>
      <c r="AE99" s="500">
        <f t="shared" si="75"/>
        <v>0</v>
      </c>
      <c r="AF99" s="501"/>
      <c r="AG99" s="499">
        <f t="shared" si="76"/>
        <v>0</v>
      </c>
      <c r="AH99" s="499">
        <f t="shared" si="77"/>
        <v>0</v>
      </c>
      <c r="AI99" s="499">
        <f t="shared" si="78"/>
        <v>0</v>
      </c>
      <c r="AK99" s="500">
        <v>21</v>
      </c>
      <c r="AL99" s="500">
        <f>G99*0.740740740740741</f>
        <v>0</v>
      </c>
      <c r="AM99" s="500">
        <f>G99*(1-0.740740740740741)</f>
        <v>0</v>
      </c>
      <c r="AN99" s="503" t="s">
        <v>225</v>
      </c>
      <c r="AS99" s="500">
        <f t="shared" si="79"/>
        <v>0</v>
      </c>
      <c r="AT99" s="500">
        <f t="shared" si="80"/>
        <v>0</v>
      </c>
      <c r="AU99" s="500">
        <f t="shared" si="81"/>
        <v>0</v>
      </c>
      <c r="AV99" s="502" t="s">
        <v>2438</v>
      </c>
      <c r="AW99" s="502" t="s">
        <v>1755</v>
      </c>
      <c r="AX99" s="501" t="s">
        <v>1749</v>
      </c>
      <c r="AZ99" s="500">
        <f t="shared" si="82"/>
        <v>0</v>
      </c>
      <c r="BA99" s="500">
        <f t="shared" si="83"/>
        <v>0</v>
      </c>
      <c r="BB99" s="500">
        <v>0</v>
      </c>
      <c r="BC99" s="500" t="e">
        <f>#REF!</f>
        <v>#REF!</v>
      </c>
      <c r="BE99" s="499">
        <f t="shared" si="84"/>
        <v>0</v>
      </c>
      <c r="BF99" s="499">
        <f t="shared" si="85"/>
        <v>0</v>
      </c>
      <c r="BG99" s="499">
        <f t="shared" si="86"/>
        <v>0</v>
      </c>
    </row>
    <row r="100" spans="1:59" ht="12">
      <c r="A100" s="506" t="s">
        <v>567</v>
      </c>
      <c r="B100" s="506"/>
      <c r="C100" s="506" t="s">
        <v>2446</v>
      </c>
      <c r="D100" s="506" t="s">
        <v>2445</v>
      </c>
      <c r="E100" s="506" t="s">
        <v>253</v>
      </c>
      <c r="F100" s="499">
        <v>20</v>
      </c>
      <c r="G100" s="530">
        <v>0</v>
      </c>
      <c r="H100" s="499">
        <f t="shared" si="65"/>
        <v>0</v>
      </c>
      <c r="I100" s="499">
        <f t="shared" si="66"/>
        <v>0</v>
      </c>
      <c r="J100" s="499">
        <f t="shared" si="67"/>
        <v>0</v>
      </c>
      <c r="W100" s="500">
        <f t="shared" si="68"/>
        <v>0</v>
      </c>
      <c r="Y100" s="500">
        <f t="shared" si="69"/>
        <v>0</v>
      </c>
      <c r="Z100" s="500">
        <f t="shared" si="70"/>
        <v>0</v>
      </c>
      <c r="AA100" s="500">
        <f t="shared" si="71"/>
        <v>0</v>
      </c>
      <c r="AB100" s="500">
        <f t="shared" si="72"/>
        <v>0</v>
      </c>
      <c r="AC100" s="500">
        <f t="shared" si="73"/>
        <v>0</v>
      </c>
      <c r="AD100" s="500">
        <f t="shared" si="74"/>
        <v>0</v>
      </c>
      <c r="AE100" s="500">
        <f t="shared" si="75"/>
        <v>0</v>
      </c>
      <c r="AF100" s="501"/>
      <c r="AG100" s="499">
        <f t="shared" si="76"/>
        <v>0</v>
      </c>
      <c r="AH100" s="499">
        <f t="shared" si="77"/>
        <v>0</v>
      </c>
      <c r="AI100" s="499">
        <f t="shared" si="78"/>
        <v>0</v>
      </c>
      <c r="AK100" s="500">
        <v>21</v>
      </c>
      <c r="AL100" s="500">
        <f>G100*0.922448979591837</f>
        <v>0</v>
      </c>
      <c r="AM100" s="500">
        <f>G100*(1-0.922448979591837)</f>
        <v>0</v>
      </c>
      <c r="AN100" s="503" t="s">
        <v>225</v>
      </c>
      <c r="AS100" s="500">
        <f t="shared" si="79"/>
        <v>0</v>
      </c>
      <c r="AT100" s="500">
        <f t="shared" si="80"/>
        <v>0</v>
      </c>
      <c r="AU100" s="500">
        <f t="shared" si="81"/>
        <v>0</v>
      </c>
      <c r="AV100" s="502" t="s">
        <v>2438</v>
      </c>
      <c r="AW100" s="502" t="s">
        <v>1755</v>
      </c>
      <c r="AX100" s="501" t="s">
        <v>1749</v>
      </c>
      <c r="AZ100" s="500">
        <f t="shared" si="82"/>
        <v>0</v>
      </c>
      <c r="BA100" s="500">
        <f t="shared" si="83"/>
        <v>0</v>
      </c>
      <c r="BB100" s="500">
        <v>0</v>
      </c>
      <c r="BC100" s="500" t="e">
        <f>#REF!</f>
        <v>#REF!</v>
      </c>
      <c r="BE100" s="499">
        <f t="shared" si="84"/>
        <v>0</v>
      </c>
      <c r="BF100" s="499">
        <f t="shared" si="85"/>
        <v>0</v>
      </c>
      <c r="BG100" s="499">
        <f t="shared" si="86"/>
        <v>0</v>
      </c>
    </row>
    <row r="101" spans="1:59" ht="12">
      <c r="A101" s="506" t="s">
        <v>571</v>
      </c>
      <c r="B101" s="506"/>
      <c r="C101" s="506" t="s">
        <v>2444</v>
      </c>
      <c r="D101" s="506" t="s">
        <v>2443</v>
      </c>
      <c r="E101" s="506" t="s">
        <v>310</v>
      </c>
      <c r="F101" s="499">
        <v>3</v>
      </c>
      <c r="G101" s="530">
        <v>0</v>
      </c>
      <c r="H101" s="499">
        <f t="shared" si="65"/>
        <v>0</v>
      </c>
      <c r="I101" s="499">
        <f t="shared" si="66"/>
        <v>0</v>
      </c>
      <c r="J101" s="499">
        <f t="shared" si="67"/>
        <v>0</v>
      </c>
      <c r="W101" s="500">
        <f t="shared" si="68"/>
        <v>0</v>
      </c>
      <c r="Y101" s="500">
        <f t="shared" si="69"/>
        <v>0</v>
      </c>
      <c r="Z101" s="500">
        <f t="shared" si="70"/>
        <v>0</v>
      </c>
      <c r="AA101" s="500">
        <f t="shared" si="71"/>
        <v>0</v>
      </c>
      <c r="AB101" s="500">
        <f t="shared" si="72"/>
        <v>0</v>
      </c>
      <c r="AC101" s="500">
        <f t="shared" si="73"/>
        <v>0</v>
      </c>
      <c r="AD101" s="500">
        <f t="shared" si="74"/>
        <v>0</v>
      </c>
      <c r="AE101" s="500">
        <f t="shared" si="75"/>
        <v>0</v>
      </c>
      <c r="AF101" s="501"/>
      <c r="AG101" s="499">
        <f t="shared" si="76"/>
        <v>0</v>
      </c>
      <c r="AH101" s="499">
        <f t="shared" si="77"/>
        <v>0</v>
      </c>
      <c r="AI101" s="499">
        <f t="shared" si="78"/>
        <v>0</v>
      </c>
      <c r="AK101" s="500">
        <v>21</v>
      </c>
      <c r="AL101" s="500">
        <f>G101*0</f>
        <v>0</v>
      </c>
      <c r="AM101" s="500">
        <f>G101*(1-0)</f>
        <v>0</v>
      </c>
      <c r="AN101" s="503" t="s">
        <v>225</v>
      </c>
      <c r="AS101" s="500">
        <f t="shared" si="79"/>
        <v>0</v>
      </c>
      <c r="AT101" s="500">
        <f t="shared" si="80"/>
        <v>0</v>
      </c>
      <c r="AU101" s="500">
        <f t="shared" si="81"/>
        <v>0</v>
      </c>
      <c r="AV101" s="502" t="s">
        <v>2438</v>
      </c>
      <c r="AW101" s="502" t="s">
        <v>1755</v>
      </c>
      <c r="AX101" s="501" t="s">
        <v>1749</v>
      </c>
      <c r="AZ101" s="500">
        <f t="shared" si="82"/>
        <v>0</v>
      </c>
      <c r="BA101" s="500">
        <f t="shared" si="83"/>
        <v>0</v>
      </c>
      <c r="BB101" s="500">
        <v>0</v>
      </c>
      <c r="BC101" s="500" t="e">
        <f>#REF!</f>
        <v>#REF!</v>
      </c>
      <c r="BE101" s="499">
        <f t="shared" si="84"/>
        <v>0</v>
      </c>
      <c r="BF101" s="499">
        <f t="shared" si="85"/>
        <v>0</v>
      </c>
      <c r="BG101" s="499">
        <f t="shared" si="86"/>
        <v>0</v>
      </c>
    </row>
    <row r="102" spans="1:59" ht="12">
      <c r="A102" s="512" t="s">
        <v>575</v>
      </c>
      <c r="B102" s="512"/>
      <c r="C102" s="512" t="s">
        <v>2580</v>
      </c>
      <c r="D102" s="512" t="s">
        <v>2442</v>
      </c>
      <c r="E102" s="512" t="s">
        <v>2384</v>
      </c>
      <c r="F102" s="510">
        <v>3</v>
      </c>
      <c r="G102" s="532">
        <v>0</v>
      </c>
      <c r="H102" s="510">
        <f t="shared" si="65"/>
        <v>0</v>
      </c>
      <c r="I102" s="510">
        <f t="shared" si="66"/>
        <v>0</v>
      </c>
      <c r="J102" s="510">
        <f t="shared" si="67"/>
        <v>0</v>
      </c>
      <c r="W102" s="500">
        <f t="shared" si="68"/>
        <v>0</v>
      </c>
      <c r="Y102" s="500">
        <f t="shared" si="69"/>
        <v>0</v>
      </c>
      <c r="Z102" s="500">
        <f t="shared" si="70"/>
        <v>0</v>
      </c>
      <c r="AA102" s="500">
        <f t="shared" si="71"/>
        <v>0</v>
      </c>
      <c r="AB102" s="500">
        <f t="shared" si="72"/>
        <v>0</v>
      </c>
      <c r="AC102" s="500">
        <f t="shared" si="73"/>
        <v>0</v>
      </c>
      <c r="AD102" s="500">
        <f t="shared" si="74"/>
        <v>0</v>
      </c>
      <c r="AE102" s="500">
        <f t="shared" si="75"/>
        <v>0</v>
      </c>
      <c r="AF102" s="501"/>
      <c r="AG102" s="510">
        <f t="shared" si="76"/>
        <v>0</v>
      </c>
      <c r="AH102" s="510">
        <f t="shared" si="77"/>
        <v>0</v>
      </c>
      <c r="AI102" s="510">
        <f t="shared" si="78"/>
        <v>0</v>
      </c>
      <c r="AK102" s="500">
        <v>21</v>
      </c>
      <c r="AL102" s="500">
        <f>G102*1</f>
        <v>0</v>
      </c>
      <c r="AM102" s="500">
        <f>G102*(1-1)</f>
        <v>0</v>
      </c>
      <c r="AN102" s="511" t="s">
        <v>225</v>
      </c>
      <c r="AS102" s="500">
        <f t="shared" si="79"/>
        <v>0</v>
      </c>
      <c r="AT102" s="500">
        <f t="shared" si="80"/>
        <v>0</v>
      </c>
      <c r="AU102" s="500">
        <f t="shared" si="81"/>
        <v>0</v>
      </c>
      <c r="AV102" s="502" t="s">
        <v>2438</v>
      </c>
      <c r="AW102" s="502" t="s">
        <v>1755</v>
      </c>
      <c r="AX102" s="501" t="s">
        <v>1749</v>
      </c>
      <c r="AZ102" s="500">
        <f t="shared" si="82"/>
        <v>0</v>
      </c>
      <c r="BA102" s="500">
        <f t="shared" si="83"/>
        <v>0</v>
      </c>
      <c r="BB102" s="500">
        <v>0</v>
      </c>
      <c r="BC102" s="500" t="e">
        <f>#REF!</f>
        <v>#REF!</v>
      </c>
      <c r="BE102" s="510">
        <f t="shared" si="84"/>
        <v>0</v>
      </c>
      <c r="BF102" s="510">
        <f t="shared" si="85"/>
        <v>0</v>
      </c>
      <c r="BG102" s="510">
        <f t="shared" si="86"/>
        <v>0</v>
      </c>
    </row>
    <row r="103" spans="1:59" ht="12">
      <c r="A103" s="506" t="s">
        <v>579</v>
      </c>
      <c r="B103" s="506"/>
      <c r="C103" s="506" t="s">
        <v>2441</v>
      </c>
      <c r="D103" s="506" t="s">
        <v>2440</v>
      </c>
      <c r="E103" s="506" t="s">
        <v>253</v>
      </c>
      <c r="F103" s="499">
        <v>15</v>
      </c>
      <c r="G103" s="530">
        <v>0</v>
      </c>
      <c r="H103" s="499">
        <f t="shared" si="65"/>
        <v>0</v>
      </c>
      <c r="I103" s="499">
        <f t="shared" si="66"/>
        <v>0</v>
      </c>
      <c r="J103" s="499">
        <f t="shared" si="67"/>
        <v>0</v>
      </c>
      <c r="W103" s="500">
        <f t="shared" si="68"/>
        <v>0</v>
      </c>
      <c r="Y103" s="500">
        <f t="shared" si="69"/>
        <v>0</v>
      </c>
      <c r="Z103" s="500">
        <f t="shared" si="70"/>
        <v>0</v>
      </c>
      <c r="AA103" s="500">
        <f t="shared" si="71"/>
        <v>0</v>
      </c>
      <c r="AB103" s="500">
        <f t="shared" si="72"/>
        <v>0</v>
      </c>
      <c r="AC103" s="500">
        <f t="shared" si="73"/>
        <v>0</v>
      </c>
      <c r="AD103" s="500">
        <f t="shared" si="74"/>
        <v>0</v>
      </c>
      <c r="AE103" s="500">
        <f t="shared" si="75"/>
        <v>0</v>
      </c>
      <c r="AF103" s="501"/>
      <c r="AG103" s="499">
        <f t="shared" si="76"/>
        <v>0</v>
      </c>
      <c r="AH103" s="499">
        <f t="shared" si="77"/>
        <v>0</v>
      </c>
      <c r="AI103" s="499">
        <f t="shared" si="78"/>
        <v>0</v>
      </c>
      <c r="AK103" s="500">
        <v>21</v>
      </c>
      <c r="AL103" s="500">
        <f>G103*0.674199623352166</f>
        <v>0</v>
      </c>
      <c r="AM103" s="500">
        <f>G103*(1-0.674199623352166)</f>
        <v>0</v>
      </c>
      <c r="AN103" s="503" t="s">
        <v>225</v>
      </c>
      <c r="AS103" s="500">
        <f t="shared" si="79"/>
        <v>0</v>
      </c>
      <c r="AT103" s="500">
        <f t="shared" si="80"/>
        <v>0</v>
      </c>
      <c r="AU103" s="500">
        <f t="shared" si="81"/>
        <v>0</v>
      </c>
      <c r="AV103" s="502" t="s">
        <v>2438</v>
      </c>
      <c r="AW103" s="502" t="s">
        <v>1755</v>
      </c>
      <c r="AX103" s="501" t="s">
        <v>1749</v>
      </c>
      <c r="AZ103" s="500">
        <f t="shared" si="82"/>
        <v>0</v>
      </c>
      <c r="BA103" s="500">
        <f t="shared" si="83"/>
        <v>0</v>
      </c>
      <c r="BB103" s="500">
        <v>0</v>
      </c>
      <c r="BC103" s="500" t="e">
        <f>#REF!</f>
        <v>#REF!</v>
      </c>
      <c r="BE103" s="499">
        <f t="shared" si="84"/>
        <v>0</v>
      </c>
      <c r="BF103" s="499">
        <f t="shared" si="85"/>
        <v>0</v>
      </c>
      <c r="BG103" s="499">
        <f t="shared" si="86"/>
        <v>0</v>
      </c>
    </row>
    <row r="104" spans="1:59" ht="12">
      <c r="A104" s="506" t="s">
        <v>583</v>
      </c>
      <c r="B104" s="506"/>
      <c r="C104" s="506" t="s">
        <v>2392</v>
      </c>
      <c r="D104" s="506" t="s">
        <v>2391</v>
      </c>
      <c r="E104" s="506" t="s">
        <v>258</v>
      </c>
      <c r="F104" s="499">
        <v>25</v>
      </c>
      <c r="G104" s="530">
        <v>0</v>
      </c>
      <c r="H104" s="499">
        <f t="shared" si="65"/>
        <v>0</v>
      </c>
      <c r="I104" s="499">
        <f t="shared" si="66"/>
        <v>0</v>
      </c>
      <c r="J104" s="499">
        <f t="shared" si="67"/>
        <v>0</v>
      </c>
      <c r="W104" s="500">
        <f t="shared" si="68"/>
        <v>0</v>
      </c>
      <c r="Y104" s="500">
        <f t="shared" si="69"/>
        <v>0</v>
      </c>
      <c r="Z104" s="500">
        <f t="shared" si="70"/>
        <v>0</v>
      </c>
      <c r="AA104" s="500">
        <f t="shared" si="71"/>
        <v>0</v>
      </c>
      <c r="AB104" s="500">
        <f t="shared" si="72"/>
        <v>0</v>
      </c>
      <c r="AC104" s="500">
        <f t="shared" si="73"/>
        <v>0</v>
      </c>
      <c r="AD104" s="500">
        <f t="shared" si="74"/>
        <v>0</v>
      </c>
      <c r="AE104" s="500">
        <f t="shared" si="75"/>
        <v>0</v>
      </c>
      <c r="AF104" s="501"/>
      <c r="AG104" s="499">
        <f t="shared" si="76"/>
        <v>0</v>
      </c>
      <c r="AH104" s="499">
        <f t="shared" si="77"/>
        <v>0</v>
      </c>
      <c r="AI104" s="499">
        <f t="shared" si="78"/>
        <v>0</v>
      </c>
      <c r="AK104" s="500">
        <v>21</v>
      </c>
      <c r="AL104" s="500">
        <f>G104*0.838235294117647</f>
        <v>0</v>
      </c>
      <c r="AM104" s="500">
        <f>G104*(1-0.838235294117647)</f>
        <v>0</v>
      </c>
      <c r="AN104" s="503" t="s">
        <v>225</v>
      </c>
      <c r="AS104" s="500">
        <f t="shared" si="79"/>
        <v>0</v>
      </c>
      <c r="AT104" s="500">
        <f t="shared" si="80"/>
        <v>0</v>
      </c>
      <c r="AU104" s="500">
        <f t="shared" si="81"/>
        <v>0</v>
      </c>
      <c r="AV104" s="502" t="s">
        <v>2438</v>
      </c>
      <c r="AW104" s="502" t="s">
        <v>1755</v>
      </c>
      <c r="AX104" s="501" t="s">
        <v>1749</v>
      </c>
      <c r="AZ104" s="500">
        <f t="shared" si="82"/>
        <v>0</v>
      </c>
      <c r="BA104" s="500">
        <f t="shared" si="83"/>
        <v>0</v>
      </c>
      <c r="BB104" s="500">
        <v>0</v>
      </c>
      <c r="BC104" s="500" t="e">
        <f>#REF!</f>
        <v>#REF!</v>
      </c>
      <c r="BE104" s="499">
        <f t="shared" si="84"/>
        <v>0</v>
      </c>
      <c r="BF104" s="499">
        <f t="shared" si="85"/>
        <v>0</v>
      </c>
      <c r="BG104" s="499">
        <f t="shared" si="86"/>
        <v>0</v>
      </c>
    </row>
    <row r="105" spans="1:59" ht="12">
      <c r="A105" s="506" t="s">
        <v>587</v>
      </c>
      <c r="B105" s="506"/>
      <c r="C105" s="506" t="s">
        <v>2388</v>
      </c>
      <c r="D105" s="506" t="s">
        <v>2387</v>
      </c>
      <c r="E105" s="506" t="s">
        <v>258</v>
      </c>
      <c r="F105" s="499">
        <v>25</v>
      </c>
      <c r="G105" s="530">
        <v>0</v>
      </c>
      <c r="H105" s="499">
        <f t="shared" si="65"/>
        <v>0</v>
      </c>
      <c r="I105" s="499">
        <f t="shared" si="66"/>
        <v>0</v>
      </c>
      <c r="J105" s="499">
        <f t="shared" si="67"/>
        <v>0</v>
      </c>
      <c r="W105" s="500">
        <f t="shared" si="68"/>
        <v>0</v>
      </c>
      <c r="Y105" s="500">
        <f t="shared" si="69"/>
        <v>0</v>
      </c>
      <c r="Z105" s="500">
        <f t="shared" si="70"/>
        <v>0</v>
      </c>
      <c r="AA105" s="500">
        <f t="shared" si="71"/>
        <v>0</v>
      </c>
      <c r="AB105" s="500">
        <f t="shared" si="72"/>
        <v>0</v>
      </c>
      <c r="AC105" s="500">
        <f t="shared" si="73"/>
        <v>0</v>
      </c>
      <c r="AD105" s="500">
        <f t="shared" si="74"/>
        <v>0</v>
      </c>
      <c r="AE105" s="500">
        <f t="shared" si="75"/>
        <v>0</v>
      </c>
      <c r="AF105" s="501"/>
      <c r="AG105" s="499">
        <f t="shared" si="76"/>
        <v>0</v>
      </c>
      <c r="AH105" s="499">
        <f t="shared" si="77"/>
        <v>0</v>
      </c>
      <c r="AI105" s="499">
        <f t="shared" si="78"/>
        <v>0</v>
      </c>
      <c r="AK105" s="500">
        <v>21</v>
      </c>
      <c r="AL105" s="500">
        <f>G105*0.834710743801653</f>
        <v>0</v>
      </c>
      <c r="AM105" s="500">
        <f>G105*(1-0.834710743801653)</f>
        <v>0</v>
      </c>
      <c r="AN105" s="503" t="s">
        <v>225</v>
      </c>
      <c r="AS105" s="500">
        <f t="shared" si="79"/>
        <v>0</v>
      </c>
      <c r="AT105" s="500">
        <f t="shared" si="80"/>
        <v>0</v>
      </c>
      <c r="AU105" s="500">
        <f t="shared" si="81"/>
        <v>0</v>
      </c>
      <c r="AV105" s="502" t="s">
        <v>2438</v>
      </c>
      <c r="AW105" s="502" t="s">
        <v>1755</v>
      </c>
      <c r="AX105" s="501" t="s">
        <v>1749</v>
      </c>
      <c r="AZ105" s="500">
        <f t="shared" si="82"/>
        <v>0</v>
      </c>
      <c r="BA105" s="500">
        <f t="shared" si="83"/>
        <v>0</v>
      </c>
      <c r="BB105" s="500">
        <v>0</v>
      </c>
      <c r="BC105" s="500" t="e">
        <f>#REF!</f>
        <v>#REF!</v>
      </c>
      <c r="BE105" s="499">
        <f t="shared" si="84"/>
        <v>0</v>
      </c>
      <c r="BF105" s="499">
        <f t="shared" si="85"/>
        <v>0</v>
      </c>
      <c r="BG105" s="499">
        <f t="shared" si="86"/>
        <v>0</v>
      </c>
    </row>
    <row r="106" spans="1:59" ht="12">
      <c r="A106" s="506" t="s">
        <v>591</v>
      </c>
      <c r="B106" s="506"/>
      <c r="C106" s="506" t="s">
        <v>2380</v>
      </c>
      <c r="D106" s="506" t="s">
        <v>2379</v>
      </c>
      <c r="E106" s="506" t="s">
        <v>310</v>
      </c>
      <c r="F106" s="499">
        <v>25</v>
      </c>
      <c r="G106" s="530">
        <v>0</v>
      </c>
      <c r="H106" s="499">
        <f t="shared" si="65"/>
        <v>0</v>
      </c>
      <c r="I106" s="499">
        <f t="shared" si="66"/>
        <v>0</v>
      </c>
      <c r="J106" s="499">
        <f t="shared" si="67"/>
        <v>0</v>
      </c>
      <c r="W106" s="500">
        <f t="shared" si="68"/>
        <v>0</v>
      </c>
      <c r="Y106" s="500">
        <f t="shared" si="69"/>
        <v>0</v>
      </c>
      <c r="Z106" s="500">
        <f t="shared" si="70"/>
        <v>0</v>
      </c>
      <c r="AA106" s="500">
        <f t="shared" si="71"/>
        <v>0</v>
      </c>
      <c r="AB106" s="500">
        <f t="shared" si="72"/>
        <v>0</v>
      </c>
      <c r="AC106" s="500">
        <f t="shared" si="73"/>
        <v>0</v>
      </c>
      <c r="AD106" s="500">
        <f t="shared" si="74"/>
        <v>0</v>
      </c>
      <c r="AE106" s="500">
        <f t="shared" si="75"/>
        <v>0</v>
      </c>
      <c r="AF106" s="501"/>
      <c r="AG106" s="499">
        <f t="shared" si="76"/>
        <v>0</v>
      </c>
      <c r="AH106" s="499">
        <f t="shared" si="77"/>
        <v>0</v>
      </c>
      <c r="AI106" s="499">
        <f t="shared" si="78"/>
        <v>0</v>
      </c>
      <c r="AK106" s="500">
        <v>21</v>
      </c>
      <c r="AL106" s="500">
        <f>G106*0.333333333333333</f>
        <v>0</v>
      </c>
      <c r="AM106" s="500">
        <f>G106*(1-0.333333333333333)</f>
        <v>0</v>
      </c>
      <c r="AN106" s="503" t="s">
        <v>79</v>
      </c>
      <c r="AS106" s="500">
        <f t="shared" si="79"/>
        <v>0</v>
      </c>
      <c r="AT106" s="500">
        <f t="shared" si="80"/>
        <v>0</v>
      </c>
      <c r="AU106" s="500">
        <f t="shared" si="81"/>
        <v>0</v>
      </c>
      <c r="AV106" s="502" t="s">
        <v>2438</v>
      </c>
      <c r="AW106" s="502" t="s">
        <v>1755</v>
      </c>
      <c r="AX106" s="501" t="s">
        <v>1749</v>
      </c>
      <c r="AZ106" s="500">
        <f t="shared" si="82"/>
        <v>0</v>
      </c>
      <c r="BA106" s="500">
        <f t="shared" si="83"/>
        <v>0</v>
      </c>
      <c r="BB106" s="500">
        <v>0</v>
      </c>
      <c r="BC106" s="500" t="e">
        <f>#REF!</f>
        <v>#REF!</v>
      </c>
      <c r="BE106" s="499">
        <f t="shared" si="84"/>
        <v>0</v>
      </c>
      <c r="BF106" s="499">
        <f t="shared" si="85"/>
        <v>0</v>
      </c>
      <c r="BG106" s="499">
        <f t="shared" si="86"/>
        <v>0</v>
      </c>
    </row>
    <row r="107" spans="4:7" ht="12">
      <c r="D107" s="513" t="s">
        <v>2378</v>
      </c>
      <c r="G107" s="531">
        <v>0</v>
      </c>
    </row>
    <row r="108" spans="1:59" ht="12">
      <c r="A108" s="506" t="s">
        <v>595</v>
      </c>
      <c r="B108" s="506"/>
      <c r="C108" s="506" t="s">
        <v>2439</v>
      </c>
      <c r="D108" s="506" t="s">
        <v>2381</v>
      </c>
      <c r="E108" s="506" t="s">
        <v>972</v>
      </c>
      <c r="F108" s="499">
        <v>3</v>
      </c>
      <c r="G108" s="530">
        <v>0</v>
      </c>
      <c r="H108" s="499">
        <f>F108*AL108</f>
        <v>0</v>
      </c>
      <c r="I108" s="499">
        <f>F108*AM108</f>
        <v>0</v>
      </c>
      <c r="J108" s="499">
        <f>F108*G108</f>
        <v>0</v>
      </c>
      <c r="W108" s="500">
        <f>IF(AN108="5",BG108,0)</f>
        <v>0</v>
      </c>
      <c r="Y108" s="500">
        <f>IF(AN108="1",BE108,0)</f>
        <v>0</v>
      </c>
      <c r="Z108" s="500">
        <f>IF(AN108="1",BF108,0)</f>
        <v>0</v>
      </c>
      <c r="AA108" s="500">
        <f>IF(AN108="7",BE108,0)</f>
        <v>0</v>
      </c>
      <c r="AB108" s="500">
        <f>IF(AN108="7",BF108,0)</f>
        <v>0</v>
      </c>
      <c r="AC108" s="500">
        <f>IF(AN108="2",BE108,0)</f>
        <v>0</v>
      </c>
      <c r="AD108" s="500">
        <f>IF(AN108="2",BF108,0)</f>
        <v>0</v>
      </c>
      <c r="AE108" s="500">
        <f>IF(AN108="0",BG108,0)</f>
        <v>0</v>
      </c>
      <c r="AF108" s="501"/>
      <c r="AG108" s="499">
        <f>IF(AK108=0,J108,0)</f>
        <v>0</v>
      </c>
      <c r="AH108" s="499">
        <f>IF(AK108=15,J108,0)</f>
        <v>0</v>
      </c>
      <c r="AI108" s="499">
        <f>IF(AK108=21,J108,0)</f>
        <v>0</v>
      </c>
      <c r="AK108" s="500">
        <v>21</v>
      </c>
      <c r="AL108" s="500">
        <f>G108*0.955840455840456</f>
        <v>0</v>
      </c>
      <c r="AM108" s="500">
        <f>G108*(1-0.955840455840456)</f>
        <v>0</v>
      </c>
      <c r="AN108" s="503" t="s">
        <v>225</v>
      </c>
      <c r="AS108" s="500">
        <f>AT108+AU108</f>
        <v>0</v>
      </c>
      <c r="AT108" s="500">
        <f>F108*AL108</f>
        <v>0</v>
      </c>
      <c r="AU108" s="500">
        <f>F108*AM108</f>
        <v>0</v>
      </c>
      <c r="AV108" s="502" t="s">
        <v>2438</v>
      </c>
      <c r="AW108" s="502" t="s">
        <v>1755</v>
      </c>
      <c r="AX108" s="501" t="s">
        <v>1749</v>
      </c>
      <c r="AZ108" s="500">
        <f>AT108+AU108</f>
        <v>0</v>
      </c>
      <c r="BA108" s="500">
        <f>G108/(100-BB108)*100</f>
        <v>0</v>
      </c>
      <c r="BB108" s="500">
        <v>0</v>
      </c>
      <c r="BC108" s="500" t="e">
        <f>#REF!</f>
        <v>#REF!</v>
      </c>
      <c r="BE108" s="499">
        <f>F108*AL108</f>
        <v>0</v>
      </c>
      <c r="BF108" s="499">
        <f>F108*AM108</f>
        <v>0</v>
      </c>
      <c r="BG108" s="499">
        <f>F108*G108</f>
        <v>0</v>
      </c>
    </row>
    <row r="109" spans="1:44" ht="12">
      <c r="A109" s="508"/>
      <c r="B109" s="509"/>
      <c r="C109" s="509" t="s">
        <v>2437</v>
      </c>
      <c r="D109" s="509" t="s">
        <v>2436</v>
      </c>
      <c r="E109" s="508" t="s">
        <v>146</v>
      </c>
      <c r="F109" s="508" t="s">
        <v>146</v>
      </c>
      <c r="G109" s="533"/>
      <c r="H109" s="507">
        <f>SUM(H110:H120)</f>
        <v>0</v>
      </c>
      <c r="I109" s="507">
        <f>SUM(I110:I120)</f>
        <v>0</v>
      </c>
      <c r="J109" s="507">
        <f>SUM(J110:J120)</f>
        <v>0</v>
      </c>
      <c r="AF109" s="501"/>
      <c r="AP109" s="507">
        <f>SUM(AG110:AG120)</f>
        <v>0</v>
      </c>
      <c r="AQ109" s="507">
        <f>SUM(AH110:AH120)</f>
        <v>0</v>
      </c>
      <c r="AR109" s="507">
        <f>SUM(AI110:AI120)</f>
        <v>0</v>
      </c>
    </row>
    <row r="110" spans="1:59" ht="12">
      <c r="A110" s="506" t="s">
        <v>599</v>
      </c>
      <c r="B110" s="506"/>
      <c r="C110" s="506" t="s">
        <v>2372</v>
      </c>
      <c r="D110" s="506" t="s">
        <v>2371</v>
      </c>
      <c r="E110" s="506" t="s">
        <v>258</v>
      </c>
      <c r="F110" s="499">
        <v>1</v>
      </c>
      <c r="G110" s="530">
        <v>0</v>
      </c>
      <c r="H110" s="499">
        <f aca="true" t="shared" si="87" ref="H110:H120">F110*AL110</f>
        <v>0</v>
      </c>
      <c r="I110" s="499">
        <f aca="true" t="shared" si="88" ref="I110:I120">F110*AM110</f>
        <v>0</v>
      </c>
      <c r="J110" s="499">
        <f aca="true" t="shared" si="89" ref="J110:J120">F110*G110</f>
        <v>0</v>
      </c>
      <c r="W110" s="500">
        <f aca="true" t="shared" si="90" ref="W110:W120">IF(AN110="5",BG110,0)</f>
        <v>0</v>
      </c>
      <c r="Y110" s="500">
        <f aca="true" t="shared" si="91" ref="Y110:Y120">IF(AN110="1",BE110,0)</f>
        <v>0</v>
      </c>
      <c r="Z110" s="500">
        <f aca="true" t="shared" si="92" ref="Z110:Z120">IF(AN110="1",BF110,0)</f>
        <v>0</v>
      </c>
      <c r="AA110" s="500">
        <f aca="true" t="shared" si="93" ref="AA110:AA120">IF(AN110="7",BE110,0)</f>
        <v>0</v>
      </c>
      <c r="AB110" s="500">
        <f aca="true" t="shared" si="94" ref="AB110:AB120">IF(AN110="7",BF110,0)</f>
        <v>0</v>
      </c>
      <c r="AC110" s="500">
        <f aca="true" t="shared" si="95" ref="AC110:AC120">IF(AN110="2",BE110,0)</f>
        <v>0</v>
      </c>
      <c r="AD110" s="500">
        <f aca="true" t="shared" si="96" ref="AD110:AD120">IF(AN110="2",BF110,0)</f>
        <v>0</v>
      </c>
      <c r="AE110" s="500">
        <f aca="true" t="shared" si="97" ref="AE110:AE120">IF(AN110="0",BG110,0)</f>
        <v>0</v>
      </c>
      <c r="AF110" s="501"/>
      <c r="AG110" s="499">
        <f aca="true" t="shared" si="98" ref="AG110:AG120">IF(AK110=0,J110,0)</f>
        <v>0</v>
      </c>
      <c r="AH110" s="499">
        <f aca="true" t="shared" si="99" ref="AH110:AH120">IF(AK110=15,J110,0)</f>
        <v>0</v>
      </c>
      <c r="AI110" s="499">
        <f aca="true" t="shared" si="100" ref="AI110:AI120">IF(AK110=21,J110,0)</f>
        <v>0</v>
      </c>
      <c r="AK110" s="500">
        <v>21</v>
      </c>
      <c r="AL110" s="500">
        <f>G110*0</f>
        <v>0</v>
      </c>
      <c r="AM110" s="500">
        <f>G110*(1-0)</f>
        <v>0</v>
      </c>
      <c r="AN110" s="503" t="s">
        <v>225</v>
      </c>
      <c r="AS110" s="500">
        <f aca="true" t="shared" si="101" ref="AS110:AS120">AT110+AU110</f>
        <v>0</v>
      </c>
      <c r="AT110" s="500">
        <f aca="true" t="shared" si="102" ref="AT110:AT120">F110*AL110</f>
        <v>0</v>
      </c>
      <c r="AU110" s="500">
        <f aca="true" t="shared" si="103" ref="AU110:AU120">F110*AM110</f>
        <v>0</v>
      </c>
      <c r="AV110" s="502" t="s">
        <v>2430</v>
      </c>
      <c r="AW110" s="502" t="s">
        <v>1755</v>
      </c>
      <c r="AX110" s="501" t="s">
        <v>1749</v>
      </c>
      <c r="AZ110" s="500">
        <f aca="true" t="shared" si="104" ref="AZ110:AZ120">AT110+AU110</f>
        <v>0</v>
      </c>
      <c r="BA110" s="500">
        <f aca="true" t="shared" si="105" ref="BA110:BA120">G110/(100-BB110)*100</f>
        <v>0</v>
      </c>
      <c r="BB110" s="500">
        <v>0</v>
      </c>
      <c r="BC110" s="500" t="e">
        <f>#REF!</f>
        <v>#REF!</v>
      </c>
      <c r="BE110" s="499">
        <f aca="true" t="shared" si="106" ref="BE110:BE120">F110*AL110</f>
        <v>0</v>
      </c>
      <c r="BF110" s="499">
        <f aca="true" t="shared" si="107" ref="BF110:BF120">F110*AM110</f>
        <v>0</v>
      </c>
      <c r="BG110" s="499">
        <f aca="true" t="shared" si="108" ref="BG110:BG120">F110*G110</f>
        <v>0</v>
      </c>
    </row>
    <row r="111" spans="1:59" ht="12">
      <c r="A111" s="512" t="s">
        <v>604</v>
      </c>
      <c r="B111" s="512"/>
      <c r="C111" s="512" t="s">
        <v>2435</v>
      </c>
      <c r="D111" s="512" t="s">
        <v>2369</v>
      </c>
      <c r="E111" s="512" t="s">
        <v>1437</v>
      </c>
      <c r="F111" s="510">
        <v>1</v>
      </c>
      <c r="G111" s="532">
        <v>0</v>
      </c>
      <c r="H111" s="510">
        <f t="shared" si="87"/>
        <v>0</v>
      </c>
      <c r="I111" s="510">
        <f t="shared" si="88"/>
        <v>0</v>
      </c>
      <c r="J111" s="510">
        <f t="shared" si="89"/>
        <v>0</v>
      </c>
      <c r="W111" s="500">
        <f t="shared" si="90"/>
        <v>0</v>
      </c>
      <c r="Y111" s="500">
        <f t="shared" si="91"/>
        <v>0</v>
      </c>
      <c r="Z111" s="500">
        <f t="shared" si="92"/>
        <v>0</v>
      </c>
      <c r="AA111" s="500">
        <f t="shared" si="93"/>
        <v>0</v>
      </c>
      <c r="AB111" s="500">
        <f t="shared" si="94"/>
        <v>0</v>
      </c>
      <c r="AC111" s="500">
        <f t="shared" si="95"/>
        <v>0</v>
      </c>
      <c r="AD111" s="500">
        <f t="shared" si="96"/>
        <v>0</v>
      </c>
      <c r="AE111" s="500">
        <f t="shared" si="97"/>
        <v>0</v>
      </c>
      <c r="AF111" s="501"/>
      <c r="AG111" s="510">
        <f t="shared" si="98"/>
        <v>0</v>
      </c>
      <c r="AH111" s="510">
        <f t="shared" si="99"/>
        <v>0</v>
      </c>
      <c r="AI111" s="510">
        <f t="shared" si="100"/>
        <v>0</v>
      </c>
      <c r="AK111" s="500">
        <v>21</v>
      </c>
      <c r="AL111" s="500">
        <f>G111*1</f>
        <v>0</v>
      </c>
      <c r="AM111" s="500">
        <f>G111*(1-1)</f>
        <v>0</v>
      </c>
      <c r="AN111" s="511" t="s">
        <v>225</v>
      </c>
      <c r="AS111" s="500">
        <f t="shared" si="101"/>
        <v>0</v>
      </c>
      <c r="AT111" s="500">
        <f t="shared" si="102"/>
        <v>0</v>
      </c>
      <c r="AU111" s="500">
        <f t="shared" si="103"/>
        <v>0</v>
      </c>
      <c r="AV111" s="502" t="s">
        <v>2430</v>
      </c>
      <c r="AW111" s="502" t="s">
        <v>1755</v>
      </c>
      <c r="AX111" s="501" t="s">
        <v>1749</v>
      </c>
      <c r="AZ111" s="500">
        <f t="shared" si="104"/>
        <v>0</v>
      </c>
      <c r="BA111" s="500">
        <f t="shared" si="105"/>
        <v>0</v>
      </c>
      <c r="BB111" s="500">
        <v>0</v>
      </c>
      <c r="BC111" s="500" t="e">
        <f>#REF!</f>
        <v>#REF!</v>
      </c>
      <c r="BE111" s="510">
        <f t="shared" si="106"/>
        <v>0</v>
      </c>
      <c r="BF111" s="510">
        <f t="shared" si="107"/>
        <v>0</v>
      </c>
      <c r="BG111" s="510">
        <f t="shared" si="108"/>
        <v>0</v>
      </c>
    </row>
    <row r="112" spans="1:59" ht="12">
      <c r="A112" s="506" t="s">
        <v>608</v>
      </c>
      <c r="B112" s="506"/>
      <c r="C112" s="506" t="s">
        <v>2368</v>
      </c>
      <c r="D112" s="506" t="s">
        <v>2367</v>
      </c>
      <c r="E112" s="506" t="s">
        <v>258</v>
      </c>
      <c r="F112" s="499">
        <v>1</v>
      </c>
      <c r="G112" s="530">
        <v>0</v>
      </c>
      <c r="H112" s="499">
        <f t="shared" si="87"/>
        <v>0</v>
      </c>
      <c r="I112" s="499">
        <f t="shared" si="88"/>
        <v>0</v>
      </c>
      <c r="J112" s="499">
        <f t="shared" si="89"/>
        <v>0</v>
      </c>
      <c r="W112" s="500">
        <f t="shared" si="90"/>
        <v>0</v>
      </c>
      <c r="Y112" s="500">
        <f t="shared" si="91"/>
        <v>0</v>
      </c>
      <c r="Z112" s="500">
        <f t="shared" si="92"/>
        <v>0</v>
      </c>
      <c r="AA112" s="500">
        <f t="shared" si="93"/>
        <v>0</v>
      </c>
      <c r="AB112" s="500">
        <f t="shared" si="94"/>
        <v>0</v>
      </c>
      <c r="AC112" s="500">
        <f t="shared" si="95"/>
        <v>0</v>
      </c>
      <c r="AD112" s="500">
        <f t="shared" si="96"/>
        <v>0</v>
      </c>
      <c r="AE112" s="500">
        <f t="shared" si="97"/>
        <v>0</v>
      </c>
      <c r="AF112" s="501"/>
      <c r="AG112" s="499">
        <f t="shared" si="98"/>
        <v>0</v>
      </c>
      <c r="AH112" s="499">
        <f t="shared" si="99"/>
        <v>0</v>
      </c>
      <c r="AI112" s="499">
        <f t="shared" si="100"/>
        <v>0</v>
      </c>
      <c r="AK112" s="500">
        <v>21</v>
      </c>
      <c r="AL112" s="500">
        <f>G112*0</f>
        <v>0</v>
      </c>
      <c r="AM112" s="500">
        <f>G112*(1-0)</f>
        <v>0</v>
      </c>
      <c r="AN112" s="503" t="s">
        <v>225</v>
      </c>
      <c r="AS112" s="500">
        <f t="shared" si="101"/>
        <v>0</v>
      </c>
      <c r="AT112" s="500">
        <f t="shared" si="102"/>
        <v>0</v>
      </c>
      <c r="AU112" s="500">
        <f t="shared" si="103"/>
        <v>0</v>
      </c>
      <c r="AV112" s="502" t="s">
        <v>2430</v>
      </c>
      <c r="AW112" s="502" t="s">
        <v>1755</v>
      </c>
      <c r="AX112" s="501" t="s">
        <v>1749</v>
      </c>
      <c r="AZ112" s="500">
        <f t="shared" si="104"/>
        <v>0</v>
      </c>
      <c r="BA112" s="500">
        <f t="shared" si="105"/>
        <v>0</v>
      </c>
      <c r="BB112" s="500">
        <v>0</v>
      </c>
      <c r="BC112" s="500" t="e">
        <f>#REF!</f>
        <v>#REF!</v>
      </c>
      <c r="BE112" s="499">
        <f t="shared" si="106"/>
        <v>0</v>
      </c>
      <c r="BF112" s="499">
        <f t="shared" si="107"/>
        <v>0</v>
      </c>
      <c r="BG112" s="499">
        <f t="shared" si="108"/>
        <v>0</v>
      </c>
    </row>
    <row r="113" spans="1:59" ht="12">
      <c r="A113" s="506" t="s">
        <v>613</v>
      </c>
      <c r="B113" s="506"/>
      <c r="C113" s="506" t="s">
        <v>2366</v>
      </c>
      <c r="D113" s="506" t="s">
        <v>2365</v>
      </c>
      <c r="E113" s="506" t="s">
        <v>258</v>
      </c>
      <c r="F113" s="499">
        <v>1</v>
      </c>
      <c r="G113" s="530">
        <v>0</v>
      </c>
      <c r="H113" s="499">
        <f t="shared" si="87"/>
        <v>0</v>
      </c>
      <c r="I113" s="499">
        <f t="shared" si="88"/>
        <v>0</v>
      </c>
      <c r="J113" s="499">
        <f t="shared" si="89"/>
        <v>0</v>
      </c>
      <c r="W113" s="500">
        <f t="shared" si="90"/>
        <v>0</v>
      </c>
      <c r="Y113" s="500">
        <f t="shared" si="91"/>
        <v>0</v>
      </c>
      <c r="Z113" s="500">
        <f t="shared" si="92"/>
        <v>0</v>
      </c>
      <c r="AA113" s="500">
        <f t="shared" si="93"/>
        <v>0</v>
      </c>
      <c r="AB113" s="500">
        <f t="shared" si="94"/>
        <v>0</v>
      </c>
      <c r="AC113" s="500">
        <f t="shared" si="95"/>
        <v>0</v>
      </c>
      <c r="AD113" s="500">
        <f t="shared" si="96"/>
        <v>0</v>
      </c>
      <c r="AE113" s="500">
        <f t="shared" si="97"/>
        <v>0</v>
      </c>
      <c r="AF113" s="501"/>
      <c r="AG113" s="499">
        <f t="shared" si="98"/>
        <v>0</v>
      </c>
      <c r="AH113" s="499">
        <f t="shared" si="99"/>
        <v>0</v>
      </c>
      <c r="AI113" s="499">
        <f t="shared" si="100"/>
        <v>0</v>
      </c>
      <c r="AK113" s="500">
        <v>21</v>
      </c>
      <c r="AL113" s="500">
        <f>G113*1</f>
        <v>0</v>
      </c>
      <c r="AM113" s="500">
        <f>G113*(1-1)</f>
        <v>0</v>
      </c>
      <c r="AN113" s="503" t="s">
        <v>225</v>
      </c>
      <c r="AS113" s="500">
        <f t="shared" si="101"/>
        <v>0</v>
      </c>
      <c r="AT113" s="500">
        <f t="shared" si="102"/>
        <v>0</v>
      </c>
      <c r="AU113" s="500">
        <f t="shared" si="103"/>
        <v>0</v>
      </c>
      <c r="AV113" s="502" t="s">
        <v>2430</v>
      </c>
      <c r="AW113" s="502" t="s">
        <v>1755</v>
      </c>
      <c r="AX113" s="501" t="s">
        <v>1749</v>
      </c>
      <c r="AZ113" s="500">
        <f t="shared" si="104"/>
        <v>0</v>
      </c>
      <c r="BA113" s="500">
        <f t="shared" si="105"/>
        <v>0</v>
      </c>
      <c r="BB113" s="500">
        <v>0</v>
      </c>
      <c r="BC113" s="500" t="e">
        <f>#REF!</f>
        <v>#REF!</v>
      </c>
      <c r="BE113" s="499">
        <f t="shared" si="106"/>
        <v>0</v>
      </c>
      <c r="BF113" s="499">
        <f t="shared" si="107"/>
        <v>0</v>
      </c>
      <c r="BG113" s="499">
        <f t="shared" si="108"/>
        <v>0</v>
      </c>
    </row>
    <row r="114" spans="1:59" ht="12">
      <c r="A114" s="506" t="s">
        <v>617</v>
      </c>
      <c r="B114" s="506"/>
      <c r="C114" s="506" t="s">
        <v>2364</v>
      </c>
      <c r="D114" s="506" t="s">
        <v>2363</v>
      </c>
      <c r="E114" s="506" t="s">
        <v>258</v>
      </c>
      <c r="F114" s="499">
        <v>5</v>
      </c>
      <c r="G114" s="530">
        <v>0</v>
      </c>
      <c r="H114" s="499">
        <f t="shared" si="87"/>
        <v>0</v>
      </c>
      <c r="I114" s="499">
        <f t="shared" si="88"/>
        <v>0</v>
      </c>
      <c r="J114" s="499">
        <f t="shared" si="89"/>
        <v>0</v>
      </c>
      <c r="W114" s="500">
        <f t="shared" si="90"/>
        <v>0</v>
      </c>
      <c r="Y114" s="500">
        <f t="shared" si="91"/>
        <v>0</v>
      </c>
      <c r="Z114" s="500">
        <f t="shared" si="92"/>
        <v>0</v>
      </c>
      <c r="AA114" s="500">
        <f t="shared" si="93"/>
        <v>0</v>
      </c>
      <c r="AB114" s="500">
        <f t="shared" si="94"/>
        <v>0</v>
      </c>
      <c r="AC114" s="500">
        <f t="shared" si="95"/>
        <v>0</v>
      </c>
      <c r="AD114" s="500">
        <f t="shared" si="96"/>
        <v>0</v>
      </c>
      <c r="AE114" s="500">
        <f t="shared" si="97"/>
        <v>0</v>
      </c>
      <c r="AF114" s="501"/>
      <c r="AG114" s="499">
        <f t="shared" si="98"/>
        <v>0</v>
      </c>
      <c r="AH114" s="499">
        <f t="shared" si="99"/>
        <v>0</v>
      </c>
      <c r="AI114" s="499">
        <f t="shared" si="100"/>
        <v>0</v>
      </c>
      <c r="AK114" s="500">
        <v>21</v>
      </c>
      <c r="AL114" s="500">
        <f>G114*0</f>
        <v>0</v>
      </c>
      <c r="AM114" s="500">
        <f>G114*(1-0)</f>
        <v>0</v>
      </c>
      <c r="AN114" s="503" t="s">
        <v>225</v>
      </c>
      <c r="AS114" s="500">
        <f t="shared" si="101"/>
        <v>0</v>
      </c>
      <c r="AT114" s="500">
        <f t="shared" si="102"/>
        <v>0</v>
      </c>
      <c r="AU114" s="500">
        <f t="shared" si="103"/>
        <v>0</v>
      </c>
      <c r="AV114" s="502" t="s">
        <v>2430</v>
      </c>
      <c r="AW114" s="502" t="s">
        <v>1755</v>
      </c>
      <c r="AX114" s="501" t="s">
        <v>1749</v>
      </c>
      <c r="AZ114" s="500">
        <f t="shared" si="104"/>
        <v>0</v>
      </c>
      <c r="BA114" s="500">
        <f t="shared" si="105"/>
        <v>0</v>
      </c>
      <c r="BB114" s="500">
        <v>0</v>
      </c>
      <c r="BC114" s="500" t="e">
        <f>#REF!</f>
        <v>#REF!</v>
      </c>
      <c r="BE114" s="499">
        <f t="shared" si="106"/>
        <v>0</v>
      </c>
      <c r="BF114" s="499">
        <f t="shared" si="107"/>
        <v>0</v>
      </c>
      <c r="BG114" s="499">
        <f t="shared" si="108"/>
        <v>0</v>
      </c>
    </row>
    <row r="115" spans="1:59" ht="12">
      <c r="A115" s="512" t="s">
        <v>621</v>
      </c>
      <c r="B115" s="512"/>
      <c r="C115" s="512" t="s">
        <v>2362</v>
      </c>
      <c r="D115" s="512" t="s">
        <v>2421</v>
      </c>
      <c r="E115" s="512" t="s">
        <v>2057</v>
      </c>
      <c r="F115" s="510">
        <v>5</v>
      </c>
      <c r="G115" s="532">
        <v>0</v>
      </c>
      <c r="H115" s="510">
        <f t="shared" si="87"/>
        <v>0</v>
      </c>
      <c r="I115" s="510">
        <f t="shared" si="88"/>
        <v>0</v>
      </c>
      <c r="J115" s="510">
        <f t="shared" si="89"/>
        <v>0</v>
      </c>
      <c r="W115" s="500">
        <f t="shared" si="90"/>
        <v>0</v>
      </c>
      <c r="Y115" s="500">
        <f t="shared" si="91"/>
        <v>0</v>
      </c>
      <c r="Z115" s="500">
        <f t="shared" si="92"/>
        <v>0</v>
      </c>
      <c r="AA115" s="500">
        <f t="shared" si="93"/>
        <v>0</v>
      </c>
      <c r="AB115" s="500">
        <f t="shared" si="94"/>
        <v>0</v>
      </c>
      <c r="AC115" s="500">
        <f t="shared" si="95"/>
        <v>0</v>
      </c>
      <c r="AD115" s="500">
        <f t="shared" si="96"/>
        <v>0</v>
      </c>
      <c r="AE115" s="500">
        <f t="shared" si="97"/>
        <v>0</v>
      </c>
      <c r="AF115" s="501"/>
      <c r="AG115" s="510">
        <f t="shared" si="98"/>
        <v>0</v>
      </c>
      <c r="AH115" s="510">
        <f t="shared" si="99"/>
        <v>0</v>
      </c>
      <c r="AI115" s="510">
        <f t="shared" si="100"/>
        <v>0</v>
      </c>
      <c r="AK115" s="500">
        <v>21</v>
      </c>
      <c r="AL115" s="500">
        <f>G115*1</f>
        <v>0</v>
      </c>
      <c r="AM115" s="500">
        <f>G115*(1-1)</f>
        <v>0</v>
      </c>
      <c r="AN115" s="511" t="s">
        <v>225</v>
      </c>
      <c r="AS115" s="500">
        <f t="shared" si="101"/>
        <v>0</v>
      </c>
      <c r="AT115" s="500">
        <f t="shared" si="102"/>
        <v>0</v>
      </c>
      <c r="AU115" s="500">
        <f t="shared" si="103"/>
        <v>0</v>
      </c>
      <c r="AV115" s="502" t="s">
        <v>2430</v>
      </c>
      <c r="AW115" s="502" t="s">
        <v>1755</v>
      </c>
      <c r="AX115" s="501" t="s">
        <v>1749</v>
      </c>
      <c r="AZ115" s="500">
        <f t="shared" si="104"/>
        <v>0</v>
      </c>
      <c r="BA115" s="500">
        <f t="shared" si="105"/>
        <v>0</v>
      </c>
      <c r="BB115" s="500">
        <v>0</v>
      </c>
      <c r="BC115" s="500" t="e">
        <f>#REF!</f>
        <v>#REF!</v>
      </c>
      <c r="BE115" s="510">
        <f t="shared" si="106"/>
        <v>0</v>
      </c>
      <c r="BF115" s="510">
        <f t="shared" si="107"/>
        <v>0</v>
      </c>
      <c r="BG115" s="510">
        <f t="shared" si="108"/>
        <v>0</v>
      </c>
    </row>
    <row r="116" spans="1:59" ht="12">
      <c r="A116" s="506" t="s">
        <v>625</v>
      </c>
      <c r="B116" s="506"/>
      <c r="C116" s="506" t="s">
        <v>2360</v>
      </c>
      <c r="D116" s="506" t="s">
        <v>2359</v>
      </c>
      <c r="E116" s="506" t="s">
        <v>258</v>
      </c>
      <c r="F116" s="499">
        <v>2</v>
      </c>
      <c r="G116" s="530">
        <v>0</v>
      </c>
      <c r="H116" s="499">
        <f t="shared" si="87"/>
        <v>0</v>
      </c>
      <c r="I116" s="499">
        <f t="shared" si="88"/>
        <v>0</v>
      </c>
      <c r="J116" s="499">
        <f t="shared" si="89"/>
        <v>0</v>
      </c>
      <c r="W116" s="500">
        <f t="shared" si="90"/>
        <v>0</v>
      </c>
      <c r="Y116" s="500">
        <f t="shared" si="91"/>
        <v>0</v>
      </c>
      <c r="Z116" s="500">
        <f t="shared" si="92"/>
        <v>0</v>
      </c>
      <c r="AA116" s="500">
        <f t="shared" si="93"/>
        <v>0</v>
      </c>
      <c r="AB116" s="500">
        <f t="shared" si="94"/>
        <v>0</v>
      </c>
      <c r="AC116" s="500">
        <f t="shared" si="95"/>
        <v>0</v>
      </c>
      <c r="AD116" s="500">
        <f t="shared" si="96"/>
        <v>0</v>
      </c>
      <c r="AE116" s="500">
        <f t="shared" si="97"/>
        <v>0</v>
      </c>
      <c r="AF116" s="501"/>
      <c r="AG116" s="499">
        <f t="shared" si="98"/>
        <v>0</v>
      </c>
      <c r="AH116" s="499">
        <f t="shared" si="99"/>
        <v>0</v>
      </c>
      <c r="AI116" s="499">
        <f t="shared" si="100"/>
        <v>0</v>
      </c>
      <c r="AK116" s="500">
        <v>21</v>
      </c>
      <c r="AL116" s="500">
        <f>G116*0</f>
        <v>0</v>
      </c>
      <c r="AM116" s="500">
        <f>G116*(1-0)</f>
        <v>0</v>
      </c>
      <c r="AN116" s="503" t="s">
        <v>225</v>
      </c>
      <c r="AS116" s="500">
        <f t="shared" si="101"/>
        <v>0</v>
      </c>
      <c r="AT116" s="500">
        <f t="shared" si="102"/>
        <v>0</v>
      </c>
      <c r="AU116" s="500">
        <f t="shared" si="103"/>
        <v>0</v>
      </c>
      <c r="AV116" s="502" t="s">
        <v>2430</v>
      </c>
      <c r="AW116" s="502" t="s">
        <v>1755</v>
      </c>
      <c r="AX116" s="501" t="s">
        <v>1749</v>
      </c>
      <c r="AZ116" s="500">
        <f t="shared" si="104"/>
        <v>0</v>
      </c>
      <c r="BA116" s="500">
        <f t="shared" si="105"/>
        <v>0</v>
      </c>
      <c r="BB116" s="500">
        <v>0</v>
      </c>
      <c r="BC116" s="500" t="e">
        <f>#REF!</f>
        <v>#REF!</v>
      </c>
      <c r="BE116" s="499">
        <f t="shared" si="106"/>
        <v>0</v>
      </c>
      <c r="BF116" s="499">
        <f t="shared" si="107"/>
        <v>0</v>
      </c>
      <c r="BG116" s="499">
        <f t="shared" si="108"/>
        <v>0</v>
      </c>
    </row>
    <row r="117" spans="1:59" ht="12">
      <c r="A117" s="506" t="s">
        <v>629</v>
      </c>
      <c r="B117" s="506"/>
      <c r="C117" s="506" t="s">
        <v>2358</v>
      </c>
      <c r="D117" s="506" t="s">
        <v>2434</v>
      </c>
      <c r="E117" s="506" t="s">
        <v>258</v>
      </c>
      <c r="F117" s="499">
        <v>2</v>
      </c>
      <c r="G117" s="530">
        <v>0</v>
      </c>
      <c r="H117" s="499">
        <f t="shared" si="87"/>
        <v>0</v>
      </c>
      <c r="I117" s="499">
        <f t="shared" si="88"/>
        <v>0</v>
      </c>
      <c r="J117" s="499">
        <f t="shared" si="89"/>
        <v>0</v>
      </c>
      <c r="W117" s="500">
        <f t="shared" si="90"/>
        <v>0</v>
      </c>
      <c r="Y117" s="500">
        <f t="shared" si="91"/>
        <v>0</v>
      </c>
      <c r="Z117" s="500">
        <f t="shared" si="92"/>
        <v>0</v>
      </c>
      <c r="AA117" s="500">
        <f t="shared" si="93"/>
        <v>0</v>
      </c>
      <c r="AB117" s="500">
        <f t="shared" si="94"/>
        <v>0</v>
      </c>
      <c r="AC117" s="500">
        <f t="shared" si="95"/>
        <v>0</v>
      </c>
      <c r="AD117" s="500">
        <f t="shared" si="96"/>
        <v>0</v>
      </c>
      <c r="AE117" s="500">
        <f t="shared" si="97"/>
        <v>0</v>
      </c>
      <c r="AF117" s="501"/>
      <c r="AG117" s="499">
        <f t="shared" si="98"/>
        <v>0</v>
      </c>
      <c r="AH117" s="499">
        <f t="shared" si="99"/>
        <v>0</v>
      </c>
      <c r="AI117" s="499">
        <f t="shared" si="100"/>
        <v>0</v>
      </c>
      <c r="AK117" s="500">
        <v>21</v>
      </c>
      <c r="AL117" s="500">
        <f>G117*1</f>
        <v>0</v>
      </c>
      <c r="AM117" s="500">
        <f>G117*(1-1)</f>
        <v>0</v>
      </c>
      <c r="AN117" s="503" t="s">
        <v>225</v>
      </c>
      <c r="AS117" s="500">
        <f t="shared" si="101"/>
        <v>0</v>
      </c>
      <c r="AT117" s="500">
        <f t="shared" si="102"/>
        <v>0</v>
      </c>
      <c r="AU117" s="500">
        <f t="shared" si="103"/>
        <v>0</v>
      </c>
      <c r="AV117" s="502" t="s">
        <v>2430</v>
      </c>
      <c r="AW117" s="502" t="s">
        <v>1755</v>
      </c>
      <c r="AX117" s="501" t="s">
        <v>1749</v>
      </c>
      <c r="AZ117" s="500">
        <f t="shared" si="104"/>
        <v>0</v>
      </c>
      <c r="BA117" s="500">
        <f t="shared" si="105"/>
        <v>0</v>
      </c>
      <c r="BB117" s="500">
        <v>0</v>
      </c>
      <c r="BC117" s="500" t="e">
        <f>#REF!</f>
        <v>#REF!</v>
      </c>
      <c r="BE117" s="499">
        <f t="shared" si="106"/>
        <v>0</v>
      </c>
      <c r="BF117" s="499">
        <f t="shared" si="107"/>
        <v>0</v>
      </c>
      <c r="BG117" s="499">
        <f t="shared" si="108"/>
        <v>0</v>
      </c>
    </row>
    <row r="118" spans="1:59" ht="12">
      <c r="A118" s="506" t="s">
        <v>633</v>
      </c>
      <c r="B118" s="506"/>
      <c r="C118" s="506" t="s">
        <v>2420</v>
      </c>
      <c r="D118" s="506" t="s">
        <v>2419</v>
      </c>
      <c r="E118" s="506" t="s">
        <v>310</v>
      </c>
      <c r="F118" s="499">
        <v>10</v>
      </c>
      <c r="G118" s="530">
        <v>0</v>
      </c>
      <c r="H118" s="499">
        <f t="shared" si="87"/>
        <v>0</v>
      </c>
      <c r="I118" s="499">
        <f t="shared" si="88"/>
        <v>0</v>
      </c>
      <c r="J118" s="499">
        <f t="shared" si="89"/>
        <v>0</v>
      </c>
      <c r="W118" s="500">
        <f t="shared" si="90"/>
        <v>0</v>
      </c>
      <c r="Y118" s="500">
        <f t="shared" si="91"/>
        <v>0</v>
      </c>
      <c r="Z118" s="500">
        <f t="shared" si="92"/>
        <v>0</v>
      </c>
      <c r="AA118" s="500">
        <f t="shared" si="93"/>
        <v>0</v>
      </c>
      <c r="AB118" s="500">
        <f t="shared" si="94"/>
        <v>0</v>
      </c>
      <c r="AC118" s="500">
        <f t="shared" si="95"/>
        <v>0</v>
      </c>
      <c r="AD118" s="500">
        <f t="shared" si="96"/>
        <v>0</v>
      </c>
      <c r="AE118" s="500">
        <f t="shared" si="97"/>
        <v>0</v>
      </c>
      <c r="AF118" s="501"/>
      <c r="AG118" s="499">
        <f t="shared" si="98"/>
        <v>0</v>
      </c>
      <c r="AH118" s="499">
        <f t="shared" si="99"/>
        <v>0</v>
      </c>
      <c r="AI118" s="499">
        <f t="shared" si="100"/>
        <v>0</v>
      </c>
      <c r="AK118" s="500">
        <v>21</v>
      </c>
      <c r="AL118" s="500">
        <f>G118*0</f>
        <v>0</v>
      </c>
      <c r="AM118" s="500">
        <f>G118*(1-0)</f>
        <v>0</v>
      </c>
      <c r="AN118" s="503" t="s">
        <v>225</v>
      </c>
      <c r="AS118" s="500">
        <f t="shared" si="101"/>
        <v>0</v>
      </c>
      <c r="AT118" s="500">
        <f t="shared" si="102"/>
        <v>0</v>
      </c>
      <c r="AU118" s="500">
        <f t="shared" si="103"/>
        <v>0</v>
      </c>
      <c r="AV118" s="502" t="s">
        <v>2430</v>
      </c>
      <c r="AW118" s="502" t="s">
        <v>1755</v>
      </c>
      <c r="AX118" s="501" t="s">
        <v>1749</v>
      </c>
      <c r="AZ118" s="500">
        <f t="shared" si="104"/>
        <v>0</v>
      </c>
      <c r="BA118" s="500">
        <f t="shared" si="105"/>
        <v>0</v>
      </c>
      <c r="BB118" s="500">
        <v>0</v>
      </c>
      <c r="BC118" s="500" t="e">
        <f>#REF!</f>
        <v>#REF!</v>
      </c>
      <c r="BE118" s="499">
        <f t="shared" si="106"/>
        <v>0</v>
      </c>
      <c r="BF118" s="499">
        <f t="shared" si="107"/>
        <v>0</v>
      </c>
      <c r="BG118" s="499">
        <f t="shared" si="108"/>
        <v>0</v>
      </c>
    </row>
    <row r="119" spans="1:59" ht="12">
      <c r="A119" s="512" t="s">
        <v>637</v>
      </c>
      <c r="B119" s="512"/>
      <c r="C119" s="512" t="s">
        <v>2418</v>
      </c>
      <c r="D119" s="512" t="s">
        <v>2433</v>
      </c>
      <c r="E119" s="512" t="s">
        <v>2384</v>
      </c>
      <c r="F119" s="510">
        <v>6</v>
      </c>
      <c r="G119" s="532">
        <v>0</v>
      </c>
      <c r="H119" s="510">
        <f t="shared" si="87"/>
        <v>0</v>
      </c>
      <c r="I119" s="510">
        <f t="shared" si="88"/>
        <v>0</v>
      </c>
      <c r="J119" s="510">
        <f t="shared" si="89"/>
        <v>0</v>
      </c>
      <c r="W119" s="500">
        <f t="shared" si="90"/>
        <v>0</v>
      </c>
      <c r="Y119" s="500">
        <f t="shared" si="91"/>
        <v>0</v>
      </c>
      <c r="Z119" s="500">
        <f t="shared" si="92"/>
        <v>0</v>
      </c>
      <c r="AA119" s="500">
        <f t="shared" si="93"/>
        <v>0</v>
      </c>
      <c r="AB119" s="500">
        <f t="shared" si="94"/>
        <v>0</v>
      </c>
      <c r="AC119" s="500">
        <f t="shared" si="95"/>
        <v>0</v>
      </c>
      <c r="AD119" s="500">
        <f t="shared" si="96"/>
        <v>0</v>
      </c>
      <c r="AE119" s="500">
        <f t="shared" si="97"/>
        <v>0</v>
      </c>
      <c r="AF119" s="501"/>
      <c r="AG119" s="510">
        <f t="shared" si="98"/>
        <v>0</v>
      </c>
      <c r="AH119" s="510">
        <f t="shared" si="99"/>
        <v>0</v>
      </c>
      <c r="AI119" s="510">
        <f t="shared" si="100"/>
        <v>0</v>
      </c>
      <c r="AK119" s="500">
        <v>21</v>
      </c>
      <c r="AL119" s="500">
        <f>G119*1</f>
        <v>0</v>
      </c>
      <c r="AM119" s="500">
        <f>G119*(1-1)</f>
        <v>0</v>
      </c>
      <c r="AN119" s="511" t="s">
        <v>225</v>
      </c>
      <c r="AS119" s="500">
        <f t="shared" si="101"/>
        <v>0</v>
      </c>
      <c r="AT119" s="500">
        <f t="shared" si="102"/>
        <v>0</v>
      </c>
      <c r="AU119" s="500">
        <f t="shared" si="103"/>
        <v>0</v>
      </c>
      <c r="AV119" s="502" t="s">
        <v>2430</v>
      </c>
      <c r="AW119" s="502" t="s">
        <v>1755</v>
      </c>
      <c r="AX119" s="501" t="s">
        <v>1749</v>
      </c>
      <c r="AZ119" s="500">
        <f t="shared" si="104"/>
        <v>0</v>
      </c>
      <c r="BA119" s="500">
        <f t="shared" si="105"/>
        <v>0</v>
      </c>
      <c r="BB119" s="500">
        <v>0</v>
      </c>
      <c r="BC119" s="500" t="e">
        <f>#REF!</f>
        <v>#REF!</v>
      </c>
      <c r="BE119" s="510">
        <f t="shared" si="106"/>
        <v>0</v>
      </c>
      <c r="BF119" s="510">
        <f t="shared" si="107"/>
        <v>0</v>
      </c>
      <c r="BG119" s="510">
        <f t="shared" si="108"/>
        <v>0</v>
      </c>
    </row>
    <row r="120" spans="1:59" ht="12">
      <c r="A120" s="512" t="s">
        <v>641</v>
      </c>
      <c r="B120" s="512"/>
      <c r="C120" s="512" t="s">
        <v>2432</v>
      </c>
      <c r="D120" s="512" t="s">
        <v>2431</v>
      </c>
      <c r="E120" s="512" t="s">
        <v>2384</v>
      </c>
      <c r="F120" s="510">
        <v>4</v>
      </c>
      <c r="G120" s="532">
        <v>0</v>
      </c>
      <c r="H120" s="510">
        <f t="shared" si="87"/>
        <v>0</v>
      </c>
      <c r="I120" s="510">
        <f t="shared" si="88"/>
        <v>0</v>
      </c>
      <c r="J120" s="510">
        <f t="shared" si="89"/>
        <v>0</v>
      </c>
      <c r="W120" s="500">
        <f t="shared" si="90"/>
        <v>0</v>
      </c>
      <c r="Y120" s="500">
        <f t="shared" si="91"/>
        <v>0</v>
      </c>
      <c r="Z120" s="500">
        <f t="shared" si="92"/>
        <v>0</v>
      </c>
      <c r="AA120" s="500">
        <f t="shared" si="93"/>
        <v>0</v>
      </c>
      <c r="AB120" s="500">
        <f t="shared" si="94"/>
        <v>0</v>
      </c>
      <c r="AC120" s="500">
        <f t="shared" si="95"/>
        <v>0</v>
      </c>
      <c r="AD120" s="500">
        <f t="shared" si="96"/>
        <v>0</v>
      </c>
      <c r="AE120" s="500">
        <f t="shared" si="97"/>
        <v>0</v>
      </c>
      <c r="AF120" s="501"/>
      <c r="AG120" s="510">
        <f t="shared" si="98"/>
        <v>0</v>
      </c>
      <c r="AH120" s="510">
        <f t="shared" si="99"/>
        <v>0</v>
      </c>
      <c r="AI120" s="510">
        <f t="shared" si="100"/>
        <v>0</v>
      </c>
      <c r="AK120" s="500">
        <v>21</v>
      </c>
      <c r="AL120" s="500">
        <f>G120*1</f>
        <v>0</v>
      </c>
      <c r="AM120" s="500">
        <f>G120*(1-1)</f>
        <v>0</v>
      </c>
      <c r="AN120" s="511" t="s">
        <v>225</v>
      </c>
      <c r="AS120" s="500">
        <f t="shared" si="101"/>
        <v>0</v>
      </c>
      <c r="AT120" s="500">
        <f t="shared" si="102"/>
        <v>0</v>
      </c>
      <c r="AU120" s="500">
        <f t="shared" si="103"/>
        <v>0</v>
      </c>
      <c r="AV120" s="502" t="s">
        <v>2430</v>
      </c>
      <c r="AW120" s="502" t="s">
        <v>1755</v>
      </c>
      <c r="AX120" s="501" t="s">
        <v>1749</v>
      </c>
      <c r="AZ120" s="500">
        <f t="shared" si="104"/>
        <v>0</v>
      </c>
      <c r="BA120" s="500">
        <f t="shared" si="105"/>
        <v>0</v>
      </c>
      <c r="BB120" s="500">
        <v>0</v>
      </c>
      <c r="BC120" s="500" t="e">
        <f>#REF!</f>
        <v>#REF!</v>
      </c>
      <c r="BE120" s="510">
        <f t="shared" si="106"/>
        <v>0</v>
      </c>
      <c r="BF120" s="510">
        <f t="shared" si="107"/>
        <v>0</v>
      </c>
      <c r="BG120" s="510">
        <f t="shared" si="108"/>
        <v>0</v>
      </c>
    </row>
    <row r="121" spans="1:44" ht="12">
      <c r="A121" s="508"/>
      <c r="B121" s="509"/>
      <c r="C121" s="509" t="s">
        <v>2429</v>
      </c>
      <c r="D121" s="509" t="s">
        <v>2428</v>
      </c>
      <c r="E121" s="508" t="s">
        <v>146</v>
      </c>
      <c r="F121" s="508" t="s">
        <v>146</v>
      </c>
      <c r="G121" s="533"/>
      <c r="H121" s="507">
        <f>SUM(H122:H131)</f>
        <v>0</v>
      </c>
      <c r="I121" s="507">
        <f>SUM(I122:I131)</f>
        <v>0</v>
      </c>
      <c r="J121" s="507">
        <f>SUM(J122:J131)</f>
        <v>0</v>
      </c>
      <c r="AF121" s="501"/>
      <c r="AP121" s="507">
        <f>SUM(AG122:AG131)</f>
        <v>0</v>
      </c>
      <c r="AQ121" s="507">
        <f>SUM(AH122:AH131)</f>
        <v>0</v>
      </c>
      <c r="AR121" s="507">
        <f>SUM(AI122:AI131)</f>
        <v>0</v>
      </c>
    </row>
    <row r="122" spans="1:59" ht="12">
      <c r="A122" s="506" t="s">
        <v>646</v>
      </c>
      <c r="B122" s="506"/>
      <c r="C122" s="506" t="s">
        <v>2372</v>
      </c>
      <c r="D122" s="506" t="s">
        <v>2371</v>
      </c>
      <c r="E122" s="506" t="s">
        <v>258</v>
      </c>
      <c r="F122" s="499">
        <v>1</v>
      </c>
      <c r="G122" s="530">
        <v>0</v>
      </c>
      <c r="H122" s="499">
        <f aca="true" t="shared" si="109" ref="H122:H131">F122*AL122</f>
        <v>0</v>
      </c>
      <c r="I122" s="499">
        <f aca="true" t="shared" si="110" ref="I122:I131">F122*AM122</f>
        <v>0</v>
      </c>
      <c r="J122" s="499">
        <f aca="true" t="shared" si="111" ref="J122:J131">F122*G122</f>
        <v>0</v>
      </c>
      <c r="W122" s="500">
        <f aca="true" t="shared" si="112" ref="W122:W131">IF(AN122="5",BG122,0)</f>
        <v>0</v>
      </c>
      <c r="Y122" s="500">
        <f aca="true" t="shared" si="113" ref="Y122:Y131">IF(AN122="1",BE122,0)</f>
        <v>0</v>
      </c>
      <c r="Z122" s="500">
        <f aca="true" t="shared" si="114" ref="Z122:Z131">IF(AN122="1",BF122,0)</f>
        <v>0</v>
      </c>
      <c r="AA122" s="500">
        <f aca="true" t="shared" si="115" ref="AA122:AA131">IF(AN122="7",BE122,0)</f>
        <v>0</v>
      </c>
      <c r="AB122" s="500">
        <f aca="true" t="shared" si="116" ref="AB122:AB131">IF(AN122="7",BF122,0)</f>
        <v>0</v>
      </c>
      <c r="AC122" s="500">
        <f aca="true" t="shared" si="117" ref="AC122:AC131">IF(AN122="2",BE122,0)</f>
        <v>0</v>
      </c>
      <c r="AD122" s="500">
        <f aca="true" t="shared" si="118" ref="AD122:AD131">IF(AN122="2",BF122,0)</f>
        <v>0</v>
      </c>
      <c r="AE122" s="500">
        <f aca="true" t="shared" si="119" ref="AE122:AE131">IF(AN122="0",BG122,0)</f>
        <v>0</v>
      </c>
      <c r="AF122" s="501"/>
      <c r="AG122" s="499">
        <f aca="true" t="shared" si="120" ref="AG122:AG131">IF(AK122=0,J122,0)</f>
        <v>0</v>
      </c>
      <c r="AH122" s="499">
        <f aca="true" t="shared" si="121" ref="AH122:AH131">IF(AK122=15,J122,0)</f>
        <v>0</v>
      </c>
      <c r="AI122" s="499">
        <f aca="true" t="shared" si="122" ref="AI122:AI131">IF(AK122=21,J122,0)</f>
        <v>0</v>
      </c>
      <c r="AK122" s="500">
        <v>21</v>
      </c>
      <c r="AL122" s="500">
        <f>G122*0</f>
        <v>0</v>
      </c>
      <c r="AM122" s="500">
        <f>G122*(1-0)</f>
        <v>0</v>
      </c>
      <c r="AN122" s="503" t="s">
        <v>225</v>
      </c>
      <c r="AS122" s="500">
        <f aca="true" t="shared" si="123" ref="AS122:AS131">AT122+AU122</f>
        <v>0</v>
      </c>
      <c r="AT122" s="500">
        <f aca="true" t="shared" si="124" ref="AT122:AT131">F122*AL122</f>
        <v>0</v>
      </c>
      <c r="AU122" s="500">
        <f aca="true" t="shared" si="125" ref="AU122:AU131">F122*AM122</f>
        <v>0</v>
      </c>
      <c r="AV122" s="502" t="s">
        <v>2416</v>
      </c>
      <c r="AW122" s="502" t="s">
        <v>1755</v>
      </c>
      <c r="AX122" s="501" t="s">
        <v>1749</v>
      </c>
      <c r="AZ122" s="500">
        <f aca="true" t="shared" si="126" ref="AZ122:AZ131">AT122+AU122</f>
        <v>0</v>
      </c>
      <c r="BA122" s="500">
        <f aca="true" t="shared" si="127" ref="BA122:BA131">G122/(100-BB122)*100</f>
        <v>0</v>
      </c>
      <c r="BB122" s="500">
        <v>0</v>
      </c>
      <c r="BC122" s="500" t="e">
        <f>#REF!</f>
        <v>#REF!</v>
      </c>
      <c r="BE122" s="499">
        <f aca="true" t="shared" si="128" ref="BE122:BE131">F122*AL122</f>
        <v>0</v>
      </c>
      <c r="BF122" s="499">
        <f aca="true" t="shared" si="129" ref="BF122:BF131">F122*AM122</f>
        <v>0</v>
      </c>
      <c r="BG122" s="499">
        <f aca="true" t="shared" si="130" ref="BG122:BG131">F122*G122</f>
        <v>0</v>
      </c>
    </row>
    <row r="123" spans="1:59" ht="12">
      <c r="A123" s="512" t="s">
        <v>650</v>
      </c>
      <c r="B123" s="512"/>
      <c r="C123" s="512" t="s">
        <v>2427</v>
      </c>
      <c r="D123" s="512" t="s">
        <v>2426</v>
      </c>
      <c r="E123" s="512" t="s">
        <v>1437</v>
      </c>
      <c r="F123" s="510">
        <v>1</v>
      </c>
      <c r="G123" s="532">
        <v>0</v>
      </c>
      <c r="H123" s="510">
        <f t="shared" si="109"/>
        <v>0</v>
      </c>
      <c r="I123" s="510">
        <f t="shared" si="110"/>
        <v>0</v>
      </c>
      <c r="J123" s="510">
        <f t="shared" si="111"/>
        <v>0</v>
      </c>
      <c r="W123" s="500">
        <f t="shared" si="112"/>
        <v>0</v>
      </c>
      <c r="Y123" s="500">
        <f t="shared" si="113"/>
        <v>0</v>
      </c>
      <c r="Z123" s="500">
        <f t="shared" si="114"/>
        <v>0</v>
      </c>
      <c r="AA123" s="500">
        <f t="shared" si="115"/>
        <v>0</v>
      </c>
      <c r="AB123" s="500">
        <f t="shared" si="116"/>
        <v>0</v>
      </c>
      <c r="AC123" s="500">
        <f t="shared" si="117"/>
        <v>0</v>
      </c>
      <c r="AD123" s="500">
        <f t="shared" si="118"/>
        <v>0</v>
      </c>
      <c r="AE123" s="500">
        <f t="shared" si="119"/>
        <v>0</v>
      </c>
      <c r="AF123" s="501"/>
      <c r="AG123" s="510">
        <f t="shared" si="120"/>
        <v>0</v>
      </c>
      <c r="AH123" s="510">
        <f t="shared" si="121"/>
        <v>0</v>
      </c>
      <c r="AI123" s="510">
        <f t="shared" si="122"/>
        <v>0</v>
      </c>
      <c r="AK123" s="500">
        <v>21</v>
      </c>
      <c r="AL123" s="500">
        <f>G123*1</f>
        <v>0</v>
      </c>
      <c r="AM123" s="500">
        <f>G123*(1-1)</f>
        <v>0</v>
      </c>
      <c r="AN123" s="511" t="s">
        <v>225</v>
      </c>
      <c r="AS123" s="500">
        <f t="shared" si="123"/>
        <v>0</v>
      </c>
      <c r="AT123" s="500">
        <f t="shared" si="124"/>
        <v>0</v>
      </c>
      <c r="AU123" s="500">
        <f t="shared" si="125"/>
        <v>0</v>
      </c>
      <c r="AV123" s="502" t="s">
        <v>2416</v>
      </c>
      <c r="AW123" s="502" t="s">
        <v>1755</v>
      </c>
      <c r="AX123" s="501" t="s">
        <v>1749</v>
      </c>
      <c r="AZ123" s="500">
        <f t="shared" si="126"/>
        <v>0</v>
      </c>
      <c r="BA123" s="500">
        <f t="shared" si="127"/>
        <v>0</v>
      </c>
      <c r="BB123" s="500">
        <v>0</v>
      </c>
      <c r="BC123" s="500" t="e">
        <f>#REF!</f>
        <v>#REF!</v>
      </c>
      <c r="BE123" s="510">
        <f t="shared" si="128"/>
        <v>0</v>
      </c>
      <c r="BF123" s="510">
        <f t="shared" si="129"/>
        <v>0</v>
      </c>
      <c r="BG123" s="510">
        <f t="shared" si="130"/>
        <v>0</v>
      </c>
    </row>
    <row r="124" spans="1:59" ht="12">
      <c r="A124" s="506" t="s">
        <v>654</v>
      </c>
      <c r="B124" s="506"/>
      <c r="C124" s="506" t="s">
        <v>2425</v>
      </c>
      <c r="D124" s="506" t="s">
        <v>2424</v>
      </c>
      <c r="E124" s="506" t="s">
        <v>258</v>
      </c>
      <c r="F124" s="499">
        <v>1</v>
      </c>
      <c r="G124" s="530">
        <v>0</v>
      </c>
      <c r="H124" s="499">
        <f t="shared" si="109"/>
        <v>0</v>
      </c>
      <c r="I124" s="499">
        <f t="shared" si="110"/>
        <v>0</v>
      </c>
      <c r="J124" s="499">
        <f t="shared" si="111"/>
        <v>0</v>
      </c>
      <c r="W124" s="500">
        <f t="shared" si="112"/>
        <v>0</v>
      </c>
      <c r="Y124" s="500">
        <f t="shared" si="113"/>
        <v>0</v>
      </c>
      <c r="Z124" s="500">
        <f t="shared" si="114"/>
        <v>0</v>
      </c>
      <c r="AA124" s="500">
        <f t="shared" si="115"/>
        <v>0</v>
      </c>
      <c r="AB124" s="500">
        <f t="shared" si="116"/>
        <v>0</v>
      </c>
      <c r="AC124" s="500">
        <f t="shared" si="117"/>
        <v>0</v>
      </c>
      <c r="AD124" s="500">
        <f t="shared" si="118"/>
        <v>0</v>
      </c>
      <c r="AE124" s="500">
        <f t="shared" si="119"/>
        <v>0</v>
      </c>
      <c r="AF124" s="501"/>
      <c r="AG124" s="499">
        <f t="shared" si="120"/>
        <v>0</v>
      </c>
      <c r="AH124" s="499">
        <f t="shared" si="121"/>
        <v>0</v>
      </c>
      <c r="AI124" s="499">
        <f t="shared" si="122"/>
        <v>0</v>
      </c>
      <c r="AK124" s="500">
        <v>21</v>
      </c>
      <c r="AL124" s="500">
        <f>G124*0</f>
        <v>0</v>
      </c>
      <c r="AM124" s="500">
        <f>G124*(1-0)</f>
        <v>0</v>
      </c>
      <c r="AN124" s="503" t="s">
        <v>225</v>
      </c>
      <c r="AS124" s="500">
        <f t="shared" si="123"/>
        <v>0</v>
      </c>
      <c r="AT124" s="500">
        <f t="shared" si="124"/>
        <v>0</v>
      </c>
      <c r="AU124" s="500">
        <f t="shared" si="125"/>
        <v>0</v>
      </c>
      <c r="AV124" s="502" t="s">
        <v>2416</v>
      </c>
      <c r="AW124" s="502" t="s">
        <v>1755</v>
      </c>
      <c r="AX124" s="501" t="s">
        <v>1749</v>
      </c>
      <c r="AZ124" s="500">
        <f t="shared" si="126"/>
        <v>0</v>
      </c>
      <c r="BA124" s="500">
        <f t="shared" si="127"/>
        <v>0</v>
      </c>
      <c r="BB124" s="500">
        <v>0</v>
      </c>
      <c r="BC124" s="500" t="e">
        <f>#REF!</f>
        <v>#REF!</v>
      </c>
      <c r="BE124" s="499">
        <f t="shared" si="128"/>
        <v>0</v>
      </c>
      <c r="BF124" s="499">
        <f t="shared" si="129"/>
        <v>0</v>
      </c>
      <c r="BG124" s="499">
        <f t="shared" si="130"/>
        <v>0</v>
      </c>
    </row>
    <row r="125" spans="1:59" ht="12">
      <c r="A125" s="506" t="s">
        <v>660</v>
      </c>
      <c r="B125" s="506"/>
      <c r="C125" s="506" t="s">
        <v>2423</v>
      </c>
      <c r="D125" s="506" t="s">
        <v>2422</v>
      </c>
      <c r="E125" s="506" t="s">
        <v>258</v>
      </c>
      <c r="F125" s="499">
        <v>1</v>
      </c>
      <c r="G125" s="530">
        <v>0</v>
      </c>
      <c r="H125" s="499">
        <f t="shared" si="109"/>
        <v>0</v>
      </c>
      <c r="I125" s="499">
        <f t="shared" si="110"/>
        <v>0</v>
      </c>
      <c r="J125" s="499">
        <f t="shared" si="111"/>
        <v>0</v>
      </c>
      <c r="W125" s="500">
        <f t="shared" si="112"/>
        <v>0</v>
      </c>
      <c r="Y125" s="500">
        <f t="shared" si="113"/>
        <v>0</v>
      </c>
      <c r="Z125" s="500">
        <f t="shared" si="114"/>
        <v>0</v>
      </c>
      <c r="AA125" s="500">
        <f t="shared" si="115"/>
        <v>0</v>
      </c>
      <c r="AB125" s="500">
        <f t="shared" si="116"/>
        <v>0</v>
      </c>
      <c r="AC125" s="500">
        <f t="shared" si="117"/>
        <v>0</v>
      </c>
      <c r="AD125" s="500">
        <f t="shared" si="118"/>
        <v>0</v>
      </c>
      <c r="AE125" s="500">
        <f t="shared" si="119"/>
        <v>0</v>
      </c>
      <c r="AF125" s="501"/>
      <c r="AG125" s="499">
        <f t="shared" si="120"/>
        <v>0</v>
      </c>
      <c r="AH125" s="499">
        <f t="shared" si="121"/>
        <v>0</v>
      </c>
      <c r="AI125" s="499">
        <f t="shared" si="122"/>
        <v>0</v>
      </c>
      <c r="AK125" s="500">
        <v>21</v>
      </c>
      <c r="AL125" s="500">
        <f>G125*1</f>
        <v>0</v>
      </c>
      <c r="AM125" s="500">
        <f>G125*(1-1)</f>
        <v>0</v>
      </c>
      <c r="AN125" s="503" t="s">
        <v>225</v>
      </c>
      <c r="AS125" s="500">
        <f t="shared" si="123"/>
        <v>0</v>
      </c>
      <c r="AT125" s="500">
        <f t="shared" si="124"/>
        <v>0</v>
      </c>
      <c r="AU125" s="500">
        <f t="shared" si="125"/>
        <v>0</v>
      </c>
      <c r="AV125" s="502" t="s">
        <v>2416</v>
      </c>
      <c r="AW125" s="502" t="s">
        <v>1755</v>
      </c>
      <c r="AX125" s="501" t="s">
        <v>1749</v>
      </c>
      <c r="AZ125" s="500">
        <f t="shared" si="126"/>
        <v>0</v>
      </c>
      <c r="BA125" s="500">
        <f t="shared" si="127"/>
        <v>0</v>
      </c>
      <c r="BB125" s="500">
        <v>0</v>
      </c>
      <c r="BC125" s="500" t="e">
        <f>#REF!</f>
        <v>#REF!</v>
      </c>
      <c r="BE125" s="499">
        <f t="shared" si="128"/>
        <v>0</v>
      </c>
      <c r="BF125" s="499">
        <f t="shared" si="129"/>
        <v>0</v>
      </c>
      <c r="BG125" s="499">
        <f t="shared" si="130"/>
        <v>0</v>
      </c>
    </row>
    <row r="126" spans="1:59" ht="12">
      <c r="A126" s="506" t="s">
        <v>665</v>
      </c>
      <c r="B126" s="506"/>
      <c r="C126" s="506" t="s">
        <v>2364</v>
      </c>
      <c r="D126" s="506" t="s">
        <v>2363</v>
      </c>
      <c r="E126" s="506" t="s">
        <v>258</v>
      </c>
      <c r="F126" s="499">
        <v>3</v>
      </c>
      <c r="G126" s="530">
        <v>0</v>
      </c>
      <c r="H126" s="499">
        <f t="shared" si="109"/>
        <v>0</v>
      </c>
      <c r="I126" s="499">
        <f t="shared" si="110"/>
        <v>0</v>
      </c>
      <c r="J126" s="499">
        <f t="shared" si="111"/>
        <v>0</v>
      </c>
      <c r="W126" s="500">
        <f t="shared" si="112"/>
        <v>0</v>
      </c>
      <c r="Y126" s="500">
        <f t="shared" si="113"/>
        <v>0</v>
      </c>
      <c r="Z126" s="500">
        <f t="shared" si="114"/>
        <v>0</v>
      </c>
      <c r="AA126" s="500">
        <f t="shared" si="115"/>
        <v>0</v>
      </c>
      <c r="AB126" s="500">
        <f t="shared" si="116"/>
        <v>0</v>
      </c>
      <c r="AC126" s="500">
        <f t="shared" si="117"/>
        <v>0</v>
      </c>
      <c r="AD126" s="500">
        <f t="shared" si="118"/>
        <v>0</v>
      </c>
      <c r="AE126" s="500">
        <f t="shared" si="119"/>
        <v>0</v>
      </c>
      <c r="AF126" s="501"/>
      <c r="AG126" s="499">
        <f t="shared" si="120"/>
        <v>0</v>
      </c>
      <c r="AH126" s="499">
        <f t="shared" si="121"/>
        <v>0</v>
      </c>
      <c r="AI126" s="499">
        <f t="shared" si="122"/>
        <v>0</v>
      </c>
      <c r="AK126" s="500">
        <v>21</v>
      </c>
      <c r="AL126" s="500">
        <f>G126*0</f>
        <v>0</v>
      </c>
      <c r="AM126" s="500">
        <f>G126*(1-0)</f>
        <v>0</v>
      </c>
      <c r="AN126" s="503" t="s">
        <v>225</v>
      </c>
      <c r="AS126" s="500">
        <f t="shared" si="123"/>
        <v>0</v>
      </c>
      <c r="AT126" s="500">
        <f t="shared" si="124"/>
        <v>0</v>
      </c>
      <c r="AU126" s="500">
        <f t="shared" si="125"/>
        <v>0</v>
      </c>
      <c r="AV126" s="502" t="s">
        <v>2416</v>
      </c>
      <c r="AW126" s="502" t="s">
        <v>1755</v>
      </c>
      <c r="AX126" s="501" t="s">
        <v>1749</v>
      </c>
      <c r="AZ126" s="500">
        <f t="shared" si="126"/>
        <v>0</v>
      </c>
      <c r="BA126" s="500">
        <f t="shared" si="127"/>
        <v>0</v>
      </c>
      <c r="BB126" s="500">
        <v>0</v>
      </c>
      <c r="BC126" s="500" t="e">
        <f>#REF!</f>
        <v>#REF!</v>
      </c>
      <c r="BE126" s="499">
        <f t="shared" si="128"/>
        <v>0</v>
      </c>
      <c r="BF126" s="499">
        <f t="shared" si="129"/>
        <v>0</v>
      </c>
      <c r="BG126" s="499">
        <f t="shared" si="130"/>
        <v>0</v>
      </c>
    </row>
    <row r="127" spans="1:59" ht="12">
      <c r="A127" s="512" t="s">
        <v>670</v>
      </c>
      <c r="B127" s="512"/>
      <c r="C127" s="512" t="s">
        <v>2362</v>
      </c>
      <c r="D127" s="512" t="s">
        <v>2421</v>
      </c>
      <c r="E127" s="512" t="s">
        <v>2057</v>
      </c>
      <c r="F127" s="510">
        <v>3</v>
      </c>
      <c r="G127" s="532">
        <v>0</v>
      </c>
      <c r="H127" s="510">
        <f t="shared" si="109"/>
        <v>0</v>
      </c>
      <c r="I127" s="510">
        <f t="shared" si="110"/>
        <v>0</v>
      </c>
      <c r="J127" s="510">
        <f t="shared" si="111"/>
        <v>0</v>
      </c>
      <c r="W127" s="500">
        <f t="shared" si="112"/>
        <v>0</v>
      </c>
      <c r="Y127" s="500">
        <f t="shared" si="113"/>
        <v>0</v>
      </c>
      <c r="Z127" s="500">
        <f t="shared" si="114"/>
        <v>0</v>
      </c>
      <c r="AA127" s="500">
        <f t="shared" si="115"/>
        <v>0</v>
      </c>
      <c r="AB127" s="500">
        <f t="shared" si="116"/>
        <v>0</v>
      </c>
      <c r="AC127" s="500">
        <f t="shared" si="117"/>
        <v>0</v>
      </c>
      <c r="AD127" s="500">
        <f t="shared" si="118"/>
        <v>0</v>
      </c>
      <c r="AE127" s="500">
        <f t="shared" si="119"/>
        <v>0</v>
      </c>
      <c r="AF127" s="501"/>
      <c r="AG127" s="510">
        <f t="shared" si="120"/>
        <v>0</v>
      </c>
      <c r="AH127" s="510">
        <f t="shared" si="121"/>
        <v>0</v>
      </c>
      <c r="AI127" s="510">
        <f t="shared" si="122"/>
        <v>0</v>
      </c>
      <c r="AK127" s="500">
        <v>21</v>
      </c>
      <c r="AL127" s="500">
        <f>G127*1</f>
        <v>0</v>
      </c>
      <c r="AM127" s="500">
        <f>G127*(1-1)</f>
        <v>0</v>
      </c>
      <c r="AN127" s="511" t="s">
        <v>225</v>
      </c>
      <c r="AS127" s="500">
        <f t="shared" si="123"/>
        <v>0</v>
      </c>
      <c r="AT127" s="500">
        <f t="shared" si="124"/>
        <v>0</v>
      </c>
      <c r="AU127" s="500">
        <f t="shared" si="125"/>
        <v>0</v>
      </c>
      <c r="AV127" s="502" t="s">
        <v>2416</v>
      </c>
      <c r="AW127" s="502" t="s">
        <v>1755</v>
      </c>
      <c r="AX127" s="501" t="s">
        <v>1749</v>
      </c>
      <c r="AZ127" s="500">
        <f t="shared" si="126"/>
        <v>0</v>
      </c>
      <c r="BA127" s="500">
        <f t="shared" si="127"/>
        <v>0</v>
      </c>
      <c r="BB127" s="500">
        <v>0</v>
      </c>
      <c r="BC127" s="500" t="e">
        <f>#REF!</f>
        <v>#REF!</v>
      </c>
      <c r="BE127" s="510">
        <f t="shared" si="128"/>
        <v>0</v>
      </c>
      <c r="BF127" s="510">
        <f t="shared" si="129"/>
        <v>0</v>
      </c>
      <c r="BG127" s="510">
        <f t="shared" si="130"/>
        <v>0</v>
      </c>
    </row>
    <row r="128" spans="1:59" ht="12">
      <c r="A128" s="506" t="s">
        <v>674</v>
      </c>
      <c r="B128" s="506"/>
      <c r="C128" s="506" t="s">
        <v>2360</v>
      </c>
      <c r="D128" s="506" t="s">
        <v>2359</v>
      </c>
      <c r="E128" s="506" t="s">
        <v>258</v>
      </c>
      <c r="F128" s="499">
        <v>2</v>
      </c>
      <c r="G128" s="530">
        <v>0</v>
      </c>
      <c r="H128" s="499">
        <f t="shared" si="109"/>
        <v>0</v>
      </c>
      <c r="I128" s="499">
        <f t="shared" si="110"/>
        <v>0</v>
      </c>
      <c r="J128" s="499">
        <f t="shared" si="111"/>
        <v>0</v>
      </c>
      <c r="W128" s="500">
        <f t="shared" si="112"/>
        <v>0</v>
      </c>
      <c r="Y128" s="500">
        <f t="shared" si="113"/>
        <v>0</v>
      </c>
      <c r="Z128" s="500">
        <f t="shared" si="114"/>
        <v>0</v>
      </c>
      <c r="AA128" s="500">
        <f t="shared" si="115"/>
        <v>0</v>
      </c>
      <c r="AB128" s="500">
        <f t="shared" si="116"/>
        <v>0</v>
      </c>
      <c r="AC128" s="500">
        <f t="shared" si="117"/>
        <v>0</v>
      </c>
      <c r="AD128" s="500">
        <f t="shared" si="118"/>
        <v>0</v>
      </c>
      <c r="AE128" s="500">
        <f t="shared" si="119"/>
        <v>0</v>
      </c>
      <c r="AF128" s="501"/>
      <c r="AG128" s="499">
        <f t="shared" si="120"/>
        <v>0</v>
      </c>
      <c r="AH128" s="499">
        <f t="shared" si="121"/>
        <v>0</v>
      </c>
      <c r="AI128" s="499">
        <f t="shared" si="122"/>
        <v>0</v>
      </c>
      <c r="AK128" s="500">
        <v>21</v>
      </c>
      <c r="AL128" s="500">
        <f>G128*0</f>
        <v>0</v>
      </c>
      <c r="AM128" s="500">
        <f>G128*(1-0)</f>
        <v>0</v>
      </c>
      <c r="AN128" s="503" t="s">
        <v>225</v>
      </c>
      <c r="AS128" s="500">
        <f t="shared" si="123"/>
        <v>0</v>
      </c>
      <c r="AT128" s="500">
        <f t="shared" si="124"/>
        <v>0</v>
      </c>
      <c r="AU128" s="500">
        <f t="shared" si="125"/>
        <v>0</v>
      </c>
      <c r="AV128" s="502" t="s">
        <v>2416</v>
      </c>
      <c r="AW128" s="502" t="s">
        <v>1755</v>
      </c>
      <c r="AX128" s="501" t="s">
        <v>1749</v>
      </c>
      <c r="AZ128" s="500">
        <f t="shared" si="126"/>
        <v>0</v>
      </c>
      <c r="BA128" s="500">
        <f t="shared" si="127"/>
        <v>0</v>
      </c>
      <c r="BB128" s="500">
        <v>0</v>
      </c>
      <c r="BC128" s="500" t="e">
        <f>#REF!</f>
        <v>#REF!</v>
      </c>
      <c r="BE128" s="499">
        <f t="shared" si="128"/>
        <v>0</v>
      </c>
      <c r="BF128" s="499">
        <f t="shared" si="129"/>
        <v>0</v>
      </c>
      <c r="BG128" s="499">
        <f t="shared" si="130"/>
        <v>0</v>
      </c>
    </row>
    <row r="129" spans="1:59" ht="12">
      <c r="A129" s="506" t="s">
        <v>679</v>
      </c>
      <c r="B129" s="506"/>
      <c r="C129" s="506" t="s">
        <v>2358</v>
      </c>
      <c r="D129" s="506" t="s">
        <v>2357</v>
      </c>
      <c r="E129" s="506" t="s">
        <v>258</v>
      </c>
      <c r="F129" s="499">
        <v>2</v>
      </c>
      <c r="G129" s="530">
        <v>0</v>
      </c>
      <c r="H129" s="499">
        <f t="shared" si="109"/>
        <v>0</v>
      </c>
      <c r="I129" s="499">
        <f t="shared" si="110"/>
        <v>0</v>
      </c>
      <c r="J129" s="499">
        <f t="shared" si="111"/>
        <v>0</v>
      </c>
      <c r="W129" s="500">
        <f t="shared" si="112"/>
        <v>0</v>
      </c>
      <c r="Y129" s="500">
        <f t="shared" si="113"/>
        <v>0</v>
      </c>
      <c r="Z129" s="500">
        <f t="shared" si="114"/>
        <v>0</v>
      </c>
      <c r="AA129" s="500">
        <f t="shared" si="115"/>
        <v>0</v>
      </c>
      <c r="AB129" s="500">
        <f t="shared" si="116"/>
        <v>0</v>
      </c>
      <c r="AC129" s="500">
        <f t="shared" si="117"/>
        <v>0</v>
      </c>
      <c r="AD129" s="500">
        <f t="shared" si="118"/>
        <v>0</v>
      </c>
      <c r="AE129" s="500">
        <f t="shared" si="119"/>
        <v>0</v>
      </c>
      <c r="AF129" s="501"/>
      <c r="AG129" s="499">
        <f t="shared" si="120"/>
        <v>0</v>
      </c>
      <c r="AH129" s="499">
        <f t="shared" si="121"/>
        <v>0</v>
      </c>
      <c r="AI129" s="499">
        <f t="shared" si="122"/>
        <v>0</v>
      </c>
      <c r="AK129" s="500">
        <v>21</v>
      </c>
      <c r="AL129" s="500">
        <f>G129*1</f>
        <v>0</v>
      </c>
      <c r="AM129" s="500">
        <f>G129*(1-1)</f>
        <v>0</v>
      </c>
      <c r="AN129" s="503" t="s">
        <v>225</v>
      </c>
      <c r="AS129" s="500">
        <f t="shared" si="123"/>
        <v>0</v>
      </c>
      <c r="AT129" s="500">
        <f t="shared" si="124"/>
        <v>0</v>
      </c>
      <c r="AU129" s="500">
        <f t="shared" si="125"/>
        <v>0</v>
      </c>
      <c r="AV129" s="502" t="s">
        <v>2416</v>
      </c>
      <c r="AW129" s="502" t="s">
        <v>1755</v>
      </c>
      <c r="AX129" s="501" t="s">
        <v>1749</v>
      </c>
      <c r="AZ129" s="500">
        <f t="shared" si="126"/>
        <v>0</v>
      </c>
      <c r="BA129" s="500">
        <f t="shared" si="127"/>
        <v>0</v>
      </c>
      <c r="BB129" s="500">
        <v>0</v>
      </c>
      <c r="BC129" s="500" t="e">
        <f>#REF!</f>
        <v>#REF!</v>
      </c>
      <c r="BE129" s="499">
        <f t="shared" si="128"/>
        <v>0</v>
      </c>
      <c r="BF129" s="499">
        <f t="shared" si="129"/>
        <v>0</v>
      </c>
      <c r="BG129" s="499">
        <f t="shared" si="130"/>
        <v>0</v>
      </c>
    </row>
    <row r="130" spans="1:59" ht="12">
      <c r="A130" s="506" t="s">
        <v>683</v>
      </c>
      <c r="B130" s="506"/>
      <c r="C130" s="506" t="s">
        <v>2420</v>
      </c>
      <c r="D130" s="506" t="s">
        <v>2419</v>
      </c>
      <c r="E130" s="506" t="s">
        <v>310</v>
      </c>
      <c r="F130" s="499">
        <v>12</v>
      </c>
      <c r="G130" s="530">
        <v>0</v>
      </c>
      <c r="H130" s="499">
        <f t="shared" si="109"/>
        <v>0</v>
      </c>
      <c r="I130" s="499">
        <f t="shared" si="110"/>
        <v>0</v>
      </c>
      <c r="J130" s="499">
        <f t="shared" si="111"/>
        <v>0</v>
      </c>
      <c r="W130" s="500">
        <f t="shared" si="112"/>
        <v>0</v>
      </c>
      <c r="Y130" s="500">
        <f t="shared" si="113"/>
        <v>0</v>
      </c>
      <c r="Z130" s="500">
        <f t="shared" si="114"/>
        <v>0</v>
      </c>
      <c r="AA130" s="500">
        <f t="shared" si="115"/>
        <v>0</v>
      </c>
      <c r="AB130" s="500">
        <f t="shared" si="116"/>
        <v>0</v>
      </c>
      <c r="AC130" s="500">
        <f t="shared" si="117"/>
        <v>0</v>
      </c>
      <c r="AD130" s="500">
        <f t="shared" si="118"/>
        <v>0</v>
      </c>
      <c r="AE130" s="500">
        <f t="shared" si="119"/>
        <v>0</v>
      </c>
      <c r="AF130" s="501"/>
      <c r="AG130" s="499">
        <f t="shared" si="120"/>
        <v>0</v>
      </c>
      <c r="AH130" s="499">
        <f t="shared" si="121"/>
        <v>0</v>
      </c>
      <c r="AI130" s="499">
        <f t="shared" si="122"/>
        <v>0</v>
      </c>
      <c r="AK130" s="500">
        <v>21</v>
      </c>
      <c r="AL130" s="500">
        <f>G130*0</f>
        <v>0</v>
      </c>
      <c r="AM130" s="500">
        <f>G130*(1-0)</f>
        <v>0</v>
      </c>
      <c r="AN130" s="503" t="s">
        <v>225</v>
      </c>
      <c r="AS130" s="500">
        <f t="shared" si="123"/>
        <v>0</v>
      </c>
      <c r="AT130" s="500">
        <f t="shared" si="124"/>
        <v>0</v>
      </c>
      <c r="AU130" s="500">
        <f t="shared" si="125"/>
        <v>0</v>
      </c>
      <c r="AV130" s="502" t="s">
        <v>2416</v>
      </c>
      <c r="AW130" s="502" t="s">
        <v>1755</v>
      </c>
      <c r="AX130" s="501" t="s">
        <v>1749</v>
      </c>
      <c r="AZ130" s="500">
        <f t="shared" si="126"/>
        <v>0</v>
      </c>
      <c r="BA130" s="500">
        <f t="shared" si="127"/>
        <v>0</v>
      </c>
      <c r="BB130" s="500">
        <v>0</v>
      </c>
      <c r="BC130" s="500" t="e">
        <f>#REF!</f>
        <v>#REF!</v>
      </c>
      <c r="BE130" s="499">
        <f t="shared" si="128"/>
        <v>0</v>
      </c>
      <c r="BF130" s="499">
        <f t="shared" si="129"/>
        <v>0</v>
      </c>
      <c r="BG130" s="499">
        <f t="shared" si="130"/>
        <v>0</v>
      </c>
    </row>
    <row r="131" spans="1:59" ht="12">
      <c r="A131" s="512" t="s">
        <v>689</v>
      </c>
      <c r="B131" s="512"/>
      <c r="C131" s="512" t="s">
        <v>2418</v>
      </c>
      <c r="D131" s="512" t="s">
        <v>2417</v>
      </c>
      <c r="E131" s="512" t="s">
        <v>2384</v>
      </c>
      <c r="F131" s="510">
        <v>12</v>
      </c>
      <c r="G131" s="532">
        <v>0</v>
      </c>
      <c r="H131" s="510">
        <f t="shared" si="109"/>
        <v>0</v>
      </c>
      <c r="I131" s="510">
        <f t="shared" si="110"/>
        <v>0</v>
      </c>
      <c r="J131" s="510">
        <f t="shared" si="111"/>
        <v>0</v>
      </c>
      <c r="W131" s="500">
        <f t="shared" si="112"/>
        <v>0</v>
      </c>
      <c r="Y131" s="500">
        <f t="shared" si="113"/>
        <v>0</v>
      </c>
      <c r="Z131" s="500">
        <f t="shared" si="114"/>
        <v>0</v>
      </c>
      <c r="AA131" s="500">
        <f t="shared" si="115"/>
        <v>0</v>
      </c>
      <c r="AB131" s="500">
        <f t="shared" si="116"/>
        <v>0</v>
      </c>
      <c r="AC131" s="500">
        <f t="shared" si="117"/>
        <v>0</v>
      </c>
      <c r="AD131" s="500">
        <f t="shared" si="118"/>
        <v>0</v>
      </c>
      <c r="AE131" s="500">
        <f t="shared" si="119"/>
        <v>0</v>
      </c>
      <c r="AF131" s="501"/>
      <c r="AG131" s="510">
        <f t="shared" si="120"/>
        <v>0</v>
      </c>
      <c r="AH131" s="510">
        <f t="shared" si="121"/>
        <v>0</v>
      </c>
      <c r="AI131" s="510">
        <f t="shared" si="122"/>
        <v>0</v>
      </c>
      <c r="AK131" s="500">
        <v>21</v>
      </c>
      <c r="AL131" s="500">
        <f>G131*1</f>
        <v>0</v>
      </c>
      <c r="AM131" s="500">
        <f>G131*(1-1)</f>
        <v>0</v>
      </c>
      <c r="AN131" s="511" t="s">
        <v>225</v>
      </c>
      <c r="AS131" s="500">
        <f t="shared" si="123"/>
        <v>0</v>
      </c>
      <c r="AT131" s="500">
        <f t="shared" si="124"/>
        <v>0</v>
      </c>
      <c r="AU131" s="500">
        <f t="shared" si="125"/>
        <v>0</v>
      </c>
      <c r="AV131" s="502" t="s">
        <v>2416</v>
      </c>
      <c r="AW131" s="502" t="s">
        <v>1755</v>
      </c>
      <c r="AX131" s="501" t="s">
        <v>1749</v>
      </c>
      <c r="AZ131" s="500">
        <f t="shared" si="126"/>
        <v>0</v>
      </c>
      <c r="BA131" s="500">
        <f t="shared" si="127"/>
        <v>0</v>
      </c>
      <c r="BB131" s="500">
        <v>0</v>
      </c>
      <c r="BC131" s="500" t="e">
        <f>#REF!</f>
        <v>#REF!</v>
      </c>
      <c r="BE131" s="510">
        <f t="shared" si="128"/>
        <v>0</v>
      </c>
      <c r="BF131" s="510">
        <f t="shared" si="129"/>
        <v>0</v>
      </c>
      <c r="BG131" s="510">
        <f t="shared" si="130"/>
        <v>0</v>
      </c>
    </row>
    <row r="132" spans="1:44" ht="12">
      <c r="A132" s="508"/>
      <c r="B132" s="509"/>
      <c r="C132" s="509" t="s">
        <v>2415</v>
      </c>
      <c r="D132" s="509" t="s">
        <v>2414</v>
      </c>
      <c r="E132" s="508" t="s">
        <v>146</v>
      </c>
      <c r="F132" s="508" t="s">
        <v>146</v>
      </c>
      <c r="G132" s="533"/>
      <c r="H132" s="507">
        <f>SUM(H133:H152)</f>
        <v>0</v>
      </c>
      <c r="I132" s="507">
        <f>SUM(I133:I152)</f>
        <v>0</v>
      </c>
      <c r="J132" s="507">
        <f>SUM(J133:J152)</f>
        <v>0</v>
      </c>
      <c r="AF132" s="501"/>
      <c r="AP132" s="507">
        <f>SUM(AG133:AG152)</f>
        <v>0</v>
      </c>
      <c r="AQ132" s="507">
        <f>SUM(AH133:AH152)</f>
        <v>0</v>
      </c>
      <c r="AR132" s="507">
        <f>SUM(AI133:AI152)</f>
        <v>0</v>
      </c>
    </row>
    <row r="133" spans="1:59" ht="12">
      <c r="A133" s="506" t="s">
        <v>698</v>
      </c>
      <c r="B133" s="506"/>
      <c r="C133" s="506" t="s">
        <v>2413</v>
      </c>
      <c r="D133" s="506" t="s">
        <v>2412</v>
      </c>
      <c r="E133" s="506" t="s">
        <v>258</v>
      </c>
      <c r="F133" s="499">
        <v>1</v>
      </c>
      <c r="G133" s="530">
        <v>0</v>
      </c>
      <c r="H133" s="499">
        <f>F133*AL133</f>
        <v>0</v>
      </c>
      <c r="I133" s="499">
        <f>F133*AM133</f>
        <v>0</v>
      </c>
      <c r="J133" s="499">
        <f>F133*G133</f>
        <v>0</v>
      </c>
      <c r="W133" s="500">
        <f>IF(AN133="5",BG133,0)</f>
        <v>0</v>
      </c>
      <c r="Y133" s="500">
        <f>IF(AN133="1",BE133,0)</f>
        <v>0</v>
      </c>
      <c r="Z133" s="500">
        <f>IF(AN133="1",BF133,0)</f>
        <v>0</v>
      </c>
      <c r="AA133" s="500">
        <f>IF(AN133="7",BE133,0)</f>
        <v>0</v>
      </c>
      <c r="AB133" s="500">
        <f>IF(AN133="7",BF133,0)</f>
        <v>0</v>
      </c>
      <c r="AC133" s="500">
        <f>IF(AN133="2",BE133,0)</f>
        <v>0</v>
      </c>
      <c r="AD133" s="500">
        <f>IF(AN133="2",BF133,0)</f>
        <v>0</v>
      </c>
      <c r="AE133" s="500">
        <f>IF(AN133="0",BG133,0)</f>
        <v>0</v>
      </c>
      <c r="AF133" s="501"/>
      <c r="AG133" s="499">
        <f>IF(AK133=0,J133,0)</f>
        <v>0</v>
      </c>
      <c r="AH133" s="499">
        <f>IF(AK133=15,J133,0)</f>
        <v>0</v>
      </c>
      <c r="AI133" s="499">
        <f>IF(AK133=21,J133,0)</f>
        <v>0</v>
      </c>
      <c r="AK133" s="500">
        <v>21</v>
      </c>
      <c r="AL133" s="500">
        <f>G133*0.945155884059217</f>
        <v>0</v>
      </c>
      <c r="AM133" s="500">
        <f>G133*(1-0.945155884059217)</f>
        <v>0</v>
      </c>
      <c r="AN133" s="503" t="s">
        <v>225</v>
      </c>
      <c r="AS133" s="500">
        <f>AT133+AU133</f>
        <v>0</v>
      </c>
      <c r="AT133" s="500">
        <f>F133*AL133</f>
        <v>0</v>
      </c>
      <c r="AU133" s="500">
        <f>F133*AM133</f>
        <v>0</v>
      </c>
      <c r="AV133" s="502" t="s">
        <v>2375</v>
      </c>
      <c r="AW133" s="502" t="s">
        <v>1755</v>
      </c>
      <c r="AX133" s="501" t="s">
        <v>1749</v>
      </c>
      <c r="AZ133" s="500">
        <f>AT133+AU133</f>
        <v>0</v>
      </c>
      <c r="BA133" s="500">
        <f>G133/(100-BB133)*100</f>
        <v>0</v>
      </c>
      <c r="BB133" s="500">
        <v>0</v>
      </c>
      <c r="BC133" s="500" t="e">
        <f>#REF!</f>
        <v>#REF!</v>
      </c>
      <c r="BE133" s="499">
        <f>F133*AL133</f>
        <v>0</v>
      </c>
      <c r="BF133" s="499">
        <f>F133*AM133</f>
        <v>0</v>
      </c>
      <c r="BG133" s="499">
        <f>F133*G133</f>
        <v>0</v>
      </c>
    </row>
    <row r="134" spans="4:7" ht="12">
      <c r="D134" s="513" t="s">
        <v>2411</v>
      </c>
      <c r="G134" s="531">
        <v>0</v>
      </c>
    </row>
    <row r="135" spans="1:59" ht="12">
      <c r="A135" s="506" t="s">
        <v>702</v>
      </c>
      <c r="B135" s="506"/>
      <c r="C135" s="506" t="s">
        <v>2410</v>
      </c>
      <c r="D135" s="506" t="s">
        <v>2409</v>
      </c>
      <c r="E135" s="506" t="s">
        <v>1437</v>
      </c>
      <c r="F135" s="499">
        <v>1</v>
      </c>
      <c r="G135" s="530">
        <v>0</v>
      </c>
      <c r="H135" s="499">
        <f aca="true" t="shared" si="131" ref="H135:H150">F135*AL135</f>
        <v>0</v>
      </c>
      <c r="I135" s="499">
        <f aca="true" t="shared" si="132" ref="I135:I150">F135*AM135</f>
        <v>0</v>
      </c>
      <c r="J135" s="499">
        <f aca="true" t="shared" si="133" ref="J135:J150">F135*G135</f>
        <v>0</v>
      </c>
      <c r="W135" s="500">
        <f aca="true" t="shared" si="134" ref="W135:W150">IF(AN135="5",BG135,0)</f>
        <v>0</v>
      </c>
      <c r="Y135" s="500">
        <f aca="true" t="shared" si="135" ref="Y135:Y150">IF(AN135="1",BE135,0)</f>
        <v>0</v>
      </c>
      <c r="Z135" s="500">
        <f aca="true" t="shared" si="136" ref="Z135:Z150">IF(AN135="1",BF135,0)</f>
        <v>0</v>
      </c>
      <c r="AA135" s="500">
        <f aca="true" t="shared" si="137" ref="AA135:AA150">IF(AN135="7",BE135,0)</f>
        <v>0</v>
      </c>
      <c r="AB135" s="500">
        <f aca="true" t="shared" si="138" ref="AB135:AB150">IF(AN135="7",BF135,0)</f>
        <v>0</v>
      </c>
      <c r="AC135" s="500">
        <f aca="true" t="shared" si="139" ref="AC135:AC150">IF(AN135="2",BE135,0)</f>
        <v>0</v>
      </c>
      <c r="AD135" s="500">
        <f aca="true" t="shared" si="140" ref="AD135:AD150">IF(AN135="2",BF135,0)</f>
        <v>0</v>
      </c>
      <c r="AE135" s="500">
        <f aca="true" t="shared" si="141" ref="AE135:AE150">IF(AN135="0",BG135,0)</f>
        <v>0</v>
      </c>
      <c r="AF135" s="501"/>
      <c r="AG135" s="499">
        <f aca="true" t="shared" si="142" ref="AG135:AG150">IF(AK135=0,J135,0)</f>
        <v>0</v>
      </c>
      <c r="AH135" s="499">
        <f aca="true" t="shared" si="143" ref="AH135:AH150">IF(AK135=15,J135,0)</f>
        <v>0</v>
      </c>
      <c r="AI135" s="499">
        <f aca="true" t="shared" si="144" ref="AI135:AI150">IF(AK135=21,J135,0)</f>
        <v>0</v>
      </c>
      <c r="AK135" s="500">
        <v>21</v>
      </c>
      <c r="AL135" s="500">
        <f>G135*0.781942765014107</f>
        <v>0</v>
      </c>
      <c r="AM135" s="500">
        <f>G135*(1-0.781942765014107)</f>
        <v>0</v>
      </c>
      <c r="AN135" s="503" t="s">
        <v>225</v>
      </c>
      <c r="AS135" s="500">
        <f aca="true" t="shared" si="145" ref="AS135:AS150">AT135+AU135</f>
        <v>0</v>
      </c>
      <c r="AT135" s="500">
        <f aca="true" t="shared" si="146" ref="AT135:AT150">F135*AL135</f>
        <v>0</v>
      </c>
      <c r="AU135" s="500">
        <f aca="true" t="shared" si="147" ref="AU135:AU150">F135*AM135</f>
        <v>0</v>
      </c>
      <c r="AV135" s="502" t="s">
        <v>2375</v>
      </c>
      <c r="AW135" s="502" t="s">
        <v>1755</v>
      </c>
      <c r="AX135" s="501" t="s">
        <v>1749</v>
      </c>
      <c r="AZ135" s="500">
        <f aca="true" t="shared" si="148" ref="AZ135:AZ150">AT135+AU135</f>
        <v>0</v>
      </c>
      <c r="BA135" s="500">
        <f aca="true" t="shared" si="149" ref="BA135:BA150">G135/(100-BB135)*100</f>
        <v>0</v>
      </c>
      <c r="BB135" s="500">
        <v>0</v>
      </c>
      <c r="BC135" s="500" t="e">
        <f>#REF!</f>
        <v>#REF!</v>
      </c>
      <c r="BE135" s="499">
        <f aca="true" t="shared" si="150" ref="BE135:BE150">F135*AL135</f>
        <v>0</v>
      </c>
      <c r="BF135" s="499">
        <f aca="true" t="shared" si="151" ref="BF135:BF150">F135*AM135</f>
        <v>0</v>
      </c>
      <c r="BG135" s="499">
        <f aca="true" t="shared" si="152" ref="BG135:BG150">F135*G135</f>
        <v>0</v>
      </c>
    </row>
    <row r="136" spans="1:59" ht="12">
      <c r="A136" s="506" t="s">
        <v>707</v>
      </c>
      <c r="B136" s="506"/>
      <c r="C136" s="506" t="s">
        <v>2408</v>
      </c>
      <c r="D136" s="506" t="s">
        <v>2407</v>
      </c>
      <c r="E136" s="506" t="s">
        <v>258</v>
      </c>
      <c r="F136" s="499">
        <v>1</v>
      </c>
      <c r="G136" s="530">
        <v>0</v>
      </c>
      <c r="H136" s="499">
        <f t="shared" si="131"/>
        <v>0</v>
      </c>
      <c r="I136" s="499">
        <f t="shared" si="132"/>
        <v>0</v>
      </c>
      <c r="J136" s="499">
        <f t="shared" si="133"/>
        <v>0</v>
      </c>
      <c r="W136" s="500">
        <f t="shared" si="134"/>
        <v>0</v>
      </c>
      <c r="Y136" s="500">
        <f t="shared" si="135"/>
        <v>0</v>
      </c>
      <c r="Z136" s="500">
        <f t="shared" si="136"/>
        <v>0</v>
      </c>
      <c r="AA136" s="500">
        <f t="shared" si="137"/>
        <v>0</v>
      </c>
      <c r="AB136" s="500">
        <f t="shared" si="138"/>
        <v>0</v>
      </c>
      <c r="AC136" s="500">
        <f t="shared" si="139"/>
        <v>0</v>
      </c>
      <c r="AD136" s="500">
        <f t="shared" si="140"/>
        <v>0</v>
      </c>
      <c r="AE136" s="500">
        <f t="shared" si="141"/>
        <v>0</v>
      </c>
      <c r="AF136" s="501"/>
      <c r="AG136" s="499">
        <f t="shared" si="142"/>
        <v>0</v>
      </c>
      <c r="AH136" s="499">
        <f t="shared" si="143"/>
        <v>0</v>
      </c>
      <c r="AI136" s="499">
        <f t="shared" si="144"/>
        <v>0</v>
      </c>
      <c r="AK136" s="500">
        <v>21</v>
      </c>
      <c r="AL136" s="500">
        <f>G136*0.880485706090448</f>
        <v>0</v>
      </c>
      <c r="AM136" s="500">
        <f>G136*(1-0.880485706090448)</f>
        <v>0</v>
      </c>
      <c r="AN136" s="503" t="s">
        <v>225</v>
      </c>
      <c r="AS136" s="500">
        <f t="shared" si="145"/>
        <v>0</v>
      </c>
      <c r="AT136" s="500">
        <f t="shared" si="146"/>
        <v>0</v>
      </c>
      <c r="AU136" s="500">
        <f t="shared" si="147"/>
        <v>0</v>
      </c>
      <c r="AV136" s="502" t="s">
        <v>2375</v>
      </c>
      <c r="AW136" s="502" t="s">
        <v>1755</v>
      </c>
      <c r="AX136" s="501" t="s">
        <v>1749</v>
      </c>
      <c r="AZ136" s="500">
        <f t="shared" si="148"/>
        <v>0</v>
      </c>
      <c r="BA136" s="500">
        <f t="shared" si="149"/>
        <v>0</v>
      </c>
      <c r="BB136" s="500">
        <v>0</v>
      </c>
      <c r="BC136" s="500" t="e">
        <f>#REF!</f>
        <v>#REF!</v>
      </c>
      <c r="BE136" s="499">
        <f t="shared" si="150"/>
        <v>0</v>
      </c>
      <c r="BF136" s="499">
        <f t="shared" si="151"/>
        <v>0</v>
      </c>
      <c r="BG136" s="499">
        <f t="shared" si="152"/>
        <v>0</v>
      </c>
    </row>
    <row r="137" spans="1:59" ht="12">
      <c r="A137" s="506" t="s">
        <v>711</v>
      </c>
      <c r="B137" s="506"/>
      <c r="C137" s="506" t="s">
        <v>2406</v>
      </c>
      <c r="D137" s="506" t="s">
        <v>2405</v>
      </c>
      <c r="E137" s="506" t="s">
        <v>258</v>
      </c>
      <c r="F137" s="499">
        <v>2</v>
      </c>
      <c r="G137" s="530">
        <v>0</v>
      </c>
      <c r="H137" s="499">
        <f t="shared" si="131"/>
        <v>0</v>
      </c>
      <c r="I137" s="499">
        <f t="shared" si="132"/>
        <v>0</v>
      </c>
      <c r="J137" s="499">
        <f t="shared" si="133"/>
        <v>0</v>
      </c>
      <c r="W137" s="500">
        <f t="shared" si="134"/>
        <v>0</v>
      </c>
      <c r="Y137" s="500">
        <f t="shared" si="135"/>
        <v>0</v>
      </c>
      <c r="Z137" s="500">
        <f t="shared" si="136"/>
        <v>0</v>
      </c>
      <c r="AA137" s="500">
        <f t="shared" si="137"/>
        <v>0</v>
      </c>
      <c r="AB137" s="500">
        <f t="shared" si="138"/>
        <v>0</v>
      </c>
      <c r="AC137" s="500">
        <f t="shared" si="139"/>
        <v>0</v>
      </c>
      <c r="AD137" s="500">
        <f t="shared" si="140"/>
        <v>0</v>
      </c>
      <c r="AE137" s="500">
        <f t="shared" si="141"/>
        <v>0</v>
      </c>
      <c r="AF137" s="501"/>
      <c r="AG137" s="499">
        <f t="shared" si="142"/>
        <v>0</v>
      </c>
      <c r="AH137" s="499">
        <f t="shared" si="143"/>
        <v>0</v>
      </c>
      <c r="AI137" s="499">
        <f t="shared" si="144"/>
        <v>0</v>
      </c>
      <c r="AK137" s="500">
        <v>21</v>
      </c>
      <c r="AL137" s="500">
        <f>G137*0.882667667902567</f>
        <v>0</v>
      </c>
      <c r="AM137" s="500">
        <f>G137*(1-0.882667667902567)</f>
        <v>0</v>
      </c>
      <c r="AN137" s="503" t="s">
        <v>225</v>
      </c>
      <c r="AS137" s="500">
        <f t="shared" si="145"/>
        <v>0</v>
      </c>
      <c r="AT137" s="500">
        <f t="shared" si="146"/>
        <v>0</v>
      </c>
      <c r="AU137" s="500">
        <f t="shared" si="147"/>
        <v>0</v>
      </c>
      <c r="AV137" s="502" t="s">
        <v>2375</v>
      </c>
      <c r="AW137" s="502" t="s">
        <v>1755</v>
      </c>
      <c r="AX137" s="501" t="s">
        <v>1749</v>
      </c>
      <c r="AZ137" s="500">
        <f t="shared" si="148"/>
        <v>0</v>
      </c>
      <c r="BA137" s="500">
        <f t="shared" si="149"/>
        <v>0</v>
      </c>
      <c r="BB137" s="500">
        <v>0</v>
      </c>
      <c r="BC137" s="500" t="e">
        <f>#REF!</f>
        <v>#REF!</v>
      </c>
      <c r="BE137" s="499">
        <f t="shared" si="150"/>
        <v>0</v>
      </c>
      <c r="BF137" s="499">
        <f t="shared" si="151"/>
        <v>0</v>
      </c>
      <c r="BG137" s="499">
        <f t="shared" si="152"/>
        <v>0</v>
      </c>
    </row>
    <row r="138" spans="1:59" ht="12">
      <c r="A138" s="506" t="s">
        <v>715</v>
      </c>
      <c r="B138" s="506"/>
      <c r="C138" s="506" t="s">
        <v>2404</v>
      </c>
      <c r="D138" s="506" t="s">
        <v>2403</v>
      </c>
      <c r="E138" s="506" t="s">
        <v>258</v>
      </c>
      <c r="F138" s="499">
        <v>2</v>
      </c>
      <c r="G138" s="530">
        <v>0</v>
      </c>
      <c r="H138" s="499">
        <f t="shared" si="131"/>
        <v>0</v>
      </c>
      <c r="I138" s="499">
        <f t="shared" si="132"/>
        <v>0</v>
      </c>
      <c r="J138" s="499">
        <f t="shared" si="133"/>
        <v>0</v>
      </c>
      <c r="W138" s="500">
        <f t="shared" si="134"/>
        <v>0</v>
      </c>
      <c r="Y138" s="500">
        <f t="shared" si="135"/>
        <v>0</v>
      </c>
      <c r="Z138" s="500">
        <f t="shared" si="136"/>
        <v>0</v>
      </c>
      <c r="AA138" s="500">
        <f t="shared" si="137"/>
        <v>0</v>
      </c>
      <c r="AB138" s="500">
        <f t="shared" si="138"/>
        <v>0</v>
      </c>
      <c r="AC138" s="500">
        <f t="shared" si="139"/>
        <v>0</v>
      </c>
      <c r="AD138" s="500">
        <f t="shared" si="140"/>
        <v>0</v>
      </c>
      <c r="AE138" s="500">
        <f t="shared" si="141"/>
        <v>0</v>
      </c>
      <c r="AF138" s="501"/>
      <c r="AG138" s="499">
        <f t="shared" si="142"/>
        <v>0</v>
      </c>
      <c r="AH138" s="499">
        <f t="shared" si="143"/>
        <v>0</v>
      </c>
      <c r="AI138" s="499">
        <f t="shared" si="144"/>
        <v>0</v>
      </c>
      <c r="AK138" s="500">
        <v>21</v>
      </c>
      <c r="AL138" s="500">
        <f>G138*0.89504617968094</f>
        <v>0</v>
      </c>
      <c r="AM138" s="500">
        <f>G138*(1-0.89504617968094)</f>
        <v>0</v>
      </c>
      <c r="AN138" s="503" t="s">
        <v>225</v>
      </c>
      <c r="AS138" s="500">
        <f t="shared" si="145"/>
        <v>0</v>
      </c>
      <c r="AT138" s="500">
        <f t="shared" si="146"/>
        <v>0</v>
      </c>
      <c r="AU138" s="500">
        <f t="shared" si="147"/>
        <v>0</v>
      </c>
      <c r="AV138" s="502" t="s">
        <v>2375</v>
      </c>
      <c r="AW138" s="502" t="s">
        <v>1755</v>
      </c>
      <c r="AX138" s="501" t="s">
        <v>1749</v>
      </c>
      <c r="AZ138" s="500">
        <f t="shared" si="148"/>
        <v>0</v>
      </c>
      <c r="BA138" s="500">
        <f t="shared" si="149"/>
        <v>0</v>
      </c>
      <c r="BB138" s="500">
        <v>0</v>
      </c>
      <c r="BC138" s="500" t="e">
        <f>#REF!</f>
        <v>#REF!</v>
      </c>
      <c r="BE138" s="499">
        <f t="shared" si="150"/>
        <v>0</v>
      </c>
      <c r="BF138" s="499">
        <f t="shared" si="151"/>
        <v>0</v>
      </c>
      <c r="BG138" s="499">
        <f t="shared" si="152"/>
        <v>0</v>
      </c>
    </row>
    <row r="139" spans="1:59" ht="12">
      <c r="A139" s="506" t="s">
        <v>720</v>
      </c>
      <c r="B139" s="506"/>
      <c r="C139" s="506" t="s">
        <v>2402</v>
      </c>
      <c r="D139" s="506" t="s">
        <v>2401</v>
      </c>
      <c r="E139" s="506" t="s">
        <v>258</v>
      </c>
      <c r="F139" s="499">
        <v>1</v>
      </c>
      <c r="G139" s="530">
        <v>0</v>
      </c>
      <c r="H139" s="499">
        <f t="shared" si="131"/>
        <v>0</v>
      </c>
      <c r="I139" s="499">
        <f t="shared" si="132"/>
        <v>0</v>
      </c>
      <c r="J139" s="499">
        <f t="shared" si="133"/>
        <v>0</v>
      </c>
      <c r="W139" s="500">
        <f t="shared" si="134"/>
        <v>0</v>
      </c>
      <c r="Y139" s="500">
        <f t="shared" si="135"/>
        <v>0</v>
      </c>
      <c r="Z139" s="500">
        <f t="shared" si="136"/>
        <v>0</v>
      </c>
      <c r="AA139" s="500">
        <f t="shared" si="137"/>
        <v>0</v>
      </c>
      <c r="AB139" s="500">
        <f t="shared" si="138"/>
        <v>0</v>
      </c>
      <c r="AC139" s="500">
        <f t="shared" si="139"/>
        <v>0</v>
      </c>
      <c r="AD139" s="500">
        <f t="shared" si="140"/>
        <v>0</v>
      </c>
      <c r="AE139" s="500">
        <f t="shared" si="141"/>
        <v>0</v>
      </c>
      <c r="AF139" s="501"/>
      <c r="AG139" s="499">
        <f t="shared" si="142"/>
        <v>0</v>
      </c>
      <c r="AH139" s="499">
        <f t="shared" si="143"/>
        <v>0</v>
      </c>
      <c r="AI139" s="499">
        <f t="shared" si="144"/>
        <v>0</v>
      </c>
      <c r="AK139" s="500">
        <v>21</v>
      </c>
      <c r="AL139" s="500">
        <f>G139*0.941766254810614</f>
        <v>0</v>
      </c>
      <c r="AM139" s="500">
        <f>G139*(1-0.941766254810614)</f>
        <v>0</v>
      </c>
      <c r="AN139" s="503" t="s">
        <v>225</v>
      </c>
      <c r="AS139" s="500">
        <f t="shared" si="145"/>
        <v>0</v>
      </c>
      <c r="AT139" s="500">
        <f t="shared" si="146"/>
        <v>0</v>
      </c>
      <c r="AU139" s="500">
        <f t="shared" si="147"/>
        <v>0</v>
      </c>
      <c r="AV139" s="502" t="s">
        <v>2375</v>
      </c>
      <c r="AW139" s="502" t="s">
        <v>1755</v>
      </c>
      <c r="AX139" s="501" t="s">
        <v>1749</v>
      </c>
      <c r="AZ139" s="500">
        <f t="shared" si="148"/>
        <v>0</v>
      </c>
      <c r="BA139" s="500">
        <f t="shared" si="149"/>
        <v>0</v>
      </c>
      <c r="BB139" s="500">
        <v>0</v>
      </c>
      <c r="BC139" s="500" t="e">
        <f>#REF!</f>
        <v>#REF!</v>
      </c>
      <c r="BE139" s="499">
        <f t="shared" si="150"/>
        <v>0</v>
      </c>
      <c r="BF139" s="499">
        <f t="shared" si="151"/>
        <v>0</v>
      </c>
      <c r="BG139" s="499">
        <f t="shared" si="152"/>
        <v>0</v>
      </c>
    </row>
    <row r="140" spans="1:59" ht="12">
      <c r="A140" s="506" t="s">
        <v>726</v>
      </c>
      <c r="B140" s="506"/>
      <c r="C140" s="506" t="s">
        <v>2400</v>
      </c>
      <c r="D140" s="506" t="s">
        <v>2399</v>
      </c>
      <c r="E140" s="506" t="s">
        <v>258</v>
      </c>
      <c r="F140" s="499">
        <v>1</v>
      </c>
      <c r="G140" s="530">
        <v>0</v>
      </c>
      <c r="H140" s="499">
        <f t="shared" si="131"/>
        <v>0</v>
      </c>
      <c r="I140" s="499">
        <f t="shared" si="132"/>
        <v>0</v>
      </c>
      <c r="J140" s="499">
        <f t="shared" si="133"/>
        <v>0</v>
      </c>
      <c r="W140" s="500">
        <f t="shared" si="134"/>
        <v>0</v>
      </c>
      <c r="Y140" s="500">
        <f t="shared" si="135"/>
        <v>0</v>
      </c>
      <c r="Z140" s="500">
        <f t="shared" si="136"/>
        <v>0</v>
      </c>
      <c r="AA140" s="500">
        <f t="shared" si="137"/>
        <v>0</v>
      </c>
      <c r="AB140" s="500">
        <f t="shared" si="138"/>
        <v>0</v>
      </c>
      <c r="AC140" s="500">
        <f t="shared" si="139"/>
        <v>0</v>
      </c>
      <c r="AD140" s="500">
        <f t="shared" si="140"/>
        <v>0</v>
      </c>
      <c r="AE140" s="500">
        <f t="shared" si="141"/>
        <v>0</v>
      </c>
      <c r="AF140" s="501"/>
      <c r="AG140" s="499">
        <f t="shared" si="142"/>
        <v>0</v>
      </c>
      <c r="AH140" s="499">
        <f t="shared" si="143"/>
        <v>0</v>
      </c>
      <c r="AI140" s="499">
        <f t="shared" si="144"/>
        <v>0</v>
      </c>
      <c r="AK140" s="500">
        <v>21</v>
      </c>
      <c r="AL140" s="500">
        <f>G140*0.888477556686719</f>
        <v>0</v>
      </c>
      <c r="AM140" s="500">
        <f>G140*(1-0.888477556686719)</f>
        <v>0</v>
      </c>
      <c r="AN140" s="503" t="s">
        <v>225</v>
      </c>
      <c r="AS140" s="500">
        <f t="shared" si="145"/>
        <v>0</v>
      </c>
      <c r="AT140" s="500">
        <f t="shared" si="146"/>
        <v>0</v>
      </c>
      <c r="AU140" s="500">
        <f t="shared" si="147"/>
        <v>0</v>
      </c>
      <c r="AV140" s="502" t="s">
        <v>2375</v>
      </c>
      <c r="AW140" s="502" t="s">
        <v>1755</v>
      </c>
      <c r="AX140" s="501" t="s">
        <v>1749</v>
      </c>
      <c r="AZ140" s="500">
        <f t="shared" si="148"/>
        <v>0</v>
      </c>
      <c r="BA140" s="500">
        <f t="shared" si="149"/>
        <v>0</v>
      </c>
      <c r="BB140" s="500">
        <v>0</v>
      </c>
      <c r="BC140" s="500" t="e">
        <f>#REF!</f>
        <v>#REF!</v>
      </c>
      <c r="BE140" s="499">
        <f t="shared" si="150"/>
        <v>0</v>
      </c>
      <c r="BF140" s="499">
        <f t="shared" si="151"/>
        <v>0</v>
      </c>
      <c r="BG140" s="499">
        <f t="shared" si="152"/>
        <v>0</v>
      </c>
    </row>
    <row r="141" spans="1:59" ht="12">
      <c r="A141" s="506" t="s">
        <v>733</v>
      </c>
      <c r="B141" s="506"/>
      <c r="C141" s="506" t="s">
        <v>2398</v>
      </c>
      <c r="D141" s="506" t="s">
        <v>2397</v>
      </c>
      <c r="E141" s="506" t="s">
        <v>258</v>
      </c>
      <c r="F141" s="499">
        <v>5</v>
      </c>
      <c r="G141" s="530">
        <v>0</v>
      </c>
      <c r="H141" s="499">
        <f t="shared" si="131"/>
        <v>0</v>
      </c>
      <c r="I141" s="499">
        <f t="shared" si="132"/>
        <v>0</v>
      </c>
      <c r="J141" s="499">
        <f t="shared" si="133"/>
        <v>0</v>
      </c>
      <c r="W141" s="500">
        <f t="shared" si="134"/>
        <v>0</v>
      </c>
      <c r="Y141" s="500">
        <f t="shared" si="135"/>
        <v>0</v>
      </c>
      <c r="Z141" s="500">
        <f t="shared" si="136"/>
        <v>0</v>
      </c>
      <c r="AA141" s="500">
        <f t="shared" si="137"/>
        <v>0</v>
      </c>
      <c r="AB141" s="500">
        <f t="shared" si="138"/>
        <v>0</v>
      </c>
      <c r="AC141" s="500">
        <f t="shared" si="139"/>
        <v>0</v>
      </c>
      <c r="AD141" s="500">
        <f t="shared" si="140"/>
        <v>0</v>
      </c>
      <c r="AE141" s="500">
        <f t="shared" si="141"/>
        <v>0</v>
      </c>
      <c r="AF141" s="501"/>
      <c r="AG141" s="499">
        <f t="shared" si="142"/>
        <v>0</v>
      </c>
      <c r="AH141" s="499">
        <f t="shared" si="143"/>
        <v>0</v>
      </c>
      <c r="AI141" s="499">
        <f t="shared" si="144"/>
        <v>0</v>
      </c>
      <c r="AK141" s="500">
        <v>21</v>
      </c>
      <c r="AL141" s="500">
        <f>G141*0.860299720599441</f>
        <v>0</v>
      </c>
      <c r="AM141" s="500">
        <f>G141*(1-0.860299720599441)</f>
        <v>0</v>
      </c>
      <c r="AN141" s="503" t="s">
        <v>225</v>
      </c>
      <c r="AS141" s="500">
        <f t="shared" si="145"/>
        <v>0</v>
      </c>
      <c r="AT141" s="500">
        <f t="shared" si="146"/>
        <v>0</v>
      </c>
      <c r="AU141" s="500">
        <f t="shared" si="147"/>
        <v>0</v>
      </c>
      <c r="AV141" s="502" t="s">
        <v>2375</v>
      </c>
      <c r="AW141" s="502" t="s">
        <v>1755</v>
      </c>
      <c r="AX141" s="501" t="s">
        <v>1749</v>
      </c>
      <c r="AZ141" s="500">
        <f t="shared" si="148"/>
        <v>0</v>
      </c>
      <c r="BA141" s="500">
        <f t="shared" si="149"/>
        <v>0</v>
      </c>
      <c r="BB141" s="500">
        <v>0</v>
      </c>
      <c r="BC141" s="500" t="e">
        <f>#REF!</f>
        <v>#REF!</v>
      </c>
      <c r="BE141" s="499">
        <f t="shared" si="150"/>
        <v>0</v>
      </c>
      <c r="BF141" s="499">
        <f t="shared" si="151"/>
        <v>0</v>
      </c>
      <c r="BG141" s="499">
        <f t="shared" si="152"/>
        <v>0</v>
      </c>
    </row>
    <row r="142" spans="1:59" ht="12">
      <c r="A142" s="506" t="s">
        <v>737</v>
      </c>
      <c r="B142" s="506"/>
      <c r="C142" s="506" t="s">
        <v>2396</v>
      </c>
      <c r="D142" s="506" t="s">
        <v>2395</v>
      </c>
      <c r="E142" s="506" t="s">
        <v>258</v>
      </c>
      <c r="F142" s="499">
        <v>2</v>
      </c>
      <c r="G142" s="530">
        <v>0</v>
      </c>
      <c r="H142" s="499">
        <f t="shared" si="131"/>
        <v>0</v>
      </c>
      <c r="I142" s="499">
        <f t="shared" si="132"/>
        <v>0</v>
      </c>
      <c r="J142" s="499">
        <f t="shared" si="133"/>
        <v>0</v>
      </c>
      <c r="W142" s="500">
        <f t="shared" si="134"/>
        <v>0</v>
      </c>
      <c r="Y142" s="500">
        <f t="shared" si="135"/>
        <v>0</v>
      </c>
      <c r="Z142" s="500">
        <f t="shared" si="136"/>
        <v>0</v>
      </c>
      <c r="AA142" s="500">
        <f t="shared" si="137"/>
        <v>0</v>
      </c>
      <c r="AB142" s="500">
        <f t="shared" si="138"/>
        <v>0</v>
      </c>
      <c r="AC142" s="500">
        <f t="shared" si="139"/>
        <v>0</v>
      </c>
      <c r="AD142" s="500">
        <f t="shared" si="140"/>
        <v>0</v>
      </c>
      <c r="AE142" s="500">
        <f t="shared" si="141"/>
        <v>0</v>
      </c>
      <c r="AF142" s="501"/>
      <c r="AG142" s="499">
        <f t="shared" si="142"/>
        <v>0</v>
      </c>
      <c r="AH142" s="499">
        <f t="shared" si="143"/>
        <v>0</v>
      </c>
      <c r="AI142" s="499">
        <f t="shared" si="144"/>
        <v>0</v>
      </c>
      <c r="AK142" s="500">
        <v>21</v>
      </c>
      <c r="AL142" s="500">
        <f>G142*0.8608983647278</f>
        <v>0</v>
      </c>
      <c r="AM142" s="500">
        <f>G142*(1-0.8608983647278)</f>
        <v>0</v>
      </c>
      <c r="AN142" s="503" t="s">
        <v>225</v>
      </c>
      <c r="AS142" s="500">
        <f t="shared" si="145"/>
        <v>0</v>
      </c>
      <c r="AT142" s="500">
        <f t="shared" si="146"/>
        <v>0</v>
      </c>
      <c r="AU142" s="500">
        <f t="shared" si="147"/>
        <v>0</v>
      </c>
      <c r="AV142" s="502" t="s">
        <v>2375</v>
      </c>
      <c r="AW142" s="502" t="s">
        <v>1755</v>
      </c>
      <c r="AX142" s="501" t="s">
        <v>1749</v>
      </c>
      <c r="AZ142" s="500">
        <f t="shared" si="148"/>
        <v>0</v>
      </c>
      <c r="BA142" s="500">
        <f t="shared" si="149"/>
        <v>0</v>
      </c>
      <c r="BB142" s="500">
        <v>0</v>
      </c>
      <c r="BC142" s="500" t="e">
        <f>#REF!</f>
        <v>#REF!</v>
      </c>
      <c r="BE142" s="499">
        <f t="shared" si="150"/>
        <v>0</v>
      </c>
      <c r="BF142" s="499">
        <f t="shared" si="151"/>
        <v>0</v>
      </c>
      <c r="BG142" s="499">
        <f t="shared" si="152"/>
        <v>0</v>
      </c>
    </row>
    <row r="143" spans="1:59" ht="12">
      <c r="A143" s="506" t="s">
        <v>741</v>
      </c>
      <c r="B143" s="506"/>
      <c r="C143" s="506" t="s">
        <v>2394</v>
      </c>
      <c r="D143" s="506" t="s">
        <v>2393</v>
      </c>
      <c r="E143" s="506" t="s">
        <v>258</v>
      </c>
      <c r="F143" s="499">
        <v>1</v>
      </c>
      <c r="G143" s="530">
        <v>0</v>
      </c>
      <c r="H143" s="499">
        <f t="shared" si="131"/>
        <v>0</v>
      </c>
      <c r="I143" s="499">
        <f t="shared" si="132"/>
        <v>0</v>
      </c>
      <c r="J143" s="499">
        <f t="shared" si="133"/>
        <v>0</v>
      </c>
      <c r="W143" s="500">
        <f t="shared" si="134"/>
        <v>0</v>
      </c>
      <c r="Y143" s="500">
        <f t="shared" si="135"/>
        <v>0</v>
      </c>
      <c r="Z143" s="500">
        <f t="shared" si="136"/>
        <v>0</v>
      </c>
      <c r="AA143" s="500">
        <f t="shared" si="137"/>
        <v>0</v>
      </c>
      <c r="AB143" s="500">
        <f t="shared" si="138"/>
        <v>0</v>
      </c>
      <c r="AC143" s="500">
        <f t="shared" si="139"/>
        <v>0</v>
      </c>
      <c r="AD143" s="500">
        <f t="shared" si="140"/>
        <v>0</v>
      </c>
      <c r="AE143" s="500">
        <f t="shared" si="141"/>
        <v>0</v>
      </c>
      <c r="AF143" s="501"/>
      <c r="AG143" s="499">
        <f t="shared" si="142"/>
        <v>0</v>
      </c>
      <c r="AH143" s="499">
        <f t="shared" si="143"/>
        <v>0</v>
      </c>
      <c r="AI143" s="499">
        <f t="shared" si="144"/>
        <v>0</v>
      </c>
      <c r="AK143" s="500">
        <v>21</v>
      </c>
      <c r="AL143" s="500">
        <f>G143*0.924700654240217</f>
        <v>0</v>
      </c>
      <c r="AM143" s="500">
        <f>G143*(1-0.924700654240217)</f>
        <v>0</v>
      </c>
      <c r="AN143" s="503" t="s">
        <v>225</v>
      </c>
      <c r="AS143" s="500">
        <f t="shared" si="145"/>
        <v>0</v>
      </c>
      <c r="AT143" s="500">
        <f t="shared" si="146"/>
        <v>0</v>
      </c>
      <c r="AU143" s="500">
        <f t="shared" si="147"/>
        <v>0</v>
      </c>
      <c r="AV143" s="502" t="s">
        <v>2375</v>
      </c>
      <c r="AW143" s="502" t="s">
        <v>1755</v>
      </c>
      <c r="AX143" s="501" t="s">
        <v>1749</v>
      </c>
      <c r="AZ143" s="500">
        <f t="shared" si="148"/>
        <v>0</v>
      </c>
      <c r="BA143" s="500">
        <f t="shared" si="149"/>
        <v>0</v>
      </c>
      <c r="BB143" s="500">
        <v>0</v>
      </c>
      <c r="BC143" s="500" t="e">
        <f>#REF!</f>
        <v>#REF!</v>
      </c>
      <c r="BE143" s="499">
        <f t="shared" si="150"/>
        <v>0</v>
      </c>
      <c r="BF143" s="499">
        <f t="shared" si="151"/>
        <v>0</v>
      </c>
      <c r="BG143" s="499">
        <f t="shared" si="152"/>
        <v>0</v>
      </c>
    </row>
    <row r="144" spans="1:59" ht="12">
      <c r="A144" s="506" t="s">
        <v>745</v>
      </c>
      <c r="B144" s="506"/>
      <c r="C144" s="506" t="s">
        <v>2392</v>
      </c>
      <c r="D144" s="506" t="s">
        <v>2391</v>
      </c>
      <c r="E144" s="506" t="s">
        <v>258</v>
      </c>
      <c r="F144" s="499">
        <v>30</v>
      </c>
      <c r="G144" s="530">
        <v>0</v>
      </c>
      <c r="H144" s="499">
        <f t="shared" si="131"/>
        <v>0</v>
      </c>
      <c r="I144" s="499">
        <f t="shared" si="132"/>
        <v>0</v>
      </c>
      <c r="J144" s="499">
        <f t="shared" si="133"/>
        <v>0</v>
      </c>
      <c r="W144" s="500">
        <f t="shared" si="134"/>
        <v>0</v>
      </c>
      <c r="Y144" s="500">
        <f t="shared" si="135"/>
        <v>0</v>
      </c>
      <c r="Z144" s="500">
        <f t="shared" si="136"/>
        <v>0</v>
      </c>
      <c r="AA144" s="500">
        <f t="shared" si="137"/>
        <v>0</v>
      </c>
      <c r="AB144" s="500">
        <f t="shared" si="138"/>
        <v>0</v>
      </c>
      <c r="AC144" s="500">
        <f t="shared" si="139"/>
        <v>0</v>
      </c>
      <c r="AD144" s="500">
        <f t="shared" si="140"/>
        <v>0</v>
      </c>
      <c r="AE144" s="500">
        <f t="shared" si="141"/>
        <v>0</v>
      </c>
      <c r="AF144" s="501"/>
      <c r="AG144" s="499">
        <f t="shared" si="142"/>
        <v>0</v>
      </c>
      <c r="AH144" s="499">
        <f t="shared" si="143"/>
        <v>0</v>
      </c>
      <c r="AI144" s="499">
        <f t="shared" si="144"/>
        <v>0</v>
      </c>
      <c r="AK144" s="500">
        <v>21</v>
      </c>
      <c r="AL144" s="500">
        <f>G144*0.838235294117647</f>
        <v>0</v>
      </c>
      <c r="AM144" s="500">
        <f>G144*(1-0.838235294117647)</f>
        <v>0</v>
      </c>
      <c r="AN144" s="503" t="s">
        <v>225</v>
      </c>
      <c r="AS144" s="500">
        <f t="shared" si="145"/>
        <v>0</v>
      </c>
      <c r="AT144" s="500">
        <f t="shared" si="146"/>
        <v>0</v>
      </c>
      <c r="AU144" s="500">
        <f t="shared" si="147"/>
        <v>0</v>
      </c>
      <c r="AV144" s="502" t="s">
        <v>2375</v>
      </c>
      <c r="AW144" s="502" t="s">
        <v>1755</v>
      </c>
      <c r="AX144" s="501" t="s">
        <v>1749</v>
      </c>
      <c r="AZ144" s="500">
        <f t="shared" si="148"/>
        <v>0</v>
      </c>
      <c r="BA144" s="500">
        <f t="shared" si="149"/>
        <v>0</v>
      </c>
      <c r="BB144" s="500">
        <v>0</v>
      </c>
      <c r="BC144" s="500" t="e">
        <f>#REF!</f>
        <v>#REF!</v>
      </c>
      <c r="BE144" s="499">
        <f t="shared" si="150"/>
        <v>0</v>
      </c>
      <c r="BF144" s="499">
        <f t="shared" si="151"/>
        <v>0</v>
      </c>
      <c r="BG144" s="499">
        <f t="shared" si="152"/>
        <v>0</v>
      </c>
    </row>
    <row r="145" spans="1:59" ht="12">
      <c r="A145" s="506" t="s">
        <v>749</v>
      </c>
      <c r="B145" s="506"/>
      <c r="C145" s="506" t="s">
        <v>2390</v>
      </c>
      <c r="D145" s="506" t="s">
        <v>2389</v>
      </c>
      <c r="E145" s="506" t="s">
        <v>2384</v>
      </c>
      <c r="F145" s="499">
        <v>25</v>
      </c>
      <c r="G145" s="530">
        <v>0</v>
      </c>
      <c r="H145" s="499">
        <f t="shared" si="131"/>
        <v>0</v>
      </c>
      <c r="I145" s="499">
        <f t="shared" si="132"/>
        <v>0</v>
      </c>
      <c r="J145" s="499">
        <f t="shared" si="133"/>
        <v>0</v>
      </c>
      <c r="W145" s="500">
        <f t="shared" si="134"/>
        <v>0</v>
      </c>
      <c r="Y145" s="500">
        <f t="shared" si="135"/>
        <v>0</v>
      </c>
      <c r="Z145" s="500">
        <f t="shared" si="136"/>
        <v>0</v>
      </c>
      <c r="AA145" s="500">
        <f t="shared" si="137"/>
        <v>0</v>
      </c>
      <c r="AB145" s="500">
        <f t="shared" si="138"/>
        <v>0</v>
      </c>
      <c r="AC145" s="500">
        <f t="shared" si="139"/>
        <v>0</v>
      </c>
      <c r="AD145" s="500">
        <f t="shared" si="140"/>
        <v>0</v>
      </c>
      <c r="AE145" s="500">
        <f t="shared" si="141"/>
        <v>0</v>
      </c>
      <c r="AF145" s="501"/>
      <c r="AG145" s="499">
        <f t="shared" si="142"/>
        <v>0</v>
      </c>
      <c r="AH145" s="499">
        <f t="shared" si="143"/>
        <v>0</v>
      </c>
      <c r="AI145" s="499">
        <f t="shared" si="144"/>
        <v>0</v>
      </c>
      <c r="AK145" s="500">
        <v>21</v>
      </c>
      <c r="AL145" s="500">
        <f>G145*0.848484848484849</f>
        <v>0</v>
      </c>
      <c r="AM145" s="500">
        <f>G145*(1-0.848484848484849)</f>
        <v>0</v>
      </c>
      <c r="AN145" s="503" t="s">
        <v>225</v>
      </c>
      <c r="AS145" s="500">
        <f t="shared" si="145"/>
        <v>0</v>
      </c>
      <c r="AT145" s="500">
        <f t="shared" si="146"/>
        <v>0</v>
      </c>
      <c r="AU145" s="500">
        <f t="shared" si="147"/>
        <v>0</v>
      </c>
      <c r="AV145" s="502" t="s">
        <v>2375</v>
      </c>
      <c r="AW145" s="502" t="s">
        <v>1755</v>
      </c>
      <c r="AX145" s="501" t="s">
        <v>1749</v>
      </c>
      <c r="AZ145" s="500">
        <f t="shared" si="148"/>
        <v>0</v>
      </c>
      <c r="BA145" s="500">
        <f t="shared" si="149"/>
        <v>0</v>
      </c>
      <c r="BB145" s="500">
        <v>0</v>
      </c>
      <c r="BC145" s="500" t="e">
        <f>#REF!</f>
        <v>#REF!</v>
      </c>
      <c r="BE145" s="499">
        <f t="shared" si="150"/>
        <v>0</v>
      </c>
      <c r="BF145" s="499">
        <f t="shared" si="151"/>
        <v>0</v>
      </c>
      <c r="BG145" s="499">
        <f t="shared" si="152"/>
        <v>0</v>
      </c>
    </row>
    <row r="146" spans="1:59" ht="12">
      <c r="A146" s="506" t="s">
        <v>753</v>
      </c>
      <c r="B146" s="506"/>
      <c r="C146" s="506" t="s">
        <v>2388</v>
      </c>
      <c r="D146" s="506" t="s">
        <v>2387</v>
      </c>
      <c r="E146" s="506" t="s">
        <v>258</v>
      </c>
      <c r="F146" s="499">
        <v>30</v>
      </c>
      <c r="G146" s="530">
        <v>0</v>
      </c>
      <c r="H146" s="499">
        <f t="shared" si="131"/>
        <v>0</v>
      </c>
      <c r="I146" s="499">
        <f t="shared" si="132"/>
        <v>0</v>
      </c>
      <c r="J146" s="499">
        <f t="shared" si="133"/>
        <v>0</v>
      </c>
      <c r="W146" s="500">
        <f t="shared" si="134"/>
        <v>0</v>
      </c>
      <c r="Y146" s="500">
        <f t="shared" si="135"/>
        <v>0</v>
      </c>
      <c r="Z146" s="500">
        <f t="shared" si="136"/>
        <v>0</v>
      </c>
      <c r="AA146" s="500">
        <f t="shared" si="137"/>
        <v>0</v>
      </c>
      <c r="AB146" s="500">
        <f t="shared" si="138"/>
        <v>0</v>
      </c>
      <c r="AC146" s="500">
        <f t="shared" si="139"/>
        <v>0</v>
      </c>
      <c r="AD146" s="500">
        <f t="shared" si="140"/>
        <v>0</v>
      </c>
      <c r="AE146" s="500">
        <f t="shared" si="141"/>
        <v>0</v>
      </c>
      <c r="AF146" s="501"/>
      <c r="AG146" s="499">
        <f t="shared" si="142"/>
        <v>0</v>
      </c>
      <c r="AH146" s="499">
        <f t="shared" si="143"/>
        <v>0</v>
      </c>
      <c r="AI146" s="499">
        <f t="shared" si="144"/>
        <v>0</v>
      </c>
      <c r="AK146" s="500">
        <v>21</v>
      </c>
      <c r="AL146" s="500">
        <f>G146*0.834710743801653</f>
        <v>0</v>
      </c>
      <c r="AM146" s="500">
        <f>G146*(1-0.834710743801653)</f>
        <v>0</v>
      </c>
      <c r="AN146" s="503" t="s">
        <v>225</v>
      </c>
      <c r="AS146" s="500">
        <f t="shared" si="145"/>
        <v>0</v>
      </c>
      <c r="AT146" s="500">
        <f t="shared" si="146"/>
        <v>0</v>
      </c>
      <c r="AU146" s="500">
        <f t="shared" si="147"/>
        <v>0</v>
      </c>
      <c r="AV146" s="502" t="s">
        <v>2375</v>
      </c>
      <c r="AW146" s="502" t="s">
        <v>1755</v>
      </c>
      <c r="AX146" s="501" t="s">
        <v>1749</v>
      </c>
      <c r="AZ146" s="500">
        <f t="shared" si="148"/>
        <v>0</v>
      </c>
      <c r="BA146" s="500">
        <f t="shared" si="149"/>
        <v>0</v>
      </c>
      <c r="BB146" s="500">
        <v>0</v>
      </c>
      <c r="BC146" s="500" t="e">
        <f>#REF!</f>
        <v>#REF!</v>
      </c>
      <c r="BE146" s="499">
        <f t="shared" si="150"/>
        <v>0</v>
      </c>
      <c r="BF146" s="499">
        <f t="shared" si="151"/>
        <v>0</v>
      </c>
      <c r="BG146" s="499">
        <f t="shared" si="152"/>
        <v>0</v>
      </c>
    </row>
    <row r="147" spans="1:59" ht="12">
      <c r="A147" s="506" t="s">
        <v>759</v>
      </c>
      <c r="B147" s="506"/>
      <c r="C147" s="506" t="s">
        <v>2386</v>
      </c>
      <c r="D147" s="506" t="s">
        <v>2385</v>
      </c>
      <c r="E147" s="506" t="s">
        <v>2384</v>
      </c>
      <c r="F147" s="499">
        <v>25</v>
      </c>
      <c r="G147" s="530">
        <v>0</v>
      </c>
      <c r="H147" s="499">
        <f t="shared" si="131"/>
        <v>0</v>
      </c>
      <c r="I147" s="499">
        <f t="shared" si="132"/>
        <v>0</v>
      </c>
      <c r="J147" s="499">
        <f t="shared" si="133"/>
        <v>0</v>
      </c>
      <c r="W147" s="500">
        <f t="shared" si="134"/>
        <v>0</v>
      </c>
      <c r="Y147" s="500">
        <f t="shared" si="135"/>
        <v>0</v>
      </c>
      <c r="Z147" s="500">
        <f t="shared" si="136"/>
        <v>0</v>
      </c>
      <c r="AA147" s="500">
        <f t="shared" si="137"/>
        <v>0</v>
      </c>
      <c r="AB147" s="500">
        <f t="shared" si="138"/>
        <v>0</v>
      </c>
      <c r="AC147" s="500">
        <f t="shared" si="139"/>
        <v>0</v>
      </c>
      <c r="AD147" s="500">
        <f t="shared" si="140"/>
        <v>0</v>
      </c>
      <c r="AE147" s="500">
        <f t="shared" si="141"/>
        <v>0</v>
      </c>
      <c r="AF147" s="501"/>
      <c r="AG147" s="499">
        <f t="shared" si="142"/>
        <v>0</v>
      </c>
      <c r="AH147" s="499">
        <f t="shared" si="143"/>
        <v>0</v>
      </c>
      <c r="AI147" s="499">
        <f t="shared" si="144"/>
        <v>0</v>
      </c>
      <c r="AK147" s="500">
        <v>21</v>
      </c>
      <c r="AL147" s="500">
        <f>G147*0.856459330143541</f>
        <v>0</v>
      </c>
      <c r="AM147" s="500">
        <f>G147*(1-0.856459330143541)</f>
        <v>0</v>
      </c>
      <c r="AN147" s="503" t="s">
        <v>225</v>
      </c>
      <c r="AS147" s="500">
        <f t="shared" si="145"/>
        <v>0</v>
      </c>
      <c r="AT147" s="500">
        <f t="shared" si="146"/>
        <v>0</v>
      </c>
      <c r="AU147" s="500">
        <f t="shared" si="147"/>
        <v>0</v>
      </c>
      <c r="AV147" s="502" t="s">
        <v>2375</v>
      </c>
      <c r="AW147" s="502" t="s">
        <v>1755</v>
      </c>
      <c r="AX147" s="501" t="s">
        <v>1749</v>
      </c>
      <c r="AZ147" s="500">
        <f t="shared" si="148"/>
        <v>0</v>
      </c>
      <c r="BA147" s="500">
        <f t="shared" si="149"/>
        <v>0</v>
      </c>
      <c r="BB147" s="500">
        <v>0</v>
      </c>
      <c r="BC147" s="500" t="e">
        <f>#REF!</f>
        <v>#REF!</v>
      </c>
      <c r="BE147" s="499">
        <f t="shared" si="150"/>
        <v>0</v>
      </c>
      <c r="BF147" s="499">
        <f t="shared" si="151"/>
        <v>0</v>
      </c>
      <c r="BG147" s="499">
        <f t="shared" si="152"/>
        <v>0</v>
      </c>
    </row>
    <row r="148" spans="1:59" ht="12">
      <c r="A148" s="506" t="s">
        <v>763</v>
      </c>
      <c r="B148" s="506"/>
      <c r="C148" s="506" t="s">
        <v>2383</v>
      </c>
      <c r="D148" s="506" t="s">
        <v>2382</v>
      </c>
      <c r="E148" s="506" t="s">
        <v>258</v>
      </c>
      <c r="F148" s="499">
        <v>5</v>
      </c>
      <c r="G148" s="530">
        <v>0</v>
      </c>
      <c r="H148" s="499">
        <f t="shared" si="131"/>
        <v>0</v>
      </c>
      <c r="I148" s="499">
        <f t="shared" si="132"/>
        <v>0</v>
      </c>
      <c r="J148" s="499">
        <f t="shared" si="133"/>
        <v>0</v>
      </c>
      <c r="W148" s="500">
        <f t="shared" si="134"/>
        <v>0</v>
      </c>
      <c r="Y148" s="500">
        <f t="shared" si="135"/>
        <v>0</v>
      </c>
      <c r="Z148" s="500">
        <f t="shared" si="136"/>
        <v>0</v>
      </c>
      <c r="AA148" s="500">
        <f t="shared" si="137"/>
        <v>0</v>
      </c>
      <c r="AB148" s="500">
        <f t="shared" si="138"/>
        <v>0</v>
      </c>
      <c r="AC148" s="500">
        <f t="shared" si="139"/>
        <v>0</v>
      </c>
      <c r="AD148" s="500">
        <f t="shared" si="140"/>
        <v>0</v>
      </c>
      <c r="AE148" s="500">
        <f t="shared" si="141"/>
        <v>0</v>
      </c>
      <c r="AF148" s="501"/>
      <c r="AG148" s="499">
        <f t="shared" si="142"/>
        <v>0</v>
      </c>
      <c r="AH148" s="499">
        <f t="shared" si="143"/>
        <v>0</v>
      </c>
      <c r="AI148" s="499">
        <f t="shared" si="144"/>
        <v>0</v>
      </c>
      <c r="AK148" s="500">
        <v>21</v>
      </c>
      <c r="AL148" s="500">
        <f>G148*0.896321070234114</f>
        <v>0</v>
      </c>
      <c r="AM148" s="500">
        <f>G148*(1-0.896321070234114)</f>
        <v>0</v>
      </c>
      <c r="AN148" s="503" t="s">
        <v>225</v>
      </c>
      <c r="AS148" s="500">
        <f t="shared" si="145"/>
        <v>0</v>
      </c>
      <c r="AT148" s="500">
        <f t="shared" si="146"/>
        <v>0</v>
      </c>
      <c r="AU148" s="500">
        <f t="shared" si="147"/>
        <v>0</v>
      </c>
      <c r="AV148" s="502" t="s">
        <v>2375</v>
      </c>
      <c r="AW148" s="502" t="s">
        <v>1755</v>
      </c>
      <c r="AX148" s="501" t="s">
        <v>1749</v>
      </c>
      <c r="AZ148" s="500">
        <f t="shared" si="148"/>
        <v>0</v>
      </c>
      <c r="BA148" s="500">
        <f t="shared" si="149"/>
        <v>0</v>
      </c>
      <c r="BB148" s="500">
        <v>0</v>
      </c>
      <c r="BC148" s="500" t="e">
        <f>#REF!</f>
        <v>#REF!</v>
      </c>
      <c r="BE148" s="499">
        <f t="shared" si="150"/>
        <v>0</v>
      </c>
      <c r="BF148" s="499">
        <f t="shared" si="151"/>
        <v>0</v>
      </c>
      <c r="BG148" s="499">
        <f t="shared" si="152"/>
        <v>0</v>
      </c>
    </row>
    <row r="149" spans="1:59" ht="12">
      <c r="A149" s="506" t="s">
        <v>769</v>
      </c>
      <c r="B149" s="506"/>
      <c r="C149" s="506" t="s">
        <v>2377</v>
      </c>
      <c r="D149" s="506" t="s">
        <v>2381</v>
      </c>
      <c r="E149" s="506" t="s">
        <v>972</v>
      </c>
      <c r="F149" s="499">
        <v>3</v>
      </c>
      <c r="G149" s="530">
        <v>0</v>
      </c>
      <c r="H149" s="499">
        <f t="shared" si="131"/>
        <v>0</v>
      </c>
      <c r="I149" s="499">
        <f t="shared" si="132"/>
        <v>0</v>
      </c>
      <c r="J149" s="499">
        <f t="shared" si="133"/>
        <v>0</v>
      </c>
      <c r="W149" s="500">
        <f t="shared" si="134"/>
        <v>0</v>
      </c>
      <c r="Y149" s="500">
        <f t="shared" si="135"/>
        <v>0</v>
      </c>
      <c r="Z149" s="500">
        <f t="shared" si="136"/>
        <v>0</v>
      </c>
      <c r="AA149" s="500">
        <f t="shared" si="137"/>
        <v>0</v>
      </c>
      <c r="AB149" s="500">
        <f t="shared" si="138"/>
        <v>0</v>
      </c>
      <c r="AC149" s="500">
        <f t="shared" si="139"/>
        <v>0</v>
      </c>
      <c r="AD149" s="500">
        <f t="shared" si="140"/>
        <v>0</v>
      </c>
      <c r="AE149" s="500">
        <f t="shared" si="141"/>
        <v>0</v>
      </c>
      <c r="AF149" s="501"/>
      <c r="AG149" s="499">
        <f t="shared" si="142"/>
        <v>0</v>
      </c>
      <c r="AH149" s="499">
        <f t="shared" si="143"/>
        <v>0</v>
      </c>
      <c r="AI149" s="499">
        <f t="shared" si="144"/>
        <v>0</v>
      </c>
      <c r="AK149" s="500">
        <v>21</v>
      </c>
      <c r="AL149" s="500">
        <f>G149*0.955840455840456</f>
        <v>0</v>
      </c>
      <c r="AM149" s="500">
        <f>G149*(1-0.955840455840456)</f>
        <v>0</v>
      </c>
      <c r="AN149" s="503" t="s">
        <v>225</v>
      </c>
      <c r="AS149" s="500">
        <f t="shared" si="145"/>
        <v>0</v>
      </c>
      <c r="AT149" s="500">
        <f t="shared" si="146"/>
        <v>0</v>
      </c>
      <c r="AU149" s="500">
        <f t="shared" si="147"/>
        <v>0</v>
      </c>
      <c r="AV149" s="502" t="s">
        <v>2375</v>
      </c>
      <c r="AW149" s="502" t="s">
        <v>1755</v>
      </c>
      <c r="AX149" s="501" t="s">
        <v>1749</v>
      </c>
      <c r="AZ149" s="500">
        <f t="shared" si="148"/>
        <v>0</v>
      </c>
      <c r="BA149" s="500">
        <f t="shared" si="149"/>
        <v>0</v>
      </c>
      <c r="BB149" s="500">
        <v>0</v>
      </c>
      <c r="BC149" s="500" t="e">
        <f>#REF!</f>
        <v>#REF!</v>
      </c>
      <c r="BE149" s="499">
        <f t="shared" si="150"/>
        <v>0</v>
      </c>
      <c r="BF149" s="499">
        <f t="shared" si="151"/>
        <v>0</v>
      </c>
      <c r="BG149" s="499">
        <f t="shared" si="152"/>
        <v>0</v>
      </c>
    </row>
    <row r="150" spans="1:59" ht="12">
      <c r="A150" s="506" t="s">
        <v>774</v>
      </c>
      <c r="B150" s="506"/>
      <c r="C150" s="506" t="s">
        <v>2380</v>
      </c>
      <c r="D150" s="506" t="s">
        <v>2379</v>
      </c>
      <c r="E150" s="506" t="s">
        <v>310</v>
      </c>
      <c r="F150" s="499">
        <v>70</v>
      </c>
      <c r="G150" s="530">
        <v>0</v>
      </c>
      <c r="H150" s="499">
        <f t="shared" si="131"/>
        <v>0</v>
      </c>
      <c r="I150" s="499">
        <f t="shared" si="132"/>
        <v>0</v>
      </c>
      <c r="J150" s="499">
        <f t="shared" si="133"/>
        <v>0</v>
      </c>
      <c r="W150" s="500">
        <f t="shared" si="134"/>
        <v>0</v>
      </c>
      <c r="Y150" s="500">
        <f t="shared" si="135"/>
        <v>0</v>
      </c>
      <c r="Z150" s="500">
        <f t="shared" si="136"/>
        <v>0</v>
      </c>
      <c r="AA150" s="500">
        <f t="shared" si="137"/>
        <v>0</v>
      </c>
      <c r="AB150" s="500">
        <f t="shared" si="138"/>
        <v>0</v>
      </c>
      <c r="AC150" s="500">
        <f t="shared" si="139"/>
        <v>0</v>
      </c>
      <c r="AD150" s="500">
        <f t="shared" si="140"/>
        <v>0</v>
      </c>
      <c r="AE150" s="500">
        <f t="shared" si="141"/>
        <v>0</v>
      </c>
      <c r="AF150" s="501"/>
      <c r="AG150" s="499">
        <f t="shared" si="142"/>
        <v>0</v>
      </c>
      <c r="AH150" s="499">
        <f t="shared" si="143"/>
        <v>0</v>
      </c>
      <c r="AI150" s="499">
        <f t="shared" si="144"/>
        <v>0</v>
      </c>
      <c r="AK150" s="500">
        <v>21</v>
      </c>
      <c r="AL150" s="500">
        <f>G150*0.333333333333333</f>
        <v>0</v>
      </c>
      <c r="AM150" s="500">
        <f>G150*(1-0.333333333333333)</f>
        <v>0</v>
      </c>
      <c r="AN150" s="503" t="s">
        <v>79</v>
      </c>
      <c r="AS150" s="500">
        <f t="shared" si="145"/>
        <v>0</v>
      </c>
      <c r="AT150" s="500">
        <f t="shared" si="146"/>
        <v>0</v>
      </c>
      <c r="AU150" s="500">
        <f t="shared" si="147"/>
        <v>0</v>
      </c>
      <c r="AV150" s="502" t="s">
        <v>2375</v>
      </c>
      <c r="AW150" s="502" t="s">
        <v>1755</v>
      </c>
      <c r="AX150" s="501" t="s">
        <v>1749</v>
      </c>
      <c r="AZ150" s="500">
        <f t="shared" si="148"/>
        <v>0</v>
      </c>
      <c r="BA150" s="500">
        <f t="shared" si="149"/>
        <v>0</v>
      </c>
      <c r="BB150" s="500">
        <v>0</v>
      </c>
      <c r="BC150" s="500" t="e">
        <f>#REF!</f>
        <v>#REF!</v>
      </c>
      <c r="BE150" s="499">
        <f t="shared" si="150"/>
        <v>0</v>
      </c>
      <c r="BF150" s="499">
        <f t="shared" si="151"/>
        <v>0</v>
      </c>
      <c r="BG150" s="499">
        <f t="shared" si="152"/>
        <v>0</v>
      </c>
    </row>
    <row r="151" spans="4:7" ht="12">
      <c r="D151" s="513" t="s">
        <v>2378</v>
      </c>
      <c r="G151" s="531"/>
    </row>
    <row r="152" spans="1:59" ht="12">
      <c r="A152" s="506" t="s">
        <v>779</v>
      </c>
      <c r="B152" s="506"/>
      <c r="C152" s="506" t="s">
        <v>2377</v>
      </c>
      <c r="D152" s="506" t="s">
        <v>2376</v>
      </c>
      <c r="E152" s="506" t="s">
        <v>1437</v>
      </c>
      <c r="F152" s="499">
        <v>2</v>
      </c>
      <c r="G152" s="530">
        <v>0</v>
      </c>
      <c r="H152" s="499">
        <f>F152*AL152</f>
        <v>0</v>
      </c>
      <c r="I152" s="499">
        <f>F152*AM152</f>
        <v>0</v>
      </c>
      <c r="J152" s="499">
        <f>F152*G152</f>
        <v>0</v>
      </c>
      <c r="W152" s="500">
        <f>IF(AN152="5",BG152,0)</f>
        <v>0</v>
      </c>
      <c r="Y152" s="500">
        <f>IF(AN152="1",BE152,0)</f>
        <v>0</v>
      </c>
      <c r="Z152" s="500">
        <f>IF(AN152="1",BF152,0)</f>
        <v>0</v>
      </c>
      <c r="AA152" s="500">
        <f>IF(AN152="7",BE152,0)</f>
        <v>0</v>
      </c>
      <c r="AB152" s="500">
        <f>IF(AN152="7",BF152,0)</f>
        <v>0</v>
      </c>
      <c r="AC152" s="500">
        <f>IF(AN152="2",BE152,0)</f>
        <v>0</v>
      </c>
      <c r="AD152" s="500">
        <f>IF(AN152="2",BF152,0)</f>
        <v>0</v>
      </c>
      <c r="AE152" s="500">
        <f>IF(AN152="0",BG152,0)</f>
        <v>0</v>
      </c>
      <c r="AF152" s="501"/>
      <c r="AG152" s="499">
        <f>IF(AK152=0,J152,0)</f>
        <v>0</v>
      </c>
      <c r="AH152" s="499">
        <f>IF(AK152=15,J152,0)</f>
        <v>0</v>
      </c>
      <c r="AI152" s="499">
        <f>IF(AK152=21,J152,0)</f>
        <v>0</v>
      </c>
      <c r="AK152" s="500">
        <v>21</v>
      </c>
      <c r="AL152" s="500">
        <f>G152*0.981786133960047</f>
        <v>0</v>
      </c>
      <c r="AM152" s="500">
        <f>G152*(1-0.981786133960047)</f>
        <v>0</v>
      </c>
      <c r="AN152" s="503" t="s">
        <v>225</v>
      </c>
      <c r="AS152" s="500">
        <f>AT152+AU152</f>
        <v>0</v>
      </c>
      <c r="AT152" s="500">
        <f>F152*AL152</f>
        <v>0</v>
      </c>
      <c r="AU152" s="500">
        <f>F152*AM152</f>
        <v>0</v>
      </c>
      <c r="AV152" s="502" t="s">
        <v>2375</v>
      </c>
      <c r="AW152" s="502" t="s">
        <v>1755</v>
      </c>
      <c r="AX152" s="501" t="s">
        <v>1749</v>
      </c>
      <c r="AZ152" s="500">
        <f>AT152+AU152</f>
        <v>0</v>
      </c>
      <c r="BA152" s="500">
        <f>G152/(100-BB152)*100</f>
        <v>0</v>
      </c>
      <c r="BB152" s="500">
        <v>0</v>
      </c>
      <c r="BC152" s="500" t="e">
        <f>#REF!</f>
        <v>#REF!</v>
      </c>
      <c r="BE152" s="499">
        <f>F152*AL152</f>
        <v>0</v>
      </c>
      <c r="BF152" s="499">
        <f>F152*AM152</f>
        <v>0</v>
      </c>
      <c r="BG152" s="499">
        <f>F152*G152</f>
        <v>0</v>
      </c>
    </row>
    <row r="153" spans="1:44" ht="12">
      <c r="A153" s="508"/>
      <c r="B153" s="509"/>
      <c r="C153" s="509" t="s">
        <v>2374</v>
      </c>
      <c r="D153" s="509" t="s">
        <v>2373</v>
      </c>
      <c r="E153" s="508" t="s">
        <v>146</v>
      </c>
      <c r="F153" s="508" t="s">
        <v>146</v>
      </c>
      <c r="G153" s="533"/>
      <c r="H153" s="507">
        <f>SUM(H154:H163)</f>
        <v>0</v>
      </c>
      <c r="I153" s="507">
        <f>SUM(I154:I163)</f>
        <v>0</v>
      </c>
      <c r="J153" s="507">
        <f>SUM(J154:J163)</f>
        <v>0</v>
      </c>
      <c r="AF153" s="501"/>
      <c r="AP153" s="507">
        <f>SUM(AG154:AG163)</f>
        <v>0</v>
      </c>
      <c r="AQ153" s="507">
        <f>SUM(AH154:AH163)</f>
        <v>0</v>
      </c>
      <c r="AR153" s="507">
        <f>SUM(AI154:AI163)</f>
        <v>0</v>
      </c>
    </row>
    <row r="154" spans="1:59" ht="12">
      <c r="A154" s="506" t="s">
        <v>784</v>
      </c>
      <c r="B154" s="506"/>
      <c r="C154" s="506" t="s">
        <v>2372</v>
      </c>
      <c r="D154" s="506" t="s">
        <v>2371</v>
      </c>
      <c r="E154" s="506" t="s">
        <v>258</v>
      </c>
      <c r="F154" s="499">
        <v>1</v>
      </c>
      <c r="G154" s="530">
        <v>0</v>
      </c>
      <c r="H154" s="499">
        <f aca="true" t="shared" si="153" ref="H154:H163">F154*AL154</f>
        <v>0</v>
      </c>
      <c r="I154" s="499">
        <f aca="true" t="shared" si="154" ref="I154:I163">F154*AM154</f>
        <v>0</v>
      </c>
      <c r="J154" s="499">
        <f aca="true" t="shared" si="155" ref="J154:J163">F154*G154</f>
        <v>0</v>
      </c>
      <c r="W154" s="500">
        <f aca="true" t="shared" si="156" ref="W154:W163">IF(AN154="5",BG154,0)</f>
        <v>0</v>
      </c>
      <c r="Y154" s="500">
        <f aca="true" t="shared" si="157" ref="Y154:Y163">IF(AN154="1",BE154,0)</f>
        <v>0</v>
      </c>
      <c r="Z154" s="500">
        <f aca="true" t="shared" si="158" ref="Z154:Z163">IF(AN154="1",BF154,0)</f>
        <v>0</v>
      </c>
      <c r="AA154" s="500">
        <f aca="true" t="shared" si="159" ref="AA154:AA163">IF(AN154="7",BE154,0)</f>
        <v>0</v>
      </c>
      <c r="AB154" s="500">
        <f aca="true" t="shared" si="160" ref="AB154:AB163">IF(AN154="7",BF154,0)</f>
        <v>0</v>
      </c>
      <c r="AC154" s="500">
        <f aca="true" t="shared" si="161" ref="AC154:AC163">IF(AN154="2",BE154,0)</f>
        <v>0</v>
      </c>
      <c r="AD154" s="500">
        <f aca="true" t="shared" si="162" ref="AD154:AD163">IF(AN154="2",BF154,0)</f>
        <v>0</v>
      </c>
      <c r="AE154" s="500">
        <f aca="true" t="shared" si="163" ref="AE154:AE163">IF(AN154="0",BG154,0)</f>
        <v>0</v>
      </c>
      <c r="AF154" s="501"/>
      <c r="AG154" s="499">
        <f aca="true" t="shared" si="164" ref="AG154:AG163">IF(AK154=0,J154,0)</f>
        <v>0</v>
      </c>
      <c r="AH154" s="499">
        <f aca="true" t="shared" si="165" ref="AH154:AH163">IF(AK154=15,J154,0)</f>
        <v>0</v>
      </c>
      <c r="AI154" s="499">
        <f aca="true" t="shared" si="166" ref="AI154:AI163">IF(AK154=21,J154,0)</f>
        <v>0</v>
      </c>
      <c r="AK154" s="500">
        <v>21</v>
      </c>
      <c r="AL154" s="500">
        <f>G154*0</f>
        <v>0</v>
      </c>
      <c r="AM154" s="500">
        <f>G154*(1-0)</f>
        <v>0</v>
      </c>
      <c r="AN154" s="503" t="s">
        <v>225</v>
      </c>
      <c r="AS154" s="500">
        <f aca="true" t="shared" si="167" ref="AS154:AS163">AT154+AU154</f>
        <v>0</v>
      </c>
      <c r="AT154" s="500">
        <f aca="true" t="shared" si="168" ref="AT154:AT163">F154*AL154</f>
        <v>0</v>
      </c>
      <c r="AU154" s="500">
        <f aca="true" t="shared" si="169" ref="AU154:AU163">F154*AM154</f>
        <v>0</v>
      </c>
      <c r="AV154" s="502" t="s">
        <v>2352</v>
      </c>
      <c r="AW154" s="502" t="s">
        <v>1755</v>
      </c>
      <c r="AX154" s="501" t="s">
        <v>1749</v>
      </c>
      <c r="AZ154" s="500">
        <f aca="true" t="shared" si="170" ref="AZ154:AZ163">AT154+AU154</f>
        <v>0</v>
      </c>
      <c r="BA154" s="500">
        <f aca="true" t="shared" si="171" ref="BA154:BA163">G154/(100-BB154)*100</f>
        <v>0</v>
      </c>
      <c r="BB154" s="500">
        <v>0</v>
      </c>
      <c r="BC154" s="500" t="e">
        <f>#REF!</f>
        <v>#REF!</v>
      </c>
      <c r="BE154" s="499">
        <f aca="true" t="shared" si="172" ref="BE154:BE163">F154*AL154</f>
        <v>0</v>
      </c>
      <c r="BF154" s="499">
        <f aca="true" t="shared" si="173" ref="BF154:BF163">F154*AM154</f>
        <v>0</v>
      </c>
      <c r="BG154" s="499">
        <f aca="true" t="shared" si="174" ref="BG154:BG163">F154*G154</f>
        <v>0</v>
      </c>
    </row>
    <row r="155" spans="1:59" ht="12">
      <c r="A155" s="512" t="s">
        <v>788</v>
      </c>
      <c r="B155" s="512"/>
      <c r="C155" s="512" t="s">
        <v>2370</v>
      </c>
      <c r="D155" s="512" t="s">
        <v>2369</v>
      </c>
      <c r="E155" s="512" t="s">
        <v>1437</v>
      </c>
      <c r="F155" s="510">
        <v>1</v>
      </c>
      <c r="G155" s="532">
        <v>0</v>
      </c>
      <c r="H155" s="510">
        <f t="shared" si="153"/>
        <v>0</v>
      </c>
      <c r="I155" s="510">
        <f t="shared" si="154"/>
        <v>0</v>
      </c>
      <c r="J155" s="510">
        <f t="shared" si="155"/>
        <v>0</v>
      </c>
      <c r="W155" s="500">
        <f t="shared" si="156"/>
        <v>0</v>
      </c>
      <c r="Y155" s="500">
        <f t="shared" si="157"/>
        <v>0</v>
      </c>
      <c r="Z155" s="500">
        <f t="shared" si="158"/>
        <v>0</v>
      </c>
      <c r="AA155" s="500">
        <f t="shared" si="159"/>
        <v>0</v>
      </c>
      <c r="AB155" s="500">
        <f t="shared" si="160"/>
        <v>0</v>
      </c>
      <c r="AC155" s="500">
        <f t="shared" si="161"/>
        <v>0</v>
      </c>
      <c r="AD155" s="500">
        <f t="shared" si="162"/>
        <v>0</v>
      </c>
      <c r="AE155" s="500">
        <f t="shared" si="163"/>
        <v>0</v>
      </c>
      <c r="AF155" s="501"/>
      <c r="AG155" s="510">
        <f t="shared" si="164"/>
        <v>0</v>
      </c>
      <c r="AH155" s="510">
        <f t="shared" si="165"/>
        <v>0</v>
      </c>
      <c r="AI155" s="510">
        <f t="shared" si="166"/>
        <v>0</v>
      </c>
      <c r="AK155" s="500">
        <v>21</v>
      </c>
      <c r="AL155" s="500">
        <f>G155*1</f>
        <v>0</v>
      </c>
      <c r="AM155" s="500">
        <f>G155*(1-1)</f>
        <v>0</v>
      </c>
      <c r="AN155" s="511" t="s">
        <v>225</v>
      </c>
      <c r="AS155" s="500">
        <f t="shared" si="167"/>
        <v>0</v>
      </c>
      <c r="AT155" s="500">
        <f t="shared" si="168"/>
        <v>0</v>
      </c>
      <c r="AU155" s="500">
        <f t="shared" si="169"/>
        <v>0</v>
      </c>
      <c r="AV155" s="502" t="s">
        <v>2352</v>
      </c>
      <c r="AW155" s="502" t="s">
        <v>1755</v>
      </c>
      <c r="AX155" s="501" t="s">
        <v>1749</v>
      </c>
      <c r="AZ155" s="500">
        <f t="shared" si="170"/>
        <v>0</v>
      </c>
      <c r="BA155" s="500">
        <f t="shared" si="171"/>
        <v>0</v>
      </c>
      <c r="BB155" s="500">
        <v>0</v>
      </c>
      <c r="BC155" s="500" t="e">
        <f>#REF!</f>
        <v>#REF!</v>
      </c>
      <c r="BE155" s="510">
        <f t="shared" si="172"/>
        <v>0</v>
      </c>
      <c r="BF155" s="510">
        <f t="shared" si="173"/>
        <v>0</v>
      </c>
      <c r="BG155" s="510">
        <f t="shared" si="174"/>
        <v>0</v>
      </c>
    </row>
    <row r="156" spans="1:59" ht="12">
      <c r="A156" s="506" t="s">
        <v>792</v>
      </c>
      <c r="B156" s="506"/>
      <c r="C156" s="506" t="s">
        <v>2368</v>
      </c>
      <c r="D156" s="506" t="s">
        <v>2367</v>
      </c>
      <c r="E156" s="506" t="s">
        <v>258</v>
      </c>
      <c r="F156" s="499">
        <v>1</v>
      </c>
      <c r="G156" s="530">
        <v>0</v>
      </c>
      <c r="H156" s="499">
        <f t="shared" si="153"/>
        <v>0</v>
      </c>
      <c r="I156" s="499">
        <f t="shared" si="154"/>
        <v>0</v>
      </c>
      <c r="J156" s="499">
        <f t="shared" si="155"/>
        <v>0</v>
      </c>
      <c r="W156" s="500">
        <f t="shared" si="156"/>
        <v>0</v>
      </c>
      <c r="Y156" s="500">
        <f t="shared" si="157"/>
        <v>0</v>
      </c>
      <c r="Z156" s="500">
        <f t="shared" si="158"/>
        <v>0</v>
      </c>
      <c r="AA156" s="500">
        <f t="shared" si="159"/>
        <v>0</v>
      </c>
      <c r="AB156" s="500">
        <f t="shared" si="160"/>
        <v>0</v>
      </c>
      <c r="AC156" s="500">
        <f t="shared" si="161"/>
        <v>0</v>
      </c>
      <c r="AD156" s="500">
        <f t="shared" si="162"/>
        <v>0</v>
      </c>
      <c r="AE156" s="500">
        <f t="shared" si="163"/>
        <v>0</v>
      </c>
      <c r="AF156" s="501"/>
      <c r="AG156" s="499">
        <f t="shared" si="164"/>
        <v>0</v>
      </c>
      <c r="AH156" s="499">
        <f t="shared" si="165"/>
        <v>0</v>
      </c>
      <c r="AI156" s="499">
        <f t="shared" si="166"/>
        <v>0</v>
      </c>
      <c r="AK156" s="500">
        <v>21</v>
      </c>
      <c r="AL156" s="500">
        <f>G156*0</f>
        <v>0</v>
      </c>
      <c r="AM156" s="500">
        <f>G156*(1-0)</f>
        <v>0</v>
      </c>
      <c r="AN156" s="503" t="s">
        <v>225</v>
      </c>
      <c r="AS156" s="500">
        <f t="shared" si="167"/>
        <v>0</v>
      </c>
      <c r="AT156" s="500">
        <f t="shared" si="168"/>
        <v>0</v>
      </c>
      <c r="AU156" s="500">
        <f t="shared" si="169"/>
        <v>0</v>
      </c>
      <c r="AV156" s="502" t="s">
        <v>2352</v>
      </c>
      <c r="AW156" s="502" t="s">
        <v>1755</v>
      </c>
      <c r="AX156" s="501" t="s">
        <v>1749</v>
      </c>
      <c r="AZ156" s="500">
        <f t="shared" si="170"/>
        <v>0</v>
      </c>
      <c r="BA156" s="500">
        <f t="shared" si="171"/>
        <v>0</v>
      </c>
      <c r="BB156" s="500">
        <v>0</v>
      </c>
      <c r="BC156" s="500" t="e">
        <f>#REF!</f>
        <v>#REF!</v>
      </c>
      <c r="BE156" s="499">
        <f t="shared" si="172"/>
        <v>0</v>
      </c>
      <c r="BF156" s="499">
        <f t="shared" si="173"/>
        <v>0</v>
      </c>
      <c r="BG156" s="499">
        <f t="shared" si="174"/>
        <v>0</v>
      </c>
    </row>
    <row r="157" spans="1:59" ht="12">
      <c r="A157" s="506" t="s">
        <v>796</v>
      </c>
      <c r="B157" s="506"/>
      <c r="C157" s="506" t="s">
        <v>2366</v>
      </c>
      <c r="D157" s="506" t="s">
        <v>2365</v>
      </c>
      <c r="E157" s="506" t="s">
        <v>258</v>
      </c>
      <c r="F157" s="499">
        <v>1</v>
      </c>
      <c r="G157" s="530">
        <v>0</v>
      </c>
      <c r="H157" s="499">
        <f t="shared" si="153"/>
        <v>0</v>
      </c>
      <c r="I157" s="499">
        <f t="shared" si="154"/>
        <v>0</v>
      </c>
      <c r="J157" s="499">
        <f t="shared" si="155"/>
        <v>0</v>
      </c>
      <c r="W157" s="500">
        <f t="shared" si="156"/>
        <v>0</v>
      </c>
      <c r="Y157" s="500">
        <f t="shared" si="157"/>
        <v>0</v>
      </c>
      <c r="Z157" s="500">
        <f t="shared" si="158"/>
        <v>0</v>
      </c>
      <c r="AA157" s="500">
        <f t="shared" si="159"/>
        <v>0</v>
      </c>
      <c r="AB157" s="500">
        <f t="shared" si="160"/>
        <v>0</v>
      </c>
      <c r="AC157" s="500">
        <f t="shared" si="161"/>
        <v>0</v>
      </c>
      <c r="AD157" s="500">
        <f t="shared" si="162"/>
        <v>0</v>
      </c>
      <c r="AE157" s="500">
        <f t="shared" si="163"/>
        <v>0</v>
      </c>
      <c r="AF157" s="501"/>
      <c r="AG157" s="499">
        <f t="shared" si="164"/>
        <v>0</v>
      </c>
      <c r="AH157" s="499">
        <f t="shared" si="165"/>
        <v>0</v>
      </c>
      <c r="AI157" s="499">
        <f t="shared" si="166"/>
        <v>0</v>
      </c>
      <c r="AK157" s="500">
        <v>21</v>
      </c>
      <c r="AL157" s="500">
        <f>G157*1</f>
        <v>0</v>
      </c>
      <c r="AM157" s="500">
        <f>G157*(1-1)</f>
        <v>0</v>
      </c>
      <c r="AN157" s="503" t="s">
        <v>225</v>
      </c>
      <c r="AS157" s="500">
        <f t="shared" si="167"/>
        <v>0</v>
      </c>
      <c r="AT157" s="500">
        <f t="shared" si="168"/>
        <v>0</v>
      </c>
      <c r="AU157" s="500">
        <f t="shared" si="169"/>
        <v>0</v>
      </c>
      <c r="AV157" s="502" t="s">
        <v>2352</v>
      </c>
      <c r="AW157" s="502" t="s">
        <v>1755</v>
      </c>
      <c r="AX157" s="501" t="s">
        <v>1749</v>
      </c>
      <c r="AZ157" s="500">
        <f t="shared" si="170"/>
        <v>0</v>
      </c>
      <c r="BA157" s="500">
        <f t="shared" si="171"/>
        <v>0</v>
      </c>
      <c r="BB157" s="500">
        <v>0</v>
      </c>
      <c r="BC157" s="500" t="e">
        <f>#REF!</f>
        <v>#REF!</v>
      </c>
      <c r="BE157" s="499">
        <f t="shared" si="172"/>
        <v>0</v>
      </c>
      <c r="BF157" s="499">
        <f t="shared" si="173"/>
        <v>0</v>
      </c>
      <c r="BG157" s="499">
        <f t="shared" si="174"/>
        <v>0</v>
      </c>
    </row>
    <row r="158" spans="1:59" ht="12">
      <c r="A158" s="506" t="s">
        <v>800</v>
      </c>
      <c r="B158" s="506"/>
      <c r="C158" s="506" t="s">
        <v>2364</v>
      </c>
      <c r="D158" s="506" t="s">
        <v>2363</v>
      </c>
      <c r="E158" s="506" t="s">
        <v>258</v>
      </c>
      <c r="F158" s="499">
        <v>2</v>
      </c>
      <c r="G158" s="530">
        <v>0</v>
      </c>
      <c r="H158" s="499">
        <f t="shared" si="153"/>
        <v>0</v>
      </c>
      <c r="I158" s="499">
        <f t="shared" si="154"/>
        <v>0</v>
      </c>
      <c r="J158" s="499">
        <f t="shared" si="155"/>
        <v>0</v>
      </c>
      <c r="W158" s="500">
        <f t="shared" si="156"/>
        <v>0</v>
      </c>
      <c r="Y158" s="500">
        <f t="shared" si="157"/>
        <v>0</v>
      </c>
      <c r="Z158" s="500">
        <f t="shared" si="158"/>
        <v>0</v>
      </c>
      <c r="AA158" s="500">
        <f t="shared" si="159"/>
        <v>0</v>
      </c>
      <c r="AB158" s="500">
        <f t="shared" si="160"/>
        <v>0</v>
      </c>
      <c r="AC158" s="500">
        <f t="shared" si="161"/>
        <v>0</v>
      </c>
      <c r="AD158" s="500">
        <f t="shared" si="162"/>
        <v>0</v>
      </c>
      <c r="AE158" s="500">
        <f t="shared" si="163"/>
        <v>0</v>
      </c>
      <c r="AF158" s="501"/>
      <c r="AG158" s="499">
        <f t="shared" si="164"/>
        <v>0</v>
      </c>
      <c r="AH158" s="499">
        <f t="shared" si="165"/>
        <v>0</v>
      </c>
      <c r="AI158" s="499">
        <f t="shared" si="166"/>
        <v>0</v>
      </c>
      <c r="AK158" s="500">
        <v>21</v>
      </c>
      <c r="AL158" s="500">
        <f>G158*0</f>
        <v>0</v>
      </c>
      <c r="AM158" s="500">
        <f>G158*(1-0)</f>
        <v>0</v>
      </c>
      <c r="AN158" s="503" t="s">
        <v>225</v>
      </c>
      <c r="AS158" s="500">
        <f t="shared" si="167"/>
        <v>0</v>
      </c>
      <c r="AT158" s="500">
        <f t="shared" si="168"/>
        <v>0</v>
      </c>
      <c r="AU158" s="500">
        <f t="shared" si="169"/>
        <v>0</v>
      </c>
      <c r="AV158" s="502" t="s">
        <v>2352</v>
      </c>
      <c r="AW158" s="502" t="s">
        <v>1755</v>
      </c>
      <c r="AX158" s="501" t="s">
        <v>1749</v>
      </c>
      <c r="AZ158" s="500">
        <f t="shared" si="170"/>
        <v>0</v>
      </c>
      <c r="BA158" s="500">
        <f t="shared" si="171"/>
        <v>0</v>
      </c>
      <c r="BB158" s="500">
        <v>0</v>
      </c>
      <c r="BC158" s="500" t="e">
        <f>#REF!</f>
        <v>#REF!</v>
      </c>
      <c r="BE158" s="499">
        <f t="shared" si="172"/>
        <v>0</v>
      </c>
      <c r="BF158" s="499">
        <f t="shared" si="173"/>
        <v>0</v>
      </c>
      <c r="BG158" s="499">
        <f t="shared" si="174"/>
        <v>0</v>
      </c>
    </row>
    <row r="159" spans="1:59" ht="12">
      <c r="A159" s="512" t="s">
        <v>804</v>
      </c>
      <c r="B159" s="512"/>
      <c r="C159" s="512" t="s">
        <v>2362</v>
      </c>
      <c r="D159" s="512" t="s">
        <v>2361</v>
      </c>
      <c r="E159" s="512" t="s">
        <v>2057</v>
      </c>
      <c r="F159" s="510">
        <v>2</v>
      </c>
      <c r="G159" s="532">
        <v>0</v>
      </c>
      <c r="H159" s="510">
        <f t="shared" si="153"/>
        <v>0</v>
      </c>
      <c r="I159" s="510">
        <f t="shared" si="154"/>
        <v>0</v>
      </c>
      <c r="J159" s="510">
        <f t="shared" si="155"/>
        <v>0</v>
      </c>
      <c r="W159" s="500">
        <f t="shared" si="156"/>
        <v>0</v>
      </c>
      <c r="Y159" s="500">
        <f t="shared" si="157"/>
        <v>0</v>
      </c>
      <c r="Z159" s="500">
        <f t="shared" si="158"/>
        <v>0</v>
      </c>
      <c r="AA159" s="500">
        <f t="shared" si="159"/>
        <v>0</v>
      </c>
      <c r="AB159" s="500">
        <f t="shared" si="160"/>
        <v>0</v>
      </c>
      <c r="AC159" s="500">
        <f t="shared" si="161"/>
        <v>0</v>
      </c>
      <c r="AD159" s="500">
        <f t="shared" si="162"/>
        <v>0</v>
      </c>
      <c r="AE159" s="500">
        <f t="shared" si="163"/>
        <v>0</v>
      </c>
      <c r="AF159" s="501"/>
      <c r="AG159" s="510">
        <f t="shared" si="164"/>
        <v>0</v>
      </c>
      <c r="AH159" s="510">
        <f t="shared" si="165"/>
        <v>0</v>
      </c>
      <c r="AI159" s="510">
        <f t="shared" si="166"/>
        <v>0</v>
      </c>
      <c r="AK159" s="500">
        <v>21</v>
      </c>
      <c r="AL159" s="500">
        <f>G159*1</f>
        <v>0</v>
      </c>
      <c r="AM159" s="500">
        <f>G159*(1-1)</f>
        <v>0</v>
      </c>
      <c r="AN159" s="511" t="s">
        <v>225</v>
      </c>
      <c r="AS159" s="500">
        <f t="shared" si="167"/>
        <v>0</v>
      </c>
      <c r="AT159" s="500">
        <f t="shared" si="168"/>
        <v>0</v>
      </c>
      <c r="AU159" s="500">
        <f t="shared" si="169"/>
        <v>0</v>
      </c>
      <c r="AV159" s="502" t="s">
        <v>2352</v>
      </c>
      <c r="AW159" s="502" t="s">
        <v>1755</v>
      </c>
      <c r="AX159" s="501" t="s">
        <v>1749</v>
      </c>
      <c r="AZ159" s="500">
        <f t="shared" si="170"/>
        <v>0</v>
      </c>
      <c r="BA159" s="500">
        <f t="shared" si="171"/>
        <v>0</v>
      </c>
      <c r="BB159" s="500">
        <v>0</v>
      </c>
      <c r="BC159" s="500" t="e">
        <f>#REF!</f>
        <v>#REF!</v>
      </c>
      <c r="BE159" s="510">
        <f t="shared" si="172"/>
        <v>0</v>
      </c>
      <c r="BF159" s="510">
        <f t="shared" si="173"/>
        <v>0</v>
      </c>
      <c r="BG159" s="510">
        <f t="shared" si="174"/>
        <v>0</v>
      </c>
    </row>
    <row r="160" spans="1:59" ht="12">
      <c r="A160" s="506" t="s">
        <v>808</v>
      </c>
      <c r="B160" s="506"/>
      <c r="C160" s="506" t="s">
        <v>2360</v>
      </c>
      <c r="D160" s="506" t="s">
        <v>2359</v>
      </c>
      <c r="E160" s="506" t="s">
        <v>258</v>
      </c>
      <c r="F160" s="499">
        <v>3</v>
      </c>
      <c r="G160" s="530">
        <v>0</v>
      </c>
      <c r="H160" s="499">
        <f t="shared" si="153"/>
        <v>0</v>
      </c>
      <c r="I160" s="499">
        <f t="shared" si="154"/>
        <v>0</v>
      </c>
      <c r="J160" s="499">
        <f t="shared" si="155"/>
        <v>0</v>
      </c>
      <c r="W160" s="500">
        <f t="shared" si="156"/>
        <v>0</v>
      </c>
      <c r="Y160" s="500">
        <f t="shared" si="157"/>
        <v>0</v>
      </c>
      <c r="Z160" s="500">
        <f t="shared" si="158"/>
        <v>0</v>
      </c>
      <c r="AA160" s="500">
        <f t="shared" si="159"/>
        <v>0</v>
      </c>
      <c r="AB160" s="500">
        <f t="shared" si="160"/>
        <v>0</v>
      </c>
      <c r="AC160" s="500">
        <f t="shared" si="161"/>
        <v>0</v>
      </c>
      <c r="AD160" s="500">
        <f t="shared" si="162"/>
        <v>0</v>
      </c>
      <c r="AE160" s="500">
        <f t="shared" si="163"/>
        <v>0</v>
      </c>
      <c r="AF160" s="501"/>
      <c r="AG160" s="499">
        <f t="shared" si="164"/>
        <v>0</v>
      </c>
      <c r="AH160" s="499">
        <f t="shared" si="165"/>
        <v>0</v>
      </c>
      <c r="AI160" s="499">
        <f t="shared" si="166"/>
        <v>0</v>
      </c>
      <c r="AK160" s="500">
        <v>21</v>
      </c>
      <c r="AL160" s="500">
        <f>G160*0</f>
        <v>0</v>
      </c>
      <c r="AM160" s="500">
        <f>G160*(1-0)</f>
        <v>0</v>
      </c>
      <c r="AN160" s="503" t="s">
        <v>225</v>
      </c>
      <c r="AS160" s="500">
        <f t="shared" si="167"/>
        <v>0</v>
      </c>
      <c r="AT160" s="500">
        <f t="shared" si="168"/>
        <v>0</v>
      </c>
      <c r="AU160" s="500">
        <f t="shared" si="169"/>
        <v>0</v>
      </c>
      <c r="AV160" s="502" t="s">
        <v>2352</v>
      </c>
      <c r="AW160" s="502" t="s">
        <v>1755</v>
      </c>
      <c r="AX160" s="501" t="s">
        <v>1749</v>
      </c>
      <c r="AZ160" s="500">
        <f t="shared" si="170"/>
        <v>0</v>
      </c>
      <c r="BA160" s="500">
        <f t="shared" si="171"/>
        <v>0</v>
      </c>
      <c r="BB160" s="500">
        <v>0</v>
      </c>
      <c r="BC160" s="500" t="e">
        <f>#REF!</f>
        <v>#REF!</v>
      </c>
      <c r="BE160" s="499">
        <f t="shared" si="172"/>
        <v>0</v>
      </c>
      <c r="BF160" s="499">
        <f t="shared" si="173"/>
        <v>0</v>
      </c>
      <c r="BG160" s="499">
        <f t="shared" si="174"/>
        <v>0</v>
      </c>
    </row>
    <row r="161" spans="1:59" ht="12">
      <c r="A161" s="506" t="s">
        <v>812</v>
      </c>
      <c r="B161" s="506"/>
      <c r="C161" s="506" t="s">
        <v>2358</v>
      </c>
      <c r="D161" s="506" t="s">
        <v>2357</v>
      </c>
      <c r="E161" s="506" t="s">
        <v>258</v>
      </c>
      <c r="F161" s="499">
        <v>3</v>
      </c>
      <c r="G161" s="530">
        <v>0</v>
      </c>
      <c r="H161" s="499">
        <f t="shared" si="153"/>
        <v>0</v>
      </c>
      <c r="I161" s="499">
        <f t="shared" si="154"/>
        <v>0</v>
      </c>
      <c r="J161" s="499">
        <f t="shared" si="155"/>
        <v>0</v>
      </c>
      <c r="W161" s="500">
        <f t="shared" si="156"/>
        <v>0</v>
      </c>
      <c r="Y161" s="500">
        <f t="shared" si="157"/>
        <v>0</v>
      </c>
      <c r="Z161" s="500">
        <f t="shared" si="158"/>
        <v>0</v>
      </c>
      <c r="AA161" s="500">
        <f t="shared" si="159"/>
        <v>0</v>
      </c>
      <c r="AB161" s="500">
        <f t="shared" si="160"/>
        <v>0</v>
      </c>
      <c r="AC161" s="500">
        <f t="shared" si="161"/>
        <v>0</v>
      </c>
      <c r="AD161" s="500">
        <f t="shared" si="162"/>
        <v>0</v>
      </c>
      <c r="AE161" s="500">
        <f t="shared" si="163"/>
        <v>0</v>
      </c>
      <c r="AF161" s="501"/>
      <c r="AG161" s="499">
        <f t="shared" si="164"/>
        <v>0</v>
      </c>
      <c r="AH161" s="499">
        <f t="shared" si="165"/>
        <v>0</v>
      </c>
      <c r="AI161" s="499">
        <f t="shared" si="166"/>
        <v>0</v>
      </c>
      <c r="AK161" s="500">
        <v>21</v>
      </c>
      <c r="AL161" s="500">
        <f>G161*1</f>
        <v>0</v>
      </c>
      <c r="AM161" s="500">
        <f>G161*(1-1)</f>
        <v>0</v>
      </c>
      <c r="AN161" s="503" t="s">
        <v>225</v>
      </c>
      <c r="AS161" s="500">
        <f t="shared" si="167"/>
        <v>0</v>
      </c>
      <c r="AT161" s="500">
        <f t="shared" si="168"/>
        <v>0</v>
      </c>
      <c r="AU161" s="500">
        <f t="shared" si="169"/>
        <v>0</v>
      </c>
      <c r="AV161" s="502" t="s">
        <v>2352</v>
      </c>
      <c r="AW161" s="502" t="s">
        <v>1755</v>
      </c>
      <c r="AX161" s="501" t="s">
        <v>1749</v>
      </c>
      <c r="AZ161" s="500">
        <f t="shared" si="170"/>
        <v>0</v>
      </c>
      <c r="BA161" s="500">
        <f t="shared" si="171"/>
        <v>0</v>
      </c>
      <c r="BB161" s="500">
        <v>0</v>
      </c>
      <c r="BC161" s="500" t="e">
        <f>#REF!</f>
        <v>#REF!</v>
      </c>
      <c r="BE161" s="499">
        <f t="shared" si="172"/>
        <v>0</v>
      </c>
      <c r="BF161" s="499">
        <f t="shared" si="173"/>
        <v>0</v>
      </c>
      <c r="BG161" s="499">
        <f t="shared" si="174"/>
        <v>0</v>
      </c>
    </row>
    <row r="162" spans="1:59" ht="12">
      <c r="A162" s="506" t="s">
        <v>816</v>
      </c>
      <c r="B162" s="506"/>
      <c r="C162" s="506" t="s">
        <v>2356</v>
      </c>
      <c r="D162" s="506" t="s">
        <v>2355</v>
      </c>
      <c r="E162" s="506" t="s">
        <v>258</v>
      </c>
      <c r="F162" s="499">
        <v>1</v>
      </c>
      <c r="G162" s="530">
        <v>0</v>
      </c>
      <c r="H162" s="499">
        <f t="shared" si="153"/>
        <v>0</v>
      </c>
      <c r="I162" s="499">
        <f t="shared" si="154"/>
        <v>0</v>
      </c>
      <c r="J162" s="499">
        <f t="shared" si="155"/>
        <v>0</v>
      </c>
      <c r="W162" s="500">
        <f t="shared" si="156"/>
        <v>0</v>
      </c>
      <c r="Y162" s="500">
        <f t="shared" si="157"/>
        <v>0</v>
      </c>
      <c r="Z162" s="500">
        <f t="shared" si="158"/>
        <v>0</v>
      </c>
      <c r="AA162" s="500">
        <f t="shared" si="159"/>
        <v>0</v>
      </c>
      <c r="AB162" s="500">
        <f t="shared" si="160"/>
        <v>0</v>
      </c>
      <c r="AC162" s="500">
        <f t="shared" si="161"/>
        <v>0</v>
      </c>
      <c r="AD162" s="500">
        <f t="shared" si="162"/>
        <v>0</v>
      </c>
      <c r="AE162" s="500">
        <f t="shared" si="163"/>
        <v>0</v>
      </c>
      <c r="AF162" s="501"/>
      <c r="AG162" s="499">
        <f t="shared" si="164"/>
        <v>0</v>
      </c>
      <c r="AH162" s="499">
        <f t="shared" si="165"/>
        <v>0</v>
      </c>
      <c r="AI162" s="499">
        <f t="shared" si="166"/>
        <v>0</v>
      </c>
      <c r="AK162" s="500">
        <v>21</v>
      </c>
      <c r="AL162" s="500">
        <f>G162*0</f>
        <v>0</v>
      </c>
      <c r="AM162" s="500">
        <f>G162*(1-0)</f>
        <v>0</v>
      </c>
      <c r="AN162" s="503" t="s">
        <v>225</v>
      </c>
      <c r="AS162" s="500">
        <f t="shared" si="167"/>
        <v>0</v>
      </c>
      <c r="AT162" s="500">
        <f t="shared" si="168"/>
        <v>0</v>
      </c>
      <c r="AU162" s="500">
        <f t="shared" si="169"/>
        <v>0</v>
      </c>
      <c r="AV162" s="502" t="s">
        <v>2352</v>
      </c>
      <c r="AW162" s="502" t="s">
        <v>1755</v>
      </c>
      <c r="AX162" s="501" t="s">
        <v>1749</v>
      </c>
      <c r="AZ162" s="500">
        <f t="shared" si="170"/>
        <v>0</v>
      </c>
      <c r="BA162" s="500">
        <f t="shared" si="171"/>
        <v>0</v>
      </c>
      <c r="BB162" s="500">
        <v>0</v>
      </c>
      <c r="BC162" s="500" t="e">
        <f>#REF!</f>
        <v>#REF!</v>
      </c>
      <c r="BE162" s="499">
        <f t="shared" si="172"/>
        <v>0</v>
      </c>
      <c r="BF162" s="499">
        <f t="shared" si="173"/>
        <v>0</v>
      </c>
      <c r="BG162" s="499">
        <f t="shared" si="174"/>
        <v>0</v>
      </c>
    </row>
    <row r="163" spans="1:59" ht="12">
      <c r="A163" s="506" t="s">
        <v>821</v>
      </c>
      <c r="B163" s="506"/>
      <c r="C163" s="506" t="s">
        <v>2354</v>
      </c>
      <c r="D163" s="506" t="s">
        <v>2353</v>
      </c>
      <c r="E163" s="506" t="s">
        <v>258</v>
      </c>
      <c r="F163" s="499">
        <v>2</v>
      </c>
      <c r="G163" s="530">
        <v>0</v>
      </c>
      <c r="H163" s="499">
        <f t="shared" si="153"/>
        <v>0</v>
      </c>
      <c r="I163" s="499">
        <f t="shared" si="154"/>
        <v>0</v>
      </c>
      <c r="J163" s="499">
        <f t="shared" si="155"/>
        <v>0</v>
      </c>
      <c r="W163" s="500">
        <f t="shared" si="156"/>
        <v>0</v>
      </c>
      <c r="Y163" s="500">
        <f t="shared" si="157"/>
        <v>0</v>
      </c>
      <c r="Z163" s="500">
        <f t="shared" si="158"/>
        <v>0</v>
      </c>
      <c r="AA163" s="500">
        <f t="shared" si="159"/>
        <v>0</v>
      </c>
      <c r="AB163" s="500">
        <f t="shared" si="160"/>
        <v>0</v>
      </c>
      <c r="AC163" s="500">
        <f t="shared" si="161"/>
        <v>0</v>
      </c>
      <c r="AD163" s="500">
        <f t="shared" si="162"/>
        <v>0</v>
      </c>
      <c r="AE163" s="500">
        <f t="shared" si="163"/>
        <v>0</v>
      </c>
      <c r="AF163" s="501"/>
      <c r="AG163" s="499">
        <f t="shared" si="164"/>
        <v>0</v>
      </c>
      <c r="AH163" s="499">
        <f t="shared" si="165"/>
        <v>0</v>
      </c>
      <c r="AI163" s="499">
        <f t="shared" si="166"/>
        <v>0</v>
      </c>
      <c r="AK163" s="500">
        <v>21</v>
      </c>
      <c r="AL163" s="500">
        <f>G163*0</f>
        <v>0</v>
      </c>
      <c r="AM163" s="500">
        <f>G163*(1-0)</f>
        <v>0</v>
      </c>
      <c r="AN163" s="503" t="s">
        <v>225</v>
      </c>
      <c r="AS163" s="500">
        <f t="shared" si="167"/>
        <v>0</v>
      </c>
      <c r="AT163" s="500">
        <f t="shared" si="168"/>
        <v>0</v>
      </c>
      <c r="AU163" s="500">
        <f t="shared" si="169"/>
        <v>0</v>
      </c>
      <c r="AV163" s="502" t="s">
        <v>2352</v>
      </c>
      <c r="AW163" s="502" t="s">
        <v>1755</v>
      </c>
      <c r="AX163" s="501" t="s">
        <v>1749</v>
      </c>
      <c r="AZ163" s="500">
        <f t="shared" si="170"/>
        <v>0</v>
      </c>
      <c r="BA163" s="500">
        <f t="shared" si="171"/>
        <v>0</v>
      </c>
      <c r="BB163" s="500">
        <v>0</v>
      </c>
      <c r="BC163" s="500" t="e">
        <f>#REF!</f>
        <v>#REF!</v>
      </c>
      <c r="BE163" s="499">
        <f t="shared" si="172"/>
        <v>0</v>
      </c>
      <c r="BF163" s="499">
        <f t="shared" si="173"/>
        <v>0</v>
      </c>
      <c r="BG163" s="499">
        <f t="shared" si="174"/>
        <v>0</v>
      </c>
    </row>
    <row r="164" spans="1:44" ht="12">
      <c r="A164" s="508"/>
      <c r="B164" s="509"/>
      <c r="C164" s="509" t="s">
        <v>2351</v>
      </c>
      <c r="D164" s="509" t="s">
        <v>1583</v>
      </c>
      <c r="E164" s="508" t="s">
        <v>146</v>
      </c>
      <c r="F164" s="508" t="s">
        <v>146</v>
      </c>
      <c r="G164" s="533"/>
      <c r="H164" s="507">
        <f>SUM(H165:H168)</f>
        <v>0</v>
      </c>
      <c r="I164" s="507">
        <f>SUM(I165:I168)</f>
        <v>0</v>
      </c>
      <c r="J164" s="507">
        <f>SUM(J165:J168)</f>
        <v>0</v>
      </c>
      <c r="AF164" s="501"/>
      <c r="AP164" s="507">
        <f>SUM(AG165:AG168)</f>
        <v>0</v>
      </c>
      <c r="AQ164" s="507">
        <f>SUM(AH165:AH168)</f>
        <v>0</v>
      </c>
      <c r="AR164" s="507">
        <f>SUM(AI165:AI168)</f>
        <v>0</v>
      </c>
    </row>
    <row r="165" spans="1:59" ht="12">
      <c r="A165" s="506" t="s">
        <v>826</v>
      </c>
      <c r="B165" s="506"/>
      <c r="C165" s="506" t="s">
        <v>1753</v>
      </c>
      <c r="D165" s="506" t="s">
        <v>1752</v>
      </c>
      <c r="E165" s="506" t="s">
        <v>1437</v>
      </c>
      <c r="F165" s="499">
        <v>1</v>
      </c>
      <c r="G165" s="530">
        <v>0</v>
      </c>
      <c r="H165" s="499">
        <f>F165*AL165</f>
        <v>0</v>
      </c>
      <c r="I165" s="499">
        <f>F165*AM165</f>
        <v>0</v>
      </c>
      <c r="J165" s="499">
        <f>F165*G165</f>
        <v>0</v>
      </c>
      <c r="W165" s="500">
        <f>IF(AN165="5",BG165,0)</f>
        <v>0</v>
      </c>
      <c r="Y165" s="500">
        <f>IF(AN165="1",BE165,0)</f>
        <v>0</v>
      </c>
      <c r="Z165" s="500">
        <f>IF(AN165="1",BF165,0)</f>
        <v>0</v>
      </c>
      <c r="AA165" s="500">
        <f>IF(AN165="7",BE165,0)</f>
        <v>0</v>
      </c>
      <c r="AB165" s="500">
        <f>IF(AN165="7",BF165,0)</f>
        <v>0</v>
      </c>
      <c r="AC165" s="500">
        <f>IF(AN165="2",BE165,0)</f>
        <v>0</v>
      </c>
      <c r="AD165" s="500">
        <f>IF(AN165="2",BF165,0)</f>
        <v>0</v>
      </c>
      <c r="AE165" s="500">
        <f>IF(AN165="0",BG165,0)</f>
        <v>0</v>
      </c>
      <c r="AF165" s="501"/>
      <c r="AG165" s="499">
        <f>IF(AK165=0,J165,0)</f>
        <v>0</v>
      </c>
      <c r="AH165" s="499">
        <f>IF(AK165=15,J165,0)</f>
        <v>0</v>
      </c>
      <c r="AI165" s="499">
        <f>IF(AK165=21,J165,0)</f>
        <v>0</v>
      </c>
      <c r="AK165" s="500">
        <v>21</v>
      </c>
      <c r="AL165" s="500">
        <f>G165*0</f>
        <v>0</v>
      </c>
      <c r="AM165" s="500">
        <f>G165*(1-0)</f>
        <v>0</v>
      </c>
      <c r="AN165" s="503" t="s">
        <v>77</v>
      </c>
      <c r="AS165" s="500">
        <f>AT165+AU165</f>
        <v>0</v>
      </c>
      <c r="AT165" s="500">
        <f>F165*AL165</f>
        <v>0</v>
      </c>
      <c r="AU165" s="500">
        <f>F165*AM165</f>
        <v>0</v>
      </c>
      <c r="AV165" s="502" t="s">
        <v>2345</v>
      </c>
      <c r="AW165" s="502" t="s">
        <v>2344</v>
      </c>
      <c r="AX165" s="501" t="s">
        <v>1749</v>
      </c>
      <c r="AZ165" s="500">
        <f>AT165+AU165</f>
        <v>0</v>
      </c>
      <c r="BA165" s="500">
        <f>G165/(100-BB165)*100</f>
        <v>0</v>
      </c>
      <c r="BB165" s="500">
        <v>0</v>
      </c>
      <c r="BC165" s="500" t="e">
        <f>#REF!</f>
        <v>#REF!</v>
      </c>
      <c r="BE165" s="499">
        <f>F165*AL165</f>
        <v>0</v>
      </c>
      <c r="BF165" s="499">
        <f>F165*AM165</f>
        <v>0</v>
      </c>
      <c r="BG165" s="499">
        <f>F165*G165</f>
        <v>0</v>
      </c>
    </row>
    <row r="166" spans="1:59" ht="12">
      <c r="A166" s="506" t="s">
        <v>830</v>
      </c>
      <c r="B166" s="506"/>
      <c r="C166" s="506" t="s">
        <v>2350</v>
      </c>
      <c r="D166" s="506" t="s">
        <v>2349</v>
      </c>
      <c r="E166" s="506" t="s">
        <v>1437</v>
      </c>
      <c r="F166" s="499">
        <v>1</v>
      </c>
      <c r="G166" s="530">
        <v>0</v>
      </c>
      <c r="H166" s="499">
        <f>F166*AL166</f>
        <v>0</v>
      </c>
      <c r="I166" s="499">
        <f>F166*AM166</f>
        <v>0</v>
      </c>
      <c r="J166" s="499">
        <f>F166*G166</f>
        <v>0</v>
      </c>
      <c r="W166" s="500">
        <f>IF(AN166="5",BG166,0)</f>
        <v>0</v>
      </c>
      <c r="Y166" s="500">
        <f>IF(AN166="1",BE166,0)</f>
        <v>0</v>
      </c>
      <c r="Z166" s="500">
        <f>IF(AN166="1",BF166,0)</f>
        <v>0</v>
      </c>
      <c r="AA166" s="500">
        <f>IF(AN166="7",BE166,0)</f>
        <v>0</v>
      </c>
      <c r="AB166" s="500">
        <f>IF(AN166="7",BF166,0)</f>
        <v>0</v>
      </c>
      <c r="AC166" s="500">
        <f>IF(AN166="2",BE166,0)</f>
        <v>0</v>
      </c>
      <c r="AD166" s="500">
        <f>IF(AN166="2",BF166,0)</f>
        <v>0</v>
      </c>
      <c r="AE166" s="500">
        <f>IF(AN166="0",BG166,0)</f>
        <v>0</v>
      </c>
      <c r="AF166" s="501"/>
      <c r="AG166" s="499">
        <f>IF(AK166=0,J166,0)</f>
        <v>0</v>
      </c>
      <c r="AH166" s="499">
        <f>IF(AK166=15,J166,0)</f>
        <v>0</v>
      </c>
      <c r="AI166" s="499">
        <f>IF(AK166=21,J166,0)</f>
        <v>0</v>
      </c>
      <c r="AK166" s="500">
        <v>21</v>
      </c>
      <c r="AL166" s="500">
        <f>G166*0</f>
        <v>0</v>
      </c>
      <c r="AM166" s="500">
        <f>G166*(1-0)</f>
        <v>0</v>
      </c>
      <c r="AN166" s="503" t="s">
        <v>77</v>
      </c>
      <c r="AS166" s="500">
        <f>AT166+AU166</f>
        <v>0</v>
      </c>
      <c r="AT166" s="500">
        <f>F166*AL166</f>
        <v>0</v>
      </c>
      <c r="AU166" s="500">
        <f>F166*AM166</f>
        <v>0</v>
      </c>
      <c r="AV166" s="502" t="s">
        <v>2345</v>
      </c>
      <c r="AW166" s="502" t="s">
        <v>2344</v>
      </c>
      <c r="AX166" s="501" t="s">
        <v>1749</v>
      </c>
      <c r="AZ166" s="500">
        <f>AT166+AU166</f>
        <v>0</v>
      </c>
      <c r="BA166" s="500">
        <f>G166/(100-BB166)*100</f>
        <v>0</v>
      </c>
      <c r="BB166" s="500">
        <v>0</v>
      </c>
      <c r="BC166" s="500" t="e">
        <f>#REF!</f>
        <v>#REF!</v>
      </c>
      <c r="BE166" s="499">
        <f>F166*AL166</f>
        <v>0</v>
      </c>
      <c r="BF166" s="499">
        <f>F166*AM166</f>
        <v>0</v>
      </c>
      <c r="BG166" s="499">
        <f>F166*G166</f>
        <v>0</v>
      </c>
    </row>
    <row r="167" spans="1:59" ht="12">
      <c r="A167" s="506" t="s">
        <v>835</v>
      </c>
      <c r="B167" s="505"/>
      <c r="C167" s="505" t="s">
        <v>2348</v>
      </c>
      <c r="D167" s="505" t="s">
        <v>2347</v>
      </c>
      <c r="E167" s="505" t="s">
        <v>1437</v>
      </c>
      <c r="F167" s="504">
        <v>1</v>
      </c>
      <c r="G167" s="534">
        <v>0</v>
      </c>
      <c r="H167" s="504">
        <f>F167*AL167</f>
        <v>0</v>
      </c>
      <c r="I167" s="504">
        <f>F167*AM167</f>
        <v>0</v>
      </c>
      <c r="J167" s="504">
        <f>F167*G167</f>
        <v>0</v>
      </c>
      <c r="W167" s="500">
        <f>IF(AN167="5",BG167,0)</f>
        <v>0</v>
      </c>
      <c r="Y167" s="500">
        <f>IF(AN167="1",BE167,0)</f>
        <v>0</v>
      </c>
      <c r="Z167" s="500">
        <f>IF(AN167="1",BF167,0)</f>
        <v>0</v>
      </c>
      <c r="AA167" s="500">
        <f>IF(AN167="7",BE167,0)</f>
        <v>0</v>
      </c>
      <c r="AB167" s="500">
        <f>IF(AN167="7",BF167,0)</f>
        <v>0</v>
      </c>
      <c r="AC167" s="500">
        <f>IF(AN167="2",BE167,0)</f>
        <v>0</v>
      </c>
      <c r="AD167" s="500">
        <f>IF(AN167="2",BF167,0)</f>
        <v>0</v>
      </c>
      <c r="AE167" s="500">
        <f>IF(AN167="0",BG167,0)</f>
        <v>0</v>
      </c>
      <c r="AF167" s="501"/>
      <c r="AG167" s="499">
        <f>IF(AK167=0,J167,0)</f>
        <v>0</v>
      </c>
      <c r="AH167" s="499">
        <f>IF(AK167=15,J167,0)</f>
        <v>0</v>
      </c>
      <c r="AI167" s="499">
        <f>IF(AK167=21,J167,0)</f>
        <v>0</v>
      </c>
      <c r="AK167" s="500">
        <v>21</v>
      </c>
      <c r="AL167" s="500">
        <f>G167*0</f>
        <v>0</v>
      </c>
      <c r="AM167" s="500">
        <f>G167*(1-0)</f>
        <v>0</v>
      </c>
      <c r="AN167" s="503" t="s">
        <v>77</v>
      </c>
      <c r="AS167" s="500">
        <f>AT167+AU167</f>
        <v>0</v>
      </c>
      <c r="AT167" s="500">
        <f>F167*AL167</f>
        <v>0</v>
      </c>
      <c r="AU167" s="500">
        <f>F167*AM167</f>
        <v>0</v>
      </c>
      <c r="AV167" s="502" t="s">
        <v>2345</v>
      </c>
      <c r="AW167" s="502" t="s">
        <v>2344</v>
      </c>
      <c r="AX167" s="501" t="s">
        <v>1749</v>
      </c>
      <c r="AZ167" s="500">
        <f>AT167+AU167</f>
        <v>0</v>
      </c>
      <c r="BA167" s="500">
        <f>G167/(100-BB167)*100</f>
        <v>0</v>
      </c>
      <c r="BB167" s="500">
        <v>0</v>
      </c>
      <c r="BC167" s="500" t="e">
        <f>#REF!</f>
        <v>#REF!</v>
      </c>
      <c r="BE167" s="499">
        <f>F167*AL167</f>
        <v>0</v>
      </c>
      <c r="BF167" s="499">
        <f>F167*AM167</f>
        <v>0</v>
      </c>
      <c r="BG167" s="499">
        <f>F167*G167</f>
        <v>0</v>
      </c>
    </row>
    <row r="168" spans="1:59" ht="12">
      <c r="A168" s="506" t="s">
        <v>840</v>
      </c>
      <c r="B168" s="505"/>
      <c r="C168" s="505" t="s">
        <v>2346</v>
      </c>
      <c r="D168" s="505" t="s">
        <v>1513</v>
      </c>
      <c r="E168" s="505" t="s">
        <v>1437</v>
      </c>
      <c r="F168" s="504">
        <v>1</v>
      </c>
      <c r="G168" s="534">
        <v>0</v>
      </c>
      <c r="H168" s="504">
        <f>F168*AL168</f>
        <v>0</v>
      </c>
      <c r="I168" s="504">
        <f>F168*AM168</f>
        <v>0</v>
      </c>
      <c r="J168" s="504">
        <f>F168*G168</f>
        <v>0</v>
      </c>
      <c r="W168" s="500">
        <f>IF(AN168="5",BG168,0)</f>
        <v>0</v>
      </c>
      <c r="Y168" s="500">
        <f>IF(AN168="1",BE168,0)</f>
        <v>0</v>
      </c>
      <c r="Z168" s="500">
        <f>IF(AN168="1",BF168,0)</f>
        <v>0</v>
      </c>
      <c r="AA168" s="500">
        <f>IF(AN168="7",BE168,0)</f>
        <v>0</v>
      </c>
      <c r="AB168" s="500">
        <f>IF(AN168="7",BF168,0)</f>
        <v>0</v>
      </c>
      <c r="AC168" s="500">
        <f>IF(AN168="2",BE168,0)</f>
        <v>0</v>
      </c>
      <c r="AD168" s="500">
        <f>IF(AN168="2",BF168,0)</f>
        <v>0</v>
      </c>
      <c r="AE168" s="500">
        <f>IF(AN168="0",BG168,0)</f>
        <v>0</v>
      </c>
      <c r="AF168" s="501"/>
      <c r="AG168" s="499">
        <f>IF(AK168=0,J168,0)</f>
        <v>0</v>
      </c>
      <c r="AH168" s="499">
        <f>IF(AK168=15,J168,0)</f>
        <v>0</v>
      </c>
      <c r="AI168" s="499">
        <f>IF(AK168=21,J168,0)</f>
        <v>0</v>
      </c>
      <c r="AK168" s="500">
        <v>21</v>
      </c>
      <c r="AL168" s="500">
        <f>G168*0</f>
        <v>0</v>
      </c>
      <c r="AM168" s="500">
        <f>G168*(1-0)</f>
        <v>0</v>
      </c>
      <c r="AN168" s="503" t="s">
        <v>77</v>
      </c>
      <c r="AS168" s="500">
        <f>AT168+AU168</f>
        <v>0</v>
      </c>
      <c r="AT168" s="500">
        <f>F168*AL168</f>
        <v>0</v>
      </c>
      <c r="AU168" s="500">
        <f>F168*AM168</f>
        <v>0</v>
      </c>
      <c r="AV168" s="502" t="s">
        <v>2345</v>
      </c>
      <c r="AW168" s="502" t="s">
        <v>2344</v>
      </c>
      <c r="AX168" s="501" t="s">
        <v>1749</v>
      </c>
      <c r="AZ168" s="500">
        <f>AT168+AU168</f>
        <v>0</v>
      </c>
      <c r="BA168" s="500">
        <f>G168/(100-BB168)*100</f>
        <v>0</v>
      </c>
      <c r="BB168" s="500">
        <v>0</v>
      </c>
      <c r="BC168" s="500" t="e">
        <f>#REF!</f>
        <v>#REF!</v>
      </c>
      <c r="BE168" s="499">
        <f>F168*AL168</f>
        <v>0</v>
      </c>
      <c r="BF168" s="499">
        <f>F168*AM168</f>
        <v>0</v>
      </c>
      <c r="BG168" s="499">
        <f>F168*G168</f>
        <v>0</v>
      </c>
    </row>
    <row r="169" spans="1:10" ht="12">
      <c r="A169" s="498"/>
      <c r="B169" s="498"/>
      <c r="C169" s="498"/>
      <c r="D169" s="498"/>
      <c r="E169" s="498"/>
      <c r="F169" s="498"/>
      <c r="G169" s="535"/>
      <c r="H169" s="768" t="s">
        <v>1748</v>
      </c>
      <c r="I169" s="769"/>
      <c r="J169" s="497">
        <f>J12+J74+J109+J121+J132+J153+J164</f>
        <v>0</v>
      </c>
    </row>
    <row r="170" ht="11.25" customHeight="1">
      <c r="A170" s="496"/>
    </row>
    <row r="171" spans="1:12" ht="46.5" customHeight="1">
      <c r="A171" s="761" t="s">
        <v>1987</v>
      </c>
      <c r="B171" s="761"/>
      <c r="C171" s="761"/>
      <c r="D171" s="761"/>
      <c r="E171" s="761"/>
      <c r="F171" s="761"/>
      <c r="G171" s="761"/>
      <c r="H171" s="761"/>
      <c r="I171" s="761"/>
      <c r="J171" s="761"/>
      <c r="K171" s="536"/>
      <c r="L171" s="536"/>
    </row>
  </sheetData>
  <sheetProtection algorithmName="SHA-512" hashValue="1jtDKAOI71SUQyoMf2M5AWOTllBU3XTtM2mD9eJgsV9H2MfFu4Y+Iab8HtxuMxNYimGvGwG6himG8Zo86Po+3w==" saltValue="WvNhlexFNa/88NQ6626b+A==" spinCount="100000" sheet="1" objects="1" scenarios="1"/>
  <mergeCells count="28">
    <mergeCell ref="I6:J7"/>
    <mergeCell ref="A171:J171"/>
    <mergeCell ref="A8:C9"/>
    <mergeCell ref="D8:D9"/>
    <mergeCell ref="E8:F9"/>
    <mergeCell ref="G8:G9"/>
    <mergeCell ref="H8:H9"/>
    <mergeCell ref="I8:J9"/>
    <mergeCell ref="H10:J10"/>
    <mergeCell ref="H169:I169"/>
    <mergeCell ref="A6:C7"/>
    <mergeCell ref="D6:D7"/>
    <mergeCell ref="E6:F7"/>
    <mergeCell ref="G6:G7"/>
    <mergeCell ref="H6:H7"/>
    <mergeCell ref="A4:C5"/>
    <mergeCell ref="D4:D5"/>
    <mergeCell ref="E4:F5"/>
    <mergeCell ref="A1:J1"/>
    <mergeCell ref="A2:C3"/>
    <mergeCell ref="D2:D3"/>
    <mergeCell ref="E2:F3"/>
    <mergeCell ref="G2:G3"/>
    <mergeCell ref="H2:H3"/>
    <mergeCell ref="I2:J3"/>
    <mergeCell ref="G4:G5"/>
    <mergeCell ref="H4:H5"/>
    <mergeCell ref="I4:J5"/>
  </mergeCells>
  <printOptions/>
  <pageMargins left="0.394" right="0.394" top="0.591" bottom="0.591" header="0.5" footer="0.5"/>
  <pageSetup fitToHeight="0" fitToWidth="1" horizontalDpi="600" verticalDpi="600" orientation="portrait"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2060"/>
    <pageSetUpPr fitToPage="1"/>
  </sheetPr>
  <dimension ref="A2:BM98"/>
  <sheetViews>
    <sheetView showGridLines="0" workbookViewId="0" topLeftCell="A75">
      <selection activeCell="I75" sqref="I75"/>
    </sheetView>
  </sheetViews>
  <sheetFormatPr defaultColWidth="9.140625" defaultRowHeight="12"/>
  <cols>
    <col min="1" max="1" width="8.8515625" style="1" customWidth="1"/>
    <col min="2" max="2" width="1.1484375" style="1" customWidth="1"/>
    <col min="3" max="4" width="4.421875" style="1" customWidth="1"/>
    <col min="5" max="5" width="18.28125" style="1" customWidth="1"/>
    <col min="6" max="6" width="108.00390625" style="1" customWidth="1"/>
    <col min="7" max="7" width="8.00390625" style="1" customWidth="1"/>
    <col min="8" max="8" width="12.28125" style="1" customWidth="1"/>
    <col min="9" max="11" width="21.421875" style="1" customWidth="1"/>
    <col min="12" max="12" width="10.00390625" style="1" customWidth="1"/>
    <col min="13" max="13" width="11.421875" style="1" hidden="1" customWidth="1"/>
    <col min="14" max="14" width="9.140625" style="1" hidden="1" customWidth="1"/>
    <col min="15" max="20" width="15.140625" style="1" hidden="1" customWidth="1"/>
    <col min="21" max="21" width="17.421875" style="1" hidden="1" customWidth="1"/>
    <col min="22" max="22" width="13.140625" style="1" customWidth="1"/>
    <col min="23" max="23" width="17.421875" style="1" customWidth="1"/>
    <col min="24" max="24" width="13.140625" style="1" customWidth="1"/>
    <col min="25" max="25" width="16.00390625" style="1" customWidth="1"/>
    <col min="26" max="26" width="11.7109375" style="1" customWidth="1"/>
    <col min="27" max="27" width="16.00390625" style="1" customWidth="1"/>
    <col min="28" max="28" width="17.421875" style="1" customWidth="1"/>
    <col min="29" max="29" width="11.7109375" style="1" customWidth="1"/>
    <col min="30" max="30" width="16.00390625" style="1" customWidth="1"/>
    <col min="31" max="31" width="17.421875" style="1" customWidth="1"/>
    <col min="44" max="65" width="9.140625" style="1" hidden="1" customWidth="1"/>
  </cols>
  <sheetData>
    <row r="1" ht="12"/>
    <row r="2" spans="12:46" s="1" customFormat="1" ht="36.95" customHeight="1">
      <c r="L2" s="682"/>
      <c r="M2" s="682"/>
      <c r="N2" s="682"/>
      <c r="O2" s="682"/>
      <c r="P2" s="682"/>
      <c r="Q2" s="682"/>
      <c r="R2" s="682"/>
      <c r="S2" s="682"/>
      <c r="T2" s="682"/>
      <c r="U2" s="682"/>
      <c r="V2" s="682"/>
      <c r="AT2" s="15" t="s">
        <v>120</v>
      </c>
    </row>
    <row r="3" spans="2:46" s="1" customFormat="1" ht="6.95" customHeight="1">
      <c r="B3" s="106"/>
      <c r="C3" s="107"/>
      <c r="D3" s="107"/>
      <c r="E3" s="107"/>
      <c r="F3" s="107"/>
      <c r="G3" s="107"/>
      <c r="H3" s="107"/>
      <c r="I3" s="107"/>
      <c r="J3" s="107"/>
      <c r="K3" s="107"/>
      <c r="L3" s="18"/>
      <c r="AT3" s="15" t="s">
        <v>79</v>
      </c>
    </row>
    <row r="4" spans="2:46" s="1" customFormat="1" ht="24.95" customHeight="1">
      <c r="B4" s="18"/>
      <c r="D4" s="108" t="s">
        <v>141</v>
      </c>
      <c r="L4" s="18"/>
      <c r="M4" s="109" t="s">
        <v>10</v>
      </c>
      <c r="AT4" s="15" t="s">
        <v>4</v>
      </c>
    </row>
    <row r="5" spans="2:12" s="1" customFormat="1" ht="6.95" customHeight="1">
      <c r="B5" s="18"/>
      <c r="L5" s="18"/>
    </row>
    <row r="6" spans="2:12" s="1" customFormat="1" ht="12" customHeight="1">
      <c r="B6" s="18"/>
      <c r="D6" s="110" t="s">
        <v>16</v>
      </c>
      <c r="L6" s="18"/>
    </row>
    <row r="7" spans="2:12" s="1" customFormat="1" ht="14.45" customHeight="1">
      <c r="B7" s="18"/>
      <c r="E7" s="702" t="str">
        <f>'Rekapitulace stavby'!K6</f>
        <v>Úpravy gastroprovozu Úřadu vlády ČR v 1.pp Strakovy akademie</v>
      </c>
      <c r="F7" s="703"/>
      <c r="G7" s="703"/>
      <c r="H7" s="703"/>
      <c r="L7" s="18"/>
    </row>
    <row r="8" spans="2:12" ht="12.75">
      <c r="B8" s="18"/>
      <c r="D8" s="110" t="s">
        <v>142</v>
      </c>
      <c r="L8" s="18"/>
    </row>
    <row r="9" spans="2:12" s="1" customFormat="1" ht="14.45" customHeight="1">
      <c r="B9" s="18"/>
      <c r="E9" s="702" t="s">
        <v>1429</v>
      </c>
      <c r="F9" s="682"/>
      <c r="G9" s="682"/>
      <c r="H9" s="682"/>
      <c r="L9" s="18"/>
    </row>
    <row r="10" spans="2:12" s="1" customFormat="1" ht="12" customHeight="1">
      <c r="B10" s="18"/>
      <c r="D10" s="110" t="s">
        <v>144</v>
      </c>
      <c r="L10" s="18"/>
    </row>
    <row r="11" spans="1:31" s="2" customFormat="1" ht="14.45" customHeight="1">
      <c r="A11" s="32"/>
      <c r="B11" s="37"/>
      <c r="C11" s="32"/>
      <c r="D11" s="32"/>
      <c r="E11" s="747" t="s">
        <v>1472</v>
      </c>
      <c r="F11" s="704"/>
      <c r="G11" s="704"/>
      <c r="H11" s="704"/>
      <c r="I11" s="32"/>
      <c r="J11" s="32"/>
      <c r="K11" s="32"/>
      <c r="L11" s="111"/>
      <c r="S11" s="32"/>
      <c r="T11" s="32"/>
      <c r="U11" s="32"/>
      <c r="V11" s="32"/>
      <c r="W11" s="32"/>
      <c r="X11" s="32"/>
      <c r="Y11" s="32"/>
      <c r="Z11" s="32"/>
      <c r="AA11" s="32"/>
      <c r="AB11" s="32"/>
      <c r="AC11" s="32"/>
      <c r="AD11" s="32"/>
      <c r="AE11" s="32"/>
    </row>
    <row r="12" spans="1:31" s="2" customFormat="1" ht="12" customHeight="1">
      <c r="A12" s="32"/>
      <c r="B12" s="37"/>
      <c r="C12" s="32"/>
      <c r="D12" s="110" t="s">
        <v>1450</v>
      </c>
      <c r="E12" s="32"/>
      <c r="F12" s="32"/>
      <c r="G12" s="32"/>
      <c r="H12" s="32"/>
      <c r="I12" s="32"/>
      <c r="J12" s="32"/>
      <c r="K12" s="32"/>
      <c r="L12" s="111"/>
      <c r="S12" s="32"/>
      <c r="T12" s="32"/>
      <c r="U12" s="32"/>
      <c r="V12" s="32"/>
      <c r="W12" s="32"/>
      <c r="X12" s="32"/>
      <c r="Y12" s="32"/>
      <c r="Z12" s="32"/>
      <c r="AA12" s="32"/>
      <c r="AB12" s="32"/>
      <c r="AC12" s="32"/>
      <c r="AD12" s="32"/>
      <c r="AE12" s="32"/>
    </row>
    <row r="13" spans="1:31" s="2" customFormat="1" ht="14.45" customHeight="1">
      <c r="A13" s="32"/>
      <c r="B13" s="37"/>
      <c r="C13" s="32"/>
      <c r="D13" s="32"/>
      <c r="E13" s="705" t="s">
        <v>1473</v>
      </c>
      <c r="F13" s="704"/>
      <c r="G13" s="704"/>
      <c r="H13" s="704"/>
      <c r="I13" s="32"/>
      <c r="J13" s="32"/>
      <c r="K13" s="32"/>
      <c r="L13" s="111"/>
      <c r="S13" s="32"/>
      <c r="T13" s="32"/>
      <c r="U13" s="32"/>
      <c r="V13" s="32"/>
      <c r="W13" s="32"/>
      <c r="X13" s="32"/>
      <c r="Y13" s="32"/>
      <c r="Z13" s="32"/>
      <c r="AA13" s="32"/>
      <c r="AB13" s="32"/>
      <c r="AC13" s="32"/>
      <c r="AD13" s="32"/>
      <c r="AE13" s="32"/>
    </row>
    <row r="14" spans="1:31" s="2" customFormat="1" ht="12">
      <c r="A14" s="32"/>
      <c r="B14" s="37"/>
      <c r="C14" s="32"/>
      <c r="D14" s="32"/>
      <c r="E14" s="32"/>
      <c r="F14" s="32"/>
      <c r="G14" s="32"/>
      <c r="H14" s="32"/>
      <c r="I14" s="32"/>
      <c r="J14" s="32"/>
      <c r="K14" s="32"/>
      <c r="L14" s="111"/>
      <c r="S14" s="32"/>
      <c r="T14" s="32"/>
      <c r="U14" s="32"/>
      <c r="V14" s="32"/>
      <c r="W14" s="32"/>
      <c r="X14" s="32"/>
      <c r="Y14" s="32"/>
      <c r="Z14" s="32"/>
      <c r="AA14" s="32"/>
      <c r="AB14" s="32"/>
      <c r="AC14" s="32"/>
      <c r="AD14" s="32"/>
      <c r="AE14" s="32"/>
    </row>
    <row r="15" spans="1:31" s="2" customFormat="1" ht="12" customHeight="1">
      <c r="A15" s="32"/>
      <c r="B15" s="37"/>
      <c r="C15" s="32"/>
      <c r="D15" s="110" t="s">
        <v>18</v>
      </c>
      <c r="E15" s="32"/>
      <c r="F15" s="101" t="s">
        <v>19</v>
      </c>
      <c r="G15" s="32"/>
      <c r="H15" s="32"/>
      <c r="I15" s="110" t="s">
        <v>20</v>
      </c>
      <c r="J15" s="101" t="s">
        <v>19</v>
      </c>
      <c r="K15" s="32"/>
      <c r="L15" s="111"/>
      <c r="S15" s="32"/>
      <c r="T15" s="32"/>
      <c r="U15" s="32"/>
      <c r="V15" s="32"/>
      <c r="W15" s="32"/>
      <c r="X15" s="32"/>
      <c r="Y15" s="32"/>
      <c r="Z15" s="32"/>
      <c r="AA15" s="32"/>
      <c r="AB15" s="32"/>
      <c r="AC15" s="32"/>
      <c r="AD15" s="32"/>
      <c r="AE15" s="32"/>
    </row>
    <row r="16" spans="1:31" s="2" customFormat="1" ht="12" customHeight="1">
      <c r="A16" s="32"/>
      <c r="B16" s="37"/>
      <c r="C16" s="32"/>
      <c r="D16" s="110" t="s">
        <v>21</v>
      </c>
      <c r="E16" s="32"/>
      <c r="F16" s="101" t="s">
        <v>146</v>
      </c>
      <c r="G16" s="32"/>
      <c r="H16" s="32"/>
      <c r="I16" s="110" t="s">
        <v>23</v>
      </c>
      <c r="J16" s="112" t="str">
        <f>'Rekapitulace stavby'!AN8</f>
        <v>Vyplň údaj</v>
      </c>
      <c r="K16" s="32"/>
      <c r="L16" s="111"/>
      <c r="S16" s="32"/>
      <c r="T16" s="32"/>
      <c r="U16" s="32"/>
      <c r="V16" s="32"/>
      <c r="W16" s="32"/>
      <c r="X16" s="32"/>
      <c r="Y16" s="32"/>
      <c r="Z16" s="32"/>
      <c r="AA16" s="32"/>
      <c r="AB16" s="32"/>
      <c r="AC16" s="32"/>
      <c r="AD16" s="32"/>
      <c r="AE16" s="32"/>
    </row>
    <row r="17" spans="1:31" s="2" customFormat="1" ht="10.9" customHeight="1">
      <c r="A17" s="32"/>
      <c r="B17" s="37"/>
      <c r="C17" s="32"/>
      <c r="D17" s="32"/>
      <c r="E17" s="32"/>
      <c r="F17" s="32"/>
      <c r="G17" s="32"/>
      <c r="H17" s="32"/>
      <c r="I17" s="32"/>
      <c r="J17" s="32"/>
      <c r="K17" s="32"/>
      <c r="L17" s="111"/>
      <c r="S17" s="32"/>
      <c r="T17" s="32"/>
      <c r="U17" s="32"/>
      <c r="V17" s="32"/>
      <c r="W17" s="32"/>
      <c r="X17" s="32"/>
      <c r="Y17" s="32"/>
      <c r="Z17" s="32"/>
      <c r="AA17" s="32"/>
      <c r="AB17" s="32"/>
      <c r="AC17" s="32"/>
      <c r="AD17" s="32"/>
      <c r="AE17" s="32"/>
    </row>
    <row r="18" spans="1:31" s="2" customFormat="1" ht="12" customHeight="1">
      <c r="A18" s="32"/>
      <c r="B18" s="37"/>
      <c r="C18" s="32"/>
      <c r="D18" s="110" t="s">
        <v>24</v>
      </c>
      <c r="E18" s="32"/>
      <c r="F18" s="32"/>
      <c r="G18" s="32"/>
      <c r="H18" s="32"/>
      <c r="I18" s="110" t="s">
        <v>25</v>
      </c>
      <c r="J18" s="101" t="s">
        <v>19</v>
      </c>
      <c r="K18" s="32"/>
      <c r="L18" s="111"/>
      <c r="S18" s="32"/>
      <c r="T18" s="32"/>
      <c r="U18" s="32"/>
      <c r="V18" s="32"/>
      <c r="W18" s="32"/>
      <c r="X18" s="32"/>
      <c r="Y18" s="32"/>
      <c r="Z18" s="32"/>
      <c r="AA18" s="32"/>
      <c r="AB18" s="32"/>
      <c r="AC18" s="32"/>
      <c r="AD18" s="32"/>
      <c r="AE18" s="32"/>
    </row>
    <row r="19" spans="1:31" s="2" customFormat="1" ht="18" customHeight="1">
      <c r="A19" s="32"/>
      <c r="B19" s="37"/>
      <c r="C19" s="32"/>
      <c r="D19" s="32"/>
      <c r="E19" s="101" t="s">
        <v>26</v>
      </c>
      <c r="F19" s="32"/>
      <c r="G19" s="32"/>
      <c r="H19" s="32"/>
      <c r="I19" s="110" t="s">
        <v>27</v>
      </c>
      <c r="J19" s="101" t="s">
        <v>19</v>
      </c>
      <c r="K19" s="32"/>
      <c r="L19" s="111"/>
      <c r="S19" s="32"/>
      <c r="T19" s="32"/>
      <c r="U19" s="32"/>
      <c r="V19" s="32"/>
      <c r="W19" s="32"/>
      <c r="X19" s="32"/>
      <c r="Y19" s="32"/>
      <c r="Z19" s="32"/>
      <c r="AA19" s="32"/>
      <c r="AB19" s="32"/>
      <c r="AC19" s="32"/>
      <c r="AD19" s="32"/>
      <c r="AE19" s="32"/>
    </row>
    <row r="20" spans="1:31" s="2" customFormat="1" ht="6.95" customHeight="1">
      <c r="A20" s="32"/>
      <c r="B20" s="37"/>
      <c r="C20" s="32"/>
      <c r="D20" s="32"/>
      <c r="E20" s="32"/>
      <c r="F20" s="32"/>
      <c r="G20" s="32"/>
      <c r="H20" s="32"/>
      <c r="I20" s="32"/>
      <c r="J20" s="32"/>
      <c r="K20" s="32"/>
      <c r="L20" s="111"/>
      <c r="S20" s="32"/>
      <c r="T20" s="32"/>
      <c r="U20" s="32"/>
      <c r="V20" s="32"/>
      <c r="W20" s="32"/>
      <c r="X20" s="32"/>
      <c r="Y20" s="32"/>
      <c r="Z20" s="32"/>
      <c r="AA20" s="32"/>
      <c r="AB20" s="32"/>
      <c r="AC20" s="32"/>
      <c r="AD20" s="32"/>
      <c r="AE20" s="32"/>
    </row>
    <row r="21" spans="1:31" s="2" customFormat="1" ht="12" customHeight="1">
      <c r="A21" s="32"/>
      <c r="B21" s="37"/>
      <c r="C21" s="32"/>
      <c r="D21" s="110" t="s">
        <v>28</v>
      </c>
      <c r="E21" s="32"/>
      <c r="F21" s="32"/>
      <c r="G21" s="32"/>
      <c r="H21" s="32"/>
      <c r="I21" s="110" t="s">
        <v>25</v>
      </c>
      <c r="J21" s="28" t="str">
        <f>'Rekapitulace stavby'!AN13</f>
        <v>Vyplň údaj</v>
      </c>
      <c r="K21" s="32"/>
      <c r="L21" s="111"/>
      <c r="S21" s="32"/>
      <c r="T21" s="32"/>
      <c r="U21" s="32"/>
      <c r="V21" s="32"/>
      <c r="W21" s="32"/>
      <c r="X21" s="32"/>
      <c r="Y21" s="32"/>
      <c r="Z21" s="32"/>
      <c r="AA21" s="32"/>
      <c r="AB21" s="32"/>
      <c r="AC21" s="32"/>
      <c r="AD21" s="32"/>
      <c r="AE21" s="32"/>
    </row>
    <row r="22" spans="1:31" s="2" customFormat="1" ht="18" customHeight="1">
      <c r="A22" s="32"/>
      <c r="B22" s="37"/>
      <c r="C22" s="32"/>
      <c r="D22" s="32"/>
      <c r="E22" s="706" t="str">
        <f>'Rekapitulace stavby'!E14</f>
        <v>Vyplň údaj</v>
      </c>
      <c r="F22" s="707"/>
      <c r="G22" s="707"/>
      <c r="H22" s="707"/>
      <c r="I22" s="110" t="s">
        <v>27</v>
      </c>
      <c r="J22" s="28" t="str">
        <f>'Rekapitulace stavby'!AN14</f>
        <v>Vyplň údaj</v>
      </c>
      <c r="K22" s="32"/>
      <c r="L22" s="111"/>
      <c r="S22" s="32"/>
      <c r="T22" s="32"/>
      <c r="U22" s="32"/>
      <c r="V22" s="32"/>
      <c r="W22" s="32"/>
      <c r="X22" s="32"/>
      <c r="Y22" s="32"/>
      <c r="Z22" s="32"/>
      <c r="AA22" s="32"/>
      <c r="AB22" s="32"/>
      <c r="AC22" s="32"/>
      <c r="AD22" s="32"/>
      <c r="AE22" s="32"/>
    </row>
    <row r="23" spans="1:31" s="2" customFormat="1" ht="6.95" customHeight="1">
      <c r="A23" s="32"/>
      <c r="B23" s="37"/>
      <c r="C23" s="32"/>
      <c r="D23" s="32"/>
      <c r="E23" s="32"/>
      <c r="F23" s="32"/>
      <c r="G23" s="32"/>
      <c r="H23" s="32"/>
      <c r="I23" s="32"/>
      <c r="J23" s="32"/>
      <c r="K23" s="32"/>
      <c r="L23" s="111"/>
      <c r="S23" s="32"/>
      <c r="T23" s="32"/>
      <c r="U23" s="32"/>
      <c r="V23" s="32"/>
      <c r="W23" s="32"/>
      <c r="X23" s="32"/>
      <c r="Y23" s="32"/>
      <c r="Z23" s="32"/>
      <c r="AA23" s="32"/>
      <c r="AB23" s="32"/>
      <c r="AC23" s="32"/>
      <c r="AD23" s="32"/>
      <c r="AE23" s="32"/>
    </row>
    <row r="24" spans="1:31" s="2" customFormat="1" ht="12" customHeight="1">
      <c r="A24" s="32"/>
      <c r="B24" s="37"/>
      <c r="C24" s="32"/>
      <c r="D24" s="110" t="s">
        <v>30</v>
      </c>
      <c r="E24" s="32"/>
      <c r="F24" s="32"/>
      <c r="G24" s="32"/>
      <c r="H24" s="32"/>
      <c r="I24" s="110" t="s">
        <v>25</v>
      </c>
      <c r="J24" s="101" t="s">
        <v>19</v>
      </c>
      <c r="K24" s="32"/>
      <c r="L24" s="111"/>
      <c r="S24" s="32"/>
      <c r="T24" s="32"/>
      <c r="U24" s="32"/>
      <c r="V24" s="32"/>
      <c r="W24" s="32"/>
      <c r="X24" s="32"/>
      <c r="Y24" s="32"/>
      <c r="Z24" s="32"/>
      <c r="AA24" s="32"/>
      <c r="AB24" s="32"/>
      <c r="AC24" s="32"/>
      <c r="AD24" s="32"/>
      <c r="AE24" s="32"/>
    </row>
    <row r="25" spans="1:31" s="2" customFormat="1" ht="18" customHeight="1">
      <c r="A25" s="32"/>
      <c r="B25" s="37"/>
      <c r="C25" s="32"/>
      <c r="D25" s="32"/>
      <c r="E25" s="101" t="s">
        <v>31</v>
      </c>
      <c r="F25" s="32"/>
      <c r="G25" s="32"/>
      <c r="H25" s="32"/>
      <c r="I25" s="110" t="s">
        <v>27</v>
      </c>
      <c r="J25" s="101" t="s">
        <v>19</v>
      </c>
      <c r="K25" s="32"/>
      <c r="L25" s="111"/>
      <c r="S25" s="32"/>
      <c r="T25" s="32"/>
      <c r="U25" s="32"/>
      <c r="V25" s="32"/>
      <c r="W25" s="32"/>
      <c r="X25" s="32"/>
      <c r="Y25" s="32"/>
      <c r="Z25" s="32"/>
      <c r="AA25" s="32"/>
      <c r="AB25" s="32"/>
      <c r="AC25" s="32"/>
      <c r="AD25" s="32"/>
      <c r="AE25" s="32"/>
    </row>
    <row r="26" spans="1:31" s="2" customFormat="1" ht="6.95" customHeight="1">
      <c r="A26" s="32"/>
      <c r="B26" s="37"/>
      <c r="C26" s="32"/>
      <c r="D26" s="32"/>
      <c r="E26" s="32"/>
      <c r="F26" s="32"/>
      <c r="G26" s="32"/>
      <c r="H26" s="32"/>
      <c r="I26" s="32"/>
      <c r="J26" s="32"/>
      <c r="K26" s="32"/>
      <c r="L26" s="111"/>
      <c r="S26" s="32"/>
      <c r="T26" s="32"/>
      <c r="U26" s="32"/>
      <c r="V26" s="32"/>
      <c r="W26" s="32"/>
      <c r="X26" s="32"/>
      <c r="Y26" s="32"/>
      <c r="Z26" s="32"/>
      <c r="AA26" s="32"/>
      <c r="AB26" s="32"/>
      <c r="AC26" s="32"/>
      <c r="AD26" s="32"/>
      <c r="AE26" s="32"/>
    </row>
    <row r="27" spans="1:31" s="2" customFormat="1" ht="12" customHeight="1">
      <c r="A27" s="32"/>
      <c r="B27" s="37"/>
      <c r="C27" s="32"/>
      <c r="D27" s="110" t="s">
        <v>33</v>
      </c>
      <c r="E27" s="32"/>
      <c r="F27" s="32"/>
      <c r="G27" s="32"/>
      <c r="H27" s="32"/>
      <c r="I27" s="110" t="s">
        <v>25</v>
      </c>
      <c r="J27" s="101" t="s">
        <v>19</v>
      </c>
      <c r="K27" s="32"/>
      <c r="L27" s="111"/>
      <c r="S27" s="32"/>
      <c r="T27" s="32"/>
      <c r="U27" s="32"/>
      <c r="V27" s="32"/>
      <c r="W27" s="32"/>
      <c r="X27" s="32"/>
      <c r="Y27" s="32"/>
      <c r="Z27" s="32"/>
      <c r="AA27" s="32"/>
      <c r="AB27" s="32"/>
      <c r="AC27" s="32"/>
      <c r="AD27" s="32"/>
      <c r="AE27" s="32"/>
    </row>
    <row r="28" spans="1:31" s="2" customFormat="1" ht="18" customHeight="1">
      <c r="A28" s="32"/>
      <c r="B28" s="37"/>
      <c r="C28" s="32"/>
      <c r="D28" s="32"/>
      <c r="E28" s="101" t="s">
        <v>31</v>
      </c>
      <c r="F28" s="32"/>
      <c r="G28" s="32"/>
      <c r="H28" s="32"/>
      <c r="I28" s="110" t="s">
        <v>27</v>
      </c>
      <c r="J28" s="101" t="s">
        <v>19</v>
      </c>
      <c r="K28" s="32"/>
      <c r="L28" s="111"/>
      <c r="S28" s="32"/>
      <c r="T28" s="32"/>
      <c r="U28" s="32"/>
      <c r="V28" s="32"/>
      <c r="W28" s="32"/>
      <c r="X28" s="32"/>
      <c r="Y28" s="32"/>
      <c r="Z28" s="32"/>
      <c r="AA28" s="32"/>
      <c r="AB28" s="32"/>
      <c r="AC28" s="32"/>
      <c r="AD28" s="32"/>
      <c r="AE28" s="32"/>
    </row>
    <row r="29" spans="1:31" s="2" customFormat="1" ht="6.95" customHeight="1">
      <c r="A29" s="32"/>
      <c r="B29" s="37"/>
      <c r="C29" s="32"/>
      <c r="D29" s="32"/>
      <c r="E29" s="32"/>
      <c r="F29" s="32"/>
      <c r="G29" s="32"/>
      <c r="H29" s="32"/>
      <c r="I29" s="32"/>
      <c r="J29" s="32"/>
      <c r="K29" s="32"/>
      <c r="L29" s="111"/>
      <c r="S29" s="32"/>
      <c r="T29" s="32"/>
      <c r="U29" s="32"/>
      <c r="V29" s="32"/>
      <c r="W29" s="32"/>
      <c r="X29" s="32"/>
      <c r="Y29" s="32"/>
      <c r="Z29" s="32"/>
      <c r="AA29" s="32"/>
      <c r="AB29" s="32"/>
      <c r="AC29" s="32"/>
      <c r="AD29" s="32"/>
      <c r="AE29" s="32"/>
    </row>
    <row r="30" spans="1:31" s="2" customFormat="1" ht="12" customHeight="1">
      <c r="A30" s="32"/>
      <c r="B30" s="37"/>
      <c r="C30" s="32"/>
      <c r="D30" s="110" t="s">
        <v>34</v>
      </c>
      <c r="E30" s="32"/>
      <c r="F30" s="32"/>
      <c r="G30" s="32"/>
      <c r="H30" s="32"/>
      <c r="I30" s="32"/>
      <c r="J30" s="32"/>
      <c r="K30" s="32"/>
      <c r="L30" s="111"/>
      <c r="S30" s="32"/>
      <c r="T30" s="32"/>
      <c r="U30" s="32"/>
      <c r="V30" s="32"/>
      <c r="W30" s="32"/>
      <c r="X30" s="32"/>
      <c r="Y30" s="32"/>
      <c r="Z30" s="32"/>
      <c r="AA30" s="32"/>
      <c r="AB30" s="32"/>
      <c r="AC30" s="32"/>
      <c r="AD30" s="32"/>
      <c r="AE30" s="32"/>
    </row>
    <row r="31" spans="1:31" s="8" customFormat="1" ht="14.45" customHeight="1">
      <c r="A31" s="113"/>
      <c r="B31" s="114"/>
      <c r="C31" s="113"/>
      <c r="D31" s="113"/>
      <c r="E31" s="708" t="s">
        <v>19</v>
      </c>
      <c r="F31" s="708"/>
      <c r="G31" s="708"/>
      <c r="H31" s="708"/>
      <c r="I31" s="113"/>
      <c r="J31" s="113"/>
      <c r="K31" s="113"/>
      <c r="L31" s="115"/>
      <c r="S31" s="113"/>
      <c r="T31" s="113"/>
      <c r="U31" s="113"/>
      <c r="V31" s="113"/>
      <c r="W31" s="113"/>
      <c r="X31" s="113"/>
      <c r="Y31" s="113"/>
      <c r="Z31" s="113"/>
      <c r="AA31" s="113"/>
      <c r="AB31" s="113"/>
      <c r="AC31" s="113"/>
      <c r="AD31" s="113"/>
      <c r="AE31" s="113"/>
    </row>
    <row r="32" spans="1:31" s="2" customFormat="1" ht="6.95" customHeight="1">
      <c r="A32" s="32"/>
      <c r="B32" s="37"/>
      <c r="C32" s="32"/>
      <c r="D32" s="32"/>
      <c r="E32" s="32"/>
      <c r="F32" s="32"/>
      <c r="G32" s="32"/>
      <c r="H32" s="32"/>
      <c r="I32" s="32"/>
      <c r="J32" s="32"/>
      <c r="K32" s="32"/>
      <c r="L32" s="111"/>
      <c r="S32" s="32"/>
      <c r="T32" s="32"/>
      <c r="U32" s="32"/>
      <c r="V32" s="32"/>
      <c r="W32" s="32"/>
      <c r="X32" s="32"/>
      <c r="Y32" s="32"/>
      <c r="Z32" s="32"/>
      <c r="AA32" s="32"/>
      <c r="AB32" s="32"/>
      <c r="AC32" s="32"/>
      <c r="AD32" s="32"/>
      <c r="AE32" s="32"/>
    </row>
    <row r="33" spans="1:31" s="2" customFormat="1" ht="6.95" customHeight="1">
      <c r="A33" s="32"/>
      <c r="B33" s="37"/>
      <c r="C33" s="32"/>
      <c r="D33" s="116"/>
      <c r="E33" s="116"/>
      <c r="F33" s="116"/>
      <c r="G33" s="116"/>
      <c r="H33" s="116"/>
      <c r="I33" s="116"/>
      <c r="J33" s="116"/>
      <c r="K33" s="116"/>
      <c r="L33" s="111"/>
      <c r="S33" s="32"/>
      <c r="T33" s="32"/>
      <c r="U33" s="32"/>
      <c r="V33" s="32"/>
      <c r="W33" s="32"/>
      <c r="X33" s="32"/>
      <c r="Y33" s="32"/>
      <c r="Z33" s="32"/>
      <c r="AA33" s="32"/>
      <c r="AB33" s="32"/>
      <c r="AC33" s="32"/>
      <c r="AD33" s="32"/>
      <c r="AE33" s="32"/>
    </row>
    <row r="34" spans="1:31" s="2" customFormat="1" ht="25.35" customHeight="1">
      <c r="A34" s="32"/>
      <c r="B34" s="37"/>
      <c r="C34" s="32"/>
      <c r="D34" s="117" t="s">
        <v>36</v>
      </c>
      <c r="E34" s="32"/>
      <c r="F34" s="32"/>
      <c r="G34" s="32"/>
      <c r="H34" s="32"/>
      <c r="I34" s="32"/>
      <c r="J34" s="118">
        <f>ROUND(J93,2)</f>
        <v>0</v>
      </c>
      <c r="K34" s="32"/>
      <c r="L34" s="111"/>
      <c r="S34" s="32"/>
      <c r="T34" s="32"/>
      <c r="U34" s="32"/>
      <c r="V34" s="32"/>
      <c r="W34" s="32"/>
      <c r="X34" s="32"/>
      <c r="Y34" s="32"/>
      <c r="Z34" s="32"/>
      <c r="AA34" s="32"/>
      <c r="AB34" s="32"/>
      <c r="AC34" s="32"/>
      <c r="AD34" s="32"/>
      <c r="AE34" s="32"/>
    </row>
    <row r="35" spans="1:31" s="2" customFormat="1" ht="6.95" customHeight="1">
      <c r="A35" s="32"/>
      <c r="B35" s="37"/>
      <c r="C35" s="32"/>
      <c r="D35" s="116"/>
      <c r="E35" s="116"/>
      <c r="F35" s="116"/>
      <c r="G35" s="116"/>
      <c r="H35" s="116"/>
      <c r="I35" s="116"/>
      <c r="J35" s="116"/>
      <c r="K35" s="116"/>
      <c r="L35" s="111"/>
      <c r="S35" s="32"/>
      <c r="T35" s="32"/>
      <c r="U35" s="32"/>
      <c r="V35" s="32"/>
      <c r="W35" s="32"/>
      <c r="X35" s="32"/>
      <c r="Y35" s="32"/>
      <c r="Z35" s="32"/>
      <c r="AA35" s="32"/>
      <c r="AB35" s="32"/>
      <c r="AC35" s="32"/>
      <c r="AD35" s="32"/>
      <c r="AE35" s="32"/>
    </row>
    <row r="36" spans="1:31" s="2" customFormat="1" ht="14.45" customHeight="1">
      <c r="A36" s="32"/>
      <c r="B36" s="37"/>
      <c r="C36" s="32"/>
      <c r="D36" s="32"/>
      <c r="E36" s="32"/>
      <c r="F36" s="119" t="s">
        <v>38</v>
      </c>
      <c r="G36" s="32"/>
      <c r="H36" s="32"/>
      <c r="I36" s="119" t="s">
        <v>37</v>
      </c>
      <c r="J36" s="119" t="s">
        <v>39</v>
      </c>
      <c r="K36" s="32"/>
      <c r="L36" s="111"/>
      <c r="S36" s="32"/>
      <c r="T36" s="32"/>
      <c r="U36" s="32"/>
      <c r="V36" s="32"/>
      <c r="W36" s="32"/>
      <c r="X36" s="32"/>
      <c r="Y36" s="32"/>
      <c r="Z36" s="32"/>
      <c r="AA36" s="32"/>
      <c r="AB36" s="32"/>
      <c r="AC36" s="32"/>
      <c r="AD36" s="32"/>
      <c r="AE36" s="32"/>
    </row>
    <row r="37" spans="1:31" s="2" customFormat="1" ht="14.45" customHeight="1">
      <c r="A37" s="32"/>
      <c r="B37" s="37"/>
      <c r="C37" s="32"/>
      <c r="D37" s="120" t="s">
        <v>40</v>
      </c>
      <c r="E37" s="110" t="s">
        <v>41</v>
      </c>
      <c r="F37" s="121">
        <f>ROUND((SUM(BE93:BE97)),2)</f>
        <v>0</v>
      </c>
      <c r="G37" s="32"/>
      <c r="H37" s="32"/>
      <c r="I37" s="122">
        <v>0.21</v>
      </c>
      <c r="J37" s="121">
        <f>ROUND(((SUM(BE93:BE97))*I37),2)</f>
        <v>0</v>
      </c>
      <c r="K37" s="32"/>
      <c r="L37" s="111"/>
      <c r="S37" s="32"/>
      <c r="T37" s="32"/>
      <c r="U37" s="32"/>
      <c r="V37" s="32"/>
      <c r="W37" s="32"/>
      <c r="X37" s="32"/>
      <c r="Y37" s="32"/>
      <c r="Z37" s="32"/>
      <c r="AA37" s="32"/>
      <c r="AB37" s="32"/>
      <c r="AC37" s="32"/>
      <c r="AD37" s="32"/>
      <c r="AE37" s="32"/>
    </row>
    <row r="38" spans="1:31" s="2" customFormat="1" ht="14.45" customHeight="1">
      <c r="A38" s="32"/>
      <c r="B38" s="37"/>
      <c r="C38" s="32"/>
      <c r="D38" s="32"/>
      <c r="E38" s="110" t="s">
        <v>42</v>
      </c>
      <c r="F38" s="121">
        <f>ROUND((SUM(BF93:BF97)),2)</f>
        <v>0</v>
      </c>
      <c r="G38" s="32"/>
      <c r="H38" s="32"/>
      <c r="I38" s="122">
        <v>0.15</v>
      </c>
      <c r="J38" s="121">
        <f>ROUND(((SUM(BF93:BF97))*I38),2)</f>
        <v>0</v>
      </c>
      <c r="K38" s="32"/>
      <c r="L38" s="111"/>
      <c r="S38" s="32"/>
      <c r="T38" s="32"/>
      <c r="U38" s="32"/>
      <c r="V38" s="32"/>
      <c r="W38" s="32"/>
      <c r="X38" s="32"/>
      <c r="Y38" s="32"/>
      <c r="Z38" s="32"/>
      <c r="AA38" s="32"/>
      <c r="AB38" s="32"/>
      <c r="AC38" s="32"/>
      <c r="AD38" s="32"/>
      <c r="AE38" s="32"/>
    </row>
    <row r="39" spans="1:31" s="2" customFormat="1" ht="14.45" customHeight="1" hidden="1">
      <c r="A39" s="32"/>
      <c r="B39" s="37"/>
      <c r="C39" s="32"/>
      <c r="D39" s="32"/>
      <c r="E39" s="110" t="s">
        <v>43</v>
      </c>
      <c r="F39" s="121">
        <f>ROUND((SUM(BG93:BG97)),2)</f>
        <v>0</v>
      </c>
      <c r="G39" s="32"/>
      <c r="H39" s="32"/>
      <c r="I39" s="122">
        <v>0.21</v>
      </c>
      <c r="J39" s="121">
        <f>0</f>
        <v>0</v>
      </c>
      <c r="K39" s="32"/>
      <c r="L39" s="111"/>
      <c r="S39" s="32"/>
      <c r="T39" s="32"/>
      <c r="U39" s="32"/>
      <c r="V39" s="32"/>
      <c r="W39" s="32"/>
      <c r="X39" s="32"/>
      <c r="Y39" s="32"/>
      <c r="Z39" s="32"/>
      <c r="AA39" s="32"/>
      <c r="AB39" s="32"/>
      <c r="AC39" s="32"/>
      <c r="AD39" s="32"/>
      <c r="AE39" s="32"/>
    </row>
    <row r="40" spans="1:31" s="2" customFormat="1" ht="14.45" customHeight="1" hidden="1">
      <c r="A40" s="32"/>
      <c r="B40" s="37"/>
      <c r="C40" s="32"/>
      <c r="D40" s="32"/>
      <c r="E40" s="110" t="s">
        <v>44</v>
      </c>
      <c r="F40" s="121">
        <f>ROUND((SUM(BH93:BH97)),2)</f>
        <v>0</v>
      </c>
      <c r="G40" s="32"/>
      <c r="H40" s="32"/>
      <c r="I40" s="122">
        <v>0.15</v>
      </c>
      <c r="J40" s="121">
        <f>0</f>
        <v>0</v>
      </c>
      <c r="K40" s="32"/>
      <c r="L40" s="111"/>
      <c r="S40" s="32"/>
      <c r="T40" s="32"/>
      <c r="U40" s="32"/>
      <c r="V40" s="32"/>
      <c r="W40" s="32"/>
      <c r="X40" s="32"/>
      <c r="Y40" s="32"/>
      <c r="Z40" s="32"/>
      <c r="AA40" s="32"/>
      <c r="AB40" s="32"/>
      <c r="AC40" s="32"/>
      <c r="AD40" s="32"/>
      <c r="AE40" s="32"/>
    </row>
    <row r="41" spans="1:31" s="2" customFormat="1" ht="14.45" customHeight="1" hidden="1">
      <c r="A41" s="32"/>
      <c r="B41" s="37"/>
      <c r="C41" s="32"/>
      <c r="D41" s="32"/>
      <c r="E41" s="110" t="s">
        <v>45</v>
      </c>
      <c r="F41" s="121">
        <f>ROUND((SUM(BI93:BI97)),2)</f>
        <v>0</v>
      </c>
      <c r="G41" s="32"/>
      <c r="H41" s="32"/>
      <c r="I41" s="122">
        <v>0</v>
      </c>
      <c r="J41" s="121">
        <f>0</f>
        <v>0</v>
      </c>
      <c r="K41" s="32"/>
      <c r="L41" s="111"/>
      <c r="S41" s="32"/>
      <c r="T41" s="32"/>
      <c r="U41" s="32"/>
      <c r="V41" s="32"/>
      <c r="W41" s="32"/>
      <c r="X41" s="32"/>
      <c r="Y41" s="32"/>
      <c r="Z41" s="32"/>
      <c r="AA41" s="32"/>
      <c r="AB41" s="32"/>
      <c r="AC41" s="32"/>
      <c r="AD41" s="32"/>
      <c r="AE41" s="32"/>
    </row>
    <row r="42" spans="1:31" s="2" customFormat="1" ht="6.95" customHeight="1">
      <c r="A42" s="32"/>
      <c r="B42" s="37"/>
      <c r="C42" s="32"/>
      <c r="D42" s="32"/>
      <c r="E42" s="32"/>
      <c r="F42" s="32"/>
      <c r="G42" s="32"/>
      <c r="H42" s="32"/>
      <c r="I42" s="32"/>
      <c r="J42" s="32"/>
      <c r="K42" s="32"/>
      <c r="L42" s="111"/>
      <c r="S42" s="32"/>
      <c r="T42" s="32"/>
      <c r="U42" s="32"/>
      <c r="V42" s="32"/>
      <c r="W42" s="32"/>
      <c r="X42" s="32"/>
      <c r="Y42" s="32"/>
      <c r="Z42" s="32"/>
      <c r="AA42" s="32"/>
      <c r="AB42" s="32"/>
      <c r="AC42" s="32"/>
      <c r="AD42" s="32"/>
      <c r="AE42" s="32"/>
    </row>
    <row r="43" spans="1:31" s="2" customFormat="1" ht="25.35" customHeight="1">
      <c r="A43" s="32"/>
      <c r="B43" s="37"/>
      <c r="C43" s="123"/>
      <c r="D43" s="124" t="s">
        <v>46</v>
      </c>
      <c r="E43" s="125"/>
      <c r="F43" s="125"/>
      <c r="G43" s="126" t="s">
        <v>47</v>
      </c>
      <c r="H43" s="127" t="s">
        <v>48</v>
      </c>
      <c r="I43" s="125"/>
      <c r="J43" s="128">
        <f>SUM(J34:J41)</f>
        <v>0</v>
      </c>
      <c r="K43" s="129"/>
      <c r="L43" s="111"/>
      <c r="S43" s="32"/>
      <c r="T43" s="32"/>
      <c r="U43" s="32"/>
      <c r="V43" s="32"/>
      <c r="W43" s="32"/>
      <c r="X43" s="32"/>
      <c r="Y43" s="32"/>
      <c r="Z43" s="32"/>
      <c r="AA43" s="32"/>
      <c r="AB43" s="32"/>
      <c r="AC43" s="32"/>
      <c r="AD43" s="32"/>
      <c r="AE43" s="32"/>
    </row>
    <row r="44" spans="1:31" s="2" customFormat="1" ht="14.45" customHeight="1">
      <c r="A44" s="32"/>
      <c r="B44" s="130"/>
      <c r="C44" s="131"/>
      <c r="D44" s="131"/>
      <c r="E44" s="131"/>
      <c r="F44" s="131"/>
      <c r="G44" s="131"/>
      <c r="H44" s="131"/>
      <c r="I44" s="131"/>
      <c r="J44" s="131"/>
      <c r="K44" s="131"/>
      <c r="L44" s="111"/>
      <c r="S44" s="32"/>
      <c r="T44" s="32"/>
      <c r="U44" s="32"/>
      <c r="V44" s="32"/>
      <c r="W44" s="32"/>
      <c r="X44" s="32"/>
      <c r="Y44" s="32"/>
      <c r="Z44" s="32"/>
      <c r="AA44" s="32"/>
      <c r="AB44" s="32"/>
      <c r="AC44" s="32"/>
      <c r="AD44" s="32"/>
      <c r="AE44" s="32"/>
    </row>
    <row r="48" spans="1:31" s="2" customFormat="1" ht="6.95" customHeight="1">
      <c r="A48" s="32"/>
      <c r="B48" s="132"/>
      <c r="C48" s="133"/>
      <c r="D48" s="133"/>
      <c r="E48" s="133"/>
      <c r="F48" s="133"/>
      <c r="G48" s="133"/>
      <c r="H48" s="133"/>
      <c r="I48" s="133"/>
      <c r="J48" s="133"/>
      <c r="K48" s="133"/>
      <c r="L48" s="111"/>
      <c r="S48" s="32"/>
      <c r="T48" s="32"/>
      <c r="U48" s="32"/>
      <c r="V48" s="32"/>
      <c r="W48" s="32"/>
      <c r="X48" s="32"/>
      <c r="Y48" s="32"/>
      <c r="Z48" s="32"/>
      <c r="AA48" s="32"/>
      <c r="AB48" s="32"/>
      <c r="AC48" s="32"/>
      <c r="AD48" s="32"/>
      <c r="AE48" s="32"/>
    </row>
    <row r="49" spans="1:31" s="2" customFormat="1" ht="24.95" customHeight="1">
      <c r="A49" s="32"/>
      <c r="B49" s="33"/>
      <c r="C49" s="21" t="s">
        <v>147</v>
      </c>
      <c r="D49" s="34"/>
      <c r="E49" s="34"/>
      <c r="F49" s="34"/>
      <c r="G49" s="34"/>
      <c r="H49" s="34"/>
      <c r="I49" s="34"/>
      <c r="J49" s="34"/>
      <c r="K49" s="34"/>
      <c r="L49" s="111"/>
      <c r="S49" s="32"/>
      <c r="T49" s="32"/>
      <c r="U49" s="32"/>
      <c r="V49" s="32"/>
      <c r="W49" s="32"/>
      <c r="X49" s="32"/>
      <c r="Y49" s="32"/>
      <c r="Z49" s="32"/>
      <c r="AA49" s="32"/>
      <c r="AB49" s="32"/>
      <c r="AC49" s="32"/>
      <c r="AD49" s="32"/>
      <c r="AE49" s="32"/>
    </row>
    <row r="50" spans="1:31" s="2" customFormat="1" ht="6.95" customHeight="1">
      <c r="A50" s="32"/>
      <c r="B50" s="33"/>
      <c r="C50" s="34"/>
      <c r="D50" s="34"/>
      <c r="E50" s="34"/>
      <c r="F50" s="34"/>
      <c r="G50" s="34"/>
      <c r="H50" s="34"/>
      <c r="I50" s="34"/>
      <c r="J50" s="34"/>
      <c r="K50" s="34"/>
      <c r="L50" s="111"/>
      <c r="S50" s="32"/>
      <c r="T50" s="32"/>
      <c r="U50" s="32"/>
      <c r="V50" s="32"/>
      <c r="W50" s="32"/>
      <c r="X50" s="32"/>
      <c r="Y50" s="32"/>
      <c r="Z50" s="32"/>
      <c r="AA50" s="32"/>
      <c r="AB50" s="32"/>
      <c r="AC50" s="32"/>
      <c r="AD50" s="32"/>
      <c r="AE50" s="32"/>
    </row>
    <row r="51" spans="1:31" s="2" customFormat="1" ht="12" customHeight="1">
      <c r="A51" s="32"/>
      <c r="B51" s="33"/>
      <c r="C51" s="27" t="s">
        <v>16</v>
      </c>
      <c r="D51" s="34"/>
      <c r="E51" s="34"/>
      <c r="F51" s="34"/>
      <c r="G51" s="34"/>
      <c r="H51" s="34"/>
      <c r="I51" s="34"/>
      <c r="J51" s="34"/>
      <c r="K51" s="34"/>
      <c r="L51" s="111"/>
      <c r="S51" s="32"/>
      <c r="T51" s="32"/>
      <c r="U51" s="32"/>
      <c r="V51" s="32"/>
      <c r="W51" s="32"/>
      <c r="X51" s="32"/>
      <c r="Y51" s="32"/>
      <c r="Z51" s="32"/>
      <c r="AA51" s="32"/>
      <c r="AB51" s="32"/>
      <c r="AC51" s="32"/>
      <c r="AD51" s="32"/>
      <c r="AE51" s="32"/>
    </row>
    <row r="52" spans="1:31" s="2" customFormat="1" ht="14.45" customHeight="1">
      <c r="A52" s="32"/>
      <c r="B52" s="33"/>
      <c r="C52" s="34"/>
      <c r="D52" s="34"/>
      <c r="E52" s="700" t="str">
        <f>E7</f>
        <v>Úpravy gastroprovozu Úřadu vlády ČR v 1.pp Strakovy akademie</v>
      </c>
      <c r="F52" s="701"/>
      <c r="G52" s="701"/>
      <c r="H52" s="701"/>
      <c r="I52" s="34"/>
      <c r="J52" s="34"/>
      <c r="K52" s="34"/>
      <c r="L52" s="111"/>
      <c r="S52" s="32"/>
      <c r="T52" s="32"/>
      <c r="U52" s="32"/>
      <c r="V52" s="32"/>
      <c r="W52" s="32"/>
      <c r="X52" s="32"/>
      <c r="Y52" s="32"/>
      <c r="Z52" s="32"/>
      <c r="AA52" s="32"/>
      <c r="AB52" s="32"/>
      <c r="AC52" s="32"/>
      <c r="AD52" s="32"/>
      <c r="AE52" s="32"/>
    </row>
    <row r="53" spans="2:12" s="1" customFormat="1" ht="12" customHeight="1">
      <c r="B53" s="19"/>
      <c r="C53" s="27" t="s">
        <v>142</v>
      </c>
      <c r="D53" s="20"/>
      <c r="E53" s="20"/>
      <c r="F53" s="20"/>
      <c r="G53" s="20"/>
      <c r="H53" s="20"/>
      <c r="I53" s="20"/>
      <c r="J53" s="20"/>
      <c r="K53" s="20"/>
      <c r="L53" s="18"/>
    </row>
    <row r="54" spans="2:12" s="1" customFormat="1" ht="14.45" customHeight="1">
      <c r="B54" s="19"/>
      <c r="C54" s="20"/>
      <c r="D54" s="20"/>
      <c r="E54" s="700" t="s">
        <v>1429</v>
      </c>
      <c r="F54" s="667"/>
      <c r="G54" s="667"/>
      <c r="H54" s="667"/>
      <c r="I54" s="20"/>
      <c r="J54" s="20"/>
      <c r="K54" s="20"/>
      <c r="L54" s="18"/>
    </row>
    <row r="55" spans="2:12" s="1" customFormat="1" ht="12" customHeight="1">
      <c r="B55" s="19"/>
      <c r="C55" s="27" t="s">
        <v>144</v>
      </c>
      <c r="D55" s="20"/>
      <c r="E55" s="20"/>
      <c r="F55" s="20"/>
      <c r="G55" s="20"/>
      <c r="H55" s="20"/>
      <c r="I55" s="20"/>
      <c r="J55" s="20"/>
      <c r="K55" s="20"/>
      <c r="L55" s="18"/>
    </row>
    <row r="56" spans="1:31" s="2" customFormat="1" ht="14.45" customHeight="1">
      <c r="A56" s="32"/>
      <c r="B56" s="33"/>
      <c r="C56" s="34"/>
      <c r="D56" s="34"/>
      <c r="E56" s="746" t="s">
        <v>1472</v>
      </c>
      <c r="F56" s="699"/>
      <c r="G56" s="699"/>
      <c r="H56" s="699"/>
      <c r="I56" s="34"/>
      <c r="J56" s="34"/>
      <c r="K56" s="34"/>
      <c r="L56" s="111"/>
      <c r="S56" s="32"/>
      <c r="T56" s="32"/>
      <c r="U56" s="32"/>
      <c r="V56" s="32"/>
      <c r="W56" s="32"/>
      <c r="X56" s="32"/>
      <c r="Y56" s="32"/>
      <c r="Z56" s="32"/>
      <c r="AA56" s="32"/>
      <c r="AB56" s="32"/>
      <c r="AC56" s="32"/>
      <c r="AD56" s="32"/>
      <c r="AE56" s="32"/>
    </row>
    <row r="57" spans="1:31" s="2" customFormat="1" ht="12" customHeight="1">
      <c r="A57" s="32"/>
      <c r="B57" s="33"/>
      <c r="C57" s="27" t="s">
        <v>1450</v>
      </c>
      <c r="D57" s="34"/>
      <c r="E57" s="34"/>
      <c r="F57" s="34"/>
      <c r="G57" s="34"/>
      <c r="H57" s="34"/>
      <c r="I57" s="34"/>
      <c r="J57" s="34"/>
      <c r="K57" s="34"/>
      <c r="L57" s="111"/>
      <c r="S57" s="32"/>
      <c r="T57" s="32"/>
      <c r="U57" s="32"/>
      <c r="V57" s="32"/>
      <c r="W57" s="32"/>
      <c r="X57" s="32"/>
      <c r="Y57" s="32"/>
      <c r="Z57" s="32"/>
      <c r="AA57" s="32"/>
      <c r="AB57" s="32"/>
      <c r="AC57" s="32"/>
      <c r="AD57" s="32"/>
      <c r="AE57" s="32"/>
    </row>
    <row r="58" spans="1:31" s="2" customFormat="1" ht="14.45" customHeight="1">
      <c r="A58" s="32"/>
      <c r="B58" s="33"/>
      <c r="C58" s="34"/>
      <c r="D58" s="34"/>
      <c r="E58" s="696" t="str">
        <f>E13</f>
        <v xml:space="preserve">D.1.4.06.1 - Soupis prací - Gastro </v>
      </c>
      <c r="F58" s="699"/>
      <c r="G58" s="699"/>
      <c r="H58" s="699"/>
      <c r="I58" s="34"/>
      <c r="J58" s="34"/>
      <c r="K58" s="34"/>
      <c r="L58" s="111"/>
      <c r="S58" s="32"/>
      <c r="T58" s="32"/>
      <c r="U58" s="32"/>
      <c r="V58" s="32"/>
      <c r="W58" s="32"/>
      <c r="X58" s="32"/>
      <c r="Y58" s="32"/>
      <c r="Z58" s="32"/>
      <c r="AA58" s="32"/>
      <c r="AB58" s="32"/>
      <c r="AC58" s="32"/>
      <c r="AD58" s="32"/>
      <c r="AE58" s="32"/>
    </row>
    <row r="59" spans="1:31" s="2" customFormat="1" ht="6.95" customHeight="1">
      <c r="A59" s="32"/>
      <c r="B59" s="33"/>
      <c r="C59" s="34"/>
      <c r="D59" s="34"/>
      <c r="E59" s="34"/>
      <c r="F59" s="34"/>
      <c r="G59" s="34"/>
      <c r="H59" s="34"/>
      <c r="I59" s="34"/>
      <c r="J59" s="34"/>
      <c r="K59" s="34"/>
      <c r="L59" s="111"/>
      <c r="S59" s="32"/>
      <c r="T59" s="32"/>
      <c r="U59" s="32"/>
      <c r="V59" s="32"/>
      <c r="W59" s="32"/>
      <c r="X59" s="32"/>
      <c r="Y59" s="32"/>
      <c r="Z59" s="32"/>
      <c r="AA59" s="32"/>
      <c r="AB59" s="32"/>
      <c r="AC59" s="32"/>
      <c r="AD59" s="32"/>
      <c r="AE59" s="32"/>
    </row>
    <row r="60" spans="1:31" s="2" customFormat="1" ht="12" customHeight="1">
      <c r="A60" s="32"/>
      <c r="B60" s="33"/>
      <c r="C60" s="27" t="s">
        <v>21</v>
      </c>
      <c r="D60" s="34"/>
      <c r="E60" s="34"/>
      <c r="F60" s="25" t="str">
        <f>F16</f>
        <v xml:space="preserve"> </v>
      </c>
      <c r="G60" s="34"/>
      <c r="H60" s="34"/>
      <c r="I60" s="27" t="s">
        <v>23</v>
      </c>
      <c r="J60" s="57" t="str">
        <f>IF(J16="","",J16)</f>
        <v>Vyplň údaj</v>
      </c>
      <c r="K60" s="34"/>
      <c r="L60" s="111"/>
      <c r="S60" s="32"/>
      <c r="T60" s="32"/>
      <c r="U60" s="32"/>
      <c r="V60" s="32"/>
      <c r="W60" s="32"/>
      <c r="X60" s="32"/>
      <c r="Y60" s="32"/>
      <c r="Z60" s="32"/>
      <c r="AA60" s="32"/>
      <c r="AB60" s="32"/>
      <c r="AC60" s="32"/>
      <c r="AD60" s="32"/>
      <c r="AE60" s="32"/>
    </row>
    <row r="61" spans="1:31" s="2" customFormat="1" ht="6.95" customHeight="1">
      <c r="A61" s="32"/>
      <c r="B61" s="33"/>
      <c r="C61" s="34"/>
      <c r="D61" s="34"/>
      <c r="E61" s="34"/>
      <c r="F61" s="34"/>
      <c r="G61" s="34"/>
      <c r="H61" s="34"/>
      <c r="I61" s="34"/>
      <c r="J61" s="34"/>
      <c r="K61" s="34"/>
      <c r="L61" s="111"/>
      <c r="S61" s="32"/>
      <c r="T61" s="32"/>
      <c r="U61" s="32"/>
      <c r="V61" s="32"/>
      <c r="W61" s="32"/>
      <c r="X61" s="32"/>
      <c r="Y61" s="32"/>
      <c r="Z61" s="32"/>
      <c r="AA61" s="32"/>
      <c r="AB61" s="32"/>
      <c r="AC61" s="32"/>
      <c r="AD61" s="32"/>
      <c r="AE61" s="32"/>
    </row>
    <row r="62" spans="1:31" s="2" customFormat="1" ht="26.45" customHeight="1">
      <c r="A62" s="32"/>
      <c r="B62" s="33"/>
      <c r="C62" s="27" t="s">
        <v>24</v>
      </c>
      <c r="D62" s="34"/>
      <c r="E62" s="34"/>
      <c r="F62" s="25" t="str">
        <f>E19</f>
        <v xml:space="preserve">Úřad vlády České republiky </v>
      </c>
      <c r="G62" s="34"/>
      <c r="H62" s="34"/>
      <c r="I62" s="27" t="s">
        <v>30</v>
      </c>
      <c r="J62" s="30" t="str">
        <f>E25</f>
        <v>Ateliér Simona Group</v>
      </c>
      <c r="K62" s="34"/>
      <c r="L62" s="111"/>
      <c r="S62" s="32"/>
      <c r="T62" s="32"/>
      <c r="U62" s="32"/>
      <c r="V62" s="32"/>
      <c r="W62" s="32"/>
      <c r="X62" s="32"/>
      <c r="Y62" s="32"/>
      <c r="Z62" s="32"/>
      <c r="AA62" s="32"/>
      <c r="AB62" s="32"/>
      <c r="AC62" s="32"/>
      <c r="AD62" s="32"/>
      <c r="AE62" s="32"/>
    </row>
    <row r="63" spans="1:31" s="2" customFormat="1" ht="26.45" customHeight="1">
      <c r="A63" s="32"/>
      <c r="B63" s="33"/>
      <c r="C63" s="27" t="s">
        <v>28</v>
      </c>
      <c r="D63" s="34"/>
      <c r="E63" s="34"/>
      <c r="F63" s="25" t="str">
        <f>IF(E22="","",E22)</f>
        <v>Vyplň údaj</v>
      </c>
      <c r="G63" s="34"/>
      <c r="H63" s="34"/>
      <c r="I63" s="27" t="s">
        <v>33</v>
      </c>
      <c r="J63" s="30" t="str">
        <f>E28</f>
        <v>Ateliér Simona Group</v>
      </c>
      <c r="K63" s="34"/>
      <c r="L63" s="111"/>
      <c r="S63" s="32"/>
      <c r="T63" s="32"/>
      <c r="U63" s="32"/>
      <c r="V63" s="32"/>
      <c r="W63" s="32"/>
      <c r="X63" s="32"/>
      <c r="Y63" s="32"/>
      <c r="Z63" s="32"/>
      <c r="AA63" s="32"/>
      <c r="AB63" s="32"/>
      <c r="AC63" s="32"/>
      <c r="AD63" s="32"/>
      <c r="AE63" s="32"/>
    </row>
    <row r="64" spans="1:31" s="2" customFormat="1" ht="10.35" customHeight="1">
      <c r="A64" s="32"/>
      <c r="B64" s="33"/>
      <c r="C64" s="34"/>
      <c r="D64" s="34"/>
      <c r="E64" s="34"/>
      <c r="F64" s="34"/>
      <c r="G64" s="34"/>
      <c r="H64" s="34"/>
      <c r="I64" s="34"/>
      <c r="J64" s="34"/>
      <c r="K64" s="34"/>
      <c r="L64" s="111"/>
      <c r="S64" s="32"/>
      <c r="T64" s="32"/>
      <c r="U64" s="32"/>
      <c r="V64" s="32"/>
      <c r="W64" s="32"/>
      <c r="X64" s="32"/>
      <c r="Y64" s="32"/>
      <c r="Z64" s="32"/>
      <c r="AA64" s="32"/>
      <c r="AB64" s="32"/>
      <c r="AC64" s="32"/>
      <c r="AD64" s="32"/>
      <c r="AE64" s="32"/>
    </row>
    <row r="65" spans="1:31" s="2" customFormat="1" ht="29.25" customHeight="1">
      <c r="A65" s="32"/>
      <c r="B65" s="33"/>
      <c r="C65" s="134" t="s">
        <v>148</v>
      </c>
      <c r="D65" s="135"/>
      <c r="E65" s="135"/>
      <c r="F65" s="135"/>
      <c r="G65" s="135"/>
      <c r="H65" s="135"/>
      <c r="I65" s="135"/>
      <c r="J65" s="136" t="s">
        <v>149</v>
      </c>
      <c r="K65" s="135"/>
      <c r="L65" s="111"/>
      <c r="S65" s="32"/>
      <c r="T65" s="32"/>
      <c r="U65" s="32"/>
      <c r="V65" s="32"/>
      <c r="W65" s="32"/>
      <c r="X65" s="32"/>
      <c r="Y65" s="32"/>
      <c r="Z65" s="32"/>
      <c r="AA65" s="32"/>
      <c r="AB65" s="32"/>
      <c r="AC65" s="32"/>
      <c r="AD65" s="32"/>
      <c r="AE65" s="32"/>
    </row>
    <row r="66" spans="1:31" s="2" customFormat="1" ht="10.35" customHeight="1">
      <c r="A66" s="32"/>
      <c r="B66" s="33"/>
      <c r="C66" s="34"/>
      <c r="D66" s="34"/>
      <c r="E66" s="34"/>
      <c r="F66" s="34"/>
      <c r="G66" s="34"/>
      <c r="H66" s="34"/>
      <c r="I66" s="34"/>
      <c r="J66" s="34"/>
      <c r="K66" s="34"/>
      <c r="L66" s="111"/>
      <c r="S66" s="32"/>
      <c r="T66" s="32"/>
      <c r="U66" s="32"/>
      <c r="V66" s="32"/>
      <c r="W66" s="32"/>
      <c r="X66" s="32"/>
      <c r="Y66" s="32"/>
      <c r="Z66" s="32"/>
      <c r="AA66" s="32"/>
      <c r="AB66" s="32"/>
      <c r="AC66" s="32"/>
      <c r="AD66" s="32"/>
      <c r="AE66" s="32"/>
    </row>
    <row r="67" spans="1:47" s="2" customFormat="1" ht="22.9" customHeight="1">
      <c r="A67" s="32"/>
      <c r="B67" s="33"/>
      <c r="C67" s="137" t="s">
        <v>68</v>
      </c>
      <c r="D67" s="34"/>
      <c r="E67" s="34"/>
      <c r="F67" s="34"/>
      <c r="G67" s="34"/>
      <c r="H67" s="34"/>
      <c r="I67" s="34"/>
      <c r="J67" s="75">
        <f>J93</f>
        <v>0</v>
      </c>
      <c r="K67" s="34"/>
      <c r="L67" s="111"/>
      <c r="S67" s="32"/>
      <c r="T67" s="32"/>
      <c r="U67" s="32"/>
      <c r="V67" s="32"/>
      <c r="W67" s="32"/>
      <c r="X67" s="32"/>
      <c r="Y67" s="32"/>
      <c r="Z67" s="32"/>
      <c r="AA67" s="32"/>
      <c r="AB67" s="32"/>
      <c r="AC67" s="32"/>
      <c r="AD67" s="32"/>
      <c r="AE67" s="32"/>
      <c r="AU67" s="15" t="s">
        <v>150</v>
      </c>
    </row>
    <row r="68" spans="2:12" s="9" customFormat="1" ht="24.95" customHeight="1">
      <c r="B68" s="138"/>
      <c r="C68" s="139"/>
      <c r="D68" s="140" t="s">
        <v>161</v>
      </c>
      <c r="E68" s="141"/>
      <c r="F68" s="141"/>
      <c r="G68" s="141"/>
      <c r="H68" s="141"/>
      <c r="I68" s="141"/>
      <c r="J68" s="142">
        <f>J94</f>
        <v>0</v>
      </c>
      <c r="K68" s="139"/>
      <c r="L68" s="143"/>
    </row>
    <row r="69" spans="2:12" s="10" customFormat="1" ht="19.9" customHeight="1">
      <c r="B69" s="144"/>
      <c r="C69" s="95"/>
      <c r="D69" s="145" t="s">
        <v>176</v>
      </c>
      <c r="E69" s="146"/>
      <c r="F69" s="146"/>
      <c r="G69" s="146"/>
      <c r="H69" s="146"/>
      <c r="I69" s="146"/>
      <c r="J69" s="147">
        <f>J95</f>
        <v>0</v>
      </c>
      <c r="K69" s="95"/>
      <c r="L69" s="148"/>
    </row>
    <row r="70" spans="1:31" s="2" customFormat="1" ht="21.75" customHeight="1">
      <c r="A70" s="32"/>
      <c r="B70" s="33"/>
      <c r="C70" s="34"/>
      <c r="D70" s="34"/>
      <c r="E70" s="34"/>
      <c r="F70" s="34"/>
      <c r="G70" s="34"/>
      <c r="H70" s="34"/>
      <c r="I70" s="34"/>
      <c r="J70" s="34"/>
      <c r="K70" s="34"/>
      <c r="L70" s="111"/>
      <c r="S70" s="32"/>
      <c r="T70" s="32"/>
      <c r="U70" s="32"/>
      <c r="V70" s="32"/>
      <c r="W70" s="32"/>
      <c r="X70" s="32"/>
      <c r="Y70" s="32"/>
      <c r="Z70" s="32"/>
      <c r="AA70" s="32"/>
      <c r="AB70" s="32"/>
      <c r="AC70" s="32"/>
      <c r="AD70" s="32"/>
      <c r="AE70" s="32"/>
    </row>
    <row r="71" spans="1:31" s="2" customFormat="1" ht="6.95" customHeight="1">
      <c r="A71" s="32"/>
      <c r="B71" s="45"/>
      <c r="C71" s="46"/>
      <c r="D71" s="46"/>
      <c r="E71" s="46"/>
      <c r="F71" s="46"/>
      <c r="G71" s="46"/>
      <c r="H71" s="46"/>
      <c r="I71" s="46"/>
      <c r="J71" s="46"/>
      <c r="K71" s="46"/>
      <c r="L71" s="111"/>
      <c r="S71" s="32"/>
      <c r="T71" s="32"/>
      <c r="U71" s="32"/>
      <c r="V71" s="32"/>
      <c r="W71" s="32"/>
      <c r="X71" s="32"/>
      <c r="Y71" s="32"/>
      <c r="Z71" s="32"/>
      <c r="AA71" s="32"/>
      <c r="AB71" s="32"/>
      <c r="AC71" s="32"/>
      <c r="AD71" s="32"/>
      <c r="AE71" s="32"/>
    </row>
    <row r="75" spans="1:31" s="2" customFormat="1" ht="6.95" customHeight="1">
      <c r="A75" s="32"/>
      <c r="B75" s="47"/>
      <c r="C75" s="48"/>
      <c r="D75" s="48"/>
      <c r="E75" s="48"/>
      <c r="F75" s="48"/>
      <c r="G75" s="48"/>
      <c r="H75" s="48"/>
      <c r="I75" s="48"/>
      <c r="J75" s="48"/>
      <c r="K75" s="48"/>
      <c r="L75" s="111"/>
      <c r="S75" s="32"/>
      <c r="T75" s="32"/>
      <c r="U75" s="32"/>
      <c r="V75" s="32"/>
      <c r="W75" s="32"/>
      <c r="X75" s="32"/>
      <c r="Y75" s="32"/>
      <c r="Z75" s="32"/>
      <c r="AA75" s="32"/>
      <c r="AB75" s="32"/>
      <c r="AC75" s="32"/>
      <c r="AD75" s="32"/>
      <c r="AE75" s="32"/>
    </row>
    <row r="76" spans="1:31" s="2" customFormat="1" ht="24.95" customHeight="1">
      <c r="A76" s="32"/>
      <c r="B76" s="33"/>
      <c r="C76" s="21" t="s">
        <v>181</v>
      </c>
      <c r="D76" s="34"/>
      <c r="E76" s="34"/>
      <c r="F76" s="34"/>
      <c r="G76" s="34"/>
      <c r="H76" s="34"/>
      <c r="I76" s="34"/>
      <c r="J76" s="34"/>
      <c r="K76" s="34"/>
      <c r="L76" s="111"/>
      <c r="S76" s="32"/>
      <c r="T76" s="32"/>
      <c r="U76" s="32"/>
      <c r="V76" s="32"/>
      <c r="W76" s="32"/>
      <c r="X76" s="32"/>
      <c r="Y76" s="32"/>
      <c r="Z76" s="32"/>
      <c r="AA76" s="32"/>
      <c r="AB76" s="32"/>
      <c r="AC76" s="32"/>
      <c r="AD76" s="32"/>
      <c r="AE76" s="32"/>
    </row>
    <row r="77" spans="1:31" s="2" customFormat="1" ht="6.95" customHeight="1">
      <c r="A77" s="32"/>
      <c r="B77" s="33"/>
      <c r="C77" s="34"/>
      <c r="D77" s="34"/>
      <c r="E77" s="34"/>
      <c r="F77" s="34"/>
      <c r="G77" s="34"/>
      <c r="H77" s="34"/>
      <c r="I77" s="34"/>
      <c r="J77" s="34"/>
      <c r="K77" s="34"/>
      <c r="L77" s="111"/>
      <c r="S77" s="32"/>
      <c r="T77" s="32"/>
      <c r="U77" s="32"/>
      <c r="V77" s="32"/>
      <c r="W77" s="32"/>
      <c r="X77" s="32"/>
      <c r="Y77" s="32"/>
      <c r="Z77" s="32"/>
      <c r="AA77" s="32"/>
      <c r="AB77" s="32"/>
      <c r="AC77" s="32"/>
      <c r="AD77" s="32"/>
      <c r="AE77" s="32"/>
    </row>
    <row r="78" spans="1:31" s="2" customFormat="1" ht="12" customHeight="1">
      <c r="A78" s="32"/>
      <c r="B78" s="33"/>
      <c r="C78" s="27" t="s">
        <v>16</v>
      </c>
      <c r="D78" s="34"/>
      <c r="E78" s="34"/>
      <c r="F78" s="34"/>
      <c r="G78" s="34"/>
      <c r="H78" s="34"/>
      <c r="I78" s="34"/>
      <c r="J78" s="34"/>
      <c r="K78" s="34"/>
      <c r="L78" s="111"/>
      <c r="S78" s="32"/>
      <c r="T78" s="32"/>
      <c r="U78" s="32"/>
      <c r="V78" s="32"/>
      <c r="W78" s="32"/>
      <c r="X78" s="32"/>
      <c r="Y78" s="32"/>
      <c r="Z78" s="32"/>
      <c r="AA78" s="32"/>
      <c r="AB78" s="32"/>
      <c r="AC78" s="32"/>
      <c r="AD78" s="32"/>
      <c r="AE78" s="32"/>
    </row>
    <row r="79" spans="1:31" s="2" customFormat="1" ht="14.45" customHeight="1">
      <c r="A79" s="32"/>
      <c r="B79" s="33"/>
      <c r="C79" s="34"/>
      <c r="D79" s="34"/>
      <c r="E79" s="700" t="str">
        <f>E7</f>
        <v>Úpravy gastroprovozu Úřadu vlády ČR v 1.pp Strakovy akademie</v>
      </c>
      <c r="F79" s="701"/>
      <c r="G79" s="701"/>
      <c r="H79" s="701"/>
      <c r="I79" s="34"/>
      <c r="J79" s="34"/>
      <c r="K79" s="34"/>
      <c r="L79" s="111"/>
      <c r="S79" s="32"/>
      <c r="T79" s="32"/>
      <c r="U79" s="32"/>
      <c r="V79" s="32"/>
      <c r="W79" s="32"/>
      <c r="X79" s="32"/>
      <c r="Y79" s="32"/>
      <c r="Z79" s="32"/>
      <c r="AA79" s="32"/>
      <c r="AB79" s="32"/>
      <c r="AC79" s="32"/>
      <c r="AD79" s="32"/>
      <c r="AE79" s="32"/>
    </row>
    <row r="80" spans="2:12" s="1" customFormat="1" ht="12" customHeight="1">
      <c r="B80" s="19"/>
      <c r="C80" s="27" t="s">
        <v>142</v>
      </c>
      <c r="D80" s="20"/>
      <c r="E80" s="20"/>
      <c r="F80" s="20"/>
      <c r="G80" s="20"/>
      <c r="H80" s="20"/>
      <c r="I80" s="20"/>
      <c r="J80" s="20"/>
      <c r="K80" s="20"/>
      <c r="L80" s="18"/>
    </row>
    <row r="81" spans="2:12" s="1" customFormat="1" ht="14.45" customHeight="1">
      <c r="B81" s="19"/>
      <c r="C81" s="20"/>
      <c r="D81" s="20"/>
      <c r="E81" s="700" t="s">
        <v>1429</v>
      </c>
      <c r="F81" s="667"/>
      <c r="G81" s="667"/>
      <c r="H81" s="667"/>
      <c r="I81" s="20"/>
      <c r="J81" s="20"/>
      <c r="K81" s="20"/>
      <c r="L81" s="18"/>
    </row>
    <row r="82" spans="2:12" s="1" customFormat="1" ht="12" customHeight="1">
      <c r="B82" s="19"/>
      <c r="C82" s="27" t="s">
        <v>144</v>
      </c>
      <c r="D82" s="20"/>
      <c r="E82" s="20"/>
      <c r="F82" s="20"/>
      <c r="G82" s="20"/>
      <c r="H82" s="20"/>
      <c r="I82" s="20"/>
      <c r="J82" s="20"/>
      <c r="K82" s="20"/>
      <c r="L82" s="18"/>
    </row>
    <row r="83" spans="1:31" s="2" customFormat="1" ht="14.45" customHeight="1">
      <c r="A83" s="32"/>
      <c r="B83" s="33"/>
      <c r="C83" s="34"/>
      <c r="D83" s="34"/>
      <c r="E83" s="746" t="s">
        <v>1472</v>
      </c>
      <c r="F83" s="699"/>
      <c r="G83" s="699"/>
      <c r="H83" s="699"/>
      <c r="I83" s="34"/>
      <c r="J83" s="34"/>
      <c r="K83" s="34"/>
      <c r="L83" s="111"/>
      <c r="S83" s="32"/>
      <c r="T83" s="32"/>
      <c r="U83" s="32"/>
      <c r="V83" s="32"/>
      <c r="W83" s="32"/>
      <c r="X83" s="32"/>
      <c r="Y83" s="32"/>
      <c r="Z83" s="32"/>
      <c r="AA83" s="32"/>
      <c r="AB83" s="32"/>
      <c r="AC83" s="32"/>
      <c r="AD83" s="32"/>
      <c r="AE83" s="32"/>
    </row>
    <row r="84" spans="1:31" s="2" customFormat="1" ht="12" customHeight="1">
      <c r="A84" s="32"/>
      <c r="B84" s="33"/>
      <c r="C84" s="27" t="s">
        <v>1450</v>
      </c>
      <c r="D84" s="34"/>
      <c r="E84" s="34"/>
      <c r="F84" s="34"/>
      <c r="G84" s="34"/>
      <c r="H84" s="34"/>
      <c r="I84" s="34"/>
      <c r="J84" s="34"/>
      <c r="K84" s="34"/>
      <c r="L84" s="111"/>
      <c r="S84" s="32"/>
      <c r="T84" s="32"/>
      <c r="U84" s="32"/>
      <c r="V84" s="32"/>
      <c r="W84" s="32"/>
      <c r="X84" s="32"/>
      <c r="Y84" s="32"/>
      <c r="Z84" s="32"/>
      <c r="AA84" s="32"/>
      <c r="AB84" s="32"/>
      <c r="AC84" s="32"/>
      <c r="AD84" s="32"/>
      <c r="AE84" s="32"/>
    </row>
    <row r="85" spans="1:31" s="2" customFormat="1" ht="14.45" customHeight="1">
      <c r="A85" s="32"/>
      <c r="B85" s="33"/>
      <c r="C85" s="34"/>
      <c r="D85" s="34"/>
      <c r="E85" s="696" t="str">
        <f>E13</f>
        <v xml:space="preserve">D.1.4.06.1 - Soupis prací - Gastro </v>
      </c>
      <c r="F85" s="699"/>
      <c r="G85" s="699"/>
      <c r="H85" s="699"/>
      <c r="I85" s="34"/>
      <c r="J85" s="34"/>
      <c r="K85" s="34"/>
      <c r="L85" s="111"/>
      <c r="S85" s="32"/>
      <c r="T85" s="32"/>
      <c r="U85" s="32"/>
      <c r="V85" s="32"/>
      <c r="W85" s="32"/>
      <c r="X85" s="32"/>
      <c r="Y85" s="32"/>
      <c r="Z85" s="32"/>
      <c r="AA85" s="32"/>
      <c r="AB85" s="32"/>
      <c r="AC85" s="32"/>
      <c r="AD85" s="32"/>
      <c r="AE85" s="32"/>
    </row>
    <row r="86" spans="1:31" s="2" customFormat="1" ht="6.95" customHeight="1">
      <c r="A86" s="32"/>
      <c r="B86" s="33"/>
      <c r="C86" s="34"/>
      <c r="D86" s="34"/>
      <c r="E86" s="34"/>
      <c r="F86" s="34"/>
      <c r="G86" s="34"/>
      <c r="H86" s="34"/>
      <c r="I86" s="34"/>
      <c r="J86" s="34"/>
      <c r="K86" s="34"/>
      <c r="L86" s="111"/>
      <c r="S86" s="32"/>
      <c r="T86" s="32"/>
      <c r="U86" s="32"/>
      <c r="V86" s="32"/>
      <c r="W86" s="32"/>
      <c r="X86" s="32"/>
      <c r="Y86" s="32"/>
      <c r="Z86" s="32"/>
      <c r="AA86" s="32"/>
      <c r="AB86" s="32"/>
      <c r="AC86" s="32"/>
      <c r="AD86" s="32"/>
      <c r="AE86" s="32"/>
    </row>
    <row r="87" spans="1:31" s="2" customFormat="1" ht="12" customHeight="1">
      <c r="A87" s="32"/>
      <c r="B87" s="33"/>
      <c r="C87" s="27" t="s">
        <v>21</v>
      </c>
      <c r="D87" s="34"/>
      <c r="E87" s="34"/>
      <c r="F87" s="25" t="str">
        <f>F16</f>
        <v xml:space="preserve"> </v>
      </c>
      <c r="G87" s="34"/>
      <c r="H87" s="34"/>
      <c r="I87" s="27" t="s">
        <v>23</v>
      </c>
      <c r="J87" s="57" t="str">
        <f>IF(J16="","",J16)</f>
        <v>Vyplň údaj</v>
      </c>
      <c r="K87" s="34"/>
      <c r="L87" s="111"/>
      <c r="S87" s="32"/>
      <c r="T87" s="32"/>
      <c r="U87" s="32"/>
      <c r="V87" s="32"/>
      <c r="W87" s="32"/>
      <c r="X87" s="32"/>
      <c r="Y87" s="32"/>
      <c r="Z87" s="32"/>
      <c r="AA87" s="32"/>
      <c r="AB87" s="32"/>
      <c r="AC87" s="32"/>
      <c r="AD87" s="32"/>
      <c r="AE87" s="32"/>
    </row>
    <row r="88" spans="1:31" s="2" customFormat="1" ht="6.95" customHeight="1">
      <c r="A88" s="32"/>
      <c r="B88" s="33"/>
      <c r="C88" s="34"/>
      <c r="D88" s="34"/>
      <c r="E88" s="34"/>
      <c r="F88" s="34"/>
      <c r="G88" s="34"/>
      <c r="H88" s="34"/>
      <c r="I88" s="34"/>
      <c r="J88" s="34"/>
      <c r="K88" s="34"/>
      <c r="L88" s="111"/>
      <c r="S88" s="32"/>
      <c r="T88" s="32"/>
      <c r="U88" s="32"/>
      <c r="V88" s="32"/>
      <c r="W88" s="32"/>
      <c r="X88" s="32"/>
      <c r="Y88" s="32"/>
      <c r="Z88" s="32"/>
      <c r="AA88" s="32"/>
      <c r="AB88" s="32"/>
      <c r="AC88" s="32"/>
      <c r="AD88" s="32"/>
      <c r="AE88" s="32"/>
    </row>
    <row r="89" spans="1:31" s="2" customFormat="1" ht="26.45" customHeight="1">
      <c r="A89" s="32"/>
      <c r="B89" s="33"/>
      <c r="C89" s="27" t="s">
        <v>24</v>
      </c>
      <c r="D89" s="34"/>
      <c r="E89" s="34"/>
      <c r="F89" s="25" t="str">
        <f>E19</f>
        <v xml:space="preserve">Úřad vlády České republiky </v>
      </c>
      <c r="G89" s="34"/>
      <c r="H89" s="34"/>
      <c r="I89" s="27" t="s">
        <v>30</v>
      </c>
      <c r="J89" s="30" t="str">
        <f>E25</f>
        <v>Ateliér Simona Group</v>
      </c>
      <c r="K89" s="34"/>
      <c r="L89" s="111"/>
      <c r="S89" s="32"/>
      <c r="T89" s="32"/>
      <c r="U89" s="32"/>
      <c r="V89" s="32"/>
      <c r="W89" s="32"/>
      <c r="X89" s="32"/>
      <c r="Y89" s="32"/>
      <c r="Z89" s="32"/>
      <c r="AA89" s="32"/>
      <c r="AB89" s="32"/>
      <c r="AC89" s="32"/>
      <c r="AD89" s="32"/>
      <c r="AE89" s="32"/>
    </row>
    <row r="90" spans="1:31" s="2" customFormat="1" ht="26.45" customHeight="1">
      <c r="A90" s="32"/>
      <c r="B90" s="33"/>
      <c r="C90" s="27" t="s">
        <v>28</v>
      </c>
      <c r="D90" s="34"/>
      <c r="E90" s="34"/>
      <c r="F90" s="25" t="str">
        <f>IF(E22="","",E22)</f>
        <v>Vyplň údaj</v>
      </c>
      <c r="G90" s="34"/>
      <c r="H90" s="34"/>
      <c r="I90" s="27" t="s">
        <v>33</v>
      </c>
      <c r="J90" s="30" t="str">
        <f>E28</f>
        <v>Ateliér Simona Group</v>
      </c>
      <c r="K90" s="34"/>
      <c r="L90" s="111"/>
      <c r="S90" s="32"/>
      <c r="T90" s="32"/>
      <c r="U90" s="32"/>
      <c r="V90" s="32"/>
      <c r="W90" s="32"/>
      <c r="X90" s="32"/>
      <c r="Y90" s="32"/>
      <c r="Z90" s="32"/>
      <c r="AA90" s="32"/>
      <c r="AB90" s="32"/>
      <c r="AC90" s="32"/>
      <c r="AD90" s="32"/>
      <c r="AE90" s="32"/>
    </row>
    <row r="91" spans="1:31" s="2" customFormat="1" ht="10.35" customHeight="1">
      <c r="A91" s="32"/>
      <c r="B91" s="33"/>
      <c r="C91" s="34"/>
      <c r="D91" s="34"/>
      <c r="E91" s="34"/>
      <c r="F91" s="34"/>
      <c r="G91" s="34"/>
      <c r="H91" s="34"/>
      <c r="I91" s="34"/>
      <c r="J91" s="34"/>
      <c r="K91" s="34"/>
      <c r="L91" s="111"/>
      <c r="S91" s="32"/>
      <c r="T91" s="32"/>
      <c r="U91" s="32"/>
      <c r="V91" s="32"/>
      <c r="W91" s="32"/>
      <c r="X91" s="32"/>
      <c r="Y91" s="32"/>
      <c r="Z91" s="32"/>
      <c r="AA91" s="32"/>
      <c r="AB91" s="32"/>
      <c r="AC91" s="32"/>
      <c r="AD91" s="32"/>
      <c r="AE91" s="32"/>
    </row>
    <row r="92" spans="1:31" s="11" customFormat="1" ht="29.25" customHeight="1">
      <c r="A92" s="149"/>
      <c r="B92" s="150"/>
      <c r="C92" s="151" t="s">
        <v>182</v>
      </c>
      <c r="D92" s="152" t="s">
        <v>55</v>
      </c>
      <c r="E92" s="152" t="s">
        <v>51</v>
      </c>
      <c r="F92" s="152" t="s">
        <v>52</v>
      </c>
      <c r="G92" s="152" t="s">
        <v>183</v>
      </c>
      <c r="H92" s="152" t="s">
        <v>184</v>
      </c>
      <c r="I92" s="152" t="s">
        <v>185</v>
      </c>
      <c r="J92" s="152" t="s">
        <v>149</v>
      </c>
      <c r="K92" s="153" t="s">
        <v>186</v>
      </c>
      <c r="L92" s="154"/>
      <c r="M92" s="66" t="s">
        <v>19</v>
      </c>
      <c r="N92" s="67" t="s">
        <v>40</v>
      </c>
      <c r="O92" s="67" t="s">
        <v>187</v>
      </c>
      <c r="P92" s="67" t="s">
        <v>188</v>
      </c>
      <c r="Q92" s="67" t="s">
        <v>189</v>
      </c>
      <c r="R92" s="67" t="s">
        <v>190</v>
      </c>
      <c r="S92" s="67" t="s">
        <v>191</v>
      </c>
      <c r="T92" s="68" t="s">
        <v>192</v>
      </c>
      <c r="U92" s="149"/>
      <c r="V92" s="149"/>
      <c r="W92" s="149"/>
      <c r="X92" s="149"/>
      <c r="Y92" s="149"/>
      <c r="Z92" s="149"/>
      <c r="AA92" s="149"/>
      <c r="AB92" s="149"/>
      <c r="AC92" s="149"/>
      <c r="AD92" s="149"/>
      <c r="AE92" s="149"/>
    </row>
    <row r="93" spans="1:63" s="2" customFormat="1" ht="22.9" customHeight="1">
      <c r="A93" s="32"/>
      <c r="B93" s="33"/>
      <c r="C93" s="73" t="s">
        <v>193</v>
      </c>
      <c r="D93" s="34"/>
      <c r="E93" s="34"/>
      <c r="F93" s="34"/>
      <c r="G93" s="34"/>
      <c r="H93" s="34"/>
      <c r="I93" s="34"/>
      <c r="J93" s="155">
        <f>BK93</f>
        <v>0</v>
      </c>
      <c r="K93" s="34"/>
      <c r="L93" s="37"/>
      <c r="M93" s="69"/>
      <c r="N93" s="156"/>
      <c r="O93" s="70"/>
      <c r="P93" s="157">
        <f>P94</f>
        <v>0</v>
      </c>
      <c r="Q93" s="70"/>
      <c r="R93" s="157">
        <f>R94</f>
        <v>0</v>
      </c>
      <c r="S93" s="70"/>
      <c r="T93" s="158">
        <f>T94</f>
        <v>0</v>
      </c>
      <c r="U93" s="32"/>
      <c r="V93" s="32"/>
      <c r="W93" s="32"/>
      <c r="X93" s="32"/>
      <c r="Y93" s="32"/>
      <c r="Z93" s="32"/>
      <c r="AA93" s="32"/>
      <c r="AB93" s="32"/>
      <c r="AC93" s="32"/>
      <c r="AD93" s="32"/>
      <c r="AE93" s="32"/>
      <c r="AT93" s="15" t="s">
        <v>69</v>
      </c>
      <c r="AU93" s="15" t="s">
        <v>150</v>
      </c>
      <c r="BK93" s="159">
        <f>BK94</f>
        <v>0</v>
      </c>
    </row>
    <row r="94" spans="2:63" s="12" customFormat="1" ht="25.9" customHeight="1">
      <c r="B94" s="160"/>
      <c r="C94" s="161"/>
      <c r="D94" s="162" t="s">
        <v>69</v>
      </c>
      <c r="E94" s="163" t="s">
        <v>694</v>
      </c>
      <c r="F94" s="163" t="s">
        <v>695</v>
      </c>
      <c r="G94" s="161"/>
      <c r="H94" s="161"/>
      <c r="I94" s="164"/>
      <c r="J94" s="165">
        <f>BK94</f>
        <v>0</v>
      </c>
      <c r="K94" s="161"/>
      <c r="L94" s="166"/>
      <c r="M94" s="167"/>
      <c r="N94" s="168"/>
      <c r="O94" s="168"/>
      <c r="P94" s="169">
        <f>P95</f>
        <v>0</v>
      </c>
      <c r="Q94" s="168"/>
      <c r="R94" s="169">
        <f>R95</f>
        <v>0</v>
      </c>
      <c r="S94" s="168"/>
      <c r="T94" s="170">
        <f>T95</f>
        <v>0</v>
      </c>
      <c r="AR94" s="171" t="s">
        <v>79</v>
      </c>
      <c r="AT94" s="172" t="s">
        <v>69</v>
      </c>
      <c r="AU94" s="172" t="s">
        <v>70</v>
      </c>
      <c r="AY94" s="171" t="s">
        <v>196</v>
      </c>
      <c r="BK94" s="173">
        <f>BK95</f>
        <v>0</v>
      </c>
    </row>
    <row r="95" spans="2:63" s="12" customFormat="1" ht="22.9" customHeight="1">
      <c r="B95" s="160"/>
      <c r="C95" s="161"/>
      <c r="D95" s="162" t="s">
        <v>69</v>
      </c>
      <c r="E95" s="174" t="s">
        <v>1325</v>
      </c>
      <c r="F95" s="174" t="s">
        <v>1326</v>
      </c>
      <c r="G95" s="161"/>
      <c r="H95" s="161"/>
      <c r="I95" s="164"/>
      <c r="J95" s="175">
        <f>BK95</f>
        <v>0</v>
      </c>
      <c r="K95" s="161"/>
      <c r="L95" s="166"/>
      <c r="M95" s="167"/>
      <c r="N95" s="168"/>
      <c r="O95" s="168"/>
      <c r="P95" s="169">
        <f>SUM(P96:P97)</f>
        <v>0</v>
      </c>
      <c r="Q95" s="168"/>
      <c r="R95" s="169">
        <f>SUM(R96:R97)</f>
        <v>0</v>
      </c>
      <c r="S95" s="168"/>
      <c r="T95" s="170">
        <f>SUM(T96:T97)</f>
        <v>0</v>
      </c>
      <c r="AR95" s="171" t="s">
        <v>79</v>
      </c>
      <c r="AT95" s="172" t="s">
        <v>69</v>
      </c>
      <c r="AU95" s="172" t="s">
        <v>77</v>
      </c>
      <c r="AY95" s="171" t="s">
        <v>196</v>
      </c>
      <c r="BK95" s="173">
        <f>SUM(BK96:BK97)</f>
        <v>0</v>
      </c>
    </row>
    <row r="96" spans="1:65" s="2" customFormat="1" ht="13.9" customHeight="1">
      <c r="A96" s="32"/>
      <c r="B96" s="33"/>
      <c r="C96" s="176" t="s">
        <v>77</v>
      </c>
      <c r="D96" s="176" t="s">
        <v>198</v>
      </c>
      <c r="E96" s="177" t="s">
        <v>1474</v>
      </c>
      <c r="F96" s="178" t="s">
        <v>1475</v>
      </c>
      <c r="G96" s="179" t="s">
        <v>1437</v>
      </c>
      <c r="H96" s="180">
        <v>1</v>
      </c>
      <c r="I96" s="181">
        <f>'G-PS'!L68</f>
        <v>0</v>
      </c>
      <c r="J96" s="182">
        <f>ROUND(I96*H96,2)</f>
        <v>0</v>
      </c>
      <c r="K96" s="178" t="s">
        <v>19</v>
      </c>
      <c r="L96" s="37"/>
      <c r="M96" s="183" t="s">
        <v>19</v>
      </c>
      <c r="N96" s="184" t="s">
        <v>41</v>
      </c>
      <c r="O96" s="62"/>
      <c r="P96" s="185">
        <f>O96*H96</f>
        <v>0</v>
      </c>
      <c r="Q96" s="185">
        <v>0</v>
      </c>
      <c r="R96" s="185">
        <f>Q96*H96</f>
        <v>0</v>
      </c>
      <c r="S96" s="185">
        <v>0</v>
      </c>
      <c r="T96" s="186">
        <f>S96*H96</f>
        <v>0</v>
      </c>
      <c r="U96" s="32"/>
      <c r="V96" s="32"/>
      <c r="W96" s="32"/>
      <c r="X96" s="32"/>
      <c r="Y96" s="32"/>
      <c r="Z96" s="32"/>
      <c r="AA96" s="32"/>
      <c r="AB96" s="32"/>
      <c r="AC96" s="32"/>
      <c r="AD96" s="32"/>
      <c r="AE96" s="32"/>
      <c r="AR96" s="187" t="s">
        <v>270</v>
      </c>
      <c r="AT96" s="187" t="s">
        <v>198</v>
      </c>
      <c r="AU96" s="187" t="s">
        <v>79</v>
      </c>
      <c r="AY96" s="15" t="s">
        <v>196</v>
      </c>
      <c r="BE96" s="188">
        <f>IF(N96="základní",J96,0)</f>
        <v>0</v>
      </c>
      <c r="BF96" s="188">
        <f>IF(N96="snížená",J96,0)</f>
        <v>0</v>
      </c>
      <c r="BG96" s="188">
        <f>IF(N96="zákl. přenesená",J96,0)</f>
        <v>0</v>
      </c>
      <c r="BH96" s="188">
        <f>IF(N96="sníž. přenesená",J96,0)</f>
        <v>0</v>
      </c>
      <c r="BI96" s="188">
        <f>IF(N96="nulová",J96,0)</f>
        <v>0</v>
      </c>
      <c r="BJ96" s="15" t="s">
        <v>77</v>
      </c>
      <c r="BK96" s="188">
        <f>ROUND(I96*H96,2)</f>
        <v>0</v>
      </c>
      <c r="BL96" s="15" t="s">
        <v>270</v>
      </c>
      <c r="BM96" s="187" t="s">
        <v>1476</v>
      </c>
    </row>
    <row r="97" spans="1:65" s="2" customFormat="1" ht="13.9" customHeight="1">
      <c r="A97" s="32"/>
      <c r="B97" s="33"/>
      <c r="C97" s="176" t="s">
        <v>79</v>
      </c>
      <c r="D97" s="176" t="s">
        <v>198</v>
      </c>
      <c r="E97" s="177" t="s">
        <v>1477</v>
      </c>
      <c r="F97" s="178" t="s">
        <v>1478</v>
      </c>
      <c r="G97" s="179" t="s">
        <v>1437</v>
      </c>
      <c r="H97" s="180">
        <v>1</v>
      </c>
      <c r="I97" s="181">
        <f>'G-BPS'!L92</f>
        <v>0</v>
      </c>
      <c r="J97" s="182">
        <f>ROUND(I97*H97,2)</f>
        <v>0</v>
      </c>
      <c r="K97" s="178" t="s">
        <v>19</v>
      </c>
      <c r="L97" s="37"/>
      <c r="M97" s="204" t="s">
        <v>19</v>
      </c>
      <c r="N97" s="205" t="s">
        <v>41</v>
      </c>
      <c r="O97" s="206"/>
      <c r="P97" s="207">
        <f>O97*H97</f>
        <v>0</v>
      </c>
      <c r="Q97" s="207">
        <v>0</v>
      </c>
      <c r="R97" s="207">
        <f>Q97*H97</f>
        <v>0</v>
      </c>
      <c r="S97" s="207">
        <v>0</v>
      </c>
      <c r="T97" s="208">
        <f>S97*H97</f>
        <v>0</v>
      </c>
      <c r="U97" s="32"/>
      <c r="V97" s="32"/>
      <c r="W97" s="32"/>
      <c r="X97" s="32"/>
      <c r="Y97" s="32"/>
      <c r="Z97" s="32"/>
      <c r="AA97" s="32"/>
      <c r="AB97" s="32"/>
      <c r="AC97" s="32"/>
      <c r="AD97" s="32"/>
      <c r="AE97" s="32"/>
      <c r="AR97" s="187" t="s">
        <v>270</v>
      </c>
      <c r="AT97" s="187" t="s">
        <v>198</v>
      </c>
      <c r="AU97" s="187" t="s">
        <v>79</v>
      </c>
      <c r="AY97" s="15" t="s">
        <v>196</v>
      </c>
      <c r="BE97" s="188">
        <f>IF(N97="základní",J97,0)</f>
        <v>0</v>
      </c>
      <c r="BF97" s="188">
        <f>IF(N97="snížená",J97,0)</f>
        <v>0</v>
      </c>
      <c r="BG97" s="188">
        <f>IF(N97="zákl. přenesená",J97,0)</f>
        <v>0</v>
      </c>
      <c r="BH97" s="188">
        <f>IF(N97="sníž. přenesená",J97,0)</f>
        <v>0</v>
      </c>
      <c r="BI97" s="188">
        <f>IF(N97="nulová",J97,0)</f>
        <v>0</v>
      </c>
      <c r="BJ97" s="15" t="s">
        <v>77</v>
      </c>
      <c r="BK97" s="188">
        <f>ROUND(I97*H97,2)</f>
        <v>0</v>
      </c>
      <c r="BL97" s="15" t="s">
        <v>270</v>
      </c>
      <c r="BM97" s="187" t="s">
        <v>1479</v>
      </c>
    </row>
    <row r="98" spans="1:31" s="2" customFormat="1" ht="6.95" customHeight="1">
      <c r="A98" s="32"/>
      <c r="B98" s="45"/>
      <c r="C98" s="46"/>
      <c r="D98" s="46"/>
      <c r="E98" s="46"/>
      <c r="F98" s="46"/>
      <c r="G98" s="46"/>
      <c r="H98" s="46"/>
      <c r="I98" s="46"/>
      <c r="J98" s="46"/>
      <c r="K98" s="46"/>
      <c r="L98" s="37"/>
      <c r="M98" s="32"/>
      <c r="O98" s="32"/>
      <c r="P98" s="32"/>
      <c r="Q98" s="32"/>
      <c r="R98" s="32"/>
      <c r="S98" s="32"/>
      <c r="T98" s="32"/>
      <c r="U98" s="32"/>
      <c r="V98" s="32"/>
      <c r="W98" s="32"/>
      <c r="X98" s="32"/>
      <c r="Y98" s="32"/>
      <c r="Z98" s="32"/>
      <c r="AA98" s="32"/>
      <c r="AB98" s="32"/>
      <c r="AC98" s="32"/>
      <c r="AD98" s="32"/>
      <c r="AE98" s="32"/>
    </row>
  </sheetData>
  <sheetProtection algorithmName="SHA-512" hashValue="9YgwCag9Edd+sQp6NS/R4/gQmYy+b7tI1XuNh5D6JO0NHSJGcEnVJoqxr9lI+xdHd0x1Vx7kSXi+/lECNQObPg==" saltValue="R3hfWiBTGNhqIqMJLa7qwkoSjq6WNxuKRlPxDq7HIvDNzWB9ngLUI4YYC0mwKCu+bY7ENIQ2raa2h38h8Vvtfw==" spinCount="100000" sheet="1" objects="1" scenarios="1" formatColumns="0" formatRows="0" autoFilter="0"/>
  <autoFilter ref="C92:K97"/>
  <mergeCells count="15">
    <mergeCell ref="E79:H79"/>
    <mergeCell ref="E83:H83"/>
    <mergeCell ref="E81:H81"/>
    <mergeCell ref="E85:H85"/>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04997999966144562"/>
    <pageSetUpPr fitToPage="1"/>
  </sheetPr>
  <dimension ref="A2:BM546"/>
  <sheetViews>
    <sheetView showGridLines="0" workbookViewId="0" topLeftCell="A12">
      <selection activeCell="I118" sqref="I118"/>
    </sheetView>
  </sheetViews>
  <sheetFormatPr defaultColWidth="9.140625" defaultRowHeight="12"/>
  <cols>
    <col min="1" max="1" width="8.8515625" style="1" customWidth="1"/>
    <col min="2" max="2" width="1.1484375" style="1" customWidth="1"/>
    <col min="3" max="4" width="4.421875" style="1" customWidth="1"/>
    <col min="5" max="5" width="18.28125" style="1" customWidth="1"/>
    <col min="6" max="6" width="108.00390625" style="1" customWidth="1"/>
    <col min="7" max="7" width="8.00390625" style="1" customWidth="1"/>
    <col min="8" max="8" width="12.28125" style="1" customWidth="1"/>
    <col min="9" max="11" width="21.421875" style="1" customWidth="1"/>
    <col min="12" max="12" width="10.00390625" style="1" customWidth="1"/>
    <col min="13" max="13" width="11.421875" style="1" hidden="1" customWidth="1"/>
    <col min="14" max="14" width="9.140625" style="1" hidden="1" customWidth="1"/>
    <col min="15" max="20" width="15.140625" style="1" hidden="1" customWidth="1"/>
    <col min="21" max="21" width="17.421875" style="1" hidden="1" customWidth="1"/>
    <col min="22" max="22" width="13.140625" style="1" customWidth="1"/>
    <col min="23" max="23" width="17.421875" style="1" customWidth="1"/>
    <col min="24" max="24" width="13.140625" style="1" customWidth="1"/>
    <col min="25" max="25" width="16.00390625" style="1" customWidth="1"/>
    <col min="26" max="26" width="11.7109375" style="1" customWidth="1"/>
    <col min="27" max="27" width="16.00390625" style="1" customWidth="1"/>
    <col min="28" max="28" width="17.421875" style="1" customWidth="1"/>
    <col min="29" max="29" width="11.7109375" style="1" customWidth="1"/>
    <col min="30" max="30" width="16.00390625" style="1" customWidth="1"/>
    <col min="31" max="31" width="17.421875" style="1" customWidth="1"/>
    <col min="44" max="65" width="9.140625" style="1" hidden="1" customWidth="1"/>
  </cols>
  <sheetData>
    <row r="1" ht="12"/>
    <row r="2" spans="12:46" s="1" customFormat="1" ht="36.95" customHeight="1">
      <c r="L2" s="682"/>
      <c r="M2" s="682"/>
      <c r="N2" s="682"/>
      <c r="O2" s="682"/>
      <c r="P2" s="682"/>
      <c r="Q2" s="682"/>
      <c r="R2" s="682"/>
      <c r="S2" s="682"/>
      <c r="T2" s="682"/>
      <c r="U2" s="682"/>
      <c r="V2" s="682"/>
      <c r="AT2" s="15" t="s">
        <v>84</v>
      </c>
    </row>
    <row r="3" spans="2:46" s="1" customFormat="1" ht="6.95" customHeight="1">
      <c r="B3" s="106"/>
      <c r="C3" s="107"/>
      <c r="D3" s="107"/>
      <c r="E3" s="107"/>
      <c r="F3" s="107"/>
      <c r="G3" s="107"/>
      <c r="H3" s="107"/>
      <c r="I3" s="107"/>
      <c r="J3" s="107"/>
      <c r="K3" s="107"/>
      <c r="L3" s="18"/>
      <c r="AT3" s="15" t="s">
        <v>79</v>
      </c>
    </row>
    <row r="4" spans="2:46" s="1" customFormat="1" ht="24.95" customHeight="1">
      <c r="B4" s="18"/>
      <c r="D4" s="108" t="s">
        <v>141</v>
      </c>
      <c r="L4" s="18"/>
      <c r="M4" s="109" t="s">
        <v>10</v>
      </c>
      <c r="AT4" s="15" t="s">
        <v>4</v>
      </c>
    </row>
    <row r="5" spans="2:12" s="1" customFormat="1" ht="6.95" customHeight="1">
      <c r="B5" s="18"/>
      <c r="L5" s="18"/>
    </row>
    <row r="6" spans="2:12" s="1" customFormat="1" ht="12" customHeight="1">
      <c r="B6" s="18"/>
      <c r="D6" s="110" t="s">
        <v>16</v>
      </c>
      <c r="L6" s="18"/>
    </row>
    <row r="7" spans="2:12" s="1" customFormat="1" ht="14.45" customHeight="1">
      <c r="B7" s="18"/>
      <c r="E7" s="702" t="str">
        <f>'Rekapitulace stavby'!K6</f>
        <v>Úpravy gastroprovozu Úřadu vlády ČR v 1.pp Strakovy akademie</v>
      </c>
      <c r="F7" s="703"/>
      <c r="G7" s="703"/>
      <c r="H7" s="703"/>
      <c r="L7" s="18"/>
    </row>
    <row r="8" spans="2:12" s="1" customFormat="1" ht="12" customHeight="1">
      <c r="B8" s="18"/>
      <c r="D8" s="110" t="s">
        <v>142</v>
      </c>
      <c r="L8" s="18"/>
    </row>
    <row r="9" spans="1:31" s="2" customFormat="1" ht="14.45" customHeight="1">
      <c r="A9" s="32"/>
      <c r="B9" s="37"/>
      <c r="C9" s="32"/>
      <c r="D9" s="32"/>
      <c r="E9" s="702" t="s">
        <v>143</v>
      </c>
      <c r="F9" s="704"/>
      <c r="G9" s="704"/>
      <c r="H9" s="704"/>
      <c r="I9" s="32"/>
      <c r="J9" s="32"/>
      <c r="K9" s="32"/>
      <c r="L9" s="111"/>
      <c r="S9" s="32"/>
      <c r="T9" s="32"/>
      <c r="U9" s="32"/>
      <c r="V9" s="32"/>
      <c r="W9" s="32"/>
      <c r="X9" s="32"/>
      <c r="Y9" s="32"/>
      <c r="Z9" s="32"/>
      <c r="AA9" s="32"/>
      <c r="AB9" s="32"/>
      <c r="AC9" s="32"/>
      <c r="AD9" s="32"/>
      <c r="AE9" s="32"/>
    </row>
    <row r="10" spans="1:31" s="2" customFormat="1" ht="12" customHeight="1">
      <c r="A10" s="32"/>
      <c r="B10" s="37"/>
      <c r="C10" s="32"/>
      <c r="D10" s="110" t="s">
        <v>144</v>
      </c>
      <c r="E10" s="32"/>
      <c r="F10" s="32"/>
      <c r="G10" s="32"/>
      <c r="H10" s="32"/>
      <c r="I10" s="32"/>
      <c r="J10" s="32"/>
      <c r="K10" s="32"/>
      <c r="L10" s="111"/>
      <c r="S10" s="32"/>
      <c r="T10" s="32"/>
      <c r="U10" s="32"/>
      <c r="V10" s="32"/>
      <c r="W10" s="32"/>
      <c r="X10" s="32"/>
      <c r="Y10" s="32"/>
      <c r="Z10" s="32"/>
      <c r="AA10" s="32"/>
      <c r="AB10" s="32"/>
      <c r="AC10" s="32"/>
      <c r="AD10" s="32"/>
      <c r="AE10" s="32"/>
    </row>
    <row r="11" spans="1:31" s="2" customFormat="1" ht="14.45" customHeight="1">
      <c r="A11" s="32"/>
      <c r="B11" s="37"/>
      <c r="C11" s="32"/>
      <c r="D11" s="32"/>
      <c r="E11" s="705" t="s">
        <v>145</v>
      </c>
      <c r="F11" s="704"/>
      <c r="G11" s="704"/>
      <c r="H11" s="704"/>
      <c r="I11" s="32"/>
      <c r="J11" s="32"/>
      <c r="K11" s="32"/>
      <c r="L11" s="111"/>
      <c r="S11" s="32"/>
      <c r="T11" s="32"/>
      <c r="U11" s="32"/>
      <c r="V11" s="32"/>
      <c r="W11" s="32"/>
      <c r="X11" s="32"/>
      <c r="Y11" s="32"/>
      <c r="Z11" s="32"/>
      <c r="AA11" s="32"/>
      <c r="AB11" s="32"/>
      <c r="AC11" s="32"/>
      <c r="AD11" s="32"/>
      <c r="AE11" s="32"/>
    </row>
    <row r="12" spans="1:31" s="2" customFormat="1" ht="12">
      <c r="A12" s="32"/>
      <c r="B12" s="37"/>
      <c r="C12" s="32"/>
      <c r="D12" s="32"/>
      <c r="E12" s="32"/>
      <c r="F12" s="32"/>
      <c r="G12" s="32"/>
      <c r="H12" s="32"/>
      <c r="I12" s="32"/>
      <c r="J12" s="32"/>
      <c r="K12" s="32"/>
      <c r="L12" s="111"/>
      <c r="S12" s="32"/>
      <c r="T12" s="32"/>
      <c r="U12" s="32"/>
      <c r="V12" s="32"/>
      <c r="W12" s="32"/>
      <c r="X12" s="32"/>
      <c r="Y12" s="32"/>
      <c r="Z12" s="32"/>
      <c r="AA12" s="32"/>
      <c r="AB12" s="32"/>
      <c r="AC12" s="32"/>
      <c r="AD12" s="32"/>
      <c r="AE12" s="32"/>
    </row>
    <row r="13" spans="1:31" s="2" customFormat="1" ht="12" customHeight="1">
      <c r="A13" s="32"/>
      <c r="B13" s="37"/>
      <c r="C13" s="32"/>
      <c r="D13" s="110" t="s">
        <v>18</v>
      </c>
      <c r="E13" s="32"/>
      <c r="F13" s="101" t="s">
        <v>19</v>
      </c>
      <c r="G13" s="32"/>
      <c r="H13" s="32"/>
      <c r="I13" s="110" t="s">
        <v>20</v>
      </c>
      <c r="J13" s="101" t="s">
        <v>19</v>
      </c>
      <c r="K13" s="32"/>
      <c r="L13" s="111"/>
      <c r="S13" s="32"/>
      <c r="T13" s="32"/>
      <c r="U13" s="32"/>
      <c r="V13" s="32"/>
      <c r="W13" s="32"/>
      <c r="X13" s="32"/>
      <c r="Y13" s="32"/>
      <c r="Z13" s="32"/>
      <c r="AA13" s="32"/>
      <c r="AB13" s="32"/>
      <c r="AC13" s="32"/>
      <c r="AD13" s="32"/>
      <c r="AE13" s="32"/>
    </row>
    <row r="14" spans="1:31" s="2" customFormat="1" ht="12" customHeight="1">
      <c r="A14" s="32"/>
      <c r="B14" s="37"/>
      <c r="C14" s="32"/>
      <c r="D14" s="110" t="s">
        <v>21</v>
      </c>
      <c r="E14" s="32"/>
      <c r="F14" s="101" t="s">
        <v>146</v>
      </c>
      <c r="G14" s="32"/>
      <c r="H14" s="32"/>
      <c r="I14" s="110" t="s">
        <v>23</v>
      </c>
      <c r="J14" s="112" t="str">
        <f>'Rekapitulace stavby'!AN8</f>
        <v>Vyplň údaj</v>
      </c>
      <c r="K14" s="32"/>
      <c r="L14" s="111"/>
      <c r="S14" s="32"/>
      <c r="T14" s="32"/>
      <c r="U14" s="32"/>
      <c r="V14" s="32"/>
      <c r="W14" s="32"/>
      <c r="X14" s="32"/>
      <c r="Y14" s="32"/>
      <c r="Z14" s="32"/>
      <c r="AA14" s="32"/>
      <c r="AB14" s="32"/>
      <c r="AC14" s="32"/>
      <c r="AD14" s="32"/>
      <c r="AE14" s="32"/>
    </row>
    <row r="15" spans="1:31" s="2" customFormat="1" ht="10.9" customHeight="1">
      <c r="A15" s="32"/>
      <c r="B15" s="37"/>
      <c r="C15" s="32"/>
      <c r="D15" s="32"/>
      <c r="E15" s="32"/>
      <c r="F15" s="32"/>
      <c r="G15" s="32"/>
      <c r="H15" s="32"/>
      <c r="I15" s="32"/>
      <c r="J15" s="32"/>
      <c r="K15" s="32"/>
      <c r="L15" s="111"/>
      <c r="S15" s="32"/>
      <c r="T15" s="32"/>
      <c r="U15" s="32"/>
      <c r="V15" s="32"/>
      <c r="W15" s="32"/>
      <c r="X15" s="32"/>
      <c r="Y15" s="32"/>
      <c r="Z15" s="32"/>
      <c r="AA15" s="32"/>
      <c r="AB15" s="32"/>
      <c r="AC15" s="32"/>
      <c r="AD15" s="32"/>
      <c r="AE15" s="32"/>
    </row>
    <row r="16" spans="1:31" s="2" customFormat="1" ht="12" customHeight="1">
      <c r="A16" s="32"/>
      <c r="B16" s="37"/>
      <c r="C16" s="32"/>
      <c r="D16" s="110" t="s">
        <v>24</v>
      </c>
      <c r="E16" s="32"/>
      <c r="F16" s="32"/>
      <c r="G16" s="32"/>
      <c r="H16" s="32"/>
      <c r="I16" s="110" t="s">
        <v>25</v>
      </c>
      <c r="J16" s="101" t="s">
        <v>19</v>
      </c>
      <c r="K16" s="32"/>
      <c r="L16" s="111"/>
      <c r="S16" s="32"/>
      <c r="T16" s="32"/>
      <c r="U16" s="32"/>
      <c r="V16" s="32"/>
      <c r="W16" s="32"/>
      <c r="X16" s="32"/>
      <c r="Y16" s="32"/>
      <c r="Z16" s="32"/>
      <c r="AA16" s="32"/>
      <c r="AB16" s="32"/>
      <c r="AC16" s="32"/>
      <c r="AD16" s="32"/>
      <c r="AE16" s="32"/>
    </row>
    <row r="17" spans="1:31" s="2" customFormat="1" ht="18" customHeight="1">
      <c r="A17" s="32"/>
      <c r="B17" s="37"/>
      <c r="C17" s="32"/>
      <c r="D17" s="32"/>
      <c r="E17" s="101" t="s">
        <v>26</v>
      </c>
      <c r="F17" s="32"/>
      <c r="G17" s="32"/>
      <c r="H17" s="32"/>
      <c r="I17" s="110" t="s">
        <v>27</v>
      </c>
      <c r="J17" s="101" t="s">
        <v>19</v>
      </c>
      <c r="K17" s="32"/>
      <c r="L17" s="111"/>
      <c r="S17" s="32"/>
      <c r="T17" s="32"/>
      <c r="U17" s="32"/>
      <c r="V17" s="32"/>
      <c r="W17" s="32"/>
      <c r="X17" s="32"/>
      <c r="Y17" s="32"/>
      <c r="Z17" s="32"/>
      <c r="AA17" s="32"/>
      <c r="AB17" s="32"/>
      <c r="AC17" s="32"/>
      <c r="AD17" s="32"/>
      <c r="AE17" s="32"/>
    </row>
    <row r="18" spans="1:31" s="2" customFormat="1" ht="6.95" customHeight="1">
      <c r="A18" s="32"/>
      <c r="B18" s="37"/>
      <c r="C18" s="32"/>
      <c r="D18" s="32"/>
      <c r="E18" s="32"/>
      <c r="F18" s="32"/>
      <c r="G18" s="32"/>
      <c r="H18" s="32"/>
      <c r="I18" s="32"/>
      <c r="J18" s="32"/>
      <c r="K18" s="32"/>
      <c r="L18" s="111"/>
      <c r="S18" s="32"/>
      <c r="T18" s="32"/>
      <c r="U18" s="32"/>
      <c r="V18" s="32"/>
      <c r="W18" s="32"/>
      <c r="X18" s="32"/>
      <c r="Y18" s="32"/>
      <c r="Z18" s="32"/>
      <c r="AA18" s="32"/>
      <c r="AB18" s="32"/>
      <c r="AC18" s="32"/>
      <c r="AD18" s="32"/>
      <c r="AE18" s="32"/>
    </row>
    <row r="19" spans="1:31" s="2" customFormat="1" ht="12" customHeight="1">
      <c r="A19" s="32"/>
      <c r="B19" s="37"/>
      <c r="C19" s="32"/>
      <c r="D19" s="110" t="s">
        <v>28</v>
      </c>
      <c r="E19" s="32"/>
      <c r="F19" s="32"/>
      <c r="G19" s="32"/>
      <c r="H19" s="32"/>
      <c r="I19" s="110" t="s">
        <v>25</v>
      </c>
      <c r="J19" s="28" t="str">
        <f>'Rekapitulace stavby'!AN13</f>
        <v>Vyplň údaj</v>
      </c>
      <c r="K19" s="32"/>
      <c r="L19" s="111"/>
      <c r="S19" s="32"/>
      <c r="T19" s="32"/>
      <c r="U19" s="32"/>
      <c r="V19" s="32"/>
      <c r="W19" s="32"/>
      <c r="X19" s="32"/>
      <c r="Y19" s="32"/>
      <c r="Z19" s="32"/>
      <c r="AA19" s="32"/>
      <c r="AB19" s="32"/>
      <c r="AC19" s="32"/>
      <c r="AD19" s="32"/>
      <c r="AE19" s="32"/>
    </row>
    <row r="20" spans="1:31" s="2" customFormat="1" ht="18" customHeight="1">
      <c r="A20" s="32"/>
      <c r="B20" s="37"/>
      <c r="C20" s="32"/>
      <c r="D20" s="32"/>
      <c r="E20" s="706" t="str">
        <f>'Rekapitulace stavby'!E14</f>
        <v>Vyplň údaj</v>
      </c>
      <c r="F20" s="707"/>
      <c r="G20" s="707"/>
      <c r="H20" s="707"/>
      <c r="I20" s="110" t="s">
        <v>27</v>
      </c>
      <c r="J20" s="28" t="str">
        <f>'Rekapitulace stavby'!AN14</f>
        <v>Vyplň údaj</v>
      </c>
      <c r="K20" s="32"/>
      <c r="L20" s="111"/>
      <c r="S20" s="32"/>
      <c r="T20" s="32"/>
      <c r="U20" s="32"/>
      <c r="V20" s="32"/>
      <c r="W20" s="32"/>
      <c r="X20" s="32"/>
      <c r="Y20" s="32"/>
      <c r="Z20" s="32"/>
      <c r="AA20" s="32"/>
      <c r="AB20" s="32"/>
      <c r="AC20" s="32"/>
      <c r="AD20" s="32"/>
      <c r="AE20" s="32"/>
    </row>
    <row r="21" spans="1:31" s="2" customFormat="1" ht="6.95" customHeight="1">
      <c r="A21" s="32"/>
      <c r="B21" s="37"/>
      <c r="C21" s="32"/>
      <c r="D21" s="32"/>
      <c r="E21" s="32"/>
      <c r="F21" s="32"/>
      <c r="G21" s="32"/>
      <c r="H21" s="32"/>
      <c r="I21" s="32"/>
      <c r="J21" s="32"/>
      <c r="K21" s="32"/>
      <c r="L21" s="111"/>
      <c r="S21" s="32"/>
      <c r="T21" s="32"/>
      <c r="U21" s="32"/>
      <c r="V21" s="32"/>
      <c r="W21" s="32"/>
      <c r="X21" s="32"/>
      <c r="Y21" s="32"/>
      <c r="Z21" s="32"/>
      <c r="AA21" s="32"/>
      <c r="AB21" s="32"/>
      <c r="AC21" s="32"/>
      <c r="AD21" s="32"/>
      <c r="AE21" s="32"/>
    </row>
    <row r="22" spans="1:31" s="2" customFormat="1" ht="12" customHeight="1">
      <c r="A22" s="32"/>
      <c r="B22" s="37"/>
      <c r="C22" s="32"/>
      <c r="D22" s="110" t="s">
        <v>30</v>
      </c>
      <c r="E22" s="32"/>
      <c r="F22" s="32"/>
      <c r="G22" s="32"/>
      <c r="H22" s="32"/>
      <c r="I22" s="110" t="s">
        <v>25</v>
      </c>
      <c r="J22" s="101" t="s">
        <v>19</v>
      </c>
      <c r="K22" s="32"/>
      <c r="L22" s="111"/>
      <c r="S22" s="32"/>
      <c r="T22" s="32"/>
      <c r="U22" s="32"/>
      <c r="V22" s="32"/>
      <c r="W22" s="32"/>
      <c r="X22" s="32"/>
      <c r="Y22" s="32"/>
      <c r="Z22" s="32"/>
      <c r="AA22" s="32"/>
      <c r="AB22" s="32"/>
      <c r="AC22" s="32"/>
      <c r="AD22" s="32"/>
      <c r="AE22" s="32"/>
    </row>
    <row r="23" spans="1:31" s="2" customFormat="1" ht="18" customHeight="1">
      <c r="A23" s="32"/>
      <c r="B23" s="37"/>
      <c r="C23" s="32"/>
      <c r="D23" s="32"/>
      <c r="E23" s="101" t="s">
        <v>31</v>
      </c>
      <c r="F23" s="32"/>
      <c r="G23" s="32"/>
      <c r="H23" s="32"/>
      <c r="I23" s="110" t="s">
        <v>27</v>
      </c>
      <c r="J23" s="101" t="s">
        <v>19</v>
      </c>
      <c r="K23" s="32"/>
      <c r="L23" s="111"/>
      <c r="S23" s="32"/>
      <c r="T23" s="32"/>
      <c r="U23" s="32"/>
      <c r="V23" s="32"/>
      <c r="W23" s="32"/>
      <c r="X23" s="32"/>
      <c r="Y23" s="32"/>
      <c r="Z23" s="32"/>
      <c r="AA23" s="32"/>
      <c r="AB23" s="32"/>
      <c r="AC23" s="32"/>
      <c r="AD23" s="32"/>
      <c r="AE23" s="32"/>
    </row>
    <row r="24" spans="1:31" s="2" customFormat="1" ht="6.95" customHeight="1">
      <c r="A24" s="32"/>
      <c r="B24" s="37"/>
      <c r="C24" s="32"/>
      <c r="D24" s="32"/>
      <c r="E24" s="32"/>
      <c r="F24" s="32"/>
      <c r="G24" s="32"/>
      <c r="H24" s="32"/>
      <c r="I24" s="32"/>
      <c r="J24" s="32"/>
      <c r="K24" s="32"/>
      <c r="L24" s="111"/>
      <c r="S24" s="32"/>
      <c r="T24" s="32"/>
      <c r="U24" s="32"/>
      <c r="V24" s="32"/>
      <c r="W24" s="32"/>
      <c r="X24" s="32"/>
      <c r="Y24" s="32"/>
      <c r="Z24" s="32"/>
      <c r="AA24" s="32"/>
      <c r="AB24" s="32"/>
      <c r="AC24" s="32"/>
      <c r="AD24" s="32"/>
      <c r="AE24" s="32"/>
    </row>
    <row r="25" spans="1:31" s="2" customFormat="1" ht="12" customHeight="1">
      <c r="A25" s="32"/>
      <c r="B25" s="37"/>
      <c r="C25" s="32"/>
      <c r="D25" s="110" t="s">
        <v>33</v>
      </c>
      <c r="E25" s="32"/>
      <c r="F25" s="32"/>
      <c r="G25" s="32"/>
      <c r="H25" s="32"/>
      <c r="I25" s="110" t="s">
        <v>25</v>
      </c>
      <c r="J25" s="101" t="s">
        <v>19</v>
      </c>
      <c r="K25" s="32"/>
      <c r="L25" s="111"/>
      <c r="S25" s="32"/>
      <c r="T25" s="32"/>
      <c r="U25" s="32"/>
      <c r="V25" s="32"/>
      <c r="W25" s="32"/>
      <c r="X25" s="32"/>
      <c r="Y25" s="32"/>
      <c r="Z25" s="32"/>
      <c r="AA25" s="32"/>
      <c r="AB25" s="32"/>
      <c r="AC25" s="32"/>
      <c r="AD25" s="32"/>
      <c r="AE25" s="32"/>
    </row>
    <row r="26" spans="1:31" s="2" customFormat="1" ht="18" customHeight="1">
      <c r="A26" s="32"/>
      <c r="B26" s="37"/>
      <c r="C26" s="32"/>
      <c r="D26" s="32"/>
      <c r="E26" s="101" t="s">
        <v>31</v>
      </c>
      <c r="F26" s="32"/>
      <c r="G26" s="32"/>
      <c r="H26" s="32"/>
      <c r="I26" s="110" t="s">
        <v>27</v>
      </c>
      <c r="J26" s="101" t="s">
        <v>19</v>
      </c>
      <c r="K26" s="32"/>
      <c r="L26" s="111"/>
      <c r="S26" s="32"/>
      <c r="T26" s="32"/>
      <c r="U26" s="32"/>
      <c r="V26" s="32"/>
      <c r="W26" s="32"/>
      <c r="X26" s="32"/>
      <c r="Y26" s="32"/>
      <c r="Z26" s="32"/>
      <c r="AA26" s="32"/>
      <c r="AB26" s="32"/>
      <c r="AC26" s="32"/>
      <c r="AD26" s="32"/>
      <c r="AE26" s="32"/>
    </row>
    <row r="27" spans="1:31" s="2" customFormat="1" ht="6.95" customHeight="1">
      <c r="A27" s="32"/>
      <c r="B27" s="37"/>
      <c r="C27" s="32"/>
      <c r="D27" s="32"/>
      <c r="E27" s="32"/>
      <c r="F27" s="32"/>
      <c r="G27" s="32"/>
      <c r="H27" s="32"/>
      <c r="I27" s="32"/>
      <c r="J27" s="32"/>
      <c r="K27" s="32"/>
      <c r="L27" s="111"/>
      <c r="S27" s="32"/>
      <c r="T27" s="32"/>
      <c r="U27" s="32"/>
      <c r="V27" s="32"/>
      <c r="W27" s="32"/>
      <c r="X27" s="32"/>
      <c r="Y27" s="32"/>
      <c r="Z27" s="32"/>
      <c r="AA27" s="32"/>
      <c r="AB27" s="32"/>
      <c r="AC27" s="32"/>
      <c r="AD27" s="32"/>
      <c r="AE27" s="32"/>
    </row>
    <row r="28" spans="1:31" s="2" customFormat="1" ht="12" customHeight="1">
      <c r="A28" s="32"/>
      <c r="B28" s="37"/>
      <c r="C28" s="32"/>
      <c r="D28" s="110" t="s">
        <v>34</v>
      </c>
      <c r="E28" s="32"/>
      <c r="F28" s="32"/>
      <c r="G28" s="32"/>
      <c r="H28" s="32"/>
      <c r="I28" s="32"/>
      <c r="J28" s="32"/>
      <c r="K28" s="32"/>
      <c r="L28" s="111"/>
      <c r="S28" s="32"/>
      <c r="T28" s="32"/>
      <c r="U28" s="32"/>
      <c r="V28" s="32"/>
      <c r="W28" s="32"/>
      <c r="X28" s="32"/>
      <c r="Y28" s="32"/>
      <c r="Z28" s="32"/>
      <c r="AA28" s="32"/>
      <c r="AB28" s="32"/>
      <c r="AC28" s="32"/>
      <c r="AD28" s="32"/>
      <c r="AE28" s="32"/>
    </row>
    <row r="29" spans="1:31" s="8" customFormat="1" ht="14.45" customHeight="1">
      <c r="A29" s="113"/>
      <c r="B29" s="114"/>
      <c r="C29" s="113"/>
      <c r="D29" s="113"/>
      <c r="E29" s="708" t="s">
        <v>19</v>
      </c>
      <c r="F29" s="708"/>
      <c r="G29" s="708"/>
      <c r="H29" s="708"/>
      <c r="I29" s="113"/>
      <c r="J29" s="113"/>
      <c r="K29" s="113"/>
      <c r="L29" s="115"/>
      <c r="S29" s="113"/>
      <c r="T29" s="113"/>
      <c r="U29" s="113"/>
      <c r="V29" s="113"/>
      <c r="W29" s="113"/>
      <c r="X29" s="113"/>
      <c r="Y29" s="113"/>
      <c r="Z29" s="113"/>
      <c r="AA29" s="113"/>
      <c r="AB29" s="113"/>
      <c r="AC29" s="113"/>
      <c r="AD29" s="113"/>
      <c r="AE29" s="113"/>
    </row>
    <row r="30" spans="1:31" s="2" customFormat="1" ht="6.95" customHeight="1">
      <c r="A30" s="32"/>
      <c r="B30" s="37"/>
      <c r="C30" s="32"/>
      <c r="D30" s="32"/>
      <c r="E30" s="32"/>
      <c r="F30" s="32"/>
      <c r="G30" s="32"/>
      <c r="H30" s="32"/>
      <c r="I30" s="32"/>
      <c r="J30" s="32"/>
      <c r="K30" s="32"/>
      <c r="L30" s="111"/>
      <c r="S30" s="32"/>
      <c r="T30" s="32"/>
      <c r="U30" s="32"/>
      <c r="V30" s="32"/>
      <c r="W30" s="32"/>
      <c r="X30" s="32"/>
      <c r="Y30" s="32"/>
      <c r="Z30" s="32"/>
      <c r="AA30" s="32"/>
      <c r="AB30" s="32"/>
      <c r="AC30" s="32"/>
      <c r="AD30" s="32"/>
      <c r="AE30" s="32"/>
    </row>
    <row r="31" spans="1:31" s="2" customFormat="1" ht="6.95" customHeight="1">
      <c r="A31" s="32"/>
      <c r="B31" s="37"/>
      <c r="C31" s="32"/>
      <c r="D31" s="116"/>
      <c r="E31" s="116"/>
      <c r="F31" s="116"/>
      <c r="G31" s="116"/>
      <c r="H31" s="116"/>
      <c r="I31" s="116"/>
      <c r="J31" s="116"/>
      <c r="K31" s="116"/>
      <c r="L31" s="111"/>
      <c r="S31" s="32"/>
      <c r="T31" s="32"/>
      <c r="U31" s="32"/>
      <c r="V31" s="32"/>
      <c r="W31" s="32"/>
      <c r="X31" s="32"/>
      <c r="Y31" s="32"/>
      <c r="Z31" s="32"/>
      <c r="AA31" s="32"/>
      <c r="AB31" s="32"/>
      <c r="AC31" s="32"/>
      <c r="AD31" s="32"/>
      <c r="AE31" s="32"/>
    </row>
    <row r="32" spans="1:31" s="2" customFormat="1" ht="25.35" customHeight="1">
      <c r="A32" s="32"/>
      <c r="B32" s="37"/>
      <c r="C32" s="32"/>
      <c r="D32" s="117" t="s">
        <v>36</v>
      </c>
      <c r="E32" s="32"/>
      <c r="F32" s="32"/>
      <c r="G32" s="32"/>
      <c r="H32" s="32"/>
      <c r="I32" s="32"/>
      <c r="J32" s="118">
        <f>ROUND(J115,2)</f>
        <v>0</v>
      </c>
      <c r="K32" s="32"/>
      <c r="L32" s="111"/>
      <c r="S32" s="32"/>
      <c r="T32" s="32"/>
      <c r="U32" s="32"/>
      <c r="V32" s="32"/>
      <c r="W32" s="32"/>
      <c r="X32" s="32"/>
      <c r="Y32" s="32"/>
      <c r="Z32" s="32"/>
      <c r="AA32" s="32"/>
      <c r="AB32" s="32"/>
      <c r="AC32" s="32"/>
      <c r="AD32" s="32"/>
      <c r="AE32" s="32"/>
    </row>
    <row r="33" spans="1:31" s="2" customFormat="1" ht="6.95" customHeight="1">
      <c r="A33" s="32"/>
      <c r="B33" s="37"/>
      <c r="C33" s="32"/>
      <c r="D33" s="116"/>
      <c r="E33" s="116"/>
      <c r="F33" s="116"/>
      <c r="G33" s="116"/>
      <c r="H33" s="116"/>
      <c r="I33" s="116"/>
      <c r="J33" s="116"/>
      <c r="K33" s="116"/>
      <c r="L33" s="111"/>
      <c r="S33" s="32"/>
      <c r="T33" s="32"/>
      <c r="U33" s="32"/>
      <c r="V33" s="32"/>
      <c r="W33" s="32"/>
      <c r="X33" s="32"/>
      <c r="Y33" s="32"/>
      <c r="Z33" s="32"/>
      <c r="AA33" s="32"/>
      <c r="AB33" s="32"/>
      <c r="AC33" s="32"/>
      <c r="AD33" s="32"/>
      <c r="AE33" s="32"/>
    </row>
    <row r="34" spans="1:31" s="2" customFormat="1" ht="14.45" customHeight="1">
      <c r="A34" s="32"/>
      <c r="B34" s="37"/>
      <c r="C34" s="32"/>
      <c r="D34" s="32"/>
      <c r="E34" s="32"/>
      <c r="F34" s="119" t="s">
        <v>38</v>
      </c>
      <c r="G34" s="32"/>
      <c r="H34" s="32"/>
      <c r="I34" s="119" t="s">
        <v>37</v>
      </c>
      <c r="J34" s="119" t="s">
        <v>39</v>
      </c>
      <c r="K34" s="32"/>
      <c r="L34" s="111"/>
      <c r="S34" s="32"/>
      <c r="T34" s="32"/>
      <c r="U34" s="32"/>
      <c r="V34" s="32"/>
      <c r="W34" s="32"/>
      <c r="X34" s="32"/>
      <c r="Y34" s="32"/>
      <c r="Z34" s="32"/>
      <c r="AA34" s="32"/>
      <c r="AB34" s="32"/>
      <c r="AC34" s="32"/>
      <c r="AD34" s="32"/>
      <c r="AE34" s="32"/>
    </row>
    <row r="35" spans="1:31" s="2" customFormat="1" ht="14.45" customHeight="1">
      <c r="A35" s="32"/>
      <c r="B35" s="37"/>
      <c r="C35" s="32"/>
      <c r="D35" s="120" t="s">
        <v>40</v>
      </c>
      <c r="E35" s="110" t="s">
        <v>41</v>
      </c>
      <c r="F35" s="121">
        <f>ROUND((SUM(BE115:BE545)),2)</f>
        <v>0</v>
      </c>
      <c r="G35" s="32"/>
      <c r="H35" s="32"/>
      <c r="I35" s="122">
        <v>0.21</v>
      </c>
      <c r="J35" s="121">
        <f>ROUND(((SUM(BE115:BE545))*I35),2)</f>
        <v>0</v>
      </c>
      <c r="K35" s="32"/>
      <c r="L35" s="111"/>
      <c r="S35" s="32"/>
      <c r="T35" s="32"/>
      <c r="U35" s="32"/>
      <c r="V35" s="32"/>
      <c r="W35" s="32"/>
      <c r="X35" s="32"/>
      <c r="Y35" s="32"/>
      <c r="Z35" s="32"/>
      <c r="AA35" s="32"/>
      <c r="AB35" s="32"/>
      <c r="AC35" s="32"/>
      <c r="AD35" s="32"/>
      <c r="AE35" s="32"/>
    </row>
    <row r="36" spans="1:31" s="2" customFormat="1" ht="14.45" customHeight="1">
      <c r="A36" s="32"/>
      <c r="B36" s="37"/>
      <c r="C36" s="32"/>
      <c r="D36" s="32"/>
      <c r="E36" s="110" t="s">
        <v>42</v>
      </c>
      <c r="F36" s="121">
        <f>ROUND((SUM(BF115:BF545)),2)</f>
        <v>0</v>
      </c>
      <c r="G36" s="32"/>
      <c r="H36" s="32"/>
      <c r="I36" s="122">
        <v>0.15</v>
      </c>
      <c r="J36" s="121">
        <f>ROUND(((SUM(BF115:BF545))*I36),2)</f>
        <v>0</v>
      </c>
      <c r="K36" s="32"/>
      <c r="L36" s="111"/>
      <c r="S36" s="32"/>
      <c r="T36" s="32"/>
      <c r="U36" s="32"/>
      <c r="V36" s="32"/>
      <c r="W36" s="32"/>
      <c r="X36" s="32"/>
      <c r="Y36" s="32"/>
      <c r="Z36" s="32"/>
      <c r="AA36" s="32"/>
      <c r="AB36" s="32"/>
      <c r="AC36" s="32"/>
      <c r="AD36" s="32"/>
      <c r="AE36" s="32"/>
    </row>
    <row r="37" spans="1:31" s="2" customFormat="1" ht="14.45" customHeight="1" hidden="1">
      <c r="A37" s="32"/>
      <c r="B37" s="37"/>
      <c r="C37" s="32"/>
      <c r="D37" s="32"/>
      <c r="E37" s="110" t="s">
        <v>43</v>
      </c>
      <c r="F37" s="121">
        <f>ROUND((SUM(BG115:BG545)),2)</f>
        <v>0</v>
      </c>
      <c r="G37" s="32"/>
      <c r="H37" s="32"/>
      <c r="I37" s="122">
        <v>0.21</v>
      </c>
      <c r="J37" s="121">
        <f>0</f>
        <v>0</v>
      </c>
      <c r="K37" s="32"/>
      <c r="L37" s="111"/>
      <c r="S37" s="32"/>
      <c r="T37" s="32"/>
      <c r="U37" s="32"/>
      <c r="V37" s="32"/>
      <c r="W37" s="32"/>
      <c r="X37" s="32"/>
      <c r="Y37" s="32"/>
      <c r="Z37" s="32"/>
      <c r="AA37" s="32"/>
      <c r="AB37" s="32"/>
      <c r="AC37" s="32"/>
      <c r="AD37" s="32"/>
      <c r="AE37" s="32"/>
    </row>
    <row r="38" spans="1:31" s="2" customFormat="1" ht="14.45" customHeight="1" hidden="1">
      <c r="A38" s="32"/>
      <c r="B38" s="37"/>
      <c r="C38" s="32"/>
      <c r="D38" s="32"/>
      <c r="E38" s="110" t="s">
        <v>44</v>
      </c>
      <c r="F38" s="121">
        <f>ROUND((SUM(BH115:BH545)),2)</f>
        <v>0</v>
      </c>
      <c r="G38" s="32"/>
      <c r="H38" s="32"/>
      <c r="I38" s="122">
        <v>0.15</v>
      </c>
      <c r="J38" s="121">
        <f>0</f>
        <v>0</v>
      </c>
      <c r="K38" s="32"/>
      <c r="L38" s="111"/>
      <c r="S38" s="32"/>
      <c r="T38" s="32"/>
      <c r="U38" s="32"/>
      <c r="V38" s="32"/>
      <c r="W38" s="32"/>
      <c r="X38" s="32"/>
      <c r="Y38" s="32"/>
      <c r="Z38" s="32"/>
      <c r="AA38" s="32"/>
      <c r="AB38" s="32"/>
      <c r="AC38" s="32"/>
      <c r="AD38" s="32"/>
      <c r="AE38" s="32"/>
    </row>
    <row r="39" spans="1:31" s="2" customFormat="1" ht="14.45" customHeight="1" hidden="1">
      <c r="A39" s="32"/>
      <c r="B39" s="37"/>
      <c r="C39" s="32"/>
      <c r="D39" s="32"/>
      <c r="E39" s="110" t="s">
        <v>45</v>
      </c>
      <c r="F39" s="121">
        <f>ROUND((SUM(BI115:BI545)),2)</f>
        <v>0</v>
      </c>
      <c r="G39" s="32"/>
      <c r="H39" s="32"/>
      <c r="I39" s="122">
        <v>0</v>
      </c>
      <c r="J39" s="121">
        <f>0</f>
        <v>0</v>
      </c>
      <c r="K39" s="32"/>
      <c r="L39" s="111"/>
      <c r="S39" s="32"/>
      <c r="T39" s="32"/>
      <c r="U39" s="32"/>
      <c r="V39" s="32"/>
      <c r="W39" s="32"/>
      <c r="X39" s="32"/>
      <c r="Y39" s="32"/>
      <c r="Z39" s="32"/>
      <c r="AA39" s="32"/>
      <c r="AB39" s="32"/>
      <c r="AC39" s="32"/>
      <c r="AD39" s="32"/>
      <c r="AE39" s="32"/>
    </row>
    <row r="40" spans="1:31" s="2" customFormat="1" ht="6.95" customHeight="1">
      <c r="A40" s="32"/>
      <c r="B40" s="37"/>
      <c r="C40" s="32"/>
      <c r="D40" s="32"/>
      <c r="E40" s="32"/>
      <c r="F40" s="32"/>
      <c r="G40" s="32"/>
      <c r="H40" s="32"/>
      <c r="I40" s="32"/>
      <c r="J40" s="32"/>
      <c r="K40" s="32"/>
      <c r="L40" s="111"/>
      <c r="S40" s="32"/>
      <c r="T40" s="32"/>
      <c r="U40" s="32"/>
      <c r="V40" s="32"/>
      <c r="W40" s="32"/>
      <c r="X40" s="32"/>
      <c r="Y40" s="32"/>
      <c r="Z40" s="32"/>
      <c r="AA40" s="32"/>
      <c r="AB40" s="32"/>
      <c r="AC40" s="32"/>
      <c r="AD40" s="32"/>
      <c r="AE40" s="32"/>
    </row>
    <row r="41" spans="1:31" s="2" customFormat="1" ht="25.35" customHeight="1">
      <c r="A41" s="32"/>
      <c r="B41" s="37"/>
      <c r="C41" s="123"/>
      <c r="D41" s="124" t="s">
        <v>46</v>
      </c>
      <c r="E41" s="125"/>
      <c r="F41" s="125"/>
      <c r="G41" s="126" t="s">
        <v>47</v>
      </c>
      <c r="H41" s="127" t="s">
        <v>48</v>
      </c>
      <c r="I41" s="125"/>
      <c r="J41" s="128">
        <f>SUM(J32:J39)</f>
        <v>0</v>
      </c>
      <c r="K41" s="129"/>
      <c r="L41" s="111"/>
      <c r="S41" s="32"/>
      <c r="T41" s="32"/>
      <c r="U41" s="32"/>
      <c r="V41" s="32"/>
      <c r="W41" s="32"/>
      <c r="X41" s="32"/>
      <c r="Y41" s="32"/>
      <c r="Z41" s="32"/>
      <c r="AA41" s="32"/>
      <c r="AB41" s="32"/>
      <c r="AC41" s="32"/>
      <c r="AD41" s="32"/>
      <c r="AE41" s="32"/>
    </row>
    <row r="42" spans="1:31" s="2" customFormat="1" ht="14.45" customHeight="1">
      <c r="A42" s="32"/>
      <c r="B42" s="130"/>
      <c r="C42" s="131"/>
      <c r="D42" s="131"/>
      <c r="E42" s="131"/>
      <c r="F42" s="131"/>
      <c r="G42" s="131"/>
      <c r="H42" s="131"/>
      <c r="I42" s="131"/>
      <c r="J42" s="131"/>
      <c r="K42" s="131"/>
      <c r="L42" s="111"/>
      <c r="S42" s="32"/>
      <c r="T42" s="32"/>
      <c r="U42" s="32"/>
      <c r="V42" s="32"/>
      <c r="W42" s="32"/>
      <c r="X42" s="32"/>
      <c r="Y42" s="32"/>
      <c r="Z42" s="32"/>
      <c r="AA42" s="32"/>
      <c r="AB42" s="32"/>
      <c r="AC42" s="32"/>
      <c r="AD42" s="32"/>
      <c r="AE42" s="32"/>
    </row>
    <row r="46" spans="1:31" s="2" customFormat="1" ht="6.95" customHeight="1">
      <c r="A46" s="32"/>
      <c r="B46" s="132"/>
      <c r="C46" s="133"/>
      <c r="D46" s="133"/>
      <c r="E46" s="133"/>
      <c r="F46" s="133"/>
      <c r="G46" s="133"/>
      <c r="H46" s="133"/>
      <c r="I46" s="133"/>
      <c r="J46" s="133"/>
      <c r="K46" s="133"/>
      <c r="L46" s="111"/>
      <c r="S46" s="32"/>
      <c r="T46" s="32"/>
      <c r="U46" s="32"/>
      <c r="V46" s="32"/>
      <c r="W46" s="32"/>
      <c r="X46" s="32"/>
      <c r="Y46" s="32"/>
      <c r="Z46" s="32"/>
      <c r="AA46" s="32"/>
      <c r="AB46" s="32"/>
      <c r="AC46" s="32"/>
      <c r="AD46" s="32"/>
      <c r="AE46" s="32"/>
    </row>
    <row r="47" spans="1:31" s="2" customFormat="1" ht="24.95" customHeight="1">
      <c r="A47" s="32"/>
      <c r="B47" s="33"/>
      <c r="C47" s="21" t="s">
        <v>147</v>
      </c>
      <c r="D47" s="34"/>
      <c r="E47" s="34"/>
      <c r="F47" s="34"/>
      <c r="G47" s="34"/>
      <c r="H47" s="34"/>
      <c r="I47" s="34"/>
      <c r="J47" s="34"/>
      <c r="K47" s="34"/>
      <c r="L47" s="111"/>
      <c r="S47" s="32"/>
      <c r="T47" s="32"/>
      <c r="U47" s="32"/>
      <c r="V47" s="32"/>
      <c r="W47" s="32"/>
      <c r="X47" s="32"/>
      <c r="Y47" s="32"/>
      <c r="Z47" s="32"/>
      <c r="AA47" s="32"/>
      <c r="AB47" s="32"/>
      <c r="AC47" s="32"/>
      <c r="AD47" s="32"/>
      <c r="AE47" s="32"/>
    </row>
    <row r="48" spans="1:31" s="2" customFormat="1" ht="6.95" customHeight="1">
      <c r="A48" s="32"/>
      <c r="B48" s="33"/>
      <c r="C48" s="34"/>
      <c r="D48" s="34"/>
      <c r="E48" s="34"/>
      <c r="F48" s="34"/>
      <c r="G48" s="34"/>
      <c r="H48" s="34"/>
      <c r="I48" s="34"/>
      <c r="J48" s="34"/>
      <c r="K48" s="34"/>
      <c r="L48" s="111"/>
      <c r="S48" s="32"/>
      <c r="T48" s="32"/>
      <c r="U48" s="32"/>
      <c r="V48" s="32"/>
      <c r="W48" s="32"/>
      <c r="X48" s="32"/>
      <c r="Y48" s="32"/>
      <c r="Z48" s="32"/>
      <c r="AA48" s="32"/>
      <c r="AB48" s="32"/>
      <c r="AC48" s="32"/>
      <c r="AD48" s="32"/>
      <c r="AE48" s="32"/>
    </row>
    <row r="49" spans="1:31" s="2" customFormat="1" ht="12" customHeight="1">
      <c r="A49" s="32"/>
      <c r="B49" s="33"/>
      <c r="C49" s="27" t="s">
        <v>16</v>
      </c>
      <c r="D49" s="34"/>
      <c r="E49" s="34"/>
      <c r="F49" s="34"/>
      <c r="G49" s="34"/>
      <c r="H49" s="34"/>
      <c r="I49" s="34"/>
      <c r="J49" s="34"/>
      <c r="K49" s="34"/>
      <c r="L49" s="111"/>
      <c r="S49" s="32"/>
      <c r="T49" s="32"/>
      <c r="U49" s="32"/>
      <c r="V49" s="32"/>
      <c r="W49" s="32"/>
      <c r="X49" s="32"/>
      <c r="Y49" s="32"/>
      <c r="Z49" s="32"/>
      <c r="AA49" s="32"/>
      <c r="AB49" s="32"/>
      <c r="AC49" s="32"/>
      <c r="AD49" s="32"/>
      <c r="AE49" s="32"/>
    </row>
    <row r="50" spans="1:31" s="2" customFormat="1" ht="14.45" customHeight="1">
      <c r="A50" s="32"/>
      <c r="B50" s="33"/>
      <c r="C50" s="34"/>
      <c r="D50" s="34"/>
      <c r="E50" s="700" t="str">
        <f>E7</f>
        <v>Úpravy gastroprovozu Úřadu vlády ČR v 1.pp Strakovy akademie</v>
      </c>
      <c r="F50" s="701"/>
      <c r="G50" s="701"/>
      <c r="H50" s="701"/>
      <c r="I50" s="34"/>
      <c r="J50" s="34"/>
      <c r="K50" s="34"/>
      <c r="L50" s="111"/>
      <c r="S50" s="32"/>
      <c r="T50" s="32"/>
      <c r="U50" s="32"/>
      <c r="V50" s="32"/>
      <c r="W50" s="32"/>
      <c r="X50" s="32"/>
      <c r="Y50" s="32"/>
      <c r="Z50" s="32"/>
      <c r="AA50" s="32"/>
      <c r="AB50" s="32"/>
      <c r="AC50" s="32"/>
      <c r="AD50" s="32"/>
      <c r="AE50" s="32"/>
    </row>
    <row r="51" spans="2:12" s="1" customFormat="1" ht="12" customHeight="1">
      <c r="B51" s="19"/>
      <c r="C51" s="27" t="s">
        <v>142</v>
      </c>
      <c r="D51" s="20"/>
      <c r="E51" s="20"/>
      <c r="F51" s="20"/>
      <c r="G51" s="20"/>
      <c r="H51" s="20"/>
      <c r="I51" s="20"/>
      <c r="J51" s="20"/>
      <c r="K51" s="20"/>
      <c r="L51" s="18"/>
    </row>
    <row r="52" spans="1:31" s="2" customFormat="1" ht="14.45" customHeight="1">
      <c r="A52" s="32"/>
      <c r="B52" s="33"/>
      <c r="C52" s="34"/>
      <c r="D52" s="34"/>
      <c r="E52" s="700" t="s">
        <v>143</v>
      </c>
      <c r="F52" s="699"/>
      <c r="G52" s="699"/>
      <c r="H52" s="699"/>
      <c r="I52" s="34"/>
      <c r="J52" s="34"/>
      <c r="K52" s="34"/>
      <c r="L52" s="111"/>
      <c r="S52" s="32"/>
      <c r="T52" s="32"/>
      <c r="U52" s="32"/>
      <c r="V52" s="32"/>
      <c r="W52" s="32"/>
      <c r="X52" s="32"/>
      <c r="Y52" s="32"/>
      <c r="Z52" s="32"/>
      <c r="AA52" s="32"/>
      <c r="AB52" s="32"/>
      <c r="AC52" s="32"/>
      <c r="AD52" s="32"/>
      <c r="AE52" s="32"/>
    </row>
    <row r="53" spans="1:31" s="2" customFormat="1" ht="12" customHeight="1">
      <c r="A53" s="32"/>
      <c r="B53" s="33"/>
      <c r="C53" s="27" t="s">
        <v>144</v>
      </c>
      <c r="D53" s="34"/>
      <c r="E53" s="34"/>
      <c r="F53" s="34"/>
      <c r="G53" s="34"/>
      <c r="H53" s="34"/>
      <c r="I53" s="34"/>
      <c r="J53" s="34"/>
      <c r="K53" s="34"/>
      <c r="L53" s="111"/>
      <c r="S53" s="32"/>
      <c r="T53" s="32"/>
      <c r="U53" s="32"/>
      <c r="V53" s="32"/>
      <c r="W53" s="32"/>
      <c r="X53" s="32"/>
      <c r="Y53" s="32"/>
      <c r="Z53" s="32"/>
      <c r="AA53" s="32"/>
      <c r="AB53" s="32"/>
      <c r="AC53" s="32"/>
      <c r="AD53" s="32"/>
      <c r="AE53" s="32"/>
    </row>
    <row r="54" spans="1:31" s="2" customFormat="1" ht="14.45" customHeight="1">
      <c r="A54" s="32"/>
      <c r="B54" s="33"/>
      <c r="C54" s="34"/>
      <c r="D54" s="34"/>
      <c r="E54" s="696" t="str">
        <f>E11</f>
        <v xml:space="preserve">D.1.1.1 - Soupis prací - Architektonicko stavební a konstrukční řešení gastroprovozu </v>
      </c>
      <c r="F54" s="699"/>
      <c r="G54" s="699"/>
      <c r="H54" s="699"/>
      <c r="I54" s="34"/>
      <c r="J54" s="34"/>
      <c r="K54" s="34"/>
      <c r="L54" s="111"/>
      <c r="S54" s="32"/>
      <c r="T54" s="32"/>
      <c r="U54" s="32"/>
      <c r="V54" s="32"/>
      <c r="W54" s="32"/>
      <c r="X54" s="32"/>
      <c r="Y54" s="32"/>
      <c r="Z54" s="32"/>
      <c r="AA54" s="32"/>
      <c r="AB54" s="32"/>
      <c r="AC54" s="32"/>
      <c r="AD54" s="32"/>
      <c r="AE54" s="32"/>
    </row>
    <row r="55" spans="1:31" s="2" customFormat="1" ht="6.95" customHeight="1">
      <c r="A55" s="32"/>
      <c r="B55" s="33"/>
      <c r="C55" s="34"/>
      <c r="D55" s="34"/>
      <c r="E55" s="34"/>
      <c r="F55" s="34"/>
      <c r="G55" s="34"/>
      <c r="H55" s="34"/>
      <c r="I55" s="34"/>
      <c r="J55" s="34"/>
      <c r="K55" s="34"/>
      <c r="L55" s="111"/>
      <c r="S55" s="32"/>
      <c r="T55" s="32"/>
      <c r="U55" s="32"/>
      <c r="V55" s="32"/>
      <c r="W55" s="32"/>
      <c r="X55" s="32"/>
      <c r="Y55" s="32"/>
      <c r="Z55" s="32"/>
      <c r="AA55" s="32"/>
      <c r="AB55" s="32"/>
      <c r="AC55" s="32"/>
      <c r="AD55" s="32"/>
      <c r="AE55" s="32"/>
    </row>
    <row r="56" spans="1:31" s="2" customFormat="1" ht="12" customHeight="1">
      <c r="A56" s="32"/>
      <c r="B56" s="33"/>
      <c r="C56" s="27" t="s">
        <v>21</v>
      </c>
      <c r="D56" s="34"/>
      <c r="E56" s="34"/>
      <c r="F56" s="25" t="str">
        <f>F14</f>
        <v xml:space="preserve"> </v>
      </c>
      <c r="G56" s="34"/>
      <c r="H56" s="34"/>
      <c r="I56" s="27" t="s">
        <v>23</v>
      </c>
      <c r="J56" s="57" t="str">
        <f>IF(J14="","",J14)</f>
        <v>Vyplň údaj</v>
      </c>
      <c r="K56" s="34"/>
      <c r="L56" s="111"/>
      <c r="S56" s="32"/>
      <c r="T56" s="32"/>
      <c r="U56" s="32"/>
      <c r="V56" s="32"/>
      <c r="W56" s="32"/>
      <c r="X56" s="32"/>
      <c r="Y56" s="32"/>
      <c r="Z56" s="32"/>
      <c r="AA56" s="32"/>
      <c r="AB56" s="32"/>
      <c r="AC56" s="32"/>
      <c r="AD56" s="32"/>
      <c r="AE56" s="32"/>
    </row>
    <row r="57" spans="1:31" s="2" customFormat="1" ht="6.95" customHeight="1">
      <c r="A57" s="32"/>
      <c r="B57" s="33"/>
      <c r="C57" s="34"/>
      <c r="D57" s="34"/>
      <c r="E57" s="34"/>
      <c r="F57" s="34"/>
      <c r="G57" s="34"/>
      <c r="H57" s="34"/>
      <c r="I57" s="34"/>
      <c r="J57" s="34"/>
      <c r="K57" s="34"/>
      <c r="L57" s="111"/>
      <c r="S57" s="32"/>
      <c r="T57" s="32"/>
      <c r="U57" s="32"/>
      <c r="V57" s="32"/>
      <c r="W57" s="32"/>
      <c r="X57" s="32"/>
      <c r="Y57" s="32"/>
      <c r="Z57" s="32"/>
      <c r="AA57" s="32"/>
      <c r="AB57" s="32"/>
      <c r="AC57" s="32"/>
      <c r="AD57" s="32"/>
      <c r="AE57" s="32"/>
    </row>
    <row r="58" spans="1:31" s="2" customFormat="1" ht="26.45" customHeight="1">
      <c r="A58" s="32"/>
      <c r="B58" s="33"/>
      <c r="C58" s="27" t="s">
        <v>24</v>
      </c>
      <c r="D58" s="34"/>
      <c r="E58" s="34"/>
      <c r="F58" s="25" t="str">
        <f>E17</f>
        <v xml:space="preserve">Úřad vlády České republiky </v>
      </c>
      <c r="G58" s="34"/>
      <c r="H58" s="34"/>
      <c r="I58" s="27" t="s">
        <v>30</v>
      </c>
      <c r="J58" s="30" t="str">
        <f>E23</f>
        <v>Ateliér Simona Group</v>
      </c>
      <c r="K58" s="34"/>
      <c r="L58" s="111"/>
      <c r="S58" s="32"/>
      <c r="T58" s="32"/>
      <c r="U58" s="32"/>
      <c r="V58" s="32"/>
      <c r="W58" s="32"/>
      <c r="X58" s="32"/>
      <c r="Y58" s="32"/>
      <c r="Z58" s="32"/>
      <c r="AA58" s="32"/>
      <c r="AB58" s="32"/>
      <c r="AC58" s="32"/>
      <c r="AD58" s="32"/>
      <c r="AE58" s="32"/>
    </row>
    <row r="59" spans="1:31" s="2" customFormat="1" ht="26.45" customHeight="1">
      <c r="A59" s="32"/>
      <c r="B59" s="33"/>
      <c r="C59" s="27" t="s">
        <v>28</v>
      </c>
      <c r="D59" s="34"/>
      <c r="E59" s="34"/>
      <c r="F59" s="25" t="str">
        <f>IF(E20="","",E20)</f>
        <v>Vyplň údaj</v>
      </c>
      <c r="G59" s="34"/>
      <c r="H59" s="34"/>
      <c r="I59" s="27" t="s">
        <v>33</v>
      </c>
      <c r="J59" s="30" t="str">
        <f>E26</f>
        <v>Ateliér Simona Group</v>
      </c>
      <c r="K59" s="34"/>
      <c r="L59" s="111"/>
      <c r="S59" s="32"/>
      <c r="T59" s="32"/>
      <c r="U59" s="32"/>
      <c r="V59" s="32"/>
      <c r="W59" s="32"/>
      <c r="X59" s="32"/>
      <c r="Y59" s="32"/>
      <c r="Z59" s="32"/>
      <c r="AA59" s="32"/>
      <c r="AB59" s="32"/>
      <c r="AC59" s="32"/>
      <c r="AD59" s="32"/>
      <c r="AE59" s="32"/>
    </row>
    <row r="60" spans="1:31" s="2" customFormat="1" ht="10.35" customHeight="1">
      <c r="A60" s="32"/>
      <c r="B60" s="33"/>
      <c r="C60" s="34"/>
      <c r="D60" s="34"/>
      <c r="E60" s="34"/>
      <c r="F60" s="34"/>
      <c r="G60" s="34"/>
      <c r="H60" s="34"/>
      <c r="I60" s="34"/>
      <c r="J60" s="34"/>
      <c r="K60" s="34"/>
      <c r="L60" s="111"/>
      <c r="S60" s="32"/>
      <c r="T60" s="32"/>
      <c r="U60" s="32"/>
      <c r="V60" s="32"/>
      <c r="W60" s="32"/>
      <c r="X60" s="32"/>
      <c r="Y60" s="32"/>
      <c r="Z60" s="32"/>
      <c r="AA60" s="32"/>
      <c r="AB60" s="32"/>
      <c r="AC60" s="32"/>
      <c r="AD60" s="32"/>
      <c r="AE60" s="32"/>
    </row>
    <row r="61" spans="1:31" s="2" customFormat="1" ht="29.25" customHeight="1">
      <c r="A61" s="32"/>
      <c r="B61" s="33"/>
      <c r="C61" s="134" t="s">
        <v>148</v>
      </c>
      <c r="D61" s="135"/>
      <c r="E61" s="135"/>
      <c r="F61" s="135"/>
      <c r="G61" s="135"/>
      <c r="H61" s="135"/>
      <c r="I61" s="135"/>
      <c r="J61" s="136" t="s">
        <v>149</v>
      </c>
      <c r="K61" s="135"/>
      <c r="L61" s="111"/>
      <c r="S61" s="32"/>
      <c r="T61" s="32"/>
      <c r="U61" s="32"/>
      <c r="V61" s="32"/>
      <c r="W61" s="32"/>
      <c r="X61" s="32"/>
      <c r="Y61" s="32"/>
      <c r="Z61" s="32"/>
      <c r="AA61" s="32"/>
      <c r="AB61" s="32"/>
      <c r="AC61" s="32"/>
      <c r="AD61" s="32"/>
      <c r="AE61" s="32"/>
    </row>
    <row r="62" spans="1:31" s="2" customFormat="1" ht="10.35" customHeight="1">
      <c r="A62" s="32"/>
      <c r="B62" s="33"/>
      <c r="C62" s="34"/>
      <c r="D62" s="34"/>
      <c r="E62" s="34"/>
      <c r="F62" s="34"/>
      <c r="G62" s="34"/>
      <c r="H62" s="34"/>
      <c r="I62" s="34"/>
      <c r="J62" s="34"/>
      <c r="K62" s="34"/>
      <c r="L62" s="111"/>
      <c r="S62" s="32"/>
      <c r="T62" s="32"/>
      <c r="U62" s="32"/>
      <c r="V62" s="32"/>
      <c r="W62" s="32"/>
      <c r="X62" s="32"/>
      <c r="Y62" s="32"/>
      <c r="Z62" s="32"/>
      <c r="AA62" s="32"/>
      <c r="AB62" s="32"/>
      <c r="AC62" s="32"/>
      <c r="AD62" s="32"/>
      <c r="AE62" s="32"/>
    </row>
    <row r="63" spans="1:47" s="2" customFormat="1" ht="22.9" customHeight="1">
      <c r="A63" s="32"/>
      <c r="B63" s="33"/>
      <c r="C63" s="137" t="s">
        <v>68</v>
      </c>
      <c r="D63" s="34"/>
      <c r="E63" s="34"/>
      <c r="F63" s="34"/>
      <c r="G63" s="34"/>
      <c r="H63" s="34"/>
      <c r="I63" s="34"/>
      <c r="J63" s="75">
        <f>J115</f>
        <v>0</v>
      </c>
      <c r="K63" s="34"/>
      <c r="L63" s="111"/>
      <c r="S63" s="32"/>
      <c r="T63" s="32"/>
      <c r="U63" s="32"/>
      <c r="V63" s="32"/>
      <c r="W63" s="32"/>
      <c r="X63" s="32"/>
      <c r="Y63" s="32"/>
      <c r="Z63" s="32"/>
      <c r="AA63" s="32"/>
      <c r="AB63" s="32"/>
      <c r="AC63" s="32"/>
      <c r="AD63" s="32"/>
      <c r="AE63" s="32"/>
      <c r="AU63" s="15" t="s">
        <v>150</v>
      </c>
    </row>
    <row r="64" spans="2:12" s="9" customFormat="1" ht="24.95" customHeight="1">
      <c r="B64" s="138"/>
      <c r="C64" s="139"/>
      <c r="D64" s="140" t="s">
        <v>151</v>
      </c>
      <c r="E64" s="141"/>
      <c r="F64" s="141"/>
      <c r="G64" s="141"/>
      <c r="H64" s="141"/>
      <c r="I64" s="141"/>
      <c r="J64" s="142">
        <f>J116</f>
        <v>0</v>
      </c>
      <c r="K64" s="139"/>
      <c r="L64" s="143"/>
    </row>
    <row r="65" spans="2:12" s="10" customFormat="1" ht="19.9" customHeight="1">
      <c r="B65" s="144"/>
      <c r="C65" s="95"/>
      <c r="D65" s="145" t="s">
        <v>152</v>
      </c>
      <c r="E65" s="146"/>
      <c r="F65" s="146"/>
      <c r="G65" s="146"/>
      <c r="H65" s="146"/>
      <c r="I65" s="146"/>
      <c r="J65" s="147">
        <f>J117</f>
        <v>0</v>
      </c>
      <c r="K65" s="95"/>
      <c r="L65" s="148"/>
    </row>
    <row r="66" spans="2:12" s="10" customFormat="1" ht="19.9" customHeight="1">
      <c r="B66" s="144"/>
      <c r="C66" s="95"/>
      <c r="D66" s="145" t="s">
        <v>153</v>
      </c>
      <c r="E66" s="146"/>
      <c r="F66" s="146"/>
      <c r="G66" s="146"/>
      <c r="H66" s="146"/>
      <c r="I66" s="146"/>
      <c r="J66" s="147">
        <f>J139</f>
        <v>0</v>
      </c>
      <c r="K66" s="95"/>
      <c r="L66" s="148"/>
    </row>
    <row r="67" spans="2:12" s="10" customFormat="1" ht="19.9" customHeight="1">
      <c r="B67" s="144"/>
      <c r="C67" s="95"/>
      <c r="D67" s="145" t="s">
        <v>154</v>
      </c>
      <c r="E67" s="146"/>
      <c r="F67" s="146"/>
      <c r="G67" s="146"/>
      <c r="H67" s="146"/>
      <c r="I67" s="146"/>
      <c r="J67" s="147">
        <f>J142</f>
        <v>0</v>
      </c>
      <c r="K67" s="95"/>
      <c r="L67" s="148"/>
    </row>
    <row r="68" spans="2:12" s="10" customFormat="1" ht="19.9" customHeight="1">
      <c r="B68" s="144"/>
      <c r="C68" s="95"/>
      <c r="D68" s="145" t="s">
        <v>155</v>
      </c>
      <c r="E68" s="146"/>
      <c r="F68" s="146"/>
      <c r="G68" s="146"/>
      <c r="H68" s="146"/>
      <c r="I68" s="146"/>
      <c r="J68" s="147">
        <f>J163</f>
        <v>0</v>
      </c>
      <c r="K68" s="95"/>
      <c r="L68" s="148"/>
    </row>
    <row r="69" spans="2:12" s="10" customFormat="1" ht="19.9" customHeight="1">
      <c r="B69" s="144"/>
      <c r="C69" s="95"/>
      <c r="D69" s="145" t="s">
        <v>156</v>
      </c>
      <c r="E69" s="146"/>
      <c r="F69" s="146"/>
      <c r="G69" s="146"/>
      <c r="H69" s="146"/>
      <c r="I69" s="146"/>
      <c r="J69" s="147">
        <f>J166</f>
        <v>0</v>
      </c>
      <c r="K69" s="95"/>
      <c r="L69" s="148"/>
    </row>
    <row r="70" spans="2:12" s="10" customFormat="1" ht="19.9" customHeight="1">
      <c r="B70" s="144"/>
      <c r="C70" s="95"/>
      <c r="D70" s="145" t="s">
        <v>157</v>
      </c>
      <c r="E70" s="146"/>
      <c r="F70" s="146"/>
      <c r="G70" s="146"/>
      <c r="H70" s="146"/>
      <c r="I70" s="146"/>
      <c r="J70" s="147">
        <f>J215</f>
        <v>0</v>
      </c>
      <c r="K70" s="95"/>
      <c r="L70" s="148"/>
    </row>
    <row r="71" spans="2:12" s="10" customFormat="1" ht="19.9" customHeight="1">
      <c r="B71" s="144"/>
      <c r="C71" s="95"/>
      <c r="D71" s="145" t="s">
        <v>158</v>
      </c>
      <c r="E71" s="146"/>
      <c r="F71" s="146"/>
      <c r="G71" s="146"/>
      <c r="H71" s="146"/>
      <c r="I71" s="146"/>
      <c r="J71" s="147">
        <f>J217</f>
        <v>0</v>
      </c>
      <c r="K71" s="95"/>
      <c r="L71" s="148"/>
    </row>
    <row r="72" spans="2:12" s="10" customFormat="1" ht="19.9" customHeight="1">
      <c r="B72" s="144"/>
      <c r="C72" s="95"/>
      <c r="D72" s="145" t="s">
        <v>159</v>
      </c>
      <c r="E72" s="146"/>
      <c r="F72" s="146"/>
      <c r="G72" s="146"/>
      <c r="H72" s="146"/>
      <c r="I72" s="146"/>
      <c r="J72" s="147">
        <f>J281</f>
        <v>0</v>
      </c>
      <c r="K72" s="95"/>
      <c r="L72" s="148"/>
    </row>
    <row r="73" spans="2:12" s="10" customFormat="1" ht="19.9" customHeight="1">
      <c r="B73" s="144"/>
      <c r="C73" s="95"/>
      <c r="D73" s="145" t="s">
        <v>160</v>
      </c>
      <c r="E73" s="146"/>
      <c r="F73" s="146"/>
      <c r="G73" s="146"/>
      <c r="H73" s="146"/>
      <c r="I73" s="146"/>
      <c r="J73" s="147">
        <f>J294</f>
        <v>0</v>
      </c>
      <c r="K73" s="95"/>
      <c r="L73" s="148"/>
    </row>
    <row r="74" spans="2:12" s="9" customFormat="1" ht="24.95" customHeight="1">
      <c r="B74" s="138"/>
      <c r="C74" s="139"/>
      <c r="D74" s="140" t="s">
        <v>161</v>
      </c>
      <c r="E74" s="141"/>
      <c r="F74" s="141"/>
      <c r="G74" s="141"/>
      <c r="H74" s="141"/>
      <c r="I74" s="141"/>
      <c r="J74" s="142">
        <f>J297</f>
        <v>0</v>
      </c>
      <c r="K74" s="139"/>
      <c r="L74" s="143"/>
    </row>
    <row r="75" spans="2:12" s="10" customFormat="1" ht="19.9" customHeight="1">
      <c r="B75" s="144"/>
      <c r="C75" s="95"/>
      <c r="D75" s="145" t="s">
        <v>162</v>
      </c>
      <c r="E75" s="146"/>
      <c r="F75" s="146"/>
      <c r="G75" s="146"/>
      <c r="H75" s="146"/>
      <c r="I75" s="146"/>
      <c r="J75" s="147">
        <f>J298</f>
        <v>0</v>
      </c>
      <c r="K75" s="95"/>
      <c r="L75" s="148"/>
    </row>
    <row r="76" spans="2:12" s="10" customFormat="1" ht="19.9" customHeight="1">
      <c r="B76" s="144"/>
      <c r="C76" s="95"/>
      <c r="D76" s="145" t="s">
        <v>163</v>
      </c>
      <c r="E76" s="146"/>
      <c r="F76" s="146"/>
      <c r="G76" s="146"/>
      <c r="H76" s="146"/>
      <c r="I76" s="146"/>
      <c r="J76" s="147">
        <f>J308</f>
        <v>0</v>
      </c>
      <c r="K76" s="95"/>
      <c r="L76" s="148"/>
    </row>
    <row r="77" spans="2:12" s="10" customFormat="1" ht="19.9" customHeight="1">
      <c r="B77" s="144"/>
      <c r="C77" s="95"/>
      <c r="D77" s="145" t="s">
        <v>164</v>
      </c>
      <c r="E77" s="146"/>
      <c r="F77" s="146"/>
      <c r="G77" s="146"/>
      <c r="H77" s="146"/>
      <c r="I77" s="146"/>
      <c r="J77" s="147">
        <f>J310</f>
        <v>0</v>
      </c>
      <c r="K77" s="95"/>
      <c r="L77" s="148"/>
    </row>
    <row r="78" spans="2:12" s="10" customFormat="1" ht="19.9" customHeight="1">
      <c r="B78" s="144"/>
      <c r="C78" s="95"/>
      <c r="D78" s="145" t="s">
        <v>165</v>
      </c>
      <c r="E78" s="146"/>
      <c r="F78" s="146"/>
      <c r="G78" s="146"/>
      <c r="H78" s="146"/>
      <c r="I78" s="146"/>
      <c r="J78" s="147">
        <f>J317</f>
        <v>0</v>
      </c>
      <c r="K78" s="95"/>
      <c r="L78" s="148"/>
    </row>
    <row r="79" spans="2:12" s="10" customFormat="1" ht="19.9" customHeight="1">
      <c r="B79" s="144"/>
      <c r="C79" s="95"/>
      <c r="D79" s="145" t="s">
        <v>166</v>
      </c>
      <c r="E79" s="146"/>
      <c r="F79" s="146"/>
      <c r="G79" s="146"/>
      <c r="H79" s="146"/>
      <c r="I79" s="146"/>
      <c r="J79" s="147">
        <f>J320</f>
        <v>0</v>
      </c>
      <c r="K79" s="95"/>
      <c r="L79" s="148"/>
    </row>
    <row r="80" spans="2:12" s="10" customFormat="1" ht="19.9" customHeight="1">
      <c r="B80" s="144"/>
      <c r="C80" s="95"/>
      <c r="D80" s="145" t="s">
        <v>167</v>
      </c>
      <c r="E80" s="146"/>
      <c r="F80" s="146"/>
      <c r="G80" s="146"/>
      <c r="H80" s="146"/>
      <c r="I80" s="146"/>
      <c r="J80" s="147">
        <f>J367</f>
        <v>0</v>
      </c>
      <c r="K80" s="95"/>
      <c r="L80" s="148"/>
    </row>
    <row r="81" spans="2:12" s="10" customFormat="1" ht="19.9" customHeight="1">
      <c r="B81" s="144"/>
      <c r="C81" s="95"/>
      <c r="D81" s="145" t="s">
        <v>168</v>
      </c>
      <c r="E81" s="146"/>
      <c r="F81" s="146"/>
      <c r="G81" s="146"/>
      <c r="H81" s="146"/>
      <c r="I81" s="146"/>
      <c r="J81" s="147">
        <f>J385</f>
        <v>0</v>
      </c>
      <c r="K81" s="95"/>
      <c r="L81" s="148"/>
    </row>
    <row r="82" spans="2:12" s="10" customFormat="1" ht="19.9" customHeight="1">
      <c r="B82" s="144"/>
      <c r="C82" s="95"/>
      <c r="D82" s="145" t="s">
        <v>169</v>
      </c>
      <c r="E82" s="146"/>
      <c r="F82" s="146"/>
      <c r="G82" s="146"/>
      <c r="H82" s="146"/>
      <c r="I82" s="146"/>
      <c r="J82" s="147">
        <f>J402</f>
        <v>0</v>
      </c>
      <c r="K82" s="95"/>
      <c r="L82" s="148"/>
    </row>
    <row r="83" spans="2:12" s="10" customFormat="1" ht="19.9" customHeight="1">
      <c r="B83" s="144"/>
      <c r="C83" s="95"/>
      <c r="D83" s="145" t="s">
        <v>170</v>
      </c>
      <c r="E83" s="146"/>
      <c r="F83" s="146"/>
      <c r="G83" s="146"/>
      <c r="H83" s="146"/>
      <c r="I83" s="146"/>
      <c r="J83" s="147">
        <f>J444</f>
        <v>0</v>
      </c>
      <c r="K83" s="95"/>
      <c r="L83" s="148"/>
    </row>
    <row r="84" spans="2:12" s="10" customFormat="1" ht="19.9" customHeight="1">
      <c r="B84" s="144"/>
      <c r="C84" s="95"/>
      <c r="D84" s="145" t="s">
        <v>171</v>
      </c>
      <c r="E84" s="146"/>
      <c r="F84" s="146"/>
      <c r="G84" s="146"/>
      <c r="H84" s="146"/>
      <c r="I84" s="146"/>
      <c r="J84" s="147">
        <f>J451</f>
        <v>0</v>
      </c>
      <c r="K84" s="95"/>
      <c r="L84" s="148"/>
    </row>
    <row r="85" spans="2:12" s="10" customFormat="1" ht="19.9" customHeight="1">
      <c r="B85" s="144"/>
      <c r="C85" s="95"/>
      <c r="D85" s="145" t="s">
        <v>172</v>
      </c>
      <c r="E85" s="146"/>
      <c r="F85" s="146"/>
      <c r="G85" s="146"/>
      <c r="H85" s="146"/>
      <c r="I85" s="146"/>
      <c r="J85" s="147">
        <f>J473</f>
        <v>0</v>
      </c>
      <c r="K85" s="95"/>
      <c r="L85" s="148"/>
    </row>
    <row r="86" spans="2:12" s="10" customFormat="1" ht="19.9" customHeight="1">
      <c r="B86" s="144"/>
      <c r="C86" s="95"/>
      <c r="D86" s="145" t="s">
        <v>173</v>
      </c>
      <c r="E86" s="146"/>
      <c r="F86" s="146"/>
      <c r="G86" s="146"/>
      <c r="H86" s="146"/>
      <c r="I86" s="146"/>
      <c r="J86" s="147">
        <f>J501</f>
        <v>0</v>
      </c>
      <c r="K86" s="95"/>
      <c r="L86" s="148"/>
    </row>
    <row r="87" spans="2:12" s="10" customFormat="1" ht="19.9" customHeight="1">
      <c r="B87" s="144"/>
      <c r="C87" s="95"/>
      <c r="D87" s="145" t="s">
        <v>174</v>
      </c>
      <c r="E87" s="146"/>
      <c r="F87" s="146"/>
      <c r="G87" s="146"/>
      <c r="H87" s="146"/>
      <c r="I87" s="146"/>
      <c r="J87" s="147">
        <f>J506</f>
        <v>0</v>
      </c>
      <c r="K87" s="95"/>
      <c r="L87" s="148"/>
    </row>
    <row r="88" spans="2:12" s="10" customFormat="1" ht="19.9" customHeight="1">
      <c r="B88" s="144"/>
      <c r="C88" s="95"/>
      <c r="D88" s="145" t="s">
        <v>175</v>
      </c>
      <c r="E88" s="146"/>
      <c r="F88" s="146"/>
      <c r="G88" s="146"/>
      <c r="H88" s="146"/>
      <c r="I88" s="146"/>
      <c r="J88" s="147">
        <f>J515</f>
        <v>0</v>
      </c>
      <c r="K88" s="95"/>
      <c r="L88" s="148"/>
    </row>
    <row r="89" spans="2:12" s="10" customFormat="1" ht="19.9" customHeight="1">
      <c r="B89" s="144"/>
      <c r="C89" s="95"/>
      <c r="D89" s="145" t="s">
        <v>176</v>
      </c>
      <c r="E89" s="146"/>
      <c r="F89" s="146"/>
      <c r="G89" s="146"/>
      <c r="H89" s="146"/>
      <c r="I89" s="146"/>
      <c r="J89" s="147">
        <f>J517</f>
        <v>0</v>
      </c>
      <c r="K89" s="95"/>
      <c r="L89" s="148"/>
    </row>
    <row r="90" spans="2:12" s="10" customFormat="1" ht="19.9" customHeight="1">
      <c r="B90" s="144"/>
      <c r="C90" s="95"/>
      <c r="D90" s="145" t="s">
        <v>177</v>
      </c>
      <c r="E90" s="146"/>
      <c r="F90" s="146"/>
      <c r="G90" s="146"/>
      <c r="H90" s="146"/>
      <c r="I90" s="146"/>
      <c r="J90" s="147">
        <f>J519</f>
        <v>0</v>
      </c>
      <c r="K90" s="95"/>
      <c r="L90" s="148"/>
    </row>
    <row r="91" spans="2:12" s="10" customFormat="1" ht="19.9" customHeight="1">
      <c r="B91" s="144"/>
      <c r="C91" s="95"/>
      <c r="D91" s="145" t="s">
        <v>178</v>
      </c>
      <c r="E91" s="146"/>
      <c r="F91" s="146"/>
      <c r="G91" s="146"/>
      <c r="H91" s="146"/>
      <c r="I91" s="146"/>
      <c r="J91" s="147">
        <f>J533</f>
        <v>0</v>
      </c>
      <c r="K91" s="95"/>
      <c r="L91" s="148"/>
    </row>
    <row r="92" spans="2:12" s="9" customFormat="1" ht="24.95" customHeight="1">
      <c r="B92" s="138"/>
      <c r="C92" s="139"/>
      <c r="D92" s="140" t="s">
        <v>179</v>
      </c>
      <c r="E92" s="141"/>
      <c r="F92" s="141"/>
      <c r="G92" s="141"/>
      <c r="H92" s="141"/>
      <c r="I92" s="141"/>
      <c r="J92" s="142">
        <f>J543</f>
        <v>0</v>
      </c>
      <c r="K92" s="139"/>
      <c r="L92" s="143"/>
    </row>
    <row r="93" spans="2:12" s="10" customFormat="1" ht="19.9" customHeight="1">
      <c r="B93" s="144"/>
      <c r="C93" s="95"/>
      <c r="D93" s="145" t="s">
        <v>180</v>
      </c>
      <c r="E93" s="146"/>
      <c r="F93" s="146"/>
      <c r="G93" s="146"/>
      <c r="H93" s="146"/>
      <c r="I93" s="146"/>
      <c r="J93" s="147">
        <f>J544</f>
        <v>0</v>
      </c>
      <c r="K93" s="95"/>
      <c r="L93" s="148"/>
    </row>
    <row r="94" spans="1:31" s="2" customFormat="1" ht="21.75" customHeight="1">
      <c r="A94" s="32"/>
      <c r="B94" s="33"/>
      <c r="C94" s="34"/>
      <c r="D94" s="34"/>
      <c r="E94" s="34"/>
      <c r="F94" s="34"/>
      <c r="G94" s="34"/>
      <c r="H94" s="34"/>
      <c r="I94" s="34"/>
      <c r="J94" s="34"/>
      <c r="K94" s="34"/>
      <c r="L94" s="111"/>
      <c r="S94" s="32"/>
      <c r="T94" s="32"/>
      <c r="U94" s="32"/>
      <c r="V94" s="32"/>
      <c r="W94" s="32"/>
      <c r="X94" s="32"/>
      <c r="Y94" s="32"/>
      <c r="Z94" s="32"/>
      <c r="AA94" s="32"/>
      <c r="AB94" s="32"/>
      <c r="AC94" s="32"/>
      <c r="AD94" s="32"/>
      <c r="AE94" s="32"/>
    </row>
    <row r="95" spans="1:31" s="2" customFormat="1" ht="6.95" customHeight="1">
      <c r="A95" s="32"/>
      <c r="B95" s="45"/>
      <c r="C95" s="46"/>
      <c r="D95" s="46"/>
      <c r="E95" s="46"/>
      <c r="F95" s="46"/>
      <c r="G95" s="46"/>
      <c r="H95" s="46"/>
      <c r="I95" s="46"/>
      <c r="J95" s="46"/>
      <c r="K95" s="46"/>
      <c r="L95" s="111"/>
      <c r="S95" s="32"/>
      <c r="T95" s="32"/>
      <c r="U95" s="32"/>
      <c r="V95" s="32"/>
      <c r="W95" s="32"/>
      <c r="X95" s="32"/>
      <c r="Y95" s="32"/>
      <c r="Z95" s="32"/>
      <c r="AA95" s="32"/>
      <c r="AB95" s="32"/>
      <c r="AC95" s="32"/>
      <c r="AD95" s="32"/>
      <c r="AE95" s="32"/>
    </row>
    <row r="99" spans="1:31" s="2" customFormat="1" ht="6.95" customHeight="1">
      <c r="A99" s="32"/>
      <c r="B99" s="47"/>
      <c r="C99" s="48"/>
      <c r="D99" s="48"/>
      <c r="E99" s="48"/>
      <c r="F99" s="48"/>
      <c r="G99" s="48"/>
      <c r="H99" s="48"/>
      <c r="I99" s="48"/>
      <c r="J99" s="48"/>
      <c r="K99" s="48"/>
      <c r="L99" s="111"/>
      <c r="S99" s="32"/>
      <c r="T99" s="32"/>
      <c r="U99" s="32"/>
      <c r="V99" s="32"/>
      <c r="W99" s="32"/>
      <c r="X99" s="32"/>
      <c r="Y99" s="32"/>
      <c r="Z99" s="32"/>
      <c r="AA99" s="32"/>
      <c r="AB99" s="32"/>
      <c r="AC99" s="32"/>
      <c r="AD99" s="32"/>
      <c r="AE99" s="32"/>
    </row>
    <row r="100" spans="1:31" s="2" customFormat="1" ht="24.95" customHeight="1">
      <c r="A100" s="32"/>
      <c r="B100" s="33"/>
      <c r="C100" s="21" t="s">
        <v>181</v>
      </c>
      <c r="D100" s="34"/>
      <c r="E100" s="34"/>
      <c r="F100" s="34"/>
      <c r="G100" s="34"/>
      <c r="H100" s="34"/>
      <c r="I100" s="34"/>
      <c r="J100" s="34"/>
      <c r="K100" s="34"/>
      <c r="L100" s="111"/>
      <c r="S100" s="32"/>
      <c r="T100" s="32"/>
      <c r="U100" s="32"/>
      <c r="V100" s="32"/>
      <c r="W100" s="32"/>
      <c r="X100" s="32"/>
      <c r="Y100" s="32"/>
      <c r="Z100" s="32"/>
      <c r="AA100" s="32"/>
      <c r="AB100" s="32"/>
      <c r="AC100" s="32"/>
      <c r="AD100" s="32"/>
      <c r="AE100" s="32"/>
    </row>
    <row r="101" spans="1:31" s="2" customFormat="1" ht="6.95" customHeight="1">
      <c r="A101" s="32"/>
      <c r="B101" s="33"/>
      <c r="C101" s="34"/>
      <c r="D101" s="34"/>
      <c r="E101" s="34"/>
      <c r="F101" s="34"/>
      <c r="G101" s="34"/>
      <c r="H101" s="34"/>
      <c r="I101" s="34"/>
      <c r="J101" s="34"/>
      <c r="K101" s="34"/>
      <c r="L101" s="111"/>
      <c r="S101" s="32"/>
      <c r="T101" s="32"/>
      <c r="U101" s="32"/>
      <c r="V101" s="32"/>
      <c r="W101" s="32"/>
      <c r="X101" s="32"/>
      <c r="Y101" s="32"/>
      <c r="Z101" s="32"/>
      <c r="AA101" s="32"/>
      <c r="AB101" s="32"/>
      <c r="AC101" s="32"/>
      <c r="AD101" s="32"/>
      <c r="AE101" s="32"/>
    </row>
    <row r="102" spans="1:31" s="2" customFormat="1" ht="12" customHeight="1">
      <c r="A102" s="32"/>
      <c r="B102" s="33"/>
      <c r="C102" s="27" t="s">
        <v>16</v>
      </c>
      <c r="D102" s="34"/>
      <c r="E102" s="34"/>
      <c r="F102" s="34"/>
      <c r="G102" s="34"/>
      <c r="H102" s="34"/>
      <c r="I102" s="34"/>
      <c r="J102" s="34"/>
      <c r="K102" s="34"/>
      <c r="L102" s="111"/>
      <c r="S102" s="32"/>
      <c r="T102" s="32"/>
      <c r="U102" s="32"/>
      <c r="V102" s="32"/>
      <c r="W102" s="32"/>
      <c r="X102" s="32"/>
      <c r="Y102" s="32"/>
      <c r="Z102" s="32"/>
      <c r="AA102" s="32"/>
      <c r="AB102" s="32"/>
      <c r="AC102" s="32"/>
      <c r="AD102" s="32"/>
      <c r="AE102" s="32"/>
    </row>
    <row r="103" spans="1:31" s="2" customFormat="1" ht="14.45" customHeight="1">
      <c r="A103" s="32"/>
      <c r="B103" s="33"/>
      <c r="C103" s="34"/>
      <c r="D103" s="34"/>
      <c r="E103" s="700" t="str">
        <f>E7</f>
        <v>Úpravy gastroprovozu Úřadu vlády ČR v 1.pp Strakovy akademie</v>
      </c>
      <c r="F103" s="701"/>
      <c r="G103" s="701"/>
      <c r="H103" s="701"/>
      <c r="I103" s="34"/>
      <c r="J103" s="34"/>
      <c r="K103" s="34"/>
      <c r="L103" s="111"/>
      <c r="S103" s="32"/>
      <c r="T103" s="32"/>
      <c r="U103" s="32"/>
      <c r="V103" s="32"/>
      <c r="W103" s="32"/>
      <c r="X103" s="32"/>
      <c r="Y103" s="32"/>
      <c r="Z103" s="32"/>
      <c r="AA103" s="32"/>
      <c r="AB103" s="32"/>
      <c r="AC103" s="32"/>
      <c r="AD103" s="32"/>
      <c r="AE103" s="32"/>
    </row>
    <row r="104" spans="2:12" s="1" customFormat="1" ht="12" customHeight="1">
      <c r="B104" s="19"/>
      <c r="C104" s="27" t="s">
        <v>142</v>
      </c>
      <c r="D104" s="20"/>
      <c r="E104" s="20"/>
      <c r="F104" s="20"/>
      <c r="G104" s="20"/>
      <c r="H104" s="20"/>
      <c r="I104" s="20"/>
      <c r="J104" s="20"/>
      <c r="K104" s="20"/>
      <c r="L104" s="18"/>
    </row>
    <row r="105" spans="1:31" s="2" customFormat="1" ht="14.45" customHeight="1">
      <c r="A105" s="32"/>
      <c r="B105" s="33"/>
      <c r="C105" s="34"/>
      <c r="D105" s="34"/>
      <c r="E105" s="700" t="s">
        <v>143</v>
      </c>
      <c r="F105" s="699"/>
      <c r="G105" s="699"/>
      <c r="H105" s="699"/>
      <c r="I105" s="34"/>
      <c r="J105" s="34"/>
      <c r="K105" s="34"/>
      <c r="L105" s="111"/>
      <c r="S105" s="32"/>
      <c r="T105" s="32"/>
      <c r="U105" s="32"/>
      <c r="V105" s="32"/>
      <c r="W105" s="32"/>
      <c r="X105" s="32"/>
      <c r="Y105" s="32"/>
      <c r="Z105" s="32"/>
      <c r="AA105" s="32"/>
      <c r="AB105" s="32"/>
      <c r="AC105" s="32"/>
      <c r="AD105" s="32"/>
      <c r="AE105" s="32"/>
    </row>
    <row r="106" spans="1:31" s="2" customFormat="1" ht="12" customHeight="1">
      <c r="A106" s="32"/>
      <c r="B106" s="33"/>
      <c r="C106" s="27" t="s">
        <v>144</v>
      </c>
      <c r="D106" s="34"/>
      <c r="E106" s="34"/>
      <c r="F106" s="34"/>
      <c r="G106" s="34"/>
      <c r="H106" s="34"/>
      <c r="I106" s="34"/>
      <c r="J106" s="34"/>
      <c r="K106" s="34"/>
      <c r="L106" s="111"/>
      <c r="S106" s="32"/>
      <c r="T106" s="32"/>
      <c r="U106" s="32"/>
      <c r="V106" s="32"/>
      <c r="W106" s="32"/>
      <c r="X106" s="32"/>
      <c r="Y106" s="32"/>
      <c r="Z106" s="32"/>
      <c r="AA106" s="32"/>
      <c r="AB106" s="32"/>
      <c r="AC106" s="32"/>
      <c r="AD106" s="32"/>
      <c r="AE106" s="32"/>
    </row>
    <row r="107" spans="1:31" s="2" customFormat="1" ht="14.45" customHeight="1">
      <c r="A107" s="32"/>
      <c r="B107" s="33"/>
      <c r="C107" s="34"/>
      <c r="D107" s="34"/>
      <c r="E107" s="696" t="str">
        <f>E11</f>
        <v xml:space="preserve">D.1.1.1 - Soupis prací - Architektonicko stavební a konstrukční řešení gastroprovozu </v>
      </c>
      <c r="F107" s="699"/>
      <c r="G107" s="699"/>
      <c r="H107" s="699"/>
      <c r="I107" s="34"/>
      <c r="J107" s="34"/>
      <c r="K107" s="34"/>
      <c r="L107" s="111"/>
      <c r="S107" s="32"/>
      <c r="T107" s="32"/>
      <c r="U107" s="32"/>
      <c r="V107" s="32"/>
      <c r="W107" s="32"/>
      <c r="X107" s="32"/>
      <c r="Y107" s="32"/>
      <c r="Z107" s="32"/>
      <c r="AA107" s="32"/>
      <c r="AB107" s="32"/>
      <c r="AC107" s="32"/>
      <c r="AD107" s="32"/>
      <c r="AE107" s="32"/>
    </row>
    <row r="108" spans="1:31" s="2" customFormat="1" ht="6.95" customHeight="1">
      <c r="A108" s="32"/>
      <c r="B108" s="33"/>
      <c r="C108" s="34"/>
      <c r="D108" s="34"/>
      <c r="E108" s="34"/>
      <c r="F108" s="34"/>
      <c r="G108" s="34"/>
      <c r="H108" s="34"/>
      <c r="I108" s="34"/>
      <c r="J108" s="34"/>
      <c r="K108" s="34"/>
      <c r="L108" s="111"/>
      <c r="S108" s="32"/>
      <c r="T108" s="32"/>
      <c r="U108" s="32"/>
      <c r="V108" s="32"/>
      <c r="W108" s="32"/>
      <c r="X108" s="32"/>
      <c r="Y108" s="32"/>
      <c r="Z108" s="32"/>
      <c r="AA108" s="32"/>
      <c r="AB108" s="32"/>
      <c r="AC108" s="32"/>
      <c r="AD108" s="32"/>
      <c r="AE108" s="32"/>
    </row>
    <row r="109" spans="1:31" s="2" customFormat="1" ht="12" customHeight="1">
      <c r="A109" s="32"/>
      <c r="B109" s="33"/>
      <c r="C109" s="27" t="s">
        <v>21</v>
      </c>
      <c r="D109" s="34"/>
      <c r="E109" s="34"/>
      <c r="F109" s="25" t="str">
        <f>F14</f>
        <v xml:space="preserve"> </v>
      </c>
      <c r="G109" s="34"/>
      <c r="H109" s="34"/>
      <c r="I109" s="27" t="s">
        <v>23</v>
      </c>
      <c r="J109" s="57" t="str">
        <f>IF(J14="","",J14)</f>
        <v>Vyplň údaj</v>
      </c>
      <c r="K109" s="34"/>
      <c r="L109" s="111"/>
      <c r="S109" s="32"/>
      <c r="T109" s="32"/>
      <c r="U109" s="32"/>
      <c r="V109" s="32"/>
      <c r="W109" s="32"/>
      <c r="X109" s="32"/>
      <c r="Y109" s="32"/>
      <c r="Z109" s="32"/>
      <c r="AA109" s="32"/>
      <c r="AB109" s="32"/>
      <c r="AC109" s="32"/>
      <c r="AD109" s="32"/>
      <c r="AE109" s="32"/>
    </row>
    <row r="110" spans="1:31" s="2" customFormat="1" ht="6.95" customHeight="1">
      <c r="A110" s="32"/>
      <c r="B110" s="33"/>
      <c r="C110" s="34"/>
      <c r="D110" s="34"/>
      <c r="E110" s="34"/>
      <c r="F110" s="34"/>
      <c r="G110" s="34"/>
      <c r="H110" s="34"/>
      <c r="I110" s="34"/>
      <c r="J110" s="34"/>
      <c r="K110" s="34"/>
      <c r="L110" s="111"/>
      <c r="S110" s="32"/>
      <c r="T110" s="32"/>
      <c r="U110" s="32"/>
      <c r="V110" s="32"/>
      <c r="W110" s="32"/>
      <c r="X110" s="32"/>
      <c r="Y110" s="32"/>
      <c r="Z110" s="32"/>
      <c r="AA110" s="32"/>
      <c r="AB110" s="32"/>
      <c r="AC110" s="32"/>
      <c r="AD110" s="32"/>
      <c r="AE110" s="32"/>
    </row>
    <row r="111" spans="1:31" s="2" customFormat="1" ht="26.45" customHeight="1">
      <c r="A111" s="32"/>
      <c r="B111" s="33"/>
      <c r="C111" s="27" t="s">
        <v>24</v>
      </c>
      <c r="D111" s="34"/>
      <c r="E111" s="34"/>
      <c r="F111" s="25" t="str">
        <f>E17</f>
        <v xml:space="preserve">Úřad vlády České republiky </v>
      </c>
      <c r="G111" s="34"/>
      <c r="H111" s="34"/>
      <c r="I111" s="27" t="s">
        <v>30</v>
      </c>
      <c r="J111" s="30" t="str">
        <f>E23</f>
        <v>Ateliér Simona Group</v>
      </c>
      <c r="K111" s="34"/>
      <c r="L111" s="111"/>
      <c r="S111" s="32"/>
      <c r="T111" s="32"/>
      <c r="U111" s="32"/>
      <c r="V111" s="32"/>
      <c r="W111" s="32"/>
      <c r="X111" s="32"/>
      <c r="Y111" s="32"/>
      <c r="Z111" s="32"/>
      <c r="AA111" s="32"/>
      <c r="AB111" s="32"/>
      <c r="AC111" s="32"/>
      <c r="AD111" s="32"/>
      <c r="AE111" s="32"/>
    </row>
    <row r="112" spans="1:31" s="2" customFormat="1" ht="26.45" customHeight="1">
      <c r="A112" s="32"/>
      <c r="B112" s="33"/>
      <c r="C112" s="27" t="s">
        <v>28</v>
      </c>
      <c r="D112" s="34"/>
      <c r="E112" s="34"/>
      <c r="F112" s="25" t="str">
        <f>IF(E20="","",E20)</f>
        <v>Vyplň údaj</v>
      </c>
      <c r="G112" s="34"/>
      <c r="H112" s="34"/>
      <c r="I112" s="27" t="s">
        <v>33</v>
      </c>
      <c r="J112" s="30" t="str">
        <f>E26</f>
        <v>Ateliér Simona Group</v>
      </c>
      <c r="K112" s="34"/>
      <c r="L112" s="111"/>
      <c r="S112" s="32"/>
      <c r="T112" s="32"/>
      <c r="U112" s="32"/>
      <c r="V112" s="32"/>
      <c r="W112" s="32"/>
      <c r="X112" s="32"/>
      <c r="Y112" s="32"/>
      <c r="Z112" s="32"/>
      <c r="AA112" s="32"/>
      <c r="AB112" s="32"/>
      <c r="AC112" s="32"/>
      <c r="AD112" s="32"/>
      <c r="AE112" s="32"/>
    </row>
    <row r="113" spans="1:31" s="2" customFormat="1" ht="10.35" customHeight="1">
      <c r="A113" s="32"/>
      <c r="B113" s="33"/>
      <c r="C113" s="34"/>
      <c r="D113" s="34"/>
      <c r="E113" s="34"/>
      <c r="F113" s="34"/>
      <c r="G113" s="34"/>
      <c r="H113" s="34"/>
      <c r="I113" s="34"/>
      <c r="J113" s="34"/>
      <c r="K113" s="34"/>
      <c r="L113" s="111"/>
      <c r="S113" s="32"/>
      <c r="T113" s="32"/>
      <c r="U113" s="32"/>
      <c r="V113" s="32"/>
      <c r="W113" s="32"/>
      <c r="X113" s="32"/>
      <c r="Y113" s="32"/>
      <c r="Z113" s="32"/>
      <c r="AA113" s="32"/>
      <c r="AB113" s="32"/>
      <c r="AC113" s="32"/>
      <c r="AD113" s="32"/>
      <c r="AE113" s="32"/>
    </row>
    <row r="114" spans="1:31" s="11" customFormat="1" ht="29.25" customHeight="1">
      <c r="A114" s="149"/>
      <c r="B114" s="150"/>
      <c r="C114" s="151" t="s">
        <v>182</v>
      </c>
      <c r="D114" s="152" t="s">
        <v>55</v>
      </c>
      <c r="E114" s="152" t="s">
        <v>51</v>
      </c>
      <c r="F114" s="152" t="s">
        <v>52</v>
      </c>
      <c r="G114" s="152" t="s">
        <v>183</v>
      </c>
      <c r="H114" s="152" t="s">
        <v>184</v>
      </c>
      <c r="I114" s="152" t="s">
        <v>185</v>
      </c>
      <c r="J114" s="152" t="s">
        <v>149</v>
      </c>
      <c r="K114" s="153" t="s">
        <v>186</v>
      </c>
      <c r="L114" s="154"/>
      <c r="M114" s="66" t="s">
        <v>19</v>
      </c>
      <c r="N114" s="67" t="s">
        <v>40</v>
      </c>
      <c r="O114" s="67" t="s">
        <v>187</v>
      </c>
      <c r="P114" s="67" t="s">
        <v>188</v>
      </c>
      <c r="Q114" s="67" t="s">
        <v>189</v>
      </c>
      <c r="R114" s="67" t="s">
        <v>190</v>
      </c>
      <c r="S114" s="67" t="s">
        <v>191</v>
      </c>
      <c r="T114" s="68" t="s">
        <v>192</v>
      </c>
      <c r="U114" s="149"/>
      <c r="V114" s="149"/>
      <c r="W114" s="149"/>
      <c r="X114" s="149"/>
      <c r="Y114" s="149"/>
      <c r="Z114" s="149"/>
      <c r="AA114" s="149"/>
      <c r="AB114" s="149"/>
      <c r="AC114" s="149"/>
      <c r="AD114" s="149"/>
      <c r="AE114" s="149"/>
    </row>
    <row r="115" spans="1:63" s="2" customFormat="1" ht="22.9" customHeight="1">
      <c r="A115" s="32"/>
      <c r="B115" s="33"/>
      <c r="C115" s="73" t="s">
        <v>193</v>
      </c>
      <c r="D115" s="34"/>
      <c r="E115" s="34"/>
      <c r="F115" s="34"/>
      <c r="G115" s="34"/>
      <c r="H115" s="34"/>
      <c r="I115" s="34"/>
      <c r="J115" s="155">
        <f>BK115</f>
        <v>0</v>
      </c>
      <c r="K115" s="34"/>
      <c r="L115" s="37"/>
      <c r="M115" s="69"/>
      <c r="N115" s="156"/>
      <c r="O115" s="70"/>
      <c r="P115" s="157">
        <f>P116+P297+P543</f>
        <v>0</v>
      </c>
      <c r="Q115" s="70"/>
      <c r="R115" s="157">
        <f>R116+R297+R543</f>
        <v>199.82777151000002</v>
      </c>
      <c r="S115" s="70"/>
      <c r="T115" s="158">
        <f>T116+T297+T543</f>
        <v>188.14673986000003</v>
      </c>
      <c r="U115" s="32"/>
      <c r="V115" s="32"/>
      <c r="W115" s="32"/>
      <c r="X115" s="32"/>
      <c r="Y115" s="32"/>
      <c r="Z115" s="32"/>
      <c r="AA115" s="32"/>
      <c r="AB115" s="32"/>
      <c r="AC115" s="32"/>
      <c r="AD115" s="32"/>
      <c r="AE115" s="32"/>
      <c r="AT115" s="15" t="s">
        <v>69</v>
      </c>
      <c r="AU115" s="15" t="s">
        <v>150</v>
      </c>
      <c r="BK115" s="159">
        <f>BK116+BK297+BK543</f>
        <v>0</v>
      </c>
    </row>
    <row r="116" spans="2:63" s="12" customFormat="1" ht="25.9" customHeight="1">
      <c r="B116" s="160"/>
      <c r="C116" s="161"/>
      <c r="D116" s="162" t="s">
        <v>69</v>
      </c>
      <c r="E116" s="163" t="s">
        <v>194</v>
      </c>
      <c r="F116" s="163" t="s">
        <v>195</v>
      </c>
      <c r="G116" s="161"/>
      <c r="H116" s="161"/>
      <c r="I116" s="164"/>
      <c r="J116" s="165">
        <f>BK116</f>
        <v>0</v>
      </c>
      <c r="K116" s="161"/>
      <c r="L116" s="166"/>
      <c r="M116" s="167"/>
      <c r="N116" s="168"/>
      <c r="O116" s="168"/>
      <c r="P116" s="169">
        <f>P117+P139+P142+P163+P166+P215+P217+P281+P294</f>
        <v>0</v>
      </c>
      <c r="Q116" s="168"/>
      <c r="R116" s="169">
        <f>R117+R139+R142+R163+R166+R215+R217+R281+R294</f>
        <v>178.20891532000002</v>
      </c>
      <c r="S116" s="168"/>
      <c r="T116" s="170">
        <f>T117+T139+T142+T163+T166+T215+T217+T281+T294</f>
        <v>136.37445900000003</v>
      </c>
      <c r="AR116" s="171" t="s">
        <v>77</v>
      </c>
      <c r="AT116" s="172" t="s">
        <v>69</v>
      </c>
      <c r="AU116" s="172" t="s">
        <v>70</v>
      </c>
      <c r="AY116" s="171" t="s">
        <v>196</v>
      </c>
      <c r="BK116" s="173">
        <f>BK117+BK139+BK142+BK163+BK166+BK215+BK217+BK281+BK294</f>
        <v>0</v>
      </c>
    </row>
    <row r="117" spans="2:63" s="12" customFormat="1" ht="22.9" customHeight="1">
      <c r="B117" s="160"/>
      <c r="C117" s="161"/>
      <c r="D117" s="162" t="s">
        <v>69</v>
      </c>
      <c r="E117" s="174" t="s">
        <v>77</v>
      </c>
      <c r="F117" s="174" t="s">
        <v>197</v>
      </c>
      <c r="G117" s="161"/>
      <c r="H117" s="161"/>
      <c r="I117" s="164"/>
      <c r="J117" s="175">
        <f>BK117</f>
        <v>0</v>
      </c>
      <c r="K117" s="161"/>
      <c r="L117" s="166"/>
      <c r="M117" s="167"/>
      <c r="N117" s="168"/>
      <c r="O117" s="168"/>
      <c r="P117" s="169">
        <f>SUM(P118:P138)</f>
        <v>0</v>
      </c>
      <c r="Q117" s="168"/>
      <c r="R117" s="169">
        <f>SUM(R118:R138)</f>
        <v>0</v>
      </c>
      <c r="S117" s="168"/>
      <c r="T117" s="170">
        <f>SUM(T118:T138)</f>
        <v>0</v>
      </c>
      <c r="AR117" s="171" t="s">
        <v>77</v>
      </c>
      <c r="AT117" s="172" t="s">
        <v>69</v>
      </c>
      <c r="AU117" s="172" t="s">
        <v>77</v>
      </c>
      <c r="AY117" s="171" t="s">
        <v>196</v>
      </c>
      <c r="BK117" s="173">
        <f>SUM(BK118:BK138)</f>
        <v>0</v>
      </c>
    </row>
    <row r="118" spans="1:65" s="2" customFormat="1" ht="22.15" customHeight="1">
      <c r="A118" s="32"/>
      <c r="B118" s="33"/>
      <c r="C118" s="176" t="s">
        <v>77</v>
      </c>
      <c r="D118" s="176" t="s">
        <v>198</v>
      </c>
      <c r="E118" s="177" t="s">
        <v>199</v>
      </c>
      <c r="F118" s="178" t="s">
        <v>200</v>
      </c>
      <c r="G118" s="179" t="s">
        <v>201</v>
      </c>
      <c r="H118" s="180">
        <v>5.625</v>
      </c>
      <c r="I118" s="181"/>
      <c r="J118" s="182">
        <f>ROUND(I118*H118,2)</f>
        <v>0</v>
      </c>
      <c r="K118" s="178" t="s">
        <v>202</v>
      </c>
      <c r="L118" s="37"/>
      <c r="M118" s="183" t="s">
        <v>19</v>
      </c>
      <c r="N118" s="184" t="s">
        <v>41</v>
      </c>
      <c r="O118" s="62"/>
      <c r="P118" s="185">
        <f>O118*H118</f>
        <v>0</v>
      </c>
      <c r="Q118" s="185">
        <v>0</v>
      </c>
      <c r="R118" s="185">
        <f>Q118*H118</f>
        <v>0</v>
      </c>
      <c r="S118" s="185">
        <v>0</v>
      </c>
      <c r="T118" s="186">
        <f>S118*H118</f>
        <v>0</v>
      </c>
      <c r="U118" s="32"/>
      <c r="V118" s="32"/>
      <c r="W118" s="32"/>
      <c r="X118" s="32"/>
      <c r="Y118" s="32"/>
      <c r="Z118" s="32"/>
      <c r="AA118" s="32"/>
      <c r="AB118" s="32"/>
      <c r="AC118" s="32"/>
      <c r="AD118" s="32"/>
      <c r="AE118" s="32"/>
      <c r="AR118" s="187" t="s">
        <v>203</v>
      </c>
      <c r="AT118" s="187" t="s">
        <v>198</v>
      </c>
      <c r="AU118" s="187" t="s">
        <v>79</v>
      </c>
      <c r="AY118" s="15" t="s">
        <v>196</v>
      </c>
      <c r="BE118" s="188">
        <f>IF(N118="základní",J118,0)</f>
        <v>0</v>
      </c>
      <c r="BF118" s="188">
        <f>IF(N118="snížená",J118,0)</f>
        <v>0</v>
      </c>
      <c r="BG118" s="188">
        <f>IF(N118="zákl. přenesená",J118,0)</f>
        <v>0</v>
      </c>
      <c r="BH118" s="188">
        <f>IF(N118="sníž. přenesená",J118,0)</f>
        <v>0</v>
      </c>
      <c r="BI118" s="188">
        <f>IF(N118="nulová",J118,0)</f>
        <v>0</v>
      </c>
      <c r="BJ118" s="15" t="s">
        <v>77</v>
      </c>
      <c r="BK118" s="188">
        <f>ROUND(I118*H118,2)</f>
        <v>0</v>
      </c>
      <c r="BL118" s="15" t="s">
        <v>203</v>
      </c>
      <c r="BM118" s="187" t="s">
        <v>204</v>
      </c>
    </row>
    <row r="119" spans="1:65" s="2" customFormat="1" ht="22.15" customHeight="1">
      <c r="A119" s="32"/>
      <c r="B119" s="33"/>
      <c r="C119" s="176" t="s">
        <v>79</v>
      </c>
      <c r="D119" s="176" t="s">
        <v>198</v>
      </c>
      <c r="E119" s="177" t="s">
        <v>205</v>
      </c>
      <c r="F119" s="178" t="s">
        <v>206</v>
      </c>
      <c r="G119" s="179" t="s">
        <v>201</v>
      </c>
      <c r="H119" s="180">
        <v>33.75</v>
      </c>
      <c r="I119" s="181"/>
      <c r="J119" s="182">
        <f>ROUND(I119*H119,2)</f>
        <v>0</v>
      </c>
      <c r="K119" s="178" t="s">
        <v>202</v>
      </c>
      <c r="L119" s="37"/>
      <c r="M119" s="183" t="s">
        <v>19</v>
      </c>
      <c r="N119" s="184" t="s">
        <v>41</v>
      </c>
      <c r="O119" s="62"/>
      <c r="P119" s="185">
        <f>O119*H119</f>
        <v>0</v>
      </c>
      <c r="Q119" s="185">
        <v>0</v>
      </c>
      <c r="R119" s="185">
        <f>Q119*H119</f>
        <v>0</v>
      </c>
      <c r="S119" s="185">
        <v>0</v>
      </c>
      <c r="T119" s="186">
        <f>S119*H119</f>
        <v>0</v>
      </c>
      <c r="U119" s="32"/>
      <c r="V119" s="32"/>
      <c r="W119" s="32"/>
      <c r="X119" s="32"/>
      <c r="Y119" s="32"/>
      <c r="Z119" s="32"/>
      <c r="AA119" s="32"/>
      <c r="AB119" s="32"/>
      <c r="AC119" s="32"/>
      <c r="AD119" s="32"/>
      <c r="AE119" s="32"/>
      <c r="AR119" s="187" t="s">
        <v>203</v>
      </c>
      <c r="AT119" s="187" t="s">
        <v>198</v>
      </c>
      <c r="AU119" s="187" t="s">
        <v>79</v>
      </c>
      <c r="AY119" s="15" t="s">
        <v>196</v>
      </c>
      <c r="BE119" s="188">
        <f>IF(N119="základní",J119,0)</f>
        <v>0</v>
      </c>
      <c r="BF119" s="188">
        <f>IF(N119="snížená",J119,0)</f>
        <v>0</v>
      </c>
      <c r="BG119" s="188">
        <f>IF(N119="zákl. přenesená",J119,0)</f>
        <v>0</v>
      </c>
      <c r="BH119" s="188">
        <f>IF(N119="sníž. přenesená",J119,0)</f>
        <v>0</v>
      </c>
      <c r="BI119" s="188">
        <f>IF(N119="nulová",J119,0)</f>
        <v>0</v>
      </c>
      <c r="BJ119" s="15" t="s">
        <v>77</v>
      </c>
      <c r="BK119" s="188">
        <f>ROUND(I119*H119,2)</f>
        <v>0</v>
      </c>
      <c r="BL119" s="15" t="s">
        <v>203</v>
      </c>
      <c r="BM119" s="187" t="s">
        <v>207</v>
      </c>
    </row>
    <row r="120" spans="1:47" s="2" customFormat="1" ht="48.75">
      <c r="A120" s="32"/>
      <c r="B120" s="33"/>
      <c r="C120" s="34"/>
      <c r="D120" s="189" t="s">
        <v>208</v>
      </c>
      <c r="E120" s="34"/>
      <c r="F120" s="190" t="s">
        <v>209</v>
      </c>
      <c r="G120" s="34"/>
      <c r="H120" s="34"/>
      <c r="I120" s="191"/>
      <c r="J120" s="34"/>
      <c r="K120" s="34"/>
      <c r="L120" s="37"/>
      <c r="M120" s="192"/>
      <c r="N120" s="193"/>
      <c r="O120" s="62"/>
      <c r="P120" s="62"/>
      <c r="Q120" s="62"/>
      <c r="R120" s="62"/>
      <c r="S120" s="62"/>
      <c r="T120" s="63"/>
      <c r="U120" s="32"/>
      <c r="V120" s="32"/>
      <c r="W120" s="32"/>
      <c r="X120" s="32"/>
      <c r="Y120" s="32"/>
      <c r="Z120" s="32"/>
      <c r="AA120" s="32"/>
      <c r="AB120" s="32"/>
      <c r="AC120" s="32"/>
      <c r="AD120" s="32"/>
      <c r="AE120" s="32"/>
      <c r="AT120" s="15" t="s">
        <v>208</v>
      </c>
      <c r="AU120" s="15" t="s">
        <v>79</v>
      </c>
    </row>
    <row r="121" spans="1:65" s="2" customFormat="1" ht="22.15" customHeight="1">
      <c r="A121" s="32"/>
      <c r="B121" s="33"/>
      <c r="C121" s="176" t="s">
        <v>102</v>
      </c>
      <c r="D121" s="176" t="s">
        <v>198</v>
      </c>
      <c r="E121" s="177" t="s">
        <v>210</v>
      </c>
      <c r="F121" s="178" t="s">
        <v>211</v>
      </c>
      <c r="G121" s="179" t="s">
        <v>201</v>
      </c>
      <c r="H121" s="180">
        <v>33.75</v>
      </c>
      <c r="I121" s="181"/>
      <c r="J121" s="182">
        <f>ROUND(I121*H121,2)</f>
        <v>0</v>
      </c>
      <c r="K121" s="178" t="s">
        <v>202</v>
      </c>
      <c r="L121" s="37"/>
      <c r="M121" s="183" t="s">
        <v>19</v>
      </c>
      <c r="N121" s="184" t="s">
        <v>41</v>
      </c>
      <c r="O121" s="62"/>
      <c r="P121" s="185">
        <f>O121*H121</f>
        <v>0</v>
      </c>
      <c r="Q121" s="185">
        <v>0</v>
      </c>
      <c r="R121" s="185">
        <f>Q121*H121</f>
        <v>0</v>
      </c>
      <c r="S121" s="185">
        <v>0</v>
      </c>
      <c r="T121" s="186">
        <f>S121*H121</f>
        <v>0</v>
      </c>
      <c r="U121" s="32"/>
      <c r="V121" s="32"/>
      <c r="W121" s="32"/>
      <c r="X121" s="32"/>
      <c r="Y121" s="32"/>
      <c r="Z121" s="32"/>
      <c r="AA121" s="32"/>
      <c r="AB121" s="32"/>
      <c r="AC121" s="32"/>
      <c r="AD121" s="32"/>
      <c r="AE121" s="32"/>
      <c r="AR121" s="187" t="s">
        <v>203</v>
      </c>
      <c r="AT121" s="187" t="s">
        <v>198</v>
      </c>
      <c r="AU121" s="187" t="s">
        <v>79</v>
      </c>
      <c r="AY121" s="15" t="s">
        <v>196</v>
      </c>
      <c r="BE121" s="188">
        <f>IF(N121="základní",J121,0)</f>
        <v>0</v>
      </c>
      <c r="BF121" s="188">
        <f>IF(N121="snížená",J121,0)</f>
        <v>0</v>
      </c>
      <c r="BG121" s="188">
        <f>IF(N121="zákl. přenesená",J121,0)</f>
        <v>0</v>
      </c>
      <c r="BH121" s="188">
        <f>IF(N121="sníž. přenesená",J121,0)</f>
        <v>0</v>
      </c>
      <c r="BI121" s="188">
        <f>IF(N121="nulová",J121,0)</f>
        <v>0</v>
      </c>
      <c r="BJ121" s="15" t="s">
        <v>77</v>
      </c>
      <c r="BK121" s="188">
        <f>ROUND(I121*H121,2)</f>
        <v>0</v>
      </c>
      <c r="BL121" s="15" t="s">
        <v>203</v>
      </c>
      <c r="BM121" s="187" t="s">
        <v>212</v>
      </c>
    </row>
    <row r="122" spans="1:47" s="2" customFormat="1" ht="48.75">
      <c r="A122" s="32"/>
      <c r="B122" s="33"/>
      <c r="C122" s="34"/>
      <c r="D122" s="189" t="s">
        <v>208</v>
      </c>
      <c r="E122" s="34"/>
      <c r="F122" s="190" t="s">
        <v>209</v>
      </c>
      <c r="G122" s="34"/>
      <c r="H122" s="34"/>
      <c r="I122" s="191"/>
      <c r="J122" s="34"/>
      <c r="K122" s="34"/>
      <c r="L122" s="37"/>
      <c r="M122" s="192"/>
      <c r="N122" s="193"/>
      <c r="O122" s="62"/>
      <c r="P122" s="62"/>
      <c r="Q122" s="62"/>
      <c r="R122" s="62"/>
      <c r="S122" s="62"/>
      <c r="T122" s="63"/>
      <c r="U122" s="32"/>
      <c r="V122" s="32"/>
      <c r="W122" s="32"/>
      <c r="X122" s="32"/>
      <c r="Y122" s="32"/>
      <c r="Z122" s="32"/>
      <c r="AA122" s="32"/>
      <c r="AB122" s="32"/>
      <c r="AC122" s="32"/>
      <c r="AD122" s="32"/>
      <c r="AE122" s="32"/>
      <c r="AT122" s="15" t="s">
        <v>208</v>
      </c>
      <c r="AU122" s="15" t="s">
        <v>79</v>
      </c>
    </row>
    <row r="123" spans="1:65" s="2" customFormat="1" ht="13.9" customHeight="1">
      <c r="A123" s="32"/>
      <c r="B123" s="33"/>
      <c r="C123" s="176" t="s">
        <v>203</v>
      </c>
      <c r="D123" s="176" t="s">
        <v>198</v>
      </c>
      <c r="E123" s="177" t="s">
        <v>213</v>
      </c>
      <c r="F123" s="178" t="s">
        <v>214</v>
      </c>
      <c r="G123" s="179" t="s">
        <v>201</v>
      </c>
      <c r="H123" s="180">
        <v>30.654</v>
      </c>
      <c r="I123" s="181"/>
      <c r="J123" s="182">
        <f>ROUND(I123*H123,2)</f>
        <v>0</v>
      </c>
      <c r="K123" s="178" t="s">
        <v>202</v>
      </c>
      <c r="L123" s="37"/>
      <c r="M123" s="183" t="s">
        <v>19</v>
      </c>
      <c r="N123" s="184" t="s">
        <v>41</v>
      </c>
      <c r="O123" s="62"/>
      <c r="P123" s="185">
        <f>O123*H123</f>
        <v>0</v>
      </c>
      <c r="Q123" s="185">
        <v>0</v>
      </c>
      <c r="R123" s="185">
        <f>Q123*H123</f>
        <v>0</v>
      </c>
      <c r="S123" s="185">
        <v>0</v>
      </c>
      <c r="T123" s="186">
        <f>S123*H123</f>
        <v>0</v>
      </c>
      <c r="U123" s="32"/>
      <c r="V123" s="32"/>
      <c r="W123" s="32"/>
      <c r="X123" s="32"/>
      <c r="Y123" s="32"/>
      <c r="Z123" s="32"/>
      <c r="AA123" s="32"/>
      <c r="AB123" s="32"/>
      <c r="AC123" s="32"/>
      <c r="AD123" s="32"/>
      <c r="AE123" s="32"/>
      <c r="AR123" s="187" t="s">
        <v>203</v>
      </c>
      <c r="AT123" s="187" t="s">
        <v>198</v>
      </c>
      <c r="AU123" s="187" t="s">
        <v>79</v>
      </c>
      <c r="AY123" s="15" t="s">
        <v>196</v>
      </c>
      <c r="BE123" s="188">
        <f>IF(N123="základní",J123,0)</f>
        <v>0</v>
      </c>
      <c r="BF123" s="188">
        <f>IF(N123="snížená",J123,0)</f>
        <v>0</v>
      </c>
      <c r="BG123" s="188">
        <f>IF(N123="zákl. přenesená",J123,0)</f>
        <v>0</v>
      </c>
      <c r="BH123" s="188">
        <f>IF(N123="sníž. přenesená",J123,0)</f>
        <v>0</v>
      </c>
      <c r="BI123" s="188">
        <f>IF(N123="nulová",J123,0)</f>
        <v>0</v>
      </c>
      <c r="BJ123" s="15" t="s">
        <v>77</v>
      </c>
      <c r="BK123" s="188">
        <f>ROUND(I123*H123,2)</f>
        <v>0</v>
      </c>
      <c r="BL123" s="15" t="s">
        <v>203</v>
      </c>
      <c r="BM123" s="187" t="s">
        <v>215</v>
      </c>
    </row>
    <row r="124" spans="1:47" s="2" customFormat="1" ht="29.25">
      <c r="A124" s="32"/>
      <c r="B124" s="33"/>
      <c r="C124" s="34"/>
      <c r="D124" s="189" t="s">
        <v>208</v>
      </c>
      <c r="E124" s="34"/>
      <c r="F124" s="190" t="s">
        <v>216</v>
      </c>
      <c r="G124" s="34"/>
      <c r="H124" s="34"/>
      <c r="I124" s="191"/>
      <c r="J124" s="34"/>
      <c r="K124" s="34"/>
      <c r="L124" s="37"/>
      <c r="M124" s="192"/>
      <c r="N124" s="193"/>
      <c r="O124" s="62"/>
      <c r="P124" s="62"/>
      <c r="Q124" s="62"/>
      <c r="R124" s="62"/>
      <c r="S124" s="62"/>
      <c r="T124" s="63"/>
      <c r="U124" s="32"/>
      <c r="V124" s="32"/>
      <c r="W124" s="32"/>
      <c r="X124" s="32"/>
      <c r="Y124" s="32"/>
      <c r="Z124" s="32"/>
      <c r="AA124" s="32"/>
      <c r="AB124" s="32"/>
      <c r="AC124" s="32"/>
      <c r="AD124" s="32"/>
      <c r="AE124" s="32"/>
      <c r="AT124" s="15" t="s">
        <v>208</v>
      </c>
      <c r="AU124" s="15" t="s">
        <v>79</v>
      </c>
    </row>
    <row r="125" spans="1:65" s="2" customFormat="1" ht="22.15" customHeight="1">
      <c r="A125" s="32"/>
      <c r="B125" s="33"/>
      <c r="C125" s="176" t="s">
        <v>217</v>
      </c>
      <c r="D125" s="176" t="s">
        <v>198</v>
      </c>
      <c r="E125" s="177" t="s">
        <v>218</v>
      </c>
      <c r="F125" s="178" t="s">
        <v>219</v>
      </c>
      <c r="G125" s="179" t="s">
        <v>201</v>
      </c>
      <c r="H125" s="180">
        <v>30.654</v>
      </c>
      <c r="I125" s="181"/>
      <c r="J125" s="182">
        <f>ROUND(I125*H125,2)</f>
        <v>0</v>
      </c>
      <c r="K125" s="178" t="s">
        <v>202</v>
      </c>
      <c r="L125" s="37"/>
      <c r="M125" s="183" t="s">
        <v>19</v>
      </c>
      <c r="N125" s="184" t="s">
        <v>41</v>
      </c>
      <c r="O125" s="62"/>
      <c r="P125" s="185">
        <f>O125*H125</f>
        <v>0</v>
      </c>
      <c r="Q125" s="185">
        <v>0</v>
      </c>
      <c r="R125" s="185">
        <f>Q125*H125</f>
        <v>0</v>
      </c>
      <c r="S125" s="185">
        <v>0</v>
      </c>
      <c r="T125" s="186">
        <f>S125*H125</f>
        <v>0</v>
      </c>
      <c r="U125" s="32"/>
      <c r="V125" s="32"/>
      <c r="W125" s="32"/>
      <c r="X125" s="32"/>
      <c r="Y125" s="32"/>
      <c r="Z125" s="32"/>
      <c r="AA125" s="32"/>
      <c r="AB125" s="32"/>
      <c r="AC125" s="32"/>
      <c r="AD125" s="32"/>
      <c r="AE125" s="32"/>
      <c r="AR125" s="187" t="s">
        <v>203</v>
      </c>
      <c r="AT125" s="187" t="s">
        <v>198</v>
      </c>
      <c r="AU125" s="187" t="s">
        <v>79</v>
      </c>
      <c r="AY125" s="15" t="s">
        <v>196</v>
      </c>
      <c r="BE125" s="188">
        <f>IF(N125="základní",J125,0)</f>
        <v>0</v>
      </c>
      <c r="BF125" s="188">
        <f>IF(N125="snížená",J125,0)</f>
        <v>0</v>
      </c>
      <c r="BG125" s="188">
        <f>IF(N125="zákl. přenesená",J125,0)</f>
        <v>0</v>
      </c>
      <c r="BH125" s="188">
        <f>IF(N125="sníž. přenesená",J125,0)</f>
        <v>0</v>
      </c>
      <c r="BI125" s="188">
        <f>IF(N125="nulová",J125,0)</f>
        <v>0</v>
      </c>
      <c r="BJ125" s="15" t="s">
        <v>77</v>
      </c>
      <c r="BK125" s="188">
        <f>ROUND(I125*H125,2)</f>
        <v>0</v>
      </c>
      <c r="BL125" s="15" t="s">
        <v>203</v>
      </c>
      <c r="BM125" s="187" t="s">
        <v>220</v>
      </c>
    </row>
    <row r="126" spans="1:65" s="2" customFormat="1" ht="22.15" customHeight="1">
      <c r="A126" s="32"/>
      <c r="B126" s="33"/>
      <c r="C126" s="176" t="s">
        <v>221</v>
      </c>
      <c r="D126" s="176" t="s">
        <v>198</v>
      </c>
      <c r="E126" s="177" t="s">
        <v>222</v>
      </c>
      <c r="F126" s="178" t="s">
        <v>223</v>
      </c>
      <c r="G126" s="179" t="s">
        <v>201</v>
      </c>
      <c r="H126" s="180">
        <v>57.654</v>
      </c>
      <c r="I126" s="181"/>
      <c r="J126" s="182">
        <f>ROUND(I126*H126,2)</f>
        <v>0</v>
      </c>
      <c r="K126" s="178" t="s">
        <v>202</v>
      </c>
      <c r="L126" s="37"/>
      <c r="M126" s="183" t="s">
        <v>19</v>
      </c>
      <c r="N126" s="184" t="s">
        <v>41</v>
      </c>
      <c r="O126" s="62"/>
      <c r="P126" s="185">
        <f>O126*H126</f>
        <v>0</v>
      </c>
      <c r="Q126" s="185">
        <v>0</v>
      </c>
      <c r="R126" s="185">
        <f>Q126*H126</f>
        <v>0</v>
      </c>
      <c r="S126" s="185">
        <v>0</v>
      </c>
      <c r="T126" s="186">
        <f>S126*H126</f>
        <v>0</v>
      </c>
      <c r="U126" s="32"/>
      <c r="V126" s="32"/>
      <c r="W126" s="32"/>
      <c r="X126" s="32"/>
      <c r="Y126" s="32"/>
      <c r="Z126" s="32"/>
      <c r="AA126" s="32"/>
      <c r="AB126" s="32"/>
      <c r="AC126" s="32"/>
      <c r="AD126" s="32"/>
      <c r="AE126" s="32"/>
      <c r="AR126" s="187" t="s">
        <v>203</v>
      </c>
      <c r="AT126" s="187" t="s">
        <v>198</v>
      </c>
      <c r="AU126" s="187" t="s">
        <v>79</v>
      </c>
      <c r="AY126" s="15" t="s">
        <v>196</v>
      </c>
      <c r="BE126" s="188">
        <f>IF(N126="základní",J126,0)</f>
        <v>0</v>
      </c>
      <c r="BF126" s="188">
        <f>IF(N126="snížená",J126,0)</f>
        <v>0</v>
      </c>
      <c r="BG126" s="188">
        <f>IF(N126="zákl. přenesená",J126,0)</f>
        <v>0</v>
      </c>
      <c r="BH126" s="188">
        <f>IF(N126="sníž. přenesená",J126,0)</f>
        <v>0</v>
      </c>
      <c r="BI126" s="188">
        <f>IF(N126="nulová",J126,0)</f>
        <v>0</v>
      </c>
      <c r="BJ126" s="15" t="s">
        <v>77</v>
      </c>
      <c r="BK126" s="188">
        <f>ROUND(I126*H126,2)</f>
        <v>0</v>
      </c>
      <c r="BL126" s="15" t="s">
        <v>203</v>
      </c>
      <c r="BM126" s="187" t="s">
        <v>224</v>
      </c>
    </row>
    <row r="127" spans="1:65" s="2" customFormat="1" ht="22.15" customHeight="1">
      <c r="A127" s="32"/>
      <c r="B127" s="33"/>
      <c r="C127" s="176" t="s">
        <v>225</v>
      </c>
      <c r="D127" s="176" t="s">
        <v>198</v>
      </c>
      <c r="E127" s="177" t="s">
        <v>226</v>
      </c>
      <c r="F127" s="178" t="s">
        <v>227</v>
      </c>
      <c r="G127" s="179" t="s">
        <v>201</v>
      </c>
      <c r="H127" s="180">
        <v>57.654</v>
      </c>
      <c r="I127" s="181"/>
      <c r="J127" s="182">
        <f>ROUND(I127*H127,2)</f>
        <v>0</v>
      </c>
      <c r="K127" s="178" t="s">
        <v>202</v>
      </c>
      <c r="L127" s="37"/>
      <c r="M127" s="183" t="s">
        <v>19</v>
      </c>
      <c r="N127" s="184" t="s">
        <v>41</v>
      </c>
      <c r="O127" s="62"/>
      <c r="P127" s="185">
        <f>O127*H127</f>
        <v>0</v>
      </c>
      <c r="Q127" s="185">
        <v>0</v>
      </c>
      <c r="R127" s="185">
        <f>Q127*H127</f>
        <v>0</v>
      </c>
      <c r="S127" s="185">
        <v>0</v>
      </c>
      <c r="T127" s="186">
        <f>S127*H127</f>
        <v>0</v>
      </c>
      <c r="U127" s="32"/>
      <c r="V127" s="32"/>
      <c r="W127" s="32"/>
      <c r="X127" s="32"/>
      <c r="Y127" s="32"/>
      <c r="Z127" s="32"/>
      <c r="AA127" s="32"/>
      <c r="AB127" s="32"/>
      <c r="AC127" s="32"/>
      <c r="AD127" s="32"/>
      <c r="AE127" s="32"/>
      <c r="AR127" s="187" t="s">
        <v>203</v>
      </c>
      <c r="AT127" s="187" t="s">
        <v>198</v>
      </c>
      <c r="AU127" s="187" t="s">
        <v>79</v>
      </c>
      <c r="AY127" s="15" t="s">
        <v>196</v>
      </c>
      <c r="BE127" s="188">
        <f>IF(N127="základní",J127,0)</f>
        <v>0</v>
      </c>
      <c r="BF127" s="188">
        <f>IF(N127="snížená",J127,0)</f>
        <v>0</v>
      </c>
      <c r="BG127" s="188">
        <f>IF(N127="zákl. přenesená",J127,0)</f>
        <v>0</v>
      </c>
      <c r="BH127" s="188">
        <f>IF(N127="sníž. přenesená",J127,0)</f>
        <v>0</v>
      </c>
      <c r="BI127" s="188">
        <f>IF(N127="nulová",J127,0)</f>
        <v>0</v>
      </c>
      <c r="BJ127" s="15" t="s">
        <v>77</v>
      </c>
      <c r="BK127" s="188">
        <f>ROUND(I127*H127,2)</f>
        <v>0</v>
      </c>
      <c r="BL127" s="15" t="s">
        <v>203</v>
      </c>
      <c r="BM127" s="187" t="s">
        <v>228</v>
      </c>
    </row>
    <row r="128" spans="1:47" s="2" customFormat="1" ht="136.5">
      <c r="A128" s="32"/>
      <c r="B128" s="33"/>
      <c r="C128" s="34"/>
      <c r="D128" s="189" t="s">
        <v>208</v>
      </c>
      <c r="E128" s="34"/>
      <c r="F128" s="190" t="s">
        <v>229</v>
      </c>
      <c r="G128" s="34"/>
      <c r="H128" s="34"/>
      <c r="I128" s="191"/>
      <c r="J128" s="34"/>
      <c r="K128" s="34"/>
      <c r="L128" s="37"/>
      <c r="M128" s="192"/>
      <c r="N128" s="193"/>
      <c r="O128" s="62"/>
      <c r="P128" s="62"/>
      <c r="Q128" s="62"/>
      <c r="R128" s="62"/>
      <c r="S128" s="62"/>
      <c r="T128" s="63"/>
      <c r="U128" s="32"/>
      <c r="V128" s="32"/>
      <c r="W128" s="32"/>
      <c r="X128" s="32"/>
      <c r="Y128" s="32"/>
      <c r="Z128" s="32"/>
      <c r="AA128" s="32"/>
      <c r="AB128" s="32"/>
      <c r="AC128" s="32"/>
      <c r="AD128" s="32"/>
      <c r="AE128" s="32"/>
      <c r="AT128" s="15" t="s">
        <v>208</v>
      </c>
      <c r="AU128" s="15" t="s">
        <v>79</v>
      </c>
    </row>
    <row r="129" spans="1:65" s="2" customFormat="1" ht="34.9" customHeight="1">
      <c r="A129" s="32"/>
      <c r="B129" s="33"/>
      <c r="C129" s="176" t="s">
        <v>230</v>
      </c>
      <c r="D129" s="176" t="s">
        <v>198</v>
      </c>
      <c r="E129" s="177" t="s">
        <v>231</v>
      </c>
      <c r="F129" s="178" t="s">
        <v>232</v>
      </c>
      <c r="G129" s="179" t="s">
        <v>201</v>
      </c>
      <c r="H129" s="180">
        <v>576.54</v>
      </c>
      <c r="I129" s="181"/>
      <c r="J129" s="182">
        <f>ROUND(I129*H129,2)</f>
        <v>0</v>
      </c>
      <c r="K129" s="178" t="s">
        <v>202</v>
      </c>
      <c r="L129" s="37"/>
      <c r="M129" s="183" t="s">
        <v>19</v>
      </c>
      <c r="N129" s="184" t="s">
        <v>41</v>
      </c>
      <c r="O129" s="62"/>
      <c r="P129" s="185">
        <f>O129*H129</f>
        <v>0</v>
      </c>
      <c r="Q129" s="185">
        <v>0</v>
      </c>
      <c r="R129" s="185">
        <f>Q129*H129</f>
        <v>0</v>
      </c>
      <c r="S129" s="185">
        <v>0</v>
      </c>
      <c r="T129" s="186">
        <f>S129*H129</f>
        <v>0</v>
      </c>
      <c r="U129" s="32"/>
      <c r="V129" s="32"/>
      <c r="W129" s="32"/>
      <c r="X129" s="32"/>
      <c r="Y129" s="32"/>
      <c r="Z129" s="32"/>
      <c r="AA129" s="32"/>
      <c r="AB129" s="32"/>
      <c r="AC129" s="32"/>
      <c r="AD129" s="32"/>
      <c r="AE129" s="32"/>
      <c r="AR129" s="187" t="s">
        <v>203</v>
      </c>
      <c r="AT129" s="187" t="s">
        <v>198</v>
      </c>
      <c r="AU129" s="187" t="s">
        <v>79</v>
      </c>
      <c r="AY129" s="15" t="s">
        <v>196</v>
      </c>
      <c r="BE129" s="188">
        <f>IF(N129="základní",J129,0)</f>
        <v>0</v>
      </c>
      <c r="BF129" s="188">
        <f>IF(N129="snížená",J129,0)</f>
        <v>0</v>
      </c>
      <c r="BG129" s="188">
        <f>IF(N129="zákl. přenesená",J129,0)</f>
        <v>0</v>
      </c>
      <c r="BH129" s="188">
        <f>IF(N129="sníž. přenesená",J129,0)</f>
        <v>0</v>
      </c>
      <c r="BI129" s="188">
        <f>IF(N129="nulová",J129,0)</f>
        <v>0</v>
      </c>
      <c r="BJ129" s="15" t="s">
        <v>77</v>
      </c>
      <c r="BK129" s="188">
        <f>ROUND(I129*H129,2)</f>
        <v>0</v>
      </c>
      <c r="BL129" s="15" t="s">
        <v>203</v>
      </c>
      <c r="BM129" s="187" t="s">
        <v>233</v>
      </c>
    </row>
    <row r="130" spans="1:47" s="2" customFormat="1" ht="136.5">
      <c r="A130" s="32"/>
      <c r="B130" s="33"/>
      <c r="C130" s="34"/>
      <c r="D130" s="189" t="s">
        <v>208</v>
      </c>
      <c r="E130" s="34"/>
      <c r="F130" s="190" t="s">
        <v>229</v>
      </c>
      <c r="G130" s="34"/>
      <c r="H130" s="34"/>
      <c r="I130" s="191"/>
      <c r="J130" s="34"/>
      <c r="K130" s="34"/>
      <c r="L130" s="37"/>
      <c r="M130" s="192"/>
      <c r="N130" s="193"/>
      <c r="O130" s="62"/>
      <c r="P130" s="62"/>
      <c r="Q130" s="62"/>
      <c r="R130" s="62"/>
      <c r="S130" s="62"/>
      <c r="T130" s="63"/>
      <c r="U130" s="32"/>
      <c r="V130" s="32"/>
      <c r="W130" s="32"/>
      <c r="X130" s="32"/>
      <c r="Y130" s="32"/>
      <c r="Z130" s="32"/>
      <c r="AA130" s="32"/>
      <c r="AB130" s="32"/>
      <c r="AC130" s="32"/>
      <c r="AD130" s="32"/>
      <c r="AE130" s="32"/>
      <c r="AT130" s="15" t="s">
        <v>208</v>
      </c>
      <c r="AU130" s="15" t="s">
        <v>79</v>
      </c>
    </row>
    <row r="131" spans="1:65" s="2" customFormat="1" ht="22.15" customHeight="1">
      <c r="A131" s="32"/>
      <c r="B131" s="33"/>
      <c r="C131" s="176" t="s">
        <v>234</v>
      </c>
      <c r="D131" s="176" t="s">
        <v>198</v>
      </c>
      <c r="E131" s="177" t="s">
        <v>235</v>
      </c>
      <c r="F131" s="178" t="s">
        <v>236</v>
      </c>
      <c r="G131" s="179" t="s">
        <v>201</v>
      </c>
      <c r="H131" s="180">
        <v>57.654</v>
      </c>
      <c r="I131" s="181"/>
      <c r="J131" s="182">
        <f>ROUND(I131*H131,2)</f>
        <v>0</v>
      </c>
      <c r="K131" s="178" t="s">
        <v>202</v>
      </c>
      <c r="L131" s="37"/>
      <c r="M131" s="183" t="s">
        <v>19</v>
      </c>
      <c r="N131" s="184" t="s">
        <v>41</v>
      </c>
      <c r="O131" s="62"/>
      <c r="P131" s="185">
        <f>O131*H131</f>
        <v>0</v>
      </c>
      <c r="Q131" s="185">
        <v>0</v>
      </c>
      <c r="R131" s="185">
        <f>Q131*H131</f>
        <v>0</v>
      </c>
      <c r="S131" s="185">
        <v>0</v>
      </c>
      <c r="T131" s="186">
        <f>S131*H131</f>
        <v>0</v>
      </c>
      <c r="U131" s="32"/>
      <c r="V131" s="32"/>
      <c r="W131" s="32"/>
      <c r="X131" s="32"/>
      <c r="Y131" s="32"/>
      <c r="Z131" s="32"/>
      <c r="AA131" s="32"/>
      <c r="AB131" s="32"/>
      <c r="AC131" s="32"/>
      <c r="AD131" s="32"/>
      <c r="AE131" s="32"/>
      <c r="AR131" s="187" t="s">
        <v>203</v>
      </c>
      <c r="AT131" s="187" t="s">
        <v>198</v>
      </c>
      <c r="AU131" s="187" t="s">
        <v>79</v>
      </c>
      <c r="AY131" s="15" t="s">
        <v>196</v>
      </c>
      <c r="BE131" s="188">
        <f>IF(N131="základní",J131,0)</f>
        <v>0</v>
      </c>
      <c r="BF131" s="188">
        <f>IF(N131="snížená",J131,0)</f>
        <v>0</v>
      </c>
      <c r="BG131" s="188">
        <f>IF(N131="zákl. přenesená",J131,0)</f>
        <v>0</v>
      </c>
      <c r="BH131" s="188">
        <f>IF(N131="sníž. přenesená",J131,0)</f>
        <v>0</v>
      </c>
      <c r="BI131" s="188">
        <f>IF(N131="nulová",J131,0)</f>
        <v>0</v>
      </c>
      <c r="BJ131" s="15" t="s">
        <v>77</v>
      </c>
      <c r="BK131" s="188">
        <f>ROUND(I131*H131,2)</f>
        <v>0</v>
      </c>
      <c r="BL131" s="15" t="s">
        <v>203</v>
      </c>
      <c r="BM131" s="187" t="s">
        <v>237</v>
      </c>
    </row>
    <row r="132" spans="1:47" s="2" customFormat="1" ht="331.5">
      <c r="A132" s="32"/>
      <c r="B132" s="33"/>
      <c r="C132" s="34"/>
      <c r="D132" s="189" t="s">
        <v>208</v>
      </c>
      <c r="E132" s="34"/>
      <c r="F132" s="190" t="s">
        <v>238</v>
      </c>
      <c r="G132" s="34"/>
      <c r="H132" s="34"/>
      <c r="I132" s="191"/>
      <c r="J132" s="34"/>
      <c r="K132" s="34"/>
      <c r="L132" s="37"/>
      <c r="M132" s="192"/>
      <c r="N132" s="193"/>
      <c r="O132" s="62"/>
      <c r="P132" s="62"/>
      <c r="Q132" s="62"/>
      <c r="R132" s="62"/>
      <c r="S132" s="62"/>
      <c r="T132" s="63"/>
      <c r="U132" s="32"/>
      <c r="V132" s="32"/>
      <c r="W132" s="32"/>
      <c r="X132" s="32"/>
      <c r="Y132" s="32"/>
      <c r="Z132" s="32"/>
      <c r="AA132" s="32"/>
      <c r="AB132" s="32"/>
      <c r="AC132" s="32"/>
      <c r="AD132" s="32"/>
      <c r="AE132" s="32"/>
      <c r="AT132" s="15" t="s">
        <v>208</v>
      </c>
      <c r="AU132" s="15" t="s">
        <v>79</v>
      </c>
    </row>
    <row r="133" spans="1:65" s="2" customFormat="1" ht="22.15" customHeight="1">
      <c r="A133" s="32"/>
      <c r="B133" s="33"/>
      <c r="C133" s="176" t="s">
        <v>239</v>
      </c>
      <c r="D133" s="176" t="s">
        <v>198</v>
      </c>
      <c r="E133" s="177" t="s">
        <v>240</v>
      </c>
      <c r="F133" s="178" t="s">
        <v>241</v>
      </c>
      <c r="G133" s="179" t="s">
        <v>242</v>
      </c>
      <c r="H133" s="180">
        <v>109.543</v>
      </c>
      <c r="I133" s="181"/>
      <c r="J133" s="182">
        <f>ROUND(I133*H133,2)</f>
        <v>0</v>
      </c>
      <c r="K133" s="178" t="s">
        <v>202</v>
      </c>
      <c r="L133" s="37"/>
      <c r="M133" s="183" t="s">
        <v>19</v>
      </c>
      <c r="N133" s="184" t="s">
        <v>41</v>
      </c>
      <c r="O133" s="62"/>
      <c r="P133" s="185">
        <f>O133*H133</f>
        <v>0</v>
      </c>
      <c r="Q133" s="185">
        <v>0</v>
      </c>
      <c r="R133" s="185">
        <f>Q133*H133</f>
        <v>0</v>
      </c>
      <c r="S133" s="185">
        <v>0</v>
      </c>
      <c r="T133" s="186">
        <f>S133*H133</f>
        <v>0</v>
      </c>
      <c r="U133" s="32"/>
      <c r="V133" s="32"/>
      <c r="W133" s="32"/>
      <c r="X133" s="32"/>
      <c r="Y133" s="32"/>
      <c r="Z133" s="32"/>
      <c r="AA133" s="32"/>
      <c r="AB133" s="32"/>
      <c r="AC133" s="32"/>
      <c r="AD133" s="32"/>
      <c r="AE133" s="32"/>
      <c r="AR133" s="187" t="s">
        <v>203</v>
      </c>
      <c r="AT133" s="187" t="s">
        <v>198</v>
      </c>
      <c r="AU133" s="187" t="s">
        <v>79</v>
      </c>
      <c r="AY133" s="15" t="s">
        <v>196</v>
      </c>
      <c r="BE133" s="188">
        <f>IF(N133="základní",J133,0)</f>
        <v>0</v>
      </c>
      <c r="BF133" s="188">
        <f>IF(N133="snížená",J133,0)</f>
        <v>0</v>
      </c>
      <c r="BG133" s="188">
        <f>IF(N133="zákl. přenesená",J133,0)</f>
        <v>0</v>
      </c>
      <c r="BH133" s="188">
        <f>IF(N133="sníž. přenesená",J133,0)</f>
        <v>0</v>
      </c>
      <c r="BI133" s="188">
        <f>IF(N133="nulová",J133,0)</f>
        <v>0</v>
      </c>
      <c r="BJ133" s="15" t="s">
        <v>77</v>
      </c>
      <c r="BK133" s="188">
        <f>ROUND(I133*H133,2)</f>
        <v>0</v>
      </c>
      <c r="BL133" s="15" t="s">
        <v>203</v>
      </c>
      <c r="BM133" s="187" t="s">
        <v>243</v>
      </c>
    </row>
    <row r="134" spans="1:47" s="2" customFormat="1" ht="29.25">
      <c r="A134" s="32"/>
      <c r="B134" s="33"/>
      <c r="C134" s="34"/>
      <c r="D134" s="189" t="s">
        <v>208</v>
      </c>
      <c r="E134" s="34"/>
      <c r="F134" s="190" t="s">
        <v>244</v>
      </c>
      <c r="G134" s="34"/>
      <c r="H134" s="34"/>
      <c r="I134" s="191"/>
      <c r="J134" s="34"/>
      <c r="K134" s="34"/>
      <c r="L134" s="37"/>
      <c r="M134" s="192"/>
      <c r="N134" s="193"/>
      <c r="O134" s="62"/>
      <c r="P134" s="62"/>
      <c r="Q134" s="62"/>
      <c r="R134" s="62"/>
      <c r="S134" s="62"/>
      <c r="T134" s="63"/>
      <c r="U134" s="32"/>
      <c r="V134" s="32"/>
      <c r="W134" s="32"/>
      <c r="X134" s="32"/>
      <c r="Y134" s="32"/>
      <c r="Z134" s="32"/>
      <c r="AA134" s="32"/>
      <c r="AB134" s="32"/>
      <c r="AC134" s="32"/>
      <c r="AD134" s="32"/>
      <c r="AE134" s="32"/>
      <c r="AT134" s="15" t="s">
        <v>208</v>
      </c>
      <c r="AU134" s="15" t="s">
        <v>79</v>
      </c>
    </row>
    <row r="135" spans="1:65" s="2" customFormat="1" ht="22.15" customHeight="1">
      <c r="A135" s="32"/>
      <c r="B135" s="33"/>
      <c r="C135" s="176" t="s">
        <v>245</v>
      </c>
      <c r="D135" s="176" t="s">
        <v>198</v>
      </c>
      <c r="E135" s="177" t="s">
        <v>246</v>
      </c>
      <c r="F135" s="178" t="s">
        <v>247</v>
      </c>
      <c r="G135" s="179" t="s">
        <v>201</v>
      </c>
      <c r="H135" s="180">
        <v>6.75</v>
      </c>
      <c r="I135" s="181"/>
      <c r="J135" s="182">
        <f>ROUND(I135*H135,2)</f>
        <v>0</v>
      </c>
      <c r="K135" s="178" t="s">
        <v>202</v>
      </c>
      <c r="L135" s="37"/>
      <c r="M135" s="183" t="s">
        <v>19</v>
      </c>
      <c r="N135" s="184" t="s">
        <v>41</v>
      </c>
      <c r="O135" s="62"/>
      <c r="P135" s="185">
        <f>O135*H135</f>
        <v>0</v>
      </c>
      <c r="Q135" s="185">
        <v>0</v>
      </c>
      <c r="R135" s="185">
        <f>Q135*H135</f>
        <v>0</v>
      </c>
      <c r="S135" s="185">
        <v>0</v>
      </c>
      <c r="T135" s="186">
        <f>S135*H135</f>
        <v>0</v>
      </c>
      <c r="U135" s="32"/>
      <c r="V135" s="32"/>
      <c r="W135" s="32"/>
      <c r="X135" s="32"/>
      <c r="Y135" s="32"/>
      <c r="Z135" s="32"/>
      <c r="AA135" s="32"/>
      <c r="AB135" s="32"/>
      <c r="AC135" s="32"/>
      <c r="AD135" s="32"/>
      <c r="AE135" s="32"/>
      <c r="AR135" s="187" t="s">
        <v>203</v>
      </c>
      <c r="AT135" s="187" t="s">
        <v>198</v>
      </c>
      <c r="AU135" s="187" t="s">
        <v>79</v>
      </c>
      <c r="AY135" s="15" t="s">
        <v>196</v>
      </c>
      <c r="BE135" s="188">
        <f>IF(N135="základní",J135,0)</f>
        <v>0</v>
      </c>
      <c r="BF135" s="188">
        <f>IF(N135="snížená",J135,0)</f>
        <v>0</v>
      </c>
      <c r="BG135" s="188">
        <f>IF(N135="zákl. přenesená",J135,0)</f>
        <v>0</v>
      </c>
      <c r="BH135" s="188">
        <f>IF(N135="sníž. přenesená",J135,0)</f>
        <v>0</v>
      </c>
      <c r="BI135" s="188">
        <f>IF(N135="nulová",J135,0)</f>
        <v>0</v>
      </c>
      <c r="BJ135" s="15" t="s">
        <v>77</v>
      </c>
      <c r="BK135" s="188">
        <f>ROUND(I135*H135,2)</f>
        <v>0</v>
      </c>
      <c r="BL135" s="15" t="s">
        <v>203</v>
      </c>
      <c r="BM135" s="187" t="s">
        <v>248</v>
      </c>
    </row>
    <row r="136" spans="1:47" s="2" customFormat="1" ht="302.25">
      <c r="A136" s="32"/>
      <c r="B136" s="33"/>
      <c r="C136" s="34"/>
      <c r="D136" s="189" t="s">
        <v>208</v>
      </c>
      <c r="E136" s="34"/>
      <c r="F136" s="190" t="s">
        <v>249</v>
      </c>
      <c r="G136" s="34"/>
      <c r="H136" s="34"/>
      <c r="I136" s="191"/>
      <c r="J136" s="34"/>
      <c r="K136" s="34"/>
      <c r="L136" s="37"/>
      <c r="M136" s="192"/>
      <c r="N136" s="193"/>
      <c r="O136" s="62"/>
      <c r="P136" s="62"/>
      <c r="Q136" s="62"/>
      <c r="R136" s="62"/>
      <c r="S136" s="62"/>
      <c r="T136" s="63"/>
      <c r="U136" s="32"/>
      <c r="V136" s="32"/>
      <c r="W136" s="32"/>
      <c r="X136" s="32"/>
      <c r="Y136" s="32"/>
      <c r="Z136" s="32"/>
      <c r="AA136" s="32"/>
      <c r="AB136" s="32"/>
      <c r="AC136" s="32"/>
      <c r="AD136" s="32"/>
      <c r="AE136" s="32"/>
      <c r="AT136" s="15" t="s">
        <v>208</v>
      </c>
      <c r="AU136" s="15" t="s">
        <v>79</v>
      </c>
    </row>
    <row r="137" spans="1:65" s="2" customFormat="1" ht="13.9" customHeight="1">
      <c r="A137" s="32"/>
      <c r="B137" s="33"/>
      <c r="C137" s="176" t="s">
        <v>250</v>
      </c>
      <c r="D137" s="176" t="s">
        <v>198</v>
      </c>
      <c r="E137" s="177" t="s">
        <v>251</v>
      </c>
      <c r="F137" s="178" t="s">
        <v>252</v>
      </c>
      <c r="G137" s="179" t="s">
        <v>253</v>
      </c>
      <c r="H137" s="180">
        <v>50</v>
      </c>
      <c r="I137" s="181"/>
      <c r="J137" s="182">
        <f>ROUND(I137*H137,2)</f>
        <v>0</v>
      </c>
      <c r="K137" s="178" t="s">
        <v>19</v>
      </c>
      <c r="L137" s="37"/>
      <c r="M137" s="183" t="s">
        <v>19</v>
      </c>
      <c r="N137" s="184" t="s">
        <v>41</v>
      </c>
      <c r="O137" s="62"/>
      <c r="P137" s="185">
        <f>O137*H137</f>
        <v>0</v>
      </c>
      <c r="Q137" s="185">
        <v>0</v>
      </c>
      <c r="R137" s="185">
        <f>Q137*H137</f>
        <v>0</v>
      </c>
      <c r="S137" s="185">
        <v>0</v>
      </c>
      <c r="T137" s="186">
        <f>S137*H137</f>
        <v>0</v>
      </c>
      <c r="U137" s="32"/>
      <c r="V137" s="32"/>
      <c r="W137" s="32"/>
      <c r="X137" s="32"/>
      <c r="Y137" s="32"/>
      <c r="Z137" s="32"/>
      <c r="AA137" s="32"/>
      <c r="AB137" s="32"/>
      <c r="AC137" s="32"/>
      <c r="AD137" s="32"/>
      <c r="AE137" s="32"/>
      <c r="AR137" s="187" t="s">
        <v>203</v>
      </c>
      <c r="AT137" s="187" t="s">
        <v>198</v>
      </c>
      <c r="AU137" s="187" t="s">
        <v>79</v>
      </c>
      <c r="AY137" s="15" t="s">
        <v>196</v>
      </c>
      <c r="BE137" s="188">
        <f>IF(N137="základní",J137,0)</f>
        <v>0</v>
      </c>
      <c r="BF137" s="188">
        <f>IF(N137="snížená",J137,0)</f>
        <v>0</v>
      </c>
      <c r="BG137" s="188">
        <f>IF(N137="zákl. přenesená",J137,0)</f>
        <v>0</v>
      </c>
      <c r="BH137" s="188">
        <f>IF(N137="sníž. přenesená",J137,0)</f>
        <v>0</v>
      </c>
      <c r="BI137" s="188">
        <f>IF(N137="nulová",J137,0)</f>
        <v>0</v>
      </c>
      <c r="BJ137" s="15" t="s">
        <v>77</v>
      </c>
      <c r="BK137" s="188">
        <f>ROUND(I137*H137,2)</f>
        <v>0</v>
      </c>
      <c r="BL137" s="15" t="s">
        <v>203</v>
      </c>
      <c r="BM137" s="187" t="s">
        <v>254</v>
      </c>
    </row>
    <row r="138" spans="1:65" s="2" customFormat="1" ht="13.9" customHeight="1">
      <c r="A138" s="32"/>
      <c r="B138" s="33"/>
      <c r="C138" s="176" t="s">
        <v>255</v>
      </c>
      <c r="D138" s="176" t="s">
        <v>198</v>
      </c>
      <c r="E138" s="177" t="s">
        <v>256</v>
      </c>
      <c r="F138" s="178" t="s">
        <v>257</v>
      </c>
      <c r="G138" s="179" t="s">
        <v>258</v>
      </c>
      <c r="H138" s="180">
        <v>1</v>
      </c>
      <c r="I138" s="181"/>
      <c r="J138" s="182">
        <f>ROUND(I138*H138,2)</f>
        <v>0</v>
      </c>
      <c r="K138" s="178" t="s">
        <v>19</v>
      </c>
      <c r="L138" s="37"/>
      <c r="M138" s="183" t="s">
        <v>19</v>
      </c>
      <c r="N138" s="184" t="s">
        <v>41</v>
      </c>
      <c r="O138" s="62"/>
      <c r="P138" s="185">
        <f>O138*H138</f>
        <v>0</v>
      </c>
      <c r="Q138" s="185">
        <v>0</v>
      </c>
      <c r="R138" s="185">
        <f>Q138*H138</f>
        <v>0</v>
      </c>
      <c r="S138" s="185">
        <v>0</v>
      </c>
      <c r="T138" s="186">
        <f>S138*H138</f>
        <v>0</v>
      </c>
      <c r="U138" s="32"/>
      <c r="V138" s="32"/>
      <c r="W138" s="32"/>
      <c r="X138" s="32"/>
      <c r="Y138" s="32"/>
      <c r="Z138" s="32"/>
      <c r="AA138" s="32"/>
      <c r="AB138" s="32"/>
      <c r="AC138" s="32"/>
      <c r="AD138" s="32"/>
      <c r="AE138" s="32"/>
      <c r="AR138" s="187" t="s">
        <v>203</v>
      </c>
      <c r="AT138" s="187" t="s">
        <v>198</v>
      </c>
      <c r="AU138" s="187" t="s">
        <v>79</v>
      </c>
      <c r="AY138" s="15" t="s">
        <v>196</v>
      </c>
      <c r="BE138" s="188">
        <f>IF(N138="základní",J138,0)</f>
        <v>0</v>
      </c>
      <c r="BF138" s="188">
        <f>IF(N138="snížená",J138,0)</f>
        <v>0</v>
      </c>
      <c r="BG138" s="188">
        <f>IF(N138="zákl. přenesená",J138,0)</f>
        <v>0</v>
      </c>
      <c r="BH138" s="188">
        <f>IF(N138="sníž. přenesená",J138,0)</f>
        <v>0</v>
      </c>
      <c r="BI138" s="188">
        <f>IF(N138="nulová",J138,0)</f>
        <v>0</v>
      </c>
      <c r="BJ138" s="15" t="s">
        <v>77</v>
      </c>
      <c r="BK138" s="188">
        <f>ROUND(I138*H138,2)</f>
        <v>0</v>
      </c>
      <c r="BL138" s="15" t="s">
        <v>203</v>
      </c>
      <c r="BM138" s="187" t="s">
        <v>259</v>
      </c>
    </row>
    <row r="139" spans="2:63" s="12" customFormat="1" ht="22.9" customHeight="1">
      <c r="B139" s="160"/>
      <c r="C139" s="161"/>
      <c r="D139" s="162" t="s">
        <v>69</v>
      </c>
      <c r="E139" s="174" t="s">
        <v>79</v>
      </c>
      <c r="F139" s="174" t="s">
        <v>260</v>
      </c>
      <c r="G139" s="161"/>
      <c r="H139" s="161"/>
      <c r="I139" s="164"/>
      <c r="J139" s="175">
        <f>BK139</f>
        <v>0</v>
      </c>
      <c r="K139" s="161"/>
      <c r="L139" s="166"/>
      <c r="M139" s="167"/>
      <c r="N139" s="168"/>
      <c r="O139" s="168"/>
      <c r="P139" s="169">
        <f>SUM(P140:P141)</f>
        <v>0</v>
      </c>
      <c r="Q139" s="168"/>
      <c r="R139" s="169">
        <f>SUM(R140:R141)</f>
        <v>59.4</v>
      </c>
      <c r="S139" s="168"/>
      <c r="T139" s="170">
        <f>SUM(T140:T141)</f>
        <v>0</v>
      </c>
      <c r="AR139" s="171" t="s">
        <v>77</v>
      </c>
      <c r="AT139" s="172" t="s">
        <v>69</v>
      </c>
      <c r="AU139" s="172" t="s">
        <v>77</v>
      </c>
      <c r="AY139" s="171" t="s">
        <v>196</v>
      </c>
      <c r="BK139" s="173">
        <f>SUM(BK140:BK141)</f>
        <v>0</v>
      </c>
    </row>
    <row r="140" spans="1:65" s="2" customFormat="1" ht="13.9" customHeight="1">
      <c r="A140" s="32"/>
      <c r="B140" s="33"/>
      <c r="C140" s="176" t="s">
        <v>261</v>
      </c>
      <c r="D140" s="176" t="s">
        <v>198</v>
      </c>
      <c r="E140" s="177" t="s">
        <v>262</v>
      </c>
      <c r="F140" s="178" t="s">
        <v>263</v>
      </c>
      <c r="G140" s="179" t="s">
        <v>201</v>
      </c>
      <c r="H140" s="180">
        <v>30</v>
      </c>
      <c r="I140" s="181"/>
      <c r="J140" s="182">
        <f>ROUND(I140*H140,2)</f>
        <v>0</v>
      </c>
      <c r="K140" s="178" t="s">
        <v>202</v>
      </c>
      <c r="L140" s="37"/>
      <c r="M140" s="183" t="s">
        <v>19</v>
      </c>
      <c r="N140" s="184" t="s">
        <v>41</v>
      </c>
      <c r="O140" s="62"/>
      <c r="P140" s="185">
        <f>O140*H140</f>
        <v>0</v>
      </c>
      <c r="Q140" s="185">
        <v>1.98</v>
      </c>
      <c r="R140" s="185">
        <f>Q140*H140</f>
        <v>59.4</v>
      </c>
      <c r="S140" s="185">
        <v>0</v>
      </c>
      <c r="T140" s="186">
        <f>S140*H140</f>
        <v>0</v>
      </c>
      <c r="U140" s="32"/>
      <c r="V140" s="32"/>
      <c r="W140" s="32"/>
      <c r="X140" s="32"/>
      <c r="Y140" s="32"/>
      <c r="Z140" s="32"/>
      <c r="AA140" s="32"/>
      <c r="AB140" s="32"/>
      <c r="AC140" s="32"/>
      <c r="AD140" s="32"/>
      <c r="AE140" s="32"/>
      <c r="AR140" s="187" t="s">
        <v>203</v>
      </c>
      <c r="AT140" s="187" t="s">
        <v>198</v>
      </c>
      <c r="AU140" s="187" t="s">
        <v>79</v>
      </c>
      <c r="AY140" s="15" t="s">
        <v>196</v>
      </c>
      <c r="BE140" s="188">
        <f>IF(N140="základní",J140,0)</f>
        <v>0</v>
      </c>
      <c r="BF140" s="188">
        <f>IF(N140="snížená",J140,0)</f>
        <v>0</v>
      </c>
      <c r="BG140" s="188">
        <f>IF(N140="zákl. přenesená",J140,0)</f>
        <v>0</v>
      </c>
      <c r="BH140" s="188">
        <f>IF(N140="sníž. přenesená",J140,0)</f>
        <v>0</v>
      </c>
      <c r="BI140" s="188">
        <f>IF(N140="nulová",J140,0)</f>
        <v>0</v>
      </c>
      <c r="BJ140" s="15" t="s">
        <v>77</v>
      </c>
      <c r="BK140" s="188">
        <f>ROUND(I140*H140,2)</f>
        <v>0</v>
      </c>
      <c r="BL140" s="15" t="s">
        <v>203</v>
      </c>
      <c r="BM140" s="187" t="s">
        <v>264</v>
      </c>
    </row>
    <row r="141" spans="1:47" s="2" customFormat="1" ht="48.75">
      <c r="A141" s="32"/>
      <c r="B141" s="33"/>
      <c r="C141" s="34"/>
      <c r="D141" s="189" t="s">
        <v>208</v>
      </c>
      <c r="E141" s="34"/>
      <c r="F141" s="190" t="s">
        <v>265</v>
      </c>
      <c r="G141" s="34"/>
      <c r="H141" s="34"/>
      <c r="I141" s="191"/>
      <c r="J141" s="34"/>
      <c r="K141" s="34"/>
      <c r="L141" s="37"/>
      <c r="M141" s="192"/>
      <c r="N141" s="193"/>
      <c r="O141" s="62"/>
      <c r="P141" s="62"/>
      <c r="Q141" s="62"/>
      <c r="R141" s="62"/>
      <c r="S141" s="62"/>
      <c r="T141" s="63"/>
      <c r="U141" s="32"/>
      <c r="V141" s="32"/>
      <c r="W141" s="32"/>
      <c r="X141" s="32"/>
      <c r="Y141" s="32"/>
      <c r="Z141" s="32"/>
      <c r="AA141" s="32"/>
      <c r="AB141" s="32"/>
      <c r="AC141" s="32"/>
      <c r="AD141" s="32"/>
      <c r="AE141" s="32"/>
      <c r="AT141" s="15" t="s">
        <v>208</v>
      </c>
      <c r="AU141" s="15" t="s">
        <v>79</v>
      </c>
    </row>
    <row r="142" spans="2:63" s="12" customFormat="1" ht="22.9" customHeight="1">
      <c r="B142" s="160"/>
      <c r="C142" s="161"/>
      <c r="D142" s="162" t="s">
        <v>69</v>
      </c>
      <c r="E142" s="174" t="s">
        <v>102</v>
      </c>
      <c r="F142" s="174" t="s">
        <v>266</v>
      </c>
      <c r="G142" s="161"/>
      <c r="H142" s="161"/>
      <c r="I142" s="164"/>
      <c r="J142" s="175">
        <f>BK142</f>
        <v>0</v>
      </c>
      <c r="K142" s="161"/>
      <c r="L142" s="166"/>
      <c r="M142" s="167"/>
      <c r="N142" s="168"/>
      <c r="O142" s="168"/>
      <c r="P142" s="169">
        <f>SUM(P143:P162)</f>
        <v>0</v>
      </c>
      <c r="Q142" s="168"/>
      <c r="R142" s="169">
        <f>SUM(R143:R162)</f>
        <v>40.33794707</v>
      </c>
      <c r="S142" s="168"/>
      <c r="T142" s="170">
        <f>SUM(T143:T162)</f>
        <v>0</v>
      </c>
      <c r="AR142" s="171" t="s">
        <v>77</v>
      </c>
      <c r="AT142" s="172" t="s">
        <v>69</v>
      </c>
      <c r="AU142" s="172" t="s">
        <v>77</v>
      </c>
      <c r="AY142" s="171" t="s">
        <v>196</v>
      </c>
      <c r="BK142" s="173">
        <f>SUM(BK143:BK162)</f>
        <v>0</v>
      </c>
    </row>
    <row r="143" spans="1:65" s="2" customFormat="1" ht="22.15" customHeight="1">
      <c r="A143" s="32"/>
      <c r="B143" s="33"/>
      <c r="C143" s="176" t="s">
        <v>8</v>
      </c>
      <c r="D143" s="176" t="s">
        <v>198</v>
      </c>
      <c r="E143" s="177" t="s">
        <v>267</v>
      </c>
      <c r="F143" s="178" t="s">
        <v>268</v>
      </c>
      <c r="G143" s="179" t="s">
        <v>258</v>
      </c>
      <c r="H143" s="180">
        <v>1</v>
      </c>
      <c r="I143" s="181"/>
      <c r="J143" s="182">
        <f>ROUND(I143*H143,2)</f>
        <v>0</v>
      </c>
      <c r="K143" s="178" t="s">
        <v>202</v>
      </c>
      <c r="L143" s="37"/>
      <c r="M143" s="183" t="s">
        <v>19</v>
      </c>
      <c r="N143" s="184" t="s">
        <v>41</v>
      </c>
      <c r="O143" s="62"/>
      <c r="P143" s="185">
        <f>O143*H143</f>
        <v>0</v>
      </c>
      <c r="Q143" s="185">
        <v>0.39564</v>
      </c>
      <c r="R143" s="185">
        <f>Q143*H143</f>
        <v>0.39564</v>
      </c>
      <c r="S143" s="185">
        <v>0</v>
      </c>
      <c r="T143" s="186">
        <f>S143*H143</f>
        <v>0</v>
      </c>
      <c r="U143" s="32"/>
      <c r="V143" s="32"/>
      <c r="W143" s="32"/>
      <c r="X143" s="32"/>
      <c r="Y143" s="32"/>
      <c r="Z143" s="32"/>
      <c r="AA143" s="32"/>
      <c r="AB143" s="32"/>
      <c r="AC143" s="32"/>
      <c r="AD143" s="32"/>
      <c r="AE143" s="32"/>
      <c r="AR143" s="187" t="s">
        <v>203</v>
      </c>
      <c r="AT143" s="187" t="s">
        <v>198</v>
      </c>
      <c r="AU143" s="187" t="s">
        <v>79</v>
      </c>
      <c r="AY143" s="15" t="s">
        <v>196</v>
      </c>
      <c r="BE143" s="188">
        <f>IF(N143="základní",J143,0)</f>
        <v>0</v>
      </c>
      <c r="BF143" s="188">
        <f>IF(N143="snížená",J143,0)</f>
        <v>0</v>
      </c>
      <c r="BG143" s="188">
        <f>IF(N143="zákl. přenesená",J143,0)</f>
        <v>0</v>
      </c>
      <c r="BH143" s="188">
        <f>IF(N143="sníž. přenesená",J143,0)</f>
        <v>0</v>
      </c>
      <c r="BI143" s="188">
        <f>IF(N143="nulová",J143,0)</f>
        <v>0</v>
      </c>
      <c r="BJ143" s="15" t="s">
        <v>77</v>
      </c>
      <c r="BK143" s="188">
        <f>ROUND(I143*H143,2)</f>
        <v>0</v>
      </c>
      <c r="BL143" s="15" t="s">
        <v>203</v>
      </c>
      <c r="BM143" s="187" t="s">
        <v>269</v>
      </c>
    </row>
    <row r="144" spans="1:65" s="2" customFormat="1" ht="22.15" customHeight="1">
      <c r="A144" s="32"/>
      <c r="B144" s="33"/>
      <c r="C144" s="176" t="s">
        <v>270</v>
      </c>
      <c r="D144" s="176" t="s">
        <v>198</v>
      </c>
      <c r="E144" s="177" t="s">
        <v>271</v>
      </c>
      <c r="F144" s="178" t="s">
        <v>272</v>
      </c>
      <c r="G144" s="179" t="s">
        <v>258</v>
      </c>
      <c r="H144" s="180">
        <v>1</v>
      </c>
      <c r="I144" s="181"/>
      <c r="J144" s="182">
        <f>ROUND(I144*H144,2)</f>
        <v>0</v>
      </c>
      <c r="K144" s="178" t="s">
        <v>202</v>
      </c>
      <c r="L144" s="37"/>
      <c r="M144" s="183" t="s">
        <v>19</v>
      </c>
      <c r="N144" s="184" t="s">
        <v>41</v>
      </c>
      <c r="O144" s="62"/>
      <c r="P144" s="185">
        <f>O144*H144</f>
        <v>0</v>
      </c>
      <c r="Q144" s="185">
        <v>0.46505</v>
      </c>
      <c r="R144" s="185">
        <f>Q144*H144</f>
        <v>0.46505</v>
      </c>
      <c r="S144" s="185">
        <v>0</v>
      </c>
      <c r="T144" s="186">
        <f>S144*H144</f>
        <v>0</v>
      </c>
      <c r="U144" s="32"/>
      <c r="V144" s="32"/>
      <c r="W144" s="32"/>
      <c r="X144" s="32"/>
      <c r="Y144" s="32"/>
      <c r="Z144" s="32"/>
      <c r="AA144" s="32"/>
      <c r="AB144" s="32"/>
      <c r="AC144" s="32"/>
      <c r="AD144" s="32"/>
      <c r="AE144" s="32"/>
      <c r="AR144" s="187" t="s">
        <v>203</v>
      </c>
      <c r="AT144" s="187" t="s">
        <v>198</v>
      </c>
      <c r="AU144" s="187" t="s">
        <v>79</v>
      </c>
      <c r="AY144" s="15" t="s">
        <v>196</v>
      </c>
      <c r="BE144" s="188">
        <f>IF(N144="základní",J144,0)</f>
        <v>0</v>
      </c>
      <c r="BF144" s="188">
        <f>IF(N144="snížená",J144,0)</f>
        <v>0</v>
      </c>
      <c r="BG144" s="188">
        <f>IF(N144="zákl. přenesená",J144,0)</f>
        <v>0</v>
      </c>
      <c r="BH144" s="188">
        <f>IF(N144="sníž. přenesená",J144,0)</f>
        <v>0</v>
      </c>
      <c r="BI144" s="188">
        <f>IF(N144="nulová",J144,0)</f>
        <v>0</v>
      </c>
      <c r="BJ144" s="15" t="s">
        <v>77</v>
      </c>
      <c r="BK144" s="188">
        <f>ROUND(I144*H144,2)</f>
        <v>0</v>
      </c>
      <c r="BL144" s="15" t="s">
        <v>203</v>
      </c>
      <c r="BM144" s="187" t="s">
        <v>273</v>
      </c>
    </row>
    <row r="145" spans="1:65" s="2" customFormat="1" ht="22.15" customHeight="1">
      <c r="A145" s="32"/>
      <c r="B145" s="33"/>
      <c r="C145" s="176" t="s">
        <v>274</v>
      </c>
      <c r="D145" s="176" t="s">
        <v>198</v>
      </c>
      <c r="E145" s="177" t="s">
        <v>275</v>
      </c>
      <c r="F145" s="178" t="s">
        <v>276</v>
      </c>
      <c r="G145" s="179" t="s">
        <v>258</v>
      </c>
      <c r="H145" s="180">
        <v>2</v>
      </c>
      <c r="I145" s="181"/>
      <c r="J145" s="182">
        <f>ROUND(I145*H145,2)</f>
        <v>0</v>
      </c>
      <c r="K145" s="178" t="s">
        <v>202</v>
      </c>
      <c r="L145" s="37"/>
      <c r="M145" s="183" t="s">
        <v>19</v>
      </c>
      <c r="N145" s="184" t="s">
        <v>41</v>
      </c>
      <c r="O145" s="62"/>
      <c r="P145" s="185">
        <f>O145*H145</f>
        <v>0</v>
      </c>
      <c r="Q145" s="185">
        <v>0.02628</v>
      </c>
      <c r="R145" s="185">
        <f>Q145*H145</f>
        <v>0.05256</v>
      </c>
      <c r="S145" s="185">
        <v>0</v>
      </c>
      <c r="T145" s="186">
        <f>S145*H145</f>
        <v>0</v>
      </c>
      <c r="U145" s="32"/>
      <c r="V145" s="32"/>
      <c r="W145" s="32"/>
      <c r="X145" s="32"/>
      <c r="Y145" s="32"/>
      <c r="Z145" s="32"/>
      <c r="AA145" s="32"/>
      <c r="AB145" s="32"/>
      <c r="AC145" s="32"/>
      <c r="AD145" s="32"/>
      <c r="AE145" s="32"/>
      <c r="AR145" s="187" t="s">
        <v>203</v>
      </c>
      <c r="AT145" s="187" t="s">
        <v>198</v>
      </c>
      <c r="AU145" s="187" t="s">
        <v>79</v>
      </c>
      <c r="AY145" s="15" t="s">
        <v>196</v>
      </c>
      <c r="BE145" s="188">
        <f>IF(N145="základní",J145,0)</f>
        <v>0</v>
      </c>
      <c r="BF145" s="188">
        <f>IF(N145="snížená",J145,0)</f>
        <v>0</v>
      </c>
      <c r="BG145" s="188">
        <f>IF(N145="zákl. přenesená",J145,0)</f>
        <v>0</v>
      </c>
      <c r="BH145" s="188">
        <f>IF(N145="sníž. přenesená",J145,0)</f>
        <v>0</v>
      </c>
      <c r="BI145" s="188">
        <f>IF(N145="nulová",J145,0)</f>
        <v>0</v>
      </c>
      <c r="BJ145" s="15" t="s">
        <v>77</v>
      </c>
      <c r="BK145" s="188">
        <f>ROUND(I145*H145,2)</f>
        <v>0</v>
      </c>
      <c r="BL145" s="15" t="s">
        <v>203</v>
      </c>
      <c r="BM145" s="187" t="s">
        <v>277</v>
      </c>
    </row>
    <row r="146" spans="1:47" s="2" customFormat="1" ht="29.25">
      <c r="A146" s="32"/>
      <c r="B146" s="33"/>
      <c r="C146" s="34"/>
      <c r="D146" s="189" t="s">
        <v>208</v>
      </c>
      <c r="E146" s="34"/>
      <c r="F146" s="190" t="s">
        <v>278</v>
      </c>
      <c r="G146" s="34"/>
      <c r="H146" s="34"/>
      <c r="I146" s="191"/>
      <c r="J146" s="34"/>
      <c r="K146" s="34"/>
      <c r="L146" s="37"/>
      <c r="M146" s="192"/>
      <c r="N146" s="193"/>
      <c r="O146" s="62"/>
      <c r="P146" s="62"/>
      <c r="Q146" s="62"/>
      <c r="R146" s="62"/>
      <c r="S146" s="62"/>
      <c r="T146" s="63"/>
      <c r="U146" s="32"/>
      <c r="V146" s="32"/>
      <c r="W146" s="32"/>
      <c r="X146" s="32"/>
      <c r="Y146" s="32"/>
      <c r="Z146" s="32"/>
      <c r="AA146" s="32"/>
      <c r="AB146" s="32"/>
      <c r="AC146" s="32"/>
      <c r="AD146" s="32"/>
      <c r="AE146" s="32"/>
      <c r="AT146" s="15" t="s">
        <v>208</v>
      </c>
      <c r="AU146" s="15" t="s">
        <v>79</v>
      </c>
    </row>
    <row r="147" spans="1:65" s="2" customFormat="1" ht="22.15" customHeight="1">
      <c r="A147" s="32"/>
      <c r="B147" s="33"/>
      <c r="C147" s="176" t="s">
        <v>279</v>
      </c>
      <c r="D147" s="176" t="s">
        <v>198</v>
      </c>
      <c r="E147" s="177" t="s">
        <v>280</v>
      </c>
      <c r="F147" s="178" t="s">
        <v>281</v>
      </c>
      <c r="G147" s="179" t="s">
        <v>258</v>
      </c>
      <c r="H147" s="180">
        <v>6</v>
      </c>
      <c r="I147" s="181"/>
      <c r="J147" s="182">
        <f>ROUND(I147*H147,2)</f>
        <v>0</v>
      </c>
      <c r="K147" s="178" t="s">
        <v>202</v>
      </c>
      <c r="L147" s="37"/>
      <c r="M147" s="183" t="s">
        <v>19</v>
      </c>
      <c r="N147" s="184" t="s">
        <v>41</v>
      </c>
      <c r="O147" s="62"/>
      <c r="P147" s="185">
        <f>O147*H147</f>
        <v>0</v>
      </c>
      <c r="Q147" s="185">
        <v>0.05528</v>
      </c>
      <c r="R147" s="185">
        <f>Q147*H147</f>
        <v>0.33168000000000003</v>
      </c>
      <c r="S147" s="185">
        <v>0</v>
      </c>
      <c r="T147" s="186">
        <f>S147*H147</f>
        <v>0</v>
      </c>
      <c r="U147" s="32"/>
      <c r="V147" s="32"/>
      <c r="W147" s="32"/>
      <c r="X147" s="32"/>
      <c r="Y147" s="32"/>
      <c r="Z147" s="32"/>
      <c r="AA147" s="32"/>
      <c r="AB147" s="32"/>
      <c r="AC147" s="32"/>
      <c r="AD147" s="32"/>
      <c r="AE147" s="32"/>
      <c r="AR147" s="187" t="s">
        <v>203</v>
      </c>
      <c r="AT147" s="187" t="s">
        <v>198</v>
      </c>
      <c r="AU147" s="187" t="s">
        <v>79</v>
      </c>
      <c r="AY147" s="15" t="s">
        <v>196</v>
      </c>
      <c r="BE147" s="188">
        <f>IF(N147="základní",J147,0)</f>
        <v>0</v>
      </c>
      <c r="BF147" s="188">
        <f>IF(N147="snížená",J147,0)</f>
        <v>0</v>
      </c>
      <c r="BG147" s="188">
        <f>IF(N147="zákl. přenesená",J147,0)</f>
        <v>0</v>
      </c>
      <c r="BH147" s="188">
        <f>IF(N147="sníž. přenesená",J147,0)</f>
        <v>0</v>
      </c>
      <c r="BI147" s="188">
        <f>IF(N147="nulová",J147,0)</f>
        <v>0</v>
      </c>
      <c r="BJ147" s="15" t="s">
        <v>77</v>
      </c>
      <c r="BK147" s="188">
        <f>ROUND(I147*H147,2)</f>
        <v>0</v>
      </c>
      <c r="BL147" s="15" t="s">
        <v>203</v>
      </c>
      <c r="BM147" s="187" t="s">
        <v>282</v>
      </c>
    </row>
    <row r="148" spans="1:47" s="2" customFormat="1" ht="29.25">
      <c r="A148" s="32"/>
      <c r="B148" s="33"/>
      <c r="C148" s="34"/>
      <c r="D148" s="189" t="s">
        <v>208</v>
      </c>
      <c r="E148" s="34"/>
      <c r="F148" s="190" t="s">
        <v>278</v>
      </c>
      <c r="G148" s="34"/>
      <c r="H148" s="34"/>
      <c r="I148" s="191"/>
      <c r="J148" s="34"/>
      <c r="K148" s="34"/>
      <c r="L148" s="37"/>
      <c r="M148" s="192"/>
      <c r="N148" s="193"/>
      <c r="O148" s="62"/>
      <c r="P148" s="62"/>
      <c r="Q148" s="62"/>
      <c r="R148" s="62"/>
      <c r="S148" s="62"/>
      <c r="T148" s="63"/>
      <c r="U148" s="32"/>
      <c r="V148" s="32"/>
      <c r="W148" s="32"/>
      <c r="X148" s="32"/>
      <c r="Y148" s="32"/>
      <c r="Z148" s="32"/>
      <c r="AA148" s="32"/>
      <c r="AB148" s="32"/>
      <c r="AC148" s="32"/>
      <c r="AD148" s="32"/>
      <c r="AE148" s="32"/>
      <c r="AT148" s="15" t="s">
        <v>208</v>
      </c>
      <c r="AU148" s="15" t="s">
        <v>79</v>
      </c>
    </row>
    <row r="149" spans="1:65" s="2" customFormat="1" ht="13.9" customHeight="1">
      <c r="A149" s="32"/>
      <c r="B149" s="33"/>
      <c r="C149" s="176" t="s">
        <v>283</v>
      </c>
      <c r="D149" s="176" t="s">
        <v>198</v>
      </c>
      <c r="E149" s="177" t="s">
        <v>284</v>
      </c>
      <c r="F149" s="178" t="s">
        <v>285</v>
      </c>
      <c r="G149" s="179" t="s">
        <v>242</v>
      </c>
      <c r="H149" s="180">
        <v>0.397</v>
      </c>
      <c r="I149" s="181"/>
      <c r="J149" s="182">
        <f>ROUND(I149*H149,2)</f>
        <v>0</v>
      </c>
      <c r="K149" s="178" t="s">
        <v>202</v>
      </c>
      <c r="L149" s="37"/>
      <c r="M149" s="183" t="s">
        <v>19</v>
      </c>
      <c r="N149" s="184" t="s">
        <v>41</v>
      </c>
      <c r="O149" s="62"/>
      <c r="P149" s="185">
        <f>O149*H149</f>
        <v>0</v>
      </c>
      <c r="Q149" s="185">
        <v>1.09</v>
      </c>
      <c r="R149" s="185">
        <f>Q149*H149</f>
        <v>0.43273000000000006</v>
      </c>
      <c r="S149" s="185">
        <v>0</v>
      </c>
      <c r="T149" s="186">
        <f>S149*H149</f>
        <v>0</v>
      </c>
      <c r="U149" s="32"/>
      <c r="V149" s="32"/>
      <c r="W149" s="32"/>
      <c r="X149" s="32"/>
      <c r="Y149" s="32"/>
      <c r="Z149" s="32"/>
      <c r="AA149" s="32"/>
      <c r="AB149" s="32"/>
      <c r="AC149" s="32"/>
      <c r="AD149" s="32"/>
      <c r="AE149" s="32"/>
      <c r="AR149" s="187" t="s">
        <v>203</v>
      </c>
      <c r="AT149" s="187" t="s">
        <v>198</v>
      </c>
      <c r="AU149" s="187" t="s">
        <v>79</v>
      </c>
      <c r="AY149" s="15" t="s">
        <v>196</v>
      </c>
      <c r="BE149" s="188">
        <f>IF(N149="základní",J149,0)</f>
        <v>0</v>
      </c>
      <c r="BF149" s="188">
        <f>IF(N149="snížená",J149,0)</f>
        <v>0</v>
      </c>
      <c r="BG149" s="188">
        <f>IF(N149="zákl. přenesená",J149,0)</f>
        <v>0</v>
      </c>
      <c r="BH149" s="188">
        <f>IF(N149="sníž. přenesená",J149,0)</f>
        <v>0</v>
      </c>
      <c r="BI149" s="188">
        <f>IF(N149="nulová",J149,0)</f>
        <v>0</v>
      </c>
      <c r="BJ149" s="15" t="s">
        <v>77</v>
      </c>
      <c r="BK149" s="188">
        <f>ROUND(I149*H149,2)</f>
        <v>0</v>
      </c>
      <c r="BL149" s="15" t="s">
        <v>203</v>
      </c>
      <c r="BM149" s="187" t="s">
        <v>286</v>
      </c>
    </row>
    <row r="150" spans="1:47" s="2" customFormat="1" ht="39">
      <c r="A150" s="32"/>
      <c r="B150" s="33"/>
      <c r="C150" s="34"/>
      <c r="D150" s="189" t="s">
        <v>208</v>
      </c>
      <c r="E150" s="34"/>
      <c r="F150" s="190" t="s">
        <v>287</v>
      </c>
      <c r="G150" s="34"/>
      <c r="H150" s="34"/>
      <c r="I150" s="191"/>
      <c r="J150" s="34"/>
      <c r="K150" s="34"/>
      <c r="L150" s="37"/>
      <c r="M150" s="192"/>
      <c r="N150" s="193"/>
      <c r="O150" s="62"/>
      <c r="P150" s="62"/>
      <c r="Q150" s="62"/>
      <c r="R150" s="62"/>
      <c r="S150" s="62"/>
      <c r="T150" s="63"/>
      <c r="U150" s="32"/>
      <c r="V150" s="32"/>
      <c r="W150" s="32"/>
      <c r="X150" s="32"/>
      <c r="Y150" s="32"/>
      <c r="Z150" s="32"/>
      <c r="AA150" s="32"/>
      <c r="AB150" s="32"/>
      <c r="AC150" s="32"/>
      <c r="AD150" s="32"/>
      <c r="AE150" s="32"/>
      <c r="AT150" s="15" t="s">
        <v>208</v>
      </c>
      <c r="AU150" s="15" t="s">
        <v>79</v>
      </c>
    </row>
    <row r="151" spans="1:65" s="2" customFormat="1" ht="13.9" customHeight="1">
      <c r="A151" s="32"/>
      <c r="B151" s="33"/>
      <c r="C151" s="176" t="s">
        <v>288</v>
      </c>
      <c r="D151" s="176" t="s">
        <v>198</v>
      </c>
      <c r="E151" s="177" t="s">
        <v>289</v>
      </c>
      <c r="F151" s="178" t="s">
        <v>290</v>
      </c>
      <c r="G151" s="179" t="s">
        <v>242</v>
      </c>
      <c r="H151" s="180">
        <v>0.026</v>
      </c>
      <c r="I151" s="181"/>
      <c r="J151" s="182">
        <f>ROUND(I151*H151,2)</f>
        <v>0</v>
      </c>
      <c r="K151" s="178" t="s">
        <v>202</v>
      </c>
      <c r="L151" s="37"/>
      <c r="M151" s="183" t="s">
        <v>19</v>
      </c>
      <c r="N151" s="184" t="s">
        <v>41</v>
      </c>
      <c r="O151" s="62"/>
      <c r="P151" s="185">
        <f>O151*H151</f>
        <v>0</v>
      </c>
      <c r="Q151" s="185">
        <v>1.09</v>
      </c>
      <c r="R151" s="185">
        <f>Q151*H151</f>
        <v>0.02834</v>
      </c>
      <c r="S151" s="185">
        <v>0</v>
      </c>
      <c r="T151" s="186">
        <f>S151*H151</f>
        <v>0</v>
      </c>
      <c r="U151" s="32"/>
      <c r="V151" s="32"/>
      <c r="W151" s="32"/>
      <c r="X151" s="32"/>
      <c r="Y151" s="32"/>
      <c r="Z151" s="32"/>
      <c r="AA151" s="32"/>
      <c r="AB151" s="32"/>
      <c r="AC151" s="32"/>
      <c r="AD151" s="32"/>
      <c r="AE151" s="32"/>
      <c r="AR151" s="187" t="s">
        <v>203</v>
      </c>
      <c r="AT151" s="187" t="s">
        <v>198</v>
      </c>
      <c r="AU151" s="187" t="s">
        <v>79</v>
      </c>
      <c r="AY151" s="15" t="s">
        <v>196</v>
      </c>
      <c r="BE151" s="188">
        <f>IF(N151="základní",J151,0)</f>
        <v>0</v>
      </c>
      <c r="BF151" s="188">
        <f>IF(N151="snížená",J151,0)</f>
        <v>0</v>
      </c>
      <c r="BG151" s="188">
        <f>IF(N151="zákl. přenesená",J151,0)</f>
        <v>0</v>
      </c>
      <c r="BH151" s="188">
        <f>IF(N151="sníž. přenesená",J151,0)</f>
        <v>0</v>
      </c>
      <c r="BI151" s="188">
        <f>IF(N151="nulová",J151,0)</f>
        <v>0</v>
      </c>
      <c r="BJ151" s="15" t="s">
        <v>77</v>
      </c>
      <c r="BK151" s="188">
        <f>ROUND(I151*H151,2)</f>
        <v>0</v>
      </c>
      <c r="BL151" s="15" t="s">
        <v>203</v>
      </c>
      <c r="BM151" s="187" t="s">
        <v>291</v>
      </c>
    </row>
    <row r="152" spans="1:47" s="2" customFormat="1" ht="39">
      <c r="A152" s="32"/>
      <c r="B152" s="33"/>
      <c r="C152" s="34"/>
      <c r="D152" s="189" t="s">
        <v>208</v>
      </c>
      <c r="E152" s="34"/>
      <c r="F152" s="190" t="s">
        <v>287</v>
      </c>
      <c r="G152" s="34"/>
      <c r="H152" s="34"/>
      <c r="I152" s="191"/>
      <c r="J152" s="34"/>
      <c r="K152" s="34"/>
      <c r="L152" s="37"/>
      <c r="M152" s="192"/>
      <c r="N152" s="193"/>
      <c r="O152" s="62"/>
      <c r="P152" s="62"/>
      <c r="Q152" s="62"/>
      <c r="R152" s="62"/>
      <c r="S152" s="62"/>
      <c r="T152" s="63"/>
      <c r="U152" s="32"/>
      <c r="V152" s="32"/>
      <c r="W152" s="32"/>
      <c r="X152" s="32"/>
      <c r="Y152" s="32"/>
      <c r="Z152" s="32"/>
      <c r="AA152" s="32"/>
      <c r="AB152" s="32"/>
      <c r="AC152" s="32"/>
      <c r="AD152" s="32"/>
      <c r="AE152" s="32"/>
      <c r="AT152" s="15" t="s">
        <v>208</v>
      </c>
      <c r="AU152" s="15" t="s">
        <v>79</v>
      </c>
    </row>
    <row r="153" spans="1:65" s="2" customFormat="1" ht="22.15" customHeight="1">
      <c r="A153" s="32"/>
      <c r="B153" s="33"/>
      <c r="C153" s="176" t="s">
        <v>7</v>
      </c>
      <c r="D153" s="176" t="s">
        <v>198</v>
      </c>
      <c r="E153" s="177" t="s">
        <v>292</v>
      </c>
      <c r="F153" s="178" t="s">
        <v>293</v>
      </c>
      <c r="G153" s="179" t="s">
        <v>253</v>
      </c>
      <c r="H153" s="180">
        <v>2.25</v>
      </c>
      <c r="I153" s="181"/>
      <c r="J153" s="182">
        <f>ROUND(I153*H153,2)</f>
        <v>0</v>
      </c>
      <c r="K153" s="178" t="s">
        <v>202</v>
      </c>
      <c r="L153" s="37"/>
      <c r="M153" s="183" t="s">
        <v>19</v>
      </c>
      <c r="N153" s="184" t="s">
        <v>41</v>
      </c>
      <c r="O153" s="62"/>
      <c r="P153" s="185">
        <f>O153*H153</f>
        <v>0</v>
      </c>
      <c r="Q153" s="185">
        <v>0.07297</v>
      </c>
      <c r="R153" s="185">
        <f>Q153*H153</f>
        <v>0.16418249999999998</v>
      </c>
      <c r="S153" s="185">
        <v>0</v>
      </c>
      <c r="T153" s="186">
        <f>S153*H153</f>
        <v>0</v>
      </c>
      <c r="U153" s="32"/>
      <c r="V153" s="32"/>
      <c r="W153" s="32"/>
      <c r="X153" s="32"/>
      <c r="Y153" s="32"/>
      <c r="Z153" s="32"/>
      <c r="AA153" s="32"/>
      <c r="AB153" s="32"/>
      <c r="AC153" s="32"/>
      <c r="AD153" s="32"/>
      <c r="AE153" s="32"/>
      <c r="AR153" s="187" t="s">
        <v>203</v>
      </c>
      <c r="AT153" s="187" t="s">
        <v>198</v>
      </c>
      <c r="AU153" s="187" t="s">
        <v>79</v>
      </c>
      <c r="AY153" s="15" t="s">
        <v>196</v>
      </c>
      <c r="BE153" s="188">
        <f>IF(N153="základní",J153,0)</f>
        <v>0</v>
      </c>
      <c r="BF153" s="188">
        <f>IF(N153="snížená",J153,0)</f>
        <v>0</v>
      </c>
      <c r="BG153" s="188">
        <f>IF(N153="zákl. přenesená",J153,0)</f>
        <v>0</v>
      </c>
      <c r="BH153" s="188">
        <f>IF(N153="sníž. přenesená",J153,0)</f>
        <v>0</v>
      </c>
      <c r="BI153" s="188">
        <f>IF(N153="nulová",J153,0)</f>
        <v>0</v>
      </c>
      <c r="BJ153" s="15" t="s">
        <v>77</v>
      </c>
      <c r="BK153" s="188">
        <f>ROUND(I153*H153,2)</f>
        <v>0</v>
      </c>
      <c r="BL153" s="15" t="s">
        <v>203</v>
      </c>
      <c r="BM153" s="187" t="s">
        <v>294</v>
      </c>
    </row>
    <row r="154" spans="1:65" s="2" customFormat="1" ht="22.15" customHeight="1">
      <c r="A154" s="32"/>
      <c r="B154" s="33"/>
      <c r="C154" s="176" t="s">
        <v>295</v>
      </c>
      <c r="D154" s="176" t="s">
        <v>198</v>
      </c>
      <c r="E154" s="177" t="s">
        <v>296</v>
      </c>
      <c r="F154" s="178" t="s">
        <v>297</v>
      </c>
      <c r="G154" s="179" t="s">
        <v>253</v>
      </c>
      <c r="H154" s="180">
        <v>7.334</v>
      </c>
      <c r="I154" s="181"/>
      <c r="J154" s="182">
        <f>ROUND(I154*H154,2)</f>
        <v>0</v>
      </c>
      <c r="K154" s="178" t="s">
        <v>202</v>
      </c>
      <c r="L154" s="37"/>
      <c r="M154" s="183" t="s">
        <v>19</v>
      </c>
      <c r="N154" s="184" t="s">
        <v>41</v>
      </c>
      <c r="O154" s="62"/>
      <c r="P154" s="185">
        <f>O154*H154</f>
        <v>0</v>
      </c>
      <c r="Q154" s="185">
        <v>0.10891</v>
      </c>
      <c r="R154" s="185">
        <f>Q154*H154</f>
        <v>0.79874594</v>
      </c>
      <c r="S154" s="185">
        <v>0</v>
      </c>
      <c r="T154" s="186">
        <f>S154*H154</f>
        <v>0</v>
      </c>
      <c r="U154" s="32"/>
      <c r="V154" s="32"/>
      <c r="W154" s="32"/>
      <c r="X154" s="32"/>
      <c r="Y154" s="32"/>
      <c r="Z154" s="32"/>
      <c r="AA154" s="32"/>
      <c r="AB154" s="32"/>
      <c r="AC154" s="32"/>
      <c r="AD154" s="32"/>
      <c r="AE154" s="32"/>
      <c r="AR154" s="187" t="s">
        <v>203</v>
      </c>
      <c r="AT154" s="187" t="s">
        <v>198</v>
      </c>
      <c r="AU154" s="187" t="s">
        <v>79</v>
      </c>
      <c r="AY154" s="15" t="s">
        <v>196</v>
      </c>
      <c r="BE154" s="188">
        <f>IF(N154="základní",J154,0)</f>
        <v>0</v>
      </c>
      <c r="BF154" s="188">
        <f>IF(N154="snížená",J154,0)</f>
        <v>0</v>
      </c>
      <c r="BG154" s="188">
        <f>IF(N154="zákl. přenesená",J154,0)</f>
        <v>0</v>
      </c>
      <c r="BH154" s="188">
        <f>IF(N154="sníž. přenesená",J154,0)</f>
        <v>0</v>
      </c>
      <c r="BI154" s="188">
        <f>IF(N154="nulová",J154,0)</f>
        <v>0</v>
      </c>
      <c r="BJ154" s="15" t="s">
        <v>77</v>
      </c>
      <c r="BK154" s="188">
        <f>ROUND(I154*H154,2)</f>
        <v>0</v>
      </c>
      <c r="BL154" s="15" t="s">
        <v>203</v>
      </c>
      <c r="BM154" s="187" t="s">
        <v>298</v>
      </c>
    </row>
    <row r="155" spans="1:65" s="2" customFormat="1" ht="22.15" customHeight="1">
      <c r="A155" s="32"/>
      <c r="B155" s="33"/>
      <c r="C155" s="176" t="s">
        <v>299</v>
      </c>
      <c r="D155" s="176" t="s">
        <v>198</v>
      </c>
      <c r="E155" s="177" t="s">
        <v>300</v>
      </c>
      <c r="F155" s="178" t="s">
        <v>301</v>
      </c>
      <c r="G155" s="179" t="s">
        <v>253</v>
      </c>
      <c r="H155" s="180">
        <v>82.446</v>
      </c>
      <c r="I155" s="181"/>
      <c r="J155" s="182">
        <f>ROUND(I155*H155,2)</f>
        <v>0</v>
      </c>
      <c r="K155" s="178" t="s">
        <v>202</v>
      </c>
      <c r="L155" s="37"/>
      <c r="M155" s="183" t="s">
        <v>19</v>
      </c>
      <c r="N155" s="184" t="s">
        <v>41</v>
      </c>
      <c r="O155" s="62"/>
      <c r="P155" s="185">
        <f>O155*H155</f>
        <v>0</v>
      </c>
      <c r="Q155" s="185">
        <v>0.06917</v>
      </c>
      <c r="R155" s="185">
        <f>Q155*H155</f>
        <v>5.70278982</v>
      </c>
      <c r="S155" s="185">
        <v>0</v>
      </c>
      <c r="T155" s="186">
        <f>S155*H155</f>
        <v>0</v>
      </c>
      <c r="U155" s="32"/>
      <c r="V155" s="32"/>
      <c r="W155" s="32"/>
      <c r="X155" s="32"/>
      <c r="Y155" s="32"/>
      <c r="Z155" s="32"/>
      <c r="AA155" s="32"/>
      <c r="AB155" s="32"/>
      <c r="AC155" s="32"/>
      <c r="AD155" s="32"/>
      <c r="AE155" s="32"/>
      <c r="AR155" s="187" t="s">
        <v>203</v>
      </c>
      <c r="AT155" s="187" t="s">
        <v>198</v>
      </c>
      <c r="AU155" s="187" t="s">
        <v>79</v>
      </c>
      <c r="AY155" s="15" t="s">
        <v>196</v>
      </c>
      <c r="BE155" s="188">
        <f>IF(N155="základní",J155,0)</f>
        <v>0</v>
      </c>
      <c r="BF155" s="188">
        <f>IF(N155="snížená",J155,0)</f>
        <v>0</v>
      </c>
      <c r="BG155" s="188">
        <f>IF(N155="zákl. přenesená",J155,0)</f>
        <v>0</v>
      </c>
      <c r="BH155" s="188">
        <f>IF(N155="sníž. přenesená",J155,0)</f>
        <v>0</v>
      </c>
      <c r="BI155" s="188">
        <f>IF(N155="nulová",J155,0)</f>
        <v>0</v>
      </c>
      <c r="BJ155" s="15" t="s">
        <v>77</v>
      </c>
      <c r="BK155" s="188">
        <f>ROUND(I155*H155,2)</f>
        <v>0</v>
      </c>
      <c r="BL155" s="15" t="s">
        <v>203</v>
      </c>
      <c r="BM155" s="187" t="s">
        <v>302</v>
      </c>
    </row>
    <row r="156" spans="1:65" s="2" customFormat="1" ht="22.15" customHeight="1">
      <c r="A156" s="32"/>
      <c r="B156" s="33"/>
      <c r="C156" s="176" t="s">
        <v>303</v>
      </c>
      <c r="D156" s="176" t="s">
        <v>198</v>
      </c>
      <c r="E156" s="177" t="s">
        <v>304</v>
      </c>
      <c r="F156" s="178" t="s">
        <v>305</v>
      </c>
      <c r="G156" s="179" t="s">
        <v>253</v>
      </c>
      <c r="H156" s="180">
        <v>15.149</v>
      </c>
      <c r="I156" s="181"/>
      <c r="J156" s="182">
        <f>ROUND(I156*H156,2)</f>
        <v>0</v>
      </c>
      <c r="K156" s="178" t="s">
        <v>202</v>
      </c>
      <c r="L156" s="37"/>
      <c r="M156" s="183" t="s">
        <v>19</v>
      </c>
      <c r="N156" s="184" t="s">
        <v>41</v>
      </c>
      <c r="O156" s="62"/>
      <c r="P156" s="185">
        <f>O156*H156</f>
        <v>0</v>
      </c>
      <c r="Q156" s="185">
        <v>0.10325</v>
      </c>
      <c r="R156" s="185">
        <f>Q156*H156</f>
        <v>1.5641342499999997</v>
      </c>
      <c r="S156" s="185">
        <v>0</v>
      </c>
      <c r="T156" s="186">
        <f>S156*H156</f>
        <v>0</v>
      </c>
      <c r="U156" s="32"/>
      <c r="V156" s="32"/>
      <c r="W156" s="32"/>
      <c r="X156" s="32"/>
      <c r="Y156" s="32"/>
      <c r="Z156" s="32"/>
      <c r="AA156" s="32"/>
      <c r="AB156" s="32"/>
      <c r="AC156" s="32"/>
      <c r="AD156" s="32"/>
      <c r="AE156" s="32"/>
      <c r="AR156" s="187" t="s">
        <v>203</v>
      </c>
      <c r="AT156" s="187" t="s">
        <v>198</v>
      </c>
      <c r="AU156" s="187" t="s">
        <v>79</v>
      </c>
      <c r="AY156" s="15" t="s">
        <v>196</v>
      </c>
      <c r="BE156" s="188">
        <f>IF(N156="základní",J156,0)</f>
        <v>0</v>
      </c>
      <c r="BF156" s="188">
        <f>IF(N156="snížená",J156,0)</f>
        <v>0</v>
      </c>
      <c r="BG156" s="188">
        <f>IF(N156="zákl. přenesená",J156,0)</f>
        <v>0</v>
      </c>
      <c r="BH156" s="188">
        <f>IF(N156="sníž. přenesená",J156,0)</f>
        <v>0</v>
      </c>
      <c r="BI156" s="188">
        <f>IF(N156="nulová",J156,0)</f>
        <v>0</v>
      </c>
      <c r="BJ156" s="15" t="s">
        <v>77</v>
      </c>
      <c r="BK156" s="188">
        <f>ROUND(I156*H156,2)</f>
        <v>0</v>
      </c>
      <c r="BL156" s="15" t="s">
        <v>203</v>
      </c>
      <c r="BM156" s="187" t="s">
        <v>306</v>
      </c>
    </row>
    <row r="157" spans="1:65" s="2" customFormat="1" ht="13.9" customHeight="1">
      <c r="A157" s="32"/>
      <c r="B157" s="33"/>
      <c r="C157" s="176" t="s">
        <v>307</v>
      </c>
      <c r="D157" s="176" t="s">
        <v>198</v>
      </c>
      <c r="E157" s="177" t="s">
        <v>308</v>
      </c>
      <c r="F157" s="178" t="s">
        <v>309</v>
      </c>
      <c r="G157" s="179" t="s">
        <v>310</v>
      </c>
      <c r="H157" s="180">
        <v>67.87</v>
      </c>
      <c r="I157" s="181"/>
      <c r="J157" s="182">
        <f>ROUND(I157*H157,2)</f>
        <v>0</v>
      </c>
      <c r="K157" s="178" t="s">
        <v>202</v>
      </c>
      <c r="L157" s="37"/>
      <c r="M157" s="183" t="s">
        <v>19</v>
      </c>
      <c r="N157" s="184" t="s">
        <v>41</v>
      </c>
      <c r="O157" s="62"/>
      <c r="P157" s="185">
        <f>O157*H157</f>
        <v>0</v>
      </c>
      <c r="Q157" s="185">
        <v>0.00012</v>
      </c>
      <c r="R157" s="185">
        <f>Q157*H157</f>
        <v>0.008144400000000001</v>
      </c>
      <c r="S157" s="185">
        <v>0</v>
      </c>
      <c r="T157" s="186">
        <f>S157*H157</f>
        <v>0</v>
      </c>
      <c r="U157" s="32"/>
      <c r="V157" s="32"/>
      <c r="W157" s="32"/>
      <c r="X157" s="32"/>
      <c r="Y157" s="32"/>
      <c r="Z157" s="32"/>
      <c r="AA157" s="32"/>
      <c r="AB157" s="32"/>
      <c r="AC157" s="32"/>
      <c r="AD157" s="32"/>
      <c r="AE157" s="32"/>
      <c r="AR157" s="187" t="s">
        <v>203</v>
      </c>
      <c r="AT157" s="187" t="s">
        <v>198</v>
      </c>
      <c r="AU157" s="187" t="s">
        <v>79</v>
      </c>
      <c r="AY157" s="15" t="s">
        <v>196</v>
      </c>
      <c r="BE157" s="188">
        <f>IF(N157="základní",J157,0)</f>
        <v>0</v>
      </c>
      <c r="BF157" s="188">
        <f>IF(N157="snížená",J157,0)</f>
        <v>0</v>
      </c>
      <c r="BG157" s="188">
        <f>IF(N157="zákl. přenesená",J157,0)</f>
        <v>0</v>
      </c>
      <c r="BH157" s="188">
        <f>IF(N157="sníž. přenesená",J157,0)</f>
        <v>0</v>
      </c>
      <c r="BI157" s="188">
        <f>IF(N157="nulová",J157,0)</f>
        <v>0</v>
      </c>
      <c r="BJ157" s="15" t="s">
        <v>77</v>
      </c>
      <c r="BK157" s="188">
        <f>ROUND(I157*H157,2)</f>
        <v>0</v>
      </c>
      <c r="BL157" s="15" t="s">
        <v>203</v>
      </c>
      <c r="BM157" s="187" t="s">
        <v>311</v>
      </c>
    </row>
    <row r="158" spans="1:47" s="2" customFormat="1" ht="58.5">
      <c r="A158" s="32"/>
      <c r="B158" s="33"/>
      <c r="C158" s="34"/>
      <c r="D158" s="189" t="s">
        <v>208</v>
      </c>
      <c r="E158" s="34"/>
      <c r="F158" s="190" t="s">
        <v>312</v>
      </c>
      <c r="G158" s="34"/>
      <c r="H158" s="34"/>
      <c r="I158" s="191"/>
      <c r="J158" s="34"/>
      <c r="K158" s="34"/>
      <c r="L158" s="37"/>
      <c r="M158" s="192"/>
      <c r="N158" s="193"/>
      <c r="O158" s="62"/>
      <c r="P158" s="62"/>
      <c r="Q158" s="62"/>
      <c r="R158" s="62"/>
      <c r="S158" s="62"/>
      <c r="T158" s="63"/>
      <c r="U158" s="32"/>
      <c r="V158" s="32"/>
      <c r="W158" s="32"/>
      <c r="X158" s="32"/>
      <c r="Y158" s="32"/>
      <c r="Z158" s="32"/>
      <c r="AA158" s="32"/>
      <c r="AB158" s="32"/>
      <c r="AC158" s="32"/>
      <c r="AD158" s="32"/>
      <c r="AE158" s="32"/>
      <c r="AT158" s="15" t="s">
        <v>208</v>
      </c>
      <c r="AU158" s="15" t="s">
        <v>79</v>
      </c>
    </row>
    <row r="159" spans="1:65" s="2" customFormat="1" ht="13.9" customHeight="1">
      <c r="A159" s="32"/>
      <c r="B159" s="33"/>
      <c r="C159" s="176" t="s">
        <v>313</v>
      </c>
      <c r="D159" s="176" t="s">
        <v>198</v>
      </c>
      <c r="E159" s="177" t="s">
        <v>314</v>
      </c>
      <c r="F159" s="178" t="s">
        <v>315</v>
      </c>
      <c r="G159" s="179" t="s">
        <v>253</v>
      </c>
      <c r="H159" s="180">
        <v>1.812</v>
      </c>
      <c r="I159" s="181"/>
      <c r="J159" s="182">
        <f>ROUND(I159*H159,2)</f>
        <v>0</v>
      </c>
      <c r="K159" s="178" t="s">
        <v>202</v>
      </c>
      <c r="L159" s="37"/>
      <c r="M159" s="183" t="s">
        <v>19</v>
      </c>
      <c r="N159" s="184" t="s">
        <v>41</v>
      </c>
      <c r="O159" s="62"/>
      <c r="P159" s="185">
        <f>O159*H159</f>
        <v>0</v>
      </c>
      <c r="Q159" s="185">
        <v>0.17818</v>
      </c>
      <c r="R159" s="185">
        <f>Q159*H159</f>
        <v>0.32286216</v>
      </c>
      <c r="S159" s="185">
        <v>0</v>
      </c>
      <c r="T159" s="186">
        <f>S159*H159</f>
        <v>0</v>
      </c>
      <c r="U159" s="32"/>
      <c r="V159" s="32"/>
      <c r="W159" s="32"/>
      <c r="X159" s="32"/>
      <c r="Y159" s="32"/>
      <c r="Z159" s="32"/>
      <c r="AA159" s="32"/>
      <c r="AB159" s="32"/>
      <c r="AC159" s="32"/>
      <c r="AD159" s="32"/>
      <c r="AE159" s="32"/>
      <c r="AR159" s="187" t="s">
        <v>203</v>
      </c>
      <c r="AT159" s="187" t="s">
        <v>198</v>
      </c>
      <c r="AU159" s="187" t="s">
        <v>79</v>
      </c>
      <c r="AY159" s="15" t="s">
        <v>196</v>
      </c>
      <c r="BE159" s="188">
        <f>IF(N159="základní",J159,0)</f>
        <v>0</v>
      </c>
      <c r="BF159" s="188">
        <f>IF(N159="snížená",J159,0)</f>
        <v>0</v>
      </c>
      <c r="BG159" s="188">
        <f>IF(N159="zákl. přenesená",J159,0)</f>
        <v>0</v>
      </c>
      <c r="BH159" s="188">
        <f>IF(N159="sníž. přenesená",J159,0)</f>
        <v>0</v>
      </c>
      <c r="BI159" s="188">
        <f>IF(N159="nulová",J159,0)</f>
        <v>0</v>
      </c>
      <c r="BJ159" s="15" t="s">
        <v>77</v>
      </c>
      <c r="BK159" s="188">
        <f>ROUND(I159*H159,2)</f>
        <v>0</v>
      </c>
      <c r="BL159" s="15" t="s">
        <v>203</v>
      </c>
      <c r="BM159" s="187" t="s">
        <v>316</v>
      </c>
    </row>
    <row r="160" spans="1:65" s="2" customFormat="1" ht="13.9" customHeight="1">
      <c r="A160" s="32"/>
      <c r="B160" s="33"/>
      <c r="C160" s="176" t="s">
        <v>317</v>
      </c>
      <c r="D160" s="176" t="s">
        <v>198</v>
      </c>
      <c r="E160" s="177" t="s">
        <v>318</v>
      </c>
      <c r="F160" s="178" t="s">
        <v>319</v>
      </c>
      <c r="G160" s="179" t="s">
        <v>253</v>
      </c>
      <c r="H160" s="180">
        <v>2.9</v>
      </c>
      <c r="I160" s="181"/>
      <c r="J160" s="182">
        <f>ROUND(I160*H160,2)</f>
        <v>0</v>
      </c>
      <c r="K160" s="178" t="s">
        <v>202</v>
      </c>
      <c r="L160" s="37"/>
      <c r="M160" s="183" t="s">
        <v>19</v>
      </c>
      <c r="N160" s="184" t="s">
        <v>41</v>
      </c>
      <c r="O160" s="62"/>
      <c r="P160" s="185">
        <f>O160*H160</f>
        <v>0</v>
      </c>
      <c r="Q160" s="185">
        <v>0.45432</v>
      </c>
      <c r="R160" s="185">
        <f>Q160*H160</f>
        <v>1.317528</v>
      </c>
      <c r="S160" s="185">
        <v>0</v>
      </c>
      <c r="T160" s="186">
        <f>S160*H160</f>
        <v>0</v>
      </c>
      <c r="U160" s="32"/>
      <c r="V160" s="32"/>
      <c r="W160" s="32"/>
      <c r="X160" s="32"/>
      <c r="Y160" s="32"/>
      <c r="Z160" s="32"/>
      <c r="AA160" s="32"/>
      <c r="AB160" s="32"/>
      <c r="AC160" s="32"/>
      <c r="AD160" s="32"/>
      <c r="AE160" s="32"/>
      <c r="AR160" s="187" t="s">
        <v>203</v>
      </c>
      <c r="AT160" s="187" t="s">
        <v>198</v>
      </c>
      <c r="AU160" s="187" t="s">
        <v>79</v>
      </c>
      <c r="AY160" s="15" t="s">
        <v>196</v>
      </c>
      <c r="BE160" s="188">
        <f>IF(N160="základní",J160,0)</f>
        <v>0</v>
      </c>
      <c r="BF160" s="188">
        <f>IF(N160="snížená",J160,0)</f>
        <v>0</v>
      </c>
      <c r="BG160" s="188">
        <f>IF(N160="zákl. přenesená",J160,0)</f>
        <v>0</v>
      </c>
      <c r="BH160" s="188">
        <f>IF(N160="sníž. přenesená",J160,0)</f>
        <v>0</v>
      </c>
      <c r="BI160" s="188">
        <f>IF(N160="nulová",J160,0)</f>
        <v>0</v>
      </c>
      <c r="BJ160" s="15" t="s">
        <v>77</v>
      </c>
      <c r="BK160" s="188">
        <f>ROUND(I160*H160,2)</f>
        <v>0</v>
      </c>
      <c r="BL160" s="15" t="s">
        <v>203</v>
      </c>
      <c r="BM160" s="187" t="s">
        <v>320</v>
      </c>
    </row>
    <row r="161" spans="1:47" s="2" customFormat="1" ht="58.5">
      <c r="A161" s="32"/>
      <c r="B161" s="33"/>
      <c r="C161" s="34"/>
      <c r="D161" s="189" t="s">
        <v>208</v>
      </c>
      <c r="E161" s="34"/>
      <c r="F161" s="190" t="s">
        <v>321</v>
      </c>
      <c r="G161" s="34"/>
      <c r="H161" s="34"/>
      <c r="I161" s="191"/>
      <c r="J161" s="34"/>
      <c r="K161" s="34"/>
      <c r="L161" s="37"/>
      <c r="M161" s="192"/>
      <c r="N161" s="193"/>
      <c r="O161" s="62"/>
      <c r="P161" s="62"/>
      <c r="Q161" s="62"/>
      <c r="R161" s="62"/>
      <c r="S161" s="62"/>
      <c r="T161" s="63"/>
      <c r="U161" s="32"/>
      <c r="V161" s="32"/>
      <c r="W161" s="32"/>
      <c r="X161" s="32"/>
      <c r="Y161" s="32"/>
      <c r="Z161" s="32"/>
      <c r="AA161" s="32"/>
      <c r="AB161" s="32"/>
      <c r="AC161" s="32"/>
      <c r="AD161" s="32"/>
      <c r="AE161" s="32"/>
      <c r="AT161" s="15" t="s">
        <v>208</v>
      </c>
      <c r="AU161" s="15" t="s">
        <v>79</v>
      </c>
    </row>
    <row r="162" spans="1:65" s="2" customFormat="1" ht="13.9" customHeight="1">
      <c r="A162" s="32"/>
      <c r="B162" s="33"/>
      <c r="C162" s="176" t="s">
        <v>322</v>
      </c>
      <c r="D162" s="176" t="s">
        <v>198</v>
      </c>
      <c r="E162" s="177" t="s">
        <v>323</v>
      </c>
      <c r="F162" s="178" t="s">
        <v>324</v>
      </c>
      <c r="G162" s="179" t="s">
        <v>310</v>
      </c>
      <c r="H162" s="180">
        <v>26.5</v>
      </c>
      <c r="I162" s="181"/>
      <c r="J162" s="182">
        <f>ROUND(I162*H162,2)</f>
        <v>0</v>
      </c>
      <c r="K162" s="178" t="s">
        <v>19</v>
      </c>
      <c r="L162" s="37"/>
      <c r="M162" s="183" t="s">
        <v>19</v>
      </c>
      <c r="N162" s="184" t="s">
        <v>41</v>
      </c>
      <c r="O162" s="62"/>
      <c r="P162" s="185">
        <f>O162*H162</f>
        <v>0</v>
      </c>
      <c r="Q162" s="185">
        <v>1.08504</v>
      </c>
      <c r="R162" s="185">
        <f>Q162*H162</f>
        <v>28.75356</v>
      </c>
      <c r="S162" s="185">
        <v>0</v>
      </c>
      <c r="T162" s="186">
        <f>S162*H162</f>
        <v>0</v>
      </c>
      <c r="U162" s="32"/>
      <c r="V162" s="32"/>
      <c r="W162" s="32"/>
      <c r="X162" s="32"/>
      <c r="Y162" s="32"/>
      <c r="Z162" s="32"/>
      <c r="AA162" s="32"/>
      <c r="AB162" s="32"/>
      <c r="AC162" s="32"/>
      <c r="AD162" s="32"/>
      <c r="AE162" s="32"/>
      <c r="AR162" s="187" t="s">
        <v>203</v>
      </c>
      <c r="AT162" s="187" t="s">
        <v>198</v>
      </c>
      <c r="AU162" s="187" t="s">
        <v>79</v>
      </c>
      <c r="AY162" s="15" t="s">
        <v>196</v>
      </c>
      <c r="BE162" s="188">
        <f>IF(N162="základní",J162,0)</f>
        <v>0</v>
      </c>
      <c r="BF162" s="188">
        <f>IF(N162="snížená",J162,0)</f>
        <v>0</v>
      </c>
      <c r="BG162" s="188">
        <f>IF(N162="zákl. přenesená",J162,0)</f>
        <v>0</v>
      </c>
      <c r="BH162" s="188">
        <f>IF(N162="sníž. přenesená",J162,0)</f>
        <v>0</v>
      </c>
      <c r="BI162" s="188">
        <f>IF(N162="nulová",J162,0)</f>
        <v>0</v>
      </c>
      <c r="BJ162" s="15" t="s">
        <v>77</v>
      </c>
      <c r="BK162" s="188">
        <f>ROUND(I162*H162,2)</f>
        <v>0</v>
      </c>
      <c r="BL162" s="15" t="s">
        <v>203</v>
      </c>
      <c r="BM162" s="187" t="s">
        <v>325</v>
      </c>
    </row>
    <row r="163" spans="2:63" s="12" customFormat="1" ht="22.9" customHeight="1">
      <c r="B163" s="160"/>
      <c r="C163" s="161"/>
      <c r="D163" s="162" t="s">
        <v>69</v>
      </c>
      <c r="E163" s="174" t="s">
        <v>203</v>
      </c>
      <c r="F163" s="174" t="s">
        <v>326</v>
      </c>
      <c r="G163" s="161"/>
      <c r="H163" s="161"/>
      <c r="I163" s="164"/>
      <c r="J163" s="175">
        <f>BK163</f>
        <v>0</v>
      </c>
      <c r="K163" s="161"/>
      <c r="L163" s="166"/>
      <c r="M163" s="167"/>
      <c r="N163" s="168"/>
      <c r="O163" s="168"/>
      <c r="P163" s="169">
        <f>SUM(P164:P165)</f>
        <v>0</v>
      </c>
      <c r="Q163" s="168"/>
      <c r="R163" s="169">
        <f>SUM(R164:R165)</f>
        <v>1.62148</v>
      </c>
      <c r="S163" s="168"/>
      <c r="T163" s="170">
        <f>SUM(T164:T165)</f>
        <v>0</v>
      </c>
      <c r="AR163" s="171" t="s">
        <v>77</v>
      </c>
      <c r="AT163" s="172" t="s">
        <v>69</v>
      </c>
      <c r="AU163" s="172" t="s">
        <v>77</v>
      </c>
      <c r="AY163" s="171" t="s">
        <v>196</v>
      </c>
      <c r="BK163" s="173">
        <f>SUM(BK164:BK165)</f>
        <v>0</v>
      </c>
    </row>
    <row r="164" spans="1:65" s="2" customFormat="1" ht="13.9" customHeight="1">
      <c r="A164" s="32"/>
      <c r="B164" s="33"/>
      <c r="C164" s="176" t="s">
        <v>327</v>
      </c>
      <c r="D164" s="176" t="s">
        <v>198</v>
      </c>
      <c r="E164" s="177" t="s">
        <v>328</v>
      </c>
      <c r="F164" s="178" t="s">
        <v>329</v>
      </c>
      <c r="G164" s="179" t="s">
        <v>258</v>
      </c>
      <c r="H164" s="180">
        <v>66</v>
      </c>
      <c r="I164" s="181"/>
      <c r="J164" s="182">
        <f>ROUND(I164*H164,2)</f>
        <v>0</v>
      </c>
      <c r="K164" s="178" t="s">
        <v>202</v>
      </c>
      <c r="L164" s="37"/>
      <c r="M164" s="183" t="s">
        <v>19</v>
      </c>
      <c r="N164" s="184" t="s">
        <v>41</v>
      </c>
      <c r="O164" s="62"/>
      <c r="P164" s="185">
        <f>O164*H164</f>
        <v>0</v>
      </c>
      <c r="Q164" s="185">
        <v>0.02278</v>
      </c>
      <c r="R164" s="185">
        <f>Q164*H164</f>
        <v>1.5034800000000001</v>
      </c>
      <c r="S164" s="185">
        <v>0</v>
      </c>
      <c r="T164" s="186">
        <f>S164*H164</f>
        <v>0</v>
      </c>
      <c r="U164" s="32"/>
      <c r="V164" s="32"/>
      <c r="W164" s="32"/>
      <c r="X164" s="32"/>
      <c r="Y164" s="32"/>
      <c r="Z164" s="32"/>
      <c r="AA164" s="32"/>
      <c r="AB164" s="32"/>
      <c r="AC164" s="32"/>
      <c r="AD164" s="32"/>
      <c r="AE164" s="32"/>
      <c r="AR164" s="187" t="s">
        <v>203</v>
      </c>
      <c r="AT164" s="187" t="s">
        <v>198</v>
      </c>
      <c r="AU164" s="187" t="s">
        <v>79</v>
      </c>
      <c r="AY164" s="15" t="s">
        <v>196</v>
      </c>
      <c r="BE164" s="188">
        <f>IF(N164="základní",J164,0)</f>
        <v>0</v>
      </c>
      <c r="BF164" s="188">
        <f>IF(N164="snížená",J164,0)</f>
        <v>0</v>
      </c>
      <c r="BG164" s="188">
        <f>IF(N164="zákl. přenesená",J164,0)</f>
        <v>0</v>
      </c>
      <c r="BH164" s="188">
        <f>IF(N164="sníž. přenesená",J164,0)</f>
        <v>0</v>
      </c>
      <c r="BI164" s="188">
        <f>IF(N164="nulová",J164,0)</f>
        <v>0</v>
      </c>
      <c r="BJ164" s="15" t="s">
        <v>77</v>
      </c>
      <c r="BK164" s="188">
        <f>ROUND(I164*H164,2)</f>
        <v>0</v>
      </c>
      <c r="BL164" s="15" t="s">
        <v>203</v>
      </c>
      <c r="BM164" s="187" t="s">
        <v>330</v>
      </c>
    </row>
    <row r="165" spans="1:65" s="2" customFormat="1" ht="22.15" customHeight="1">
      <c r="A165" s="32"/>
      <c r="B165" s="33"/>
      <c r="C165" s="176" t="s">
        <v>331</v>
      </c>
      <c r="D165" s="176" t="s">
        <v>198</v>
      </c>
      <c r="E165" s="177" t="s">
        <v>332</v>
      </c>
      <c r="F165" s="178" t="s">
        <v>333</v>
      </c>
      <c r="G165" s="179" t="s">
        <v>258</v>
      </c>
      <c r="H165" s="180">
        <v>2</v>
      </c>
      <c r="I165" s="181"/>
      <c r="J165" s="182">
        <f>ROUND(I165*H165,2)</f>
        <v>0</v>
      </c>
      <c r="K165" s="178" t="s">
        <v>202</v>
      </c>
      <c r="L165" s="37"/>
      <c r="M165" s="183" t="s">
        <v>19</v>
      </c>
      <c r="N165" s="184" t="s">
        <v>41</v>
      </c>
      <c r="O165" s="62"/>
      <c r="P165" s="185">
        <f>O165*H165</f>
        <v>0</v>
      </c>
      <c r="Q165" s="185">
        <v>0.059</v>
      </c>
      <c r="R165" s="185">
        <f>Q165*H165</f>
        <v>0.118</v>
      </c>
      <c r="S165" s="185">
        <v>0</v>
      </c>
      <c r="T165" s="186">
        <f>S165*H165</f>
        <v>0</v>
      </c>
      <c r="U165" s="32"/>
      <c r="V165" s="32"/>
      <c r="W165" s="32"/>
      <c r="X165" s="32"/>
      <c r="Y165" s="32"/>
      <c r="Z165" s="32"/>
      <c r="AA165" s="32"/>
      <c r="AB165" s="32"/>
      <c r="AC165" s="32"/>
      <c r="AD165" s="32"/>
      <c r="AE165" s="32"/>
      <c r="AR165" s="187" t="s">
        <v>203</v>
      </c>
      <c r="AT165" s="187" t="s">
        <v>198</v>
      </c>
      <c r="AU165" s="187" t="s">
        <v>79</v>
      </c>
      <c r="AY165" s="15" t="s">
        <v>196</v>
      </c>
      <c r="BE165" s="188">
        <f>IF(N165="základní",J165,0)</f>
        <v>0</v>
      </c>
      <c r="BF165" s="188">
        <f>IF(N165="snížená",J165,0)</f>
        <v>0</v>
      </c>
      <c r="BG165" s="188">
        <f>IF(N165="zákl. přenesená",J165,0)</f>
        <v>0</v>
      </c>
      <c r="BH165" s="188">
        <f>IF(N165="sníž. přenesená",J165,0)</f>
        <v>0</v>
      </c>
      <c r="BI165" s="188">
        <f>IF(N165="nulová",J165,0)</f>
        <v>0</v>
      </c>
      <c r="BJ165" s="15" t="s">
        <v>77</v>
      </c>
      <c r="BK165" s="188">
        <f>ROUND(I165*H165,2)</f>
        <v>0</v>
      </c>
      <c r="BL165" s="15" t="s">
        <v>203</v>
      </c>
      <c r="BM165" s="187" t="s">
        <v>334</v>
      </c>
    </row>
    <row r="166" spans="2:63" s="12" customFormat="1" ht="22.9" customHeight="1">
      <c r="B166" s="160"/>
      <c r="C166" s="161"/>
      <c r="D166" s="162" t="s">
        <v>69</v>
      </c>
      <c r="E166" s="174" t="s">
        <v>221</v>
      </c>
      <c r="F166" s="174" t="s">
        <v>335</v>
      </c>
      <c r="G166" s="161"/>
      <c r="H166" s="161"/>
      <c r="I166" s="164"/>
      <c r="J166" s="175">
        <f>BK166</f>
        <v>0</v>
      </c>
      <c r="K166" s="161"/>
      <c r="L166" s="166"/>
      <c r="M166" s="167"/>
      <c r="N166" s="168"/>
      <c r="O166" s="168"/>
      <c r="P166" s="169">
        <f>SUM(P167:P214)</f>
        <v>0</v>
      </c>
      <c r="Q166" s="168"/>
      <c r="R166" s="169">
        <f>SUM(R167:R214)</f>
        <v>72.84167675</v>
      </c>
      <c r="S166" s="168"/>
      <c r="T166" s="170">
        <f>SUM(T167:T214)</f>
        <v>0</v>
      </c>
      <c r="AR166" s="171" t="s">
        <v>77</v>
      </c>
      <c r="AT166" s="172" t="s">
        <v>69</v>
      </c>
      <c r="AU166" s="172" t="s">
        <v>77</v>
      </c>
      <c r="AY166" s="171" t="s">
        <v>196</v>
      </c>
      <c r="BK166" s="173">
        <f>SUM(BK167:BK214)</f>
        <v>0</v>
      </c>
    </row>
    <row r="167" spans="1:65" s="2" customFormat="1" ht="13.9" customHeight="1">
      <c r="A167" s="32"/>
      <c r="B167" s="33"/>
      <c r="C167" s="176" t="s">
        <v>336</v>
      </c>
      <c r="D167" s="176" t="s">
        <v>198</v>
      </c>
      <c r="E167" s="177" t="s">
        <v>337</v>
      </c>
      <c r="F167" s="178" t="s">
        <v>338</v>
      </c>
      <c r="G167" s="179" t="s">
        <v>253</v>
      </c>
      <c r="H167" s="180">
        <v>266.56</v>
      </c>
      <c r="I167" s="181"/>
      <c r="J167" s="182">
        <f>ROUND(I167*H167,2)</f>
        <v>0</v>
      </c>
      <c r="K167" s="178" t="s">
        <v>202</v>
      </c>
      <c r="L167" s="37"/>
      <c r="M167" s="183" t="s">
        <v>19</v>
      </c>
      <c r="N167" s="184" t="s">
        <v>41</v>
      </c>
      <c r="O167" s="62"/>
      <c r="P167" s="185">
        <f>O167*H167</f>
        <v>0</v>
      </c>
      <c r="Q167" s="185">
        <v>0.00735</v>
      </c>
      <c r="R167" s="185">
        <f>Q167*H167</f>
        <v>1.9592159999999998</v>
      </c>
      <c r="S167" s="185">
        <v>0</v>
      </c>
      <c r="T167" s="186">
        <f>S167*H167</f>
        <v>0</v>
      </c>
      <c r="U167" s="32"/>
      <c r="V167" s="32"/>
      <c r="W167" s="32"/>
      <c r="X167" s="32"/>
      <c r="Y167" s="32"/>
      <c r="Z167" s="32"/>
      <c r="AA167" s="32"/>
      <c r="AB167" s="32"/>
      <c r="AC167" s="32"/>
      <c r="AD167" s="32"/>
      <c r="AE167" s="32"/>
      <c r="AR167" s="187" t="s">
        <v>203</v>
      </c>
      <c r="AT167" s="187" t="s">
        <v>198</v>
      </c>
      <c r="AU167" s="187" t="s">
        <v>79</v>
      </c>
      <c r="AY167" s="15" t="s">
        <v>196</v>
      </c>
      <c r="BE167" s="188">
        <f>IF(N167="základní",J167,0)</f>
        <v>0</v>
      </c>
      <c r="BF167" s="188">
        <f>IF(N167="snížená",J167,0)</f>
        <v>0</v>
      </c>
      <c r="BG167" s="188">
        <f>IF(N167="zákl. přenesená",J167,0)</f>
        <v>0</v>
      </c>
      <c r="BH167" s="188">
        <f>IF(N167="sníž. přenesená",J167,0)</f>
        <v>0</v>
      </c>
      <c r="BI167" s="188">
        <f>IF(N167="nulová",J167,0)</f>
        <v>0</v>
      </c>
      <c r="BJ167" s="15" t="s">
        <v>77</v>
      </c>
      <c r="BK167" s="188">
        <f>ROUND(I167*H167,2)</f>
        <v>0</v>
      </c>
      <c r="BL167" s="15" t="s">
        <v>203</v>
      </c>
      <c r="BM167" s="187" t="s">
        <v>339</v>
      </c>
    </row>
    <row r="168" spans="1:65" s="2" customFormat="1" ht="13.9" customHeight="1">
      <c r="A168" s="32"/>
      <c r="B168" s="33"/>
      <c r="C168" s="176" t="s">
        <v>340</v>
      </c>
      <c r="D168" s="176" t="s">
        <v>198</v>
      </c>
      <c r="E168" s="177" t="s">
        <v>341</v>
      </c>
      <c r="F168" s="178" t="s">
        <v>342</v>
      </c>
      <c r="G168" s="179" t="s">
        <v>253</v>
      </c>
      <c r="H168" s="180">
        <v>53.75</v>
      </c>
      <c r="I168" s="181"/>
      <c r="J168" s="182">
        <f>ROUND(I168*H168,2)</f>
        <v>0</v>
      </c>
      <c r="K168" s="178" t="s">
        <v>202</v>
      </c>
      <c r="L168" s="37"/>
      <c r="M168" s="183" t="s">
        <v>19</v>
      </c>
      <c r="N168" s="184" t="s">
        <v>41</v>
      </c>
      <c r="O168" s="62"/>
      <c r="P168" s="185">
        <f>O168*H168</f>
        <v>0</v>
      </c>
      <c r="Q168" s="185">
        <v>0.0014</v>
      </c>
      <c r="R168" s="185">
        <f>Q168*H168</f>
        <v>0.07525</v>
      </c>
      <c r="S168" s="185">
        <v>0</v>
      </c>
      <c r="T168" s="186">
        <f>S168*H168</f>
        <v>0</v>
      </c>
      <c r="U168" s="32"/>
      <c r="V168" s="32"/>
      <c r="W168" s="32"/>
      <c r="X168" s="32"/>
      <c r="Y168" s="32"/>
      <c r="Z168" s="32"/>
      <c r="AA168" s="32"/>
      <c r="AB168" s="32"/>
      <c r="AC168" s="32"/>
      <c r="AD168" s="32"/>
      <c r="AE168" s="32"/>
      <c r="AR168" s="187" t="s">
        <v>203</v>
      </c>
      <c r="AT168" s="187" t="s">
        <v>198</v>
      </c>
      <c r="AU168" s="187" t="s">
        <v>79</v>
      </c>
      <c r="AY168" s="15" t="s">
        <v>196</v>
      </c>
      <c r="BE168" s="188">
        <f>IF(N168="základní",J168,0)</f>
        <v>0</v>
      </c>
      <c r="BF168" s="188">
        <f>IF(N168="snížená",J168,0)</f>
        <v>0</v>
      </c>
      <c r="BG168" s="188">
        <f>IF(N168="zákl. přenesená",J168,0)</f>
        <v>0</v>
      </c>
      <c r="BH168" s="188">
        <f>IF(N168="sníž. přenesená",J168,0)</f>
        <v>0</v>
      </c>
      <c r="BI168" s="188">
        <f>IF(N168="nulová",J168,0)</f>
        <v>0</v>
      </c>
      <c r="BJ168" s="15" t="s">
        <v>77</v>
      </c>
      <c r="BK168" s="188">
        <f>ROUND(I168*H168,2)</f>
        <v>0</v>
      </c>
      <c r="BL168" s="15" t="s">
        <v>203</v>
      </c>
      <c r="BM168" s="187" t="s">
        <v>343</v>
      </c>
    </row>
    <row r="169" spans="1:65" s="2" customFormat="1" ht="13.9" customHeight="1">
      <c r="A169" s="32"/>
      <c r="B169" s="33"/>
      <c r="C169" s="176" t="s">
        <v>344</v>
      </c>
      <c r="D169" s="176" t="s">
        <v>198</v>
      </c>
      <c r="E169" s="177" t="s">
        <v>345</v>
      </c>
      <c r="F169" s="178" t="s">
        <v>346</v>
      </c>
      <c r="G169" s="179" t="s">
        <v>253</v>
      </c>
      <c r="H169" s="180">
        <v>53.75</v>
      </c>
      <c r="I169" s="181"/>
      <c r="J169" s="182">
        <f>ROUND(I169*H169,2)</f>
        <v>0</v>
      </c>
      <c r="K169" s="178" t="s">
        <v>202</v>
      </c>
      <c r="L169" s="37"/>
      <c r="M169" s="183" t="s">
        <v>19</v>
      </c>
      <c r="N169" s="184" t="s">
        <v>41</v>
      </c>
      <c r="O169" s="62"/>
      <c r="P169" s="185">
        <f>O169*H169</f>
        <v>0</v>
      </c>
      <c r="Q169" s="185">
        <v>0.003</v>
      </c>
      <c r="R169" s="185">
        <f>Q169*H169</f>
        <v>0.16125</v>
      </c>
      <c r="S169" s="185">
        <v>0</v>
      </c>
      <c r="T169" s="186">
        <f>S169*H169</f>
        <v>0</v>
      </c>
      <c r="U169" s="32"/>
      <c r="V169" s="32"/>
      <c r="W169" s="32"/>
      <c r="X169" s="32"/>
      <c r="Y169" s="32"/>
      <c r="Z169" s="32"/>
      <c r="AA169" s="32"/>
      <c r="AB169" s="32"/>
      <c r="AC169" s="32"/>
      <c r="AD169" s="32"/>
      <c r="AE169" s="32"/>
      <c r="AR169" s="187" t="s">
        <v>203</v>
      </c>
      <c r="AT169" s="187" t="s">
        <v>198</v>
      </c>
      <c r="AU169" s="187" t="s">
        <v>79</v>
      </c>
      <c r="AY169" s="15" t="s">
        <v>196</v>
      </c>
      <c r="BE169" s="188">
        <f>IF(N169="základní",J169,0)</f>
        <v>0</v>
      </c>
      <c r="BF169" s="188">
        <f>IF(N169="snížená",J169,0)</f>
        <v>0</v>
      </c>
      <c r="BG169" s="188">
        <f>IF(N169="zákl. přenesená",J169,0)</f>
        <v>0</v>
      </c>
      <c r="BH169" s="188">
        <f>IF(N169="sníž. přenesená",J169,0)</f>
        <v>0</v>
      </c>
      <c r="BI169" s="188">
        <f>IF(N169="nulová",J169,0)</f>
        <v>0</v>
      </c>
      <c r="BJ169" s="15" t="s">
        <v>77</v>
      </c>
      <c r="BK169" s="188">
        <f>ROUND(I169*H169,2)</f>
        <v>0</v>
      </c>
      <c r="BL169" s="15" t="s">
        <v>203</v>
      </c>
      <c r="BM169" s="187" t="s">
        <v>347</v>
      </c>
    </row>
    <row r="170" spans="1:65" s="2" customFormat="1" ht="22.15" customHeight="1">
      <c r="A170" s="32"/>
      <c r="B170" s="33"/>
      <c r="C170" s="176" t="s">
        <v>348</v>
      </c>
      <c r="D170" s="176" t="s">
        <v>198</v>
      </c>
      <c r="E170" s="177" t="s">
        <v>349</v>
      </c>
      <c r="F170" s="178" t="s">
        <v>350</v>
      </c>
      <c r="G170" s="179" t="s">
        <v>253</v>
      </c>
      <c r="H170" s="180">
        <v>266.56</v>
      </c>
      <c r="I170" s="181"/>
      <c r="J170" s="182">
        <f>ROUND(I170*H170,2)</f>
        <v>0</v>
      </c>
      <c r="K170" s="178" t="s">
        <v>202</v>
      </c>
      <c r="L170" s="37"/>
      <c r="M170" s="183" t="s">
        <v>19</v>
      </c>
      <c r="N170" s="184" t="s">
        <v>41</v>
      </c>
      <c r="O170" s="62"/>
      <c r="P170" s="185">
        <f>O170*H170</f>
        <v>0</v>
      </c>
      <c r="Q170" s="185">
        <v>0.01838</v>
      </c>
      <c r="R170" s="185">
        <f>Q170*H170</f>
        <v>4.8993728</v>
      </c>
      <c r="S170" s="185">
        <v>0</v>
      </c>
      <c r="T170" s="186">
        <f>S170*H170</f>
        <v>0</v>
      </c>
      <c r="U170" s="32"/>
      <c r="V170" s="32"/>
      <c r="W170" s="32"/>
      <c r="X170" s="32"/>
      <c r="Y170" s="32"/>
      <c r="Z170" s="32"/>
      <c r="AA170" s="32"/>
      <c r="AB170" s="32"/>
      <c r="AC170" s="32"/>
      <c r="AD170" s="32"/>
      <c r="AE170" s="32"/>
      <c r="AR170" s="187" t="s">
        <v>203</v>
      </c>
      <c r="AT170" s="187" t="s">
        <v>198</v>
      </c>
      <c r="AU170" s="187" t="s">
        <v>79</v>
      </c>
      <c r="AY170" s="15" t="s">
        <v>196</v>
      </c>
      <c r="BE170" s="188">
        <f>IF(N170="základní",J170,0)</f>
        <v>0</v>
      </c>
      <c r="BF170" s="188">
        <f>IF(N170="snížená",J170,0)</f>
        <v>0</v>
      </c>
      <c r="BG170" s="188">
        <f>IF(N170="zákl. přenesená",J170,0)</f>
        <v>0</v>
      </c>
      <c r="BH170" s="188">
        <f>IF(N170="sníž. přenesená",J170,0)</f>
        <v>0</v>
      </c>
      <c r="BI170" s="188">
        <f>IF(N170="nulová",J170,0)</f>
        <v>0</v>
      </c>
      <c r="BJ170" s="15" t="s">
        <v>77</v>
      </c>
      <c r="BK170" s="188">
        <f>ROUND(I170*H170,2)</f>
        <v>0</v>
      </c>
      <c r="BL170" s="15" t="s">
        <v>203</v>
      </c>
      <c r="BM170" s="187" t="s">
        <v>351</v>
      </c>
    </row>
    <row r="171" spans="1:47" s="2" customFormat="1" ht="48.75">
      <c r="A171" s="32"/>
      <c r="B171" s="33"/>
      <c r="C171" s="34"/>
      <c r="D171" s="189" t="s">
        <v>208</v>
      </c>
      <c r="E171" s="34"/>
      <c r="F171" s="190" t="s">
        <v>352</v>
      </c>
      <c r="G171" s="34"/>
      <c r="H171" s="34"/>
      <c r="I171" s="191"/>
      <c r="J171" s="34"/>
      <c r="K171" s="34"/>
      <c r="L171" s="37"/>
      <c r="M171" s="192"/>
      <c r="N171" s="193"/>
      <c r="O171" s="62"/>
      <c r="P171" s="62"/>
      <c r="Q171" s="62"/>
      <c r="R171" s="62"/>
      <c r="S171" s="62"/>
      <c r="T171" s="63"/>
      <c r="U171" s="32"/>
      <c r="V171" s="32"/>
      <c r="W171" s="32"/>
      <c r="X171" s="32"/>
      <c r="Y171" s="32"/>
      <c r="Z171" s="32"/>
      <c r="AA171" s="32"/>
      <c r="AB171" s="32"/>
      <c r="AC171" s="32"/>
      <c r="AD171" s="32"/>
      <c r="AE171" s="32"/>
      <c r="AT171" s="15" t="s">
        <v>208</v>
      </c>
      <c r="AU171" s="15" t="s">
        <v>79</v>
      </c>
    </row>
    <row r="172" spans="1:65" s="2" customFormat="1" ht="22.15" customHeight="1">
      <c r="A172" s="32"/>
      <c r="B172" s="33"/>
      <c r="C172" s="176" t="s">
        <v>353</v>
      </c>
      <c r="D172" s="176" t="s">
        <v>198</v>
      </c>
      <c r="E172" s="177" t="s">
        <v>354</v>
      </c>
      <c r="F172" s="178" t="s">
        <v>355</v>
      </c>
      <c r="G172" s="179" t="s">
        <v>253</v>
      </c>
      <c r="H172" s="180">
        <v>399.84</v>
      </c>
      <c r="I172" s="181"/>
      <c r="J172" s="182">
        <f>ROUND(I172*H172,2)</f>
        <v>0</v>
      </c>
      <c r="K172" s="178" t="s">
        <v>202</v>
      </c>
      <c r="L172" s="37"/>
      <c r="M172" s="183" t="s">
        <v>19</v>
      </c>
      <c r="N172" s="184" t="s">
        <v>41</v>
      </c>
      <c r="O172" s="62"/>
      <c r="P172" s="185">
        <f>O172*H172</f>
        <v>0</v>
      </c>
      <c r="Q172" s="185">
        <v>0.0079</v>
      </c>
      <c r="R172" s="185">
        <f>Q172*H172</f>
        <v>3.158736</v>
      </c>
      <c r="S172" s="185">
        <v>0</v>
      </c>
      <c r="T172" s="186">
        <f>S172*H172</f>
        <v>0</v>
      </c>
      <c r="U172" s="32"/>
      <c r="V172" s="32"/>
      <c r="W172" s="32"/>
      <c r="X172" s="32"/>
      <c r="Y172" s="32"/>
      <c r="Z172" s="32"/>
      <c r="AA172" s="32"/>
      <c r="AB172" s="32"/>
      <c r="AC172" s="32"/>
      <c r="AD172" s="32"/>
      <c r="AE172" s="32"/>
      <c r="AR172" s="187" t="s">
        <v>203</v>
      </c>
      <c r="AT172" s="187" t="s">
        <v>198</v>
      </c>
      <c r="AU172" s="187" t="s">
        <v>79</v>
      </c>
      <c r="AY172" s="15" t="s">
        <v>196</v>
      </c>
      <c r="BE172" s="188">
        <f>IF(N172="základní",J172,0)</f>
        <v>0</v>
      </c>
      <c r="BF172" s="188">
        <f>IF(N172="snížená",J172,0)</f>
        <v>0</v>
      </c>
      <c r="BG172" s="188">
        <f>IF(N172="zákl. přenesená",J172,0)</f>
        <v>0</v>
      </c>
      <c r="BH172" s="188">
        <f>IF(N172="sníž. přenesená",J172,0)</f>
        <v>0</v>
      </c>
      <c r="BI172" s="188">
        <f>IF(N172="nulová",J172,0)</f>
        <v>0</v>
      </c>
      <c r="BJ172" s="15" t="s">
        <v>77</v>
      </c>
      <c r="BK172" s="188">
        <f>ROUND(I172*H172,2)</f>
        <v>0</v>
      </c>
      <c r="BL172" s="15" t="s">
        <v>203</v>
      </c>
      <c r="BM172" s="187" t="s">
        <v>356</v>
      </c>
    </row>
    <row r="173" spans="1:47" s="2" customFormat="1" ht="48.75">
      <c r="A173" s="32"/>
      <c r="B173" s="33"/>
      <c r="C173" s="34"/>
      <c r="D173" s="189" t="s">
        <v>208</v>
      </c>
      <c r="E173" s="34"/>
      <c r="F173" s="190" t="s">
        <v>352</v>
      </c>
      <c r="G173" s="34"/>
      <c r="H173" s="34"/>
      <c r="I173" s="191"/>
      <c r="J173" s="34"/>
      <c r="K173" s="34"/>
      <c r="L173" s="37"/>
      <c r="M173" s="192"/>
      <c r="N173" s="193"/>
      <c r="O173" s="62"/>
      <c r="P173" s="62"/>
      <c r="Q173" s="62"/>
      <c r="R173" s="62"/>
      <c r="S173" s="62"/>
      <c r="T173" s="63"/>
      <c r="U173" s="32"/>
      <c r="V173" s="32"/>
      <c r="W173" s="32"/>
      <c r="X173" s="32"/>
      <c r="Y173" s="32"/>
      <c r="Z173" s="32"/>
      <c r="AA173" s="32"/>
      <c r="AB173" s="32"/>
      <c r="AC173" s="32"/>
      <c r="AD173" s="32"/>
      <c r="AE173" s="32"/>
      <c r="AT173" s="15" t="s">
        <v>208</v>
      </c>
      <c r="AU173" s="15" t="s">
        <v>79</v>
      </c>
    </row>
    <row r="174" spans="1:65" s="2" customFormat="1" ht="22.15" customHeight="1">
      <c r="A174" s="32"/>
      <c r="B174" s="33"/>
      <c r="C174" s="176" t="s">
        <v>357</v>
      </c>
      <c r="D174" s="176" t="s">
        <v>198</v>
      </c>
      <c r="E174" s="177" t="s">
        <v>358</v>
      </c>
      <c r="F174" s="178" t="s">
        <v>359</v>
      </c>
      <c r="G174" s="179" t="s">
        <v>253</v>
      </c>
      <c r="H174" s="180">
        <v>53.75</v>
      </c>
      <c r="I174" s="181"/>
      <c r="J174" s="182">
        <f>ROUND(I174*H174,2)</f>
        <v>0</v>
      </c>
      <c r="K174" s="178" t="s">
        <v>202</v>
      </c>
      <c r="L174" s="37"/>
      <c r="M174" s="183" t="s">
        <v>19</v>
      </c>
      <c r="N174" s="184" t="s">
        <v>41</v>
      </c>
      <c r="O174" s="62"/>
      <c r="P174" s="185">
        <f>O174*H174</f>
        <v>0</v>
      </c>
      <c r="Q174" s="185">
        <v>0.0282</v>
      </c>
      <c r="R174" s="185">
        <f>Q174*H174</f>
        <v>1.51575</v>
      </c>
      <c r="S174" s="185">
        <v>0</v>
      </c>
      <c r="T174" s="186">
        <f>S174*H174</f>
        <v>0</v>
      </c>
      <c r="U174" s="32"/>
      <c r="V174" s="32"/>
      <c r="W174" s="32"/>
      <c r="X174" s="32"/>
      <c r="Y174" s="32"/>
      <c r="Z174" s="32"/>
      <c r="AA174" s="32"/>
      <c r="AB174" s="32"/>
      <c r="AC174" s="32"/>
      <c r="AD174" s="32"/>
      <c r="AE174" s="32"/>
      <c r="AR174" s="187" t="s">
        <v>203</v>
      </c>
      <c r="AT174" s="187" t="s">
        <v>198</v>
      </c>
      <c r="AU174" s="187" t="s">
        <v>79</v>
      </c>
      <c r="AY174" s="15" t="s">
        <v>196</v>
      </c>
      <c r="BE174" s="188">
        <f>IF(N174="základní",J174,0)</f>
        <v>0</v>
      </c>
      <c r="BF174" s="188">
        <f>IF(N174="snížená",J174,0)</f>
        <v>0</v>
      </c>
      <c r="BG174" s="188">
        <f>IF(N174="zákl. přenesená",J174,0)</f>
        <v>0</v>
      </c>
      <c r="BH174" s="188">
        <f>IF(N174="sníž. přenesená",J174,0)</f>
        <v>0</v>
      </c>
      <c r="BI174" s="188">
        <f>IF(N174="nulová",J174,0)</f>
        <v>0</v>
      </c>
      <c r="BJ174" s="15" t="s">
        <v>77</v>
      </c>
      <c r="BK174" s="188">
        <f>ROUND(I174*H174,2)</f>
        <v>0</v>
      </c>
      <c r="BL174" s="15" t="s">
        <v>203</v>
      </c>
      <c r="BM174" s="187" t="s">
        <v>360</v>
      </c>
    </row>
    <row r="175" spans="1:47" s="2" customFormat="1" ht="29.25">
      <c r="A175" s="32"/>
      <c r="B175" s="33"/>
      <c r="C175" s="34"/>
      <c r="D175" s="189" t="s">
        <v>208</v>
      </c>
      <c r="E175" s="34"/>
      <c r="F175" s="190" t="s">
        <v>361</v>
      </c>
      <c r="G175" s="34"/>
      <c r="H175" s="34"/>
      <c r="I175" s="191"/>
      <c r="J175" s="34"/>
      <c r="K175" s="34"/>
      <c r="L175" s="37"/>
      <c r="M175" s="192"/>
      <c r="N175" s="193"/>
      <c r="O175" s="62"/>
      <c r="P175" s="62"/>
      <c r="Q175" s="62"/>
      <c r="R175" s="62"/>
      <c r="S175" s="62"/>
      <c r="T175" s="63"/>
      <c r="U175" s="32"/>
      <c r="V175" s="32"/>
      <c r="W175" s="32"/>
      <c r="X175" s="32"/>
      <c r="Y175" s="32"/>
      <c r="Z175" s="32"/>
      <c r="AA175" s="32"/>
      <c r="AB175" s="32"/>
      <c r="AC175" s="32"/>
      <c r="AD175" s="32"/>
      <c r="AE175" s="32"/>
      <c r="AT175" s="15" t="s">
        <v>208</v>
      </c>
      <c r="AU175" s="15" t="s">
        <v>79</v>
      </c>
    </row>
    <row r="176" spans="1:65" s="2" customFormat="1" ht="13.9" customHeight="1">
      <c r="A176" s="32"/>
      <c r="B176" s="33"/>
      <c r="C176" s="176" t="s">
        <v>362</v>
      </c>
      <c r="D176" s="176" t="s">
        <v>198</v>
      </c>
      <c r="E176" s="177" t="s">
        <v>363</v>
      </c>
      <c r="F176" s="178" t="s">
        <v>364</v>
      </c>
      <c r="G176" s="179" t="s">
        <v>253</v>
      </c>
      <c r="H176" s="180">
        <v>581.667</v>
      </c>
      <c r="I176" s="181"/>
      <c r="J176" s="182">
        <f>ROUND(I176*H176,2)</f>
        <v>0</v>
      </c>
      <c r="K176" s="178" t="s">
        <v>202</v>
      </c>
      <c r="L176" s="37"/>
      <c r="M176" s="183" t="s">
        <v>19</v>
      </c>
      <c r="N176" s="184" t="s">
        <v>41</v>
      </c>
      <c r="O176" s="62"/>
      <c r="P176" s="185">
        <f>O176*H176</f>
        <v>0</v>
      </c>
      <c r="Q176" s="185">
        <v>0.00735</v>
      </c>
      <c r="R176" s="185">
        <f>Q176*H176</f>
        <v>4.27525245</v>
      </c>
      <c r="S176" s="185">
        <v>0</v>
      </c>
      <c r="T176" s="186">
        <f>S176*H176</f>
        <v>0</v>
      </c>
      <c r="U176" s="32"/>
      <c r="V176" s="32"/>
      <c r="W176" s="32"/>
      <c r="X176" s="32"/>
      <c r="Y176" s="32"/>
      <c r="Z176" s="32"/>
      <c r="AA176" s="32"/>
      <c r="AB176" s="32"/>
      <c r="AC176" s="32"/>
      <c r="AD176" s="32"/>
      <c r="AE176" s="32"/>
      <c r="AR176" s="187" t="s">
        <v>203</v>
      </c>
      <c r="AT176" s="187" t="s">
        <v>198</v>
      </c>
      <c r="AU176" s="187" t="s">
        <v>79</v>
      </c>
      <c r="AY176" s="15" t="s">
        <v>196</v>
      </c>
      <c r="BE176" s="188">
        <f>IF(N176="základní",J176,0)</f>
        <v>0</v>
      </c>
      <c r="BF176" s="188">
        <f>IF(N176="snížená",J176,0)</f>
        <v>0</v>
      </c>
      <c r="BG176" s="188">
        <f>IF(N176="zákl. přenesená",J176,0)</f>
        <v>0</v>
      </c>
      <c r="BH176" s="188">
        <f>IF(N176="sníž. přenesená",J176,0)</f>
        <v>0</v>
      </c>
      <c r="BI176" s="188">
        <f>IF(N176="nulová",J176,0)</f>
        <v>0</v>
      </c>
      <c r="BJ176" s="15" t="s">
        <v>77</v>
      </c>
      <c r="BK176" s="188">
        <f>ROUND(I176*H176,2)</f>
        <v>0</v>
      </c>
      <c r="BL176" s="15" t="s">
        <v>203</v>
      </c>
      <c r="BM176" s="187" t="s">
        <v>365</v>
      </c>
    </row>
    <row r="177" spans="1:65" s="2" customFormat="1" ht="13.9" customHeight="1">
      <c r="A177" s="32"/>
      <c r="B177" s="33"/>
      <c r="C177" s="176" t="s">
        <v>366</v>
      </c>
      <c r="D177" s="176" t="s">
        <v>198</v>
      </c>
      <c r="E177" s="177" t="s">
        <v>367</v>
      </c>
      <c r="F177" s="178" t="s">
        <v>368</v>
      </c>
      <c r="G177" s="179" t="s">
        <v>253</v>
      </c>
      <c r="H177" s="180">
        <v>1012.451</v>
      </c>
      <c r="I177" s="181"/>
      <c r="J177" s="182">
        <f>ROUND(I177*H177,2)</f>
        <v>0</v>
      </c>
      <c r="K177" s="178" t="s">
        <v>202</v>
      </c>
      <c r="L177" s="37"/>
      <c r="M177" s="183" t="s">
        <v>19</v>
      </c>
      <c r="N177" s="184" t="s">
        <v>41</v>
      </c>
      <c r="O177" s="62"/>
      <c r="P177" s="185">
        <f>O177*H177</f>
        <v>0</v>
      </c>
      <c r="Q177" s="185">
        <v>0.0014</v>
      </c>
      <c r="R177" s="185">
        <f>Q177*H177</f>
        <v>1.4174314000000001</v>
      </c>
      <c r="S177" s="185">
        <v>0</v>
      </c>
      <c r="T177" s="186">
        <f>S177*H177</f>
        <v>0</v>
      </c>
      <c r="U177" s="32"/>
      <c r="V177" s="32"/>
      <c r="W177" s="32"/>
      <c r="X177" s="32"/>
      <c r="Y177" s="32"/>
      <c r="Z177" s="32"/>
      <c r="AA177" s="32"/>
      <c r="AB177" s="32"/>
      <c r="AC177" s="32"/>
      <c r="AD177" s="32"/>
      <c r="AE177" s="32"/>
      <c r="AR177" s="187" t="s">
        <v>203</v>
      </c>
      <c r="AT177" s="187" t="s">
        <v>198</v>
      </c>
      <c r="AU177" s="187" t="s">
        <v>79</v>
      </c>
      <c r="AY177" s="15" t="s">
        <v>196</v>
      </c>
      <c r="BE177" s="188">
        <f>IF(N177="základní",J177,0)</f>
        <v>0</v>
      </c>
      <c r="BF177" s="188">
        <f>IF(N177="snížená",J177,0)</f>
        <v>0</v>
      </c>
      <c r="BG177" s="188">
        <f>IF(N177="zákl. přenesená",J177,0)</f>
        <v>0</v>
      </c>
      <c r="BH177" s="188">
        <f>IF(N177="sníž. přenesená",J177,0)</f>
        <v>0</v>
      </c>
      <c r="BI177" s="188">
        <f>IF(N177="nulová",J177,0)</f>
        <v>0</v>
      </c>
      <c r="BJ177" s="15" t="s">
        <v>77</v>
      </c>
      <c r="BK177" s="188">
        <f>ROUND(I177*H177,2)</f>
        <v>0</v>
      </c>
      <c r="BL177" s="15" t="s">
        <v>203</v>
      </c>
      <c r="BM177" s="187" t="s">
        <v>369</v>
      </c>
    </row>
    <row r="178" spans="1:65" s="2" customFormat="1" ht="13.9" customHeight="1">
      <c r="A178" s="32"/>
      <c r="B178" s="33"/>
      <c r="C178" s="176" t="s">
        <v>370</v>
      </c>
      <c r="D178" s="176" t="s">
        <v>198</v>
      </c>
      <c r="E178" s="177" t="s">
        <v>371</v>
      </c>
      <c r="F178" s="178" t="s">
        <v>372</v>
      </c>
      <c r="G178" s="179" t="s">
        <v>253</v>
      </c>
      <c r="H178" s="180">
        <v>14</v>
      </c>
      <c r="I178" s="181"/>
      <c r="J178" s="182">
        <f>ROUND(I178*H178,2)</f>
        <v>0</v>
      </c>
      <c r="K178" s="178" t="s">
        <v>202</v>
      </c>
      <c r="L178" s="37"/>
      <c r="M178" s="183" t="s">
        <v>19</v>
      </c>
      <c r="N178" s="184" t="s">
        <v>41</v>
      </c>
      <c r="O178" s="62"/>
      <c r="P178" s="185">
        <f>O178*H178</f>
        <v>0</v>
      </c>
      <c r="Q178" s="185">
        <v>0.04</v>
      </c>
      <c r="R178" s="185">
        <f>Q178*H178</f>
        <v>0.56</v>
      </c>
      <c r="S178" s="185">
        <v>0</v>
      </c>
      <c r="T178" s="186">
        <f>S178*H178</f>
        <v>0</v>
      </c>
      <c r="U178" s="32"/>
      <c r="V178" s="32"/>
      <c r="W178" s="32"/>
      <c r="X178" s="32"/>
      <c r="Y178" s="32"/>
      <c r="Z178" s="32"/>
      <c r="AA178" s="32"/>
      <c r="AB178" s="32"/>
      <c r="AC178" s="32"/>
      <c r="AD178" s="32"/>
      <c r="AE178" s="32"/>
      <c r="AR178" s="187" t="s">
        <v>203</v>
      </c>
      <c r="AT178" s="187" t="s">
        <v>198</v>
      </c>
      <c r="AU178" s="187" t="s">
        <v>79</v>
      </c>
      <c r="AY178" s="15" t="s">
        <v>196</v>
      </c>
      <c r="BE178" s="188">
        <f>IF(N178="základní",J178,0)</f>
        <v>0</v>
      </c>
      <c r="BF178" s="188">
        <f>IF(N178="snížená",J178,0)</f>
        <v>0</v>
      </c>
      <c r="BG178" s="188">
        <f>IF(N178="zákl. přenesená",J178,0)</f>
        <v>0</v>
      </c>
      <c r="BH178" s="188">
        <f>IF(N178="sníž. přenesená",J178,0)</f>
        <v>0</v>
      </c>
      <c r="BI178" s="188">
        <f>IF(N178="nulová",J178,0)</f>
        <v>0</v>
      </c>
      <c r="BJ178" s="15" t="s">
        <v>77</v>
      </c>
      <c r="BK178" s="188">
        <f>ROUND(I178*H178,2)</f>
        <v>0</v>
      </c>
      <c r="BL178" s="15" t="s">
        <v>203</v>
      </c>
      <c r="BM178" s="187" t="s">
        <v>373</v>
      </c>
    </row>
    <row r="179" spans="1:47" s="2" customFormat="1" ht="29.25">
      <c r="A179" s="32"/>
      <c r="B179" s="33"/>
      <c r="C179" s="34"/>
      <c r="D179" s="189" t="s">
        <v>208</v>
      </c>
      <c r="E179" s="34"/>
      <c r="F179" s="190" t="s">
        <v>374</v>
      </c>
      <c r="G179" s="34"/>
      <c r="H179" s="34"/>
      <c r="I179" s="191"/>
      <c r="J179" s="34"/>
      <c r="K179" s="34"/>
      <c r="L179" s="37"/>
      <c r="M179" s="192"/>
      <c r="N179" s="193"/>
      <c r="O179" s="62"/>
      <c r="P179" s="62"/>
      <c r="Q179" s="62"/>
      <c r="R179" s="62"/>
      <c r="S179" s="62"/>
      <c r="T179" s="63"/>
      <c r="U179" s="32"/>
      <c r="V179" s="32"/>
      <c r="W179" s="32"/>
      <c r="X179" s="32"/>
      <c r="Y179" s="32"/>
      <c r="Z179" s="32"/>
      <c r="AA179" s="32"/>
      <c r="AB179" s="32"/>
      <c r="AC179" s="32"/>
      <c r="AD179" s="32"/>
      <c r="AE179" s="32"/>
      <c r="AT179" s="15" t="s">
        <v>208</v>
      </c>
      <c r="AU179" s="15" t="s">
        <v>79</v>
      </c>
    </row>
    <row r="180" spans="1:65" s="2" customFormat="1" ht="13.9" customHeight="1">
      <c r="A180" s="32"/>
      <c r="B180" s="33"/>
      <c r="C180" s="176" t="s">
        <v>375</v>
      </c>
      <c r="D180" s="176" t="s">
        <v>198</v>
      </c>
      <c r="E180" s="177" t="s">
        <v>376</v>
      </c>
      <c r="F180" s="178" t="s">
        <v>377</v>
      </c>
      <c r="G180" s="179" t="s">
        <v>253</v>
      </c>
      <c r="H180" s="180">
        <v>215.922</v>
      </c>
      <c r="I180" s="181"/>
      <c r="J180" s="182">
        <f>ROUND(I180*H180,2)</f>
        <v>0</v>
      </c>
      <c r="K180" s="178" t="s">
        <v>202</v>
      </c>
      <c r="L180" s="37"/>
      <c r="M180" s="183" t="s">
        <v>19</v>
      </c>
      <c r="N180" s="184" t="s">
        <v>41</v>
      </c>
      <c r="O180" s="62"/>
      <c r="P180" s="185">
        <f>O180*H180</f>
        <v>0</v>
      </c>
      <c r="Q180" s="185">
        <v>0.00438</v>
      </c>
      <c r="R180" s="185">
        <f>Q180*H180</f>
        <v>0.94573836</v>
      </c>
      <c r="S180" s="185">
        <v>0</v>
      </c>
      <c r="T180" s="186">
        <f>S180*H180</f>
        <v>0</v>
      </c>
      <c r="U180" s="32"/>
      <c r="V180" s="32"/>
      <c r="W180" s="32"/>
      <c r="X180" s="32"/>
      <c r="Y180" s="32"/>
      <c r="Z180" s="32"/>
      <c r="AA180" s="32"/>
      <c r="AB180" s="32"/>
      <c r="AC180" s="32"/>
      <c r="AD180" s="32"/>
      <c r="AE180" s="32"/>
      <c r="AR180" s="187" t="s">
        <v>203</v>
      </c>
      <c r="AT180" s="187" t="s">
        <v>198</v>
      </c>
      <c r="AU180" s="187" t="s">
        <v>79</v>
      </c>
      <c r="AY180" s="15" t="s">
        <v>196</v>
      </c>
      <c r="BE180" s="188">
        <f>IF(N180="základní",J180,0)</f>
        <v>0</v>
      </c>
      <c r="BF180" s="188">
        <f>IF(N180="snížená",J180,0)</f>
        <v>0</v>
      </c>
      <c r="BG180" s="188">
        <f>IF(N180="zákl. přenesená",J180,0)</f>
        <v>0</v>
      </c>
      <c r="BH180" s="188">
        <f>IF(N180="sníž. přenesená",J180,0)</f>
        <v>0</v>
      </c>
      <c r="BI180" s="188">
        <f>IF(N180="nulová",J180,0)</f>
        <v>0</v>
      </c>
      <c r="BJ180" s="15" t="s">
        <v>77</v>
      </c>
      <c r="BK180" s="188">
        <f>ROUND(I180*H180,2)</f>
        <v>0</v>
      </c>
      <c r="BL180" s="15" t="s">
        <v>203</v>
      </c>
      <c r="BM180" s="187" t="s">
        <v>378</v>
      </c>
    </row>
    <row r="181" spans="1:47" s="2" customFormat="1" ht="29.25">
      <c r="A181" s="32"/>
      <c r="B181" s="33"/>
      <c r="C181" s="34"/>
      <c r="D181" s="189" t="s">
        <v>208</v>
      </c>
      <c r="E181" s="34"/>
      <c r="F181" s="190" t="s">
        <v>379</v>
      </c>
      <c r="G181" s="34"/>
      <c r="H181" s="34"/>
      <c r="I181" s="191"/>
      <c r="J181" s="34"/>
      <c r="K181" s="34"/>
      <c r="L181" s="37"/>
      <c r="M181" s="192"/>
      <c r="N181" s="193"/>
      <c r="O181" s="62"/>
      <c r="P181" s="62"/>
      <c r="Q181" s="62"/>
      <c r="R181" s="62"/>
      <c r="S181" s="62"/>
      <c r="T181" s="63"/>
      <c r="U181" s="32"/>
      <c r="V181" s="32"/>
      <c r="W181" s="32"/>
      <c r="X181" s="32"/>
      <c r="Y181" s="32"/>
      <c r="Z181" s="32"/>
      <c r="AA181" s="32"/>
      <c r="AB181" s="32"/>
      <c r="AC181" s="32"/>
      <c r="AD181" s="32"/>
      <c r="AE181" s="32"/>
      <c r="AT181" s="15" t="s">
        <v>208</v>
      </c>
      <c r="AU181" s="15" t="s">
        <v>79</v>
      </c>
    </row>
    <row r="182" spans="1:65" s="2" customFormat="1" ht="13.9" customHeight="1">
      <c r="A182" s="32"/>
      <c r="B182" s="33"/>
      <c r="C182" s="176" t="s">
        <v>380</v>
      </c>
      <c r="D182" s="176" t="s">
        <v>198</v>
      </c>
      <c r="E182" s="177" t="s">
        <v>381</v>
      </c>
      <c r="F182" s="178" t="s">
        <v>382</v>
      </c>
      <c r="G182" s="179" t="s">
        <v>253</v>
      </c>
      <c r="H182" s="180">
        <v>782.951</v>
      </c>
      <c r="I182" s="181"/>
      <c r="J182" s="182">
        <f>ROUND(I182*H182,2)</f>
        <v>0</v>
      </c>
      <c r="K182" s="178" t="s">
        <v>202</v>
      </c>
      <c r="L182" s="37"/>
      <c r="M182" s="183" t="s">
        <v>19</v>
      </c>
      <c r="N182" s="184" t="s">
        <v>41</v>
      </c>
      <c r="O182" s="62"/>
      <c r="P182" s="185">
        <f>O182*H182</f>
        <v>0</v>
      </c>
      <c r="Q182" s="185">
        <v>0.003</v>
      </c>
      <c r="R182" s="185">
        <f>Q182*H182</f>
        <v>2.348853</v>
      </c>
      <c r="S182" s="185">
        <v>0</v>
      </c>
      <c r="T182" s="186">
        <f>S182*H182</f>
        <v>0</v>
      </c>
      <c r="U182" s="32"/>
      <c r="V182" s="32"/>
      <c r="W182" s="32"/>
      <c r="X182" s="32"/>
      <c r="Y182" s="32"/>
      <c r="Z182" s="32"/>
      <c r="AA182" s="32"/>
      <c r="AB182" s="32"/>
      <c r="AC182" s="32"/>
      <c r="AD182" s="32"/>
      <c r="AE182" s="32"/>
      <c r="AR182" s="187" t="s">
        <v>203</v>
      </c>
      <c r="AT182" s="187" t="s">
        <v>198</v>
      </c>
      <c r="AU182" s="187" t="s">
        <v>79</v>
      </c>
      <c r="AY182" s="15" t="s">
        <v>196</v>
      </c>
      <c r="BE182" s="188">
        <f>IF(N182="základní",J182,0)</f>
        <v>0</v>
      </c>
      <c r="BF182" s="188">
        <f>IF(N182="snížená",J182,0)</f>
        <v>0</v>
      </c>
      <c r="BG182" s="188">
        <f>IF(N182="zákl. přenesená",J182,0)</f>
        <v>0</v>
      </c>
      <c r="BH182" s="188">
        <f>IF(N182="sníž. přenesená",J182,0)</f>
        <v>0</v>
      </c>
      <c r="BI182" s="188">
        <f>IF(N182="nulová",J182,0)</f>
        <v>0</v>
      </c>
      <c r="BJ182" s="15" t="s">
        <v>77</v>
      </c>
      <c r="BK182" s="188">
        <f>ROUND(I182*H182,2)</f>
        <v>0</v>
      </c>
      <c r="BL182" s="15" t="s">
        <v>203</v>
      </c>
      <c r="BM182" s="187" t="s">
        <v>383</v>
      </c>
    </row>
    <row r="183" spans="1:65" s="2" customFormat="1" ht="22.15" customHeight="1">
      <c r="A183" s="32"/>
      <c r="B183" s="33"/>
      <c r="C183" s="176" t="s">
        <v>384</v>
      </c>
      <c r="D183" s="176" t="s">
        <v>198</v>
      </c>
      <c r="E183" s="177" t="s">
        <v>385</v>
      </c>
      <c r="F183" s="178" t="s">
        <v>386</v>
      </c>
      <c r="G183" s="179" t="s">
        <v>253</v>
      </c>
      <c r="H183" s="180">
        <v>581.667</v>
      </c>
      <c r="I183" s="181"/>
      <c r="J183" s="182">
        <f>ROUND(I183*H183,2)</f>
        <v>0</v>
      </c>
      <c r="K183" s="178" t="s">
        <v>202</v>
      </c>
      <c r="L183" s="37"/>
      <c r="M183" s="183" t="s">
        <v>19</v>
      </c>
      <c r="N183" s="184" t="s">
        <v>41</v>
      </c>
      <c r="O183" s="62"/>
      <c r="P183" s="185">
        <f>O183*H183</f>
        <v>0</v>
      </c>
      <c r="Q183" s="185">
        <v>0.0154</v>
      </c>
      <c r="R183" s="185">
        <f>Q183*H183</f>
        <v>8.9576718</v>
      </c>
      <c r="S183" s="185">
        <v>0</v>
      </c>
      <c r="T183" s="186">
        <f>S183*H183</f>
        <v>0</v>
      </c>
      <c r="U183" s="32"/>
      <c r="V183" s="32"/>
      <c r="W183" s="32"/>
      <c r="X183" s="32"/>
      <c r="Y183" s="32"/>
      <c r="Z183" s="32"/>
      <c r="AA183" s="32"/>
      <c r="AB183" s="32"/>
      <c r="AC183" s="32"/>
      <c r="AD183" s="32"/>
      <c r="AE183" s="32"/>
      <c r="AR183" s="187" t="s">
        <v>203</v>
      </c>
      <c r="AT183" s="187" t="s">
        <v>198</v>
      </c>
      <c r="AU183" s="187" t="s">
        <v>79</v>
      </c>
      <c r="AY183" s="15" t="s">
        <v>196</v>
      </c>
      <c r="BE183" s="188">
        <f>IF(N183="základní",J183,0)</f>
        <v>0</v>
      </c>
      <c r="BF183" s="188">
        <f>IF(N183="snížená",J183,0)</f>
        <v>0</v>
      </c>
      <c r="BG183" s="188">
        <f>IF(N183="zákl. přenesená",J183,0)</f>
        <v>0</v>
      </c>
      <c r="BH183" s="188">
        <f>IF(N183="sníž. přenesená",J183,0)</f>
        <v>0</v>
      </c>
      <c r="BI183" s="188">
        <f>IF(N183="nulová",J183,0)</f>
        <v>0</v>
      </c>
      <c r="BJ183" s="15" t="s">
        <v>77</v>
      </c>
      <c r="BK183" s="188">
        <f>ROUND(I183*H183,2)</f>
        <v>0</v>
      </c>
      <c r="BL183" s="15" t="s">
        <v>203</v>
      </c>
      <c r="BM183" s="187" t="s">
        <v>387</v>
      </c>
    </row>
    <row r="184" spans="1:47" s="2" customFormat="1" ht="48.75">
      <c r="A184" s="32"/>
      <c r="B184" s="33"/>
      <c r="C184" s="34"/>
      <c r="D184" s="189" t="s">
        <v>208</v>
      </c>
      <c r="E184" s="34"/>
      <c r="F184" s="190" t="s">
        <v>352</v>
      </c>
      <c r="G184" s="34"/>
      <c r="H184" s="34"/>
      <c r="I184" s="191"/>
      <c r="J184" s="34"/>
      <c r="K184" s="34"/>
      <c r="L184" s="37"/>
      <c r="M184" s="192"/>
      <c r="N184" s="193"/>
      <c r="O184" s="62"/>
      <c r="P184" s="62"/>
      <c r="Q184" s="62"/>
      <c r="R184" s="62"/>
      <c r="S184" s="62"/>
      <c r="T184" s="63"/>
      <c r="U184" s="32"/>
      <c r="V184" s="32"/>
      <c r="W184" s="32"/>
      <c r="X184" s="32"/>
      <c r="Y184" s="32"/>
      <c r="Z184" s="32"/>
      <c r="AA184" s="32"/>
      <c r="AB184" s="32"/>
      <c r="AC184" s="32"/>
      <c r="AD184" s="32"/>
      <c r="AE184" s="32"/>
      <c r="AT184" s="15" t="s">
        <v>208</v>
      </c>
      <c r="AU184" s="15" t="s">
        <v>79</v>
      </c>
    </row>
    <row r="185" spans="1:65" s="2" customFormat="1" ht="22.15" customHeight="1">
      <c r="A185" s="32"/>
      <c r="B185" s="33"/>
      <c r="C185" s="176" t="s">
        <v>388</v>
      </c>
      <c r="D185" s="176" t="s">
        <v>198</v>
      </c>
      <c r="E185" s="177" t="s">
        <v>389</v>
      </c>
      <c r="F185" s="178" t="s">
        <v>390</v>
      </c>
      <c r="G185" s="179" t="s">
        <v>253</v>
      </c>
      <c r="H185" s="180">
        <v>872.501</v>
      </c>
      <c r="I185" s="181"/>
      <c r="J185" s="182">
        <f>ROUND(I185*H185,2)</f>
        <v>0</v>
      </c>
      <c r="K185" s="178" t="s">
        <v>202</v>
      </c>
      <c r="L185" s="37"/>
      <c r="M185" s="183" t="s">
        <v>19</v>
      </c>
      <c r="N185" s="184" t="s">
        <v>41</v>
      </c>
      <c r="O185" s="62"/>
      <c r="P185" s="185">
        <f>O185*H185</f>
        <v>0</v>
      </c>
      <c r="Q185" s="185">
        <v>0.0079</v>
      </c>
      <c r="R185" s="185">
        <f>Q185*H185</f>
        <v>6.8927579</v>
      </c>
      <c r="S185" s="185">
        <v>0</v>
      </c>
      <c r="T185" s="186">
        <f>S185*H185</f>
        <v>0</v>
      </c>
      <c r="U185" s="32"/>
      <c r="V185" s="32"/>
      <c r="W185" s="32"/>
      <c r="X185" s="32"/>
      <c r="Y185" s="32"/>
      <c r="Z185" s="32"/>
      <c r="AA185" s="32"/>
      <c r="AB185" s="32"/>
      <c r="AC185" s="32"/>
      <c r="AD185" s="32"/>
      <c r="AE185" s="32"/>
      <c r="AR185" s="187" t="s">
        <v>203</v>
      </c>
      <c r="AT185" s="187" t="s">
        <v>198</v>
      </c>
      <c r="AU185" s="187" t="s">
        <v>79</v>
      </c>
      <c r="AY185" s="15" t="s">
        <v>196</v>
      </c>
      <c r="BE185" s="188">
        <f>IF(N185="základní",J185,0)</f>
        <v>0</v>
      </c>
      <c r="BF185" s="188">
        <f>IF(N185="snížená",J185,0)</f>
        <v>0</v>
      </c>
      <c r="BG185" s="188">
        <f>IF(N185="zákl. přenesená",J185,0)</f>
        <v>0</v>
      </c>
      <c r="BH185" s="188">
        <f>IF(N185="sníž. přenesená",J185,0)</f>
        <v>0</v>
      </c>
      <c r="BI185" s="188">
        <f>IF(N185="nulová",J185,0)</f>
        <v>0</v>
      </c>
      <c r="BJ185" s="15" t="s">
        <v>77</v>
      </c>
      <c r="BK185" s="188">
        <f>ROUND(I185*H185,2)</f>
        <v>0</v>
      </c>
      <c r="BL185" s="15" t="s">
        <v>203</v>
      </c>
      <c r="BM185" s="187" t="s">
        <v>391</v>
      </c>
    </row>
    <row r="186" spans="1:47" s="2" customFormat="1" ht="48.75">
      <c r="A186" s="32"/>
      <c r="B186" s="33"/>
      <c r="C186" s="34"/>
      <c r="D186" s="189" t="s">
        <v>208</v>
      </c>
      <c r="E186" s="34"/>
      <c r="F186" s="190" t="s">
        <v>352</v>
      </c>
      <c r="G186" s="34"/>
      <c r="H186" s="34"/>
      <c r="I186" s="191"/>
      <c r="J186" s="34"/>
      <c r="K186" s="34"/>
      <c r="L186" s="37"/>
      <c r="M186" s="192"/>
      <c r="N186" s="193"/>
      <c r="O186" s="62"/>
      <c r="P186" s="62"/>
      <c r="Q186" s="62"/>
      <c r="R186" s="62"/>
      <c r="S186" s="62"/>
      <c r="T186" s="63"/>
      <c r="U186" s="32"/>
      <c r="V186" s="32"/>
      <c r="W186" s="32"/>
      <c r="X186" s="32"/>
      <c r="Y186" s="32"/>
      <c r="Z186" s="32"/>
      <c r="AA186" s="32"/>
      <c r="AB186" s="32"/>
      <c r="AC186" s="32"/>
      <c r="AD186" s="32"/>
      <c r="AE186" s="32"/>
      <c r="AT186" s="15" t="s">
        <v>208</v>
      </c>
      <c r="AU186" s="15" t="s">
        <v>79</v>
      </c>
    </row>
    <row r="187" spans="1:65" s="2" customFormat="1" ht="22.15" customHeight="1">
      <c r="A187" s="32"/>
      <c r="B187" s="33"/>
      <c r="C187" s="176" t="s">
        <v>392</v>
      </c>
      <c r="D187" s="176" t="s">
        <v>198</v>
      </c>
      <c r="E187" s="177" t="s">
        <v>393</v>
      </c>
      <c r="F187" s="178" t="s">
        <v>394</v>
      </c>
      <c r="G187" s="179" t="s">
        <v>253</v>
      </c>
      <c r="H187" s="180">
        <v>235.862</v>
      </c>
      <c r="I187" s="181"/>
      <c r="J187" s="182">
        <f>ROUND(I187*H187,2)</f>
        <v>0</v>
      </c>
      <c r="K187" s="178" t="s">
        <v>202</v>
      </c>
      <c r="L187" s="37"/>
      <c r="M187" s="183" t="s">
        <v>19</v>
      </c>
      <c r="N187" s="184" t="s">
        <v>41</v>
      </c>
      <c r="O187" s="62"/>
      <c r="P187" s="185">
        <f>O187*H187</f>
        <v>0</v>
      </c>
      <c r="Q187" s="185">
        <v>0.0262</v>
      </c>
      <c r="R187" s="185">
        <f>Q187*H187</f>
        <v>6.1795844</v>
      </c>
      <c r="S187" s="185">
        <v>0</v>
      </c>
      <c r="T187" s="186">
        <f>S187*H187</f>
        <v>0</v>
      </c>
      <c r="U187" s="32"/>
      <c r="V187" s="32"/>
      <c r="W187" s="32"/>
      <c r="X187" s="32"/>
      <c r="Y187" s="32"/>
      <c r="Z187" s="32"/>
      <c r="AA187" s="32"/>
      <c r="AB187" s="32"/>
      <c r="AC187" s="32"/>
      <c r="AD187" s="32"/>
      <c r="AE187" s="32"/>
      <c r="AR187" s="187" t="s">
        <v>203</v>
      </c>
      <c r="AT187" s="187" t="s">
        <v>198</v>
      </c>
      <c r="AU187" s="187" t="s">
        <v>79</v>
      </c>
      <c r="AY187" s="15" t="s">
        <v>196</v>
      </c>
      <c r="BE187" s="188">
        <f>IF(N187="základní",J187,0)</f>
        <v>0</v>
      </c>
      <c r="BF187" s="188">
        <f>IF(N187="snížená",J187,0)</f>
        <v>0</v>
      </c>
      <c r="BG187" s="188">
        <f>IF(N187="zákl. přenesená",J187,0)</f>
        <v>0</v>
      </c>
      <c r="BH187" s="188">
        <f>IF(N187="sníž. přenesená",J187,0)</f>
        <v>0</v>
      </c>
      <c r="BI187" s="188">
        <f>IF(N187="nulová",J187,0)</f>
        <v>0</v>
      </c>
      <c r="BJ187" s="15" t="s">
        <v>77</v>
      </c>
      <c r="BK187" s="188">
        <f>ROUND(I187*H187,2)</f>
        <v>0</v>
      </c>
      <c r="BL187" s="15" t="s">
        <v>203</v>
      </c>
      <c r="BM187" s="187" t="s">
        <v>395</v>
      </c>
    </row>
    <row r="188" spans="1:47" s="2" customFormat="1" ht="29.25">
      <c r="A188" s="32"/>
      <c r="B188" s="33"/>
      <c r="C188" s="34"/>
      <c r="D188" s="189" t="s">
        <v>208</v>
      </c>
      <c r="E188" s="34"/>
      <c r="F188" s="190" t="s">
        <v>361</v>
      </c>
      <c r="G188" s="34"/>
      <c r="H188" s="34"/>
      <c r="I188" s="191"/>
      <c r="J188" s="34"/>
      <c r="K188" s="34"/>
      <c r="L188" s="37"/>
      <c r="M188" s="192"/>
      <c r="N188" s="193"/>
      <c r="O188" s="62"/>
      <c r="P188" s="62"/>
      <c r="Q188" s="62"/>
      <c r="R188" s="62"/>
      <c r="S188" s="62"/>
      <c r="T188" s="63"/>
      <c r="U188" s="32"/>
      <c r="V188" s="32"/>
      <c r="W188" s="32"/>
      <c r="X188" s="32"/>
      <c r="Y188" s="32"/>
      <c r="Z188" s="32"/>
      <c r="AA188" s="32"/>
      <c r="AB188" s="32"/>
      <c r="AC188" s="32"/>
      <c r="AD188" s="32"/>
      <c r="AE188" s="32"/>
      <c r="AT188" s="15" t="s">
        <v>208</v>
      </c>
      <c r="AU188" s="15" t="s">
        <v>79</v>
      </c>
    </row>
    <row r="189" spans="1:65" s="2" customFormat="1" ht="13.9" customHeight="1">
      <c r="A189" s="32"/>
      <c r="B189" s="33"/>
      <c r="C189" s="176" t="s">
        <v>396</v>
      </c>
      <c r="D189" s="176" t="s">
        <v>198</v>
      </c>
      <c r="E189" s="177" t="s">
        <v>397</v>
      </c>
      <c r="F189" s="178" t="s">
        <v>398</v>
      </c>
      <c r="G189" s="179" t="s">
        <v>253</v>
      </c>
      <c r="H189" s="180">
        <v>100</v>
      </c>
      <c r="I189" s="181"/>
      <c r="J189" s="182">
        <f>ROUND(I189*H189,2)</f>
        <v>0</v>
      </c>
      <c r="K189" s="178" t="s">
        <v>202</v>
      </c>
      <c r="L189" s="37"/>
      <c r="M189" s="183" t="s">
        <v>19</v>
      </c>
      <c r="N189" s="184" t="s">
        <v>41</v>
      </c>
      <c r="O189" s="62"/>
      <c r="P189" s="185">
        <f>O189*H189</f>
        <v>0</v>
      </c>
      <c r="Q189" s="185">
        <v>0</v>
      </c>
      <c r="R189" s="185">
        <f>Q189*H189</f>
        <v>0</v>
      </c>
      <c r="S189" s="185">
        <v>0</v>
      </c>
      <c r="T189" s="186">
        <f>S189*H189</f>
        <v>0</v>
      </c>
      <c r="U189" s="32"/>
      <c r="V189" s="32"/>
      <c r="W189" s="32"/>
      <c r="X189" s="32"/>
      <c r="Y189" s="32"/>
      <c r="Z189" s="32"/>
      <c r="AA189" s="32"/>
      <c r="AB189" s="32"/>
      <c r="AC189" s="32"/>
      <c r="AD189" s="32"/>
      <c r="AE189" s="32"/>
      <c r="AR189" s="187" t="s">
        <v>203</v>
      </c>
      <c r="AT189" s="187" t="s">
        <v>198</v>
      </c>
      <c r="AU189" s="187" t="s">
        <v>79</v>
      </c>
      <c r="AY189" s="15" t="s">
        <v>196</v>
      </c>
      <c r="BE189" s="188">
        <f>IF(N189="základní",J189,0)</f>
        <v>0</v>
      </c>
      <c r="BF189" s="188">
        <f>IF(N189="snížená",J189,0)</f>
        <v>0</v>
      </c>
      <c r="BG189" s="188">
        <f>IF(N189="zákl. přenesená",J189,0)</f>
        <v>0</v>
      </c>
      <c r="BH189" s="188">
        <f>IF(N189="sníž. přenesená",J189,0)</f>
        <v>0</v>
      </c>
      <c r="BI189" s="188">
        <f>IF(N189="nulová",J189,0)</f>
        <v>0</v>
      </c>
      <c r="BJ189" s="15" t="s">
        <v>77</v>
      </c>
      <c r="BK189" s="188">
        <f>ROUND(I189*H189,2)</f>
        <v>0</v>
      </c>
      <c r="BL189" s="15" t="s">
        <v>203</v>
      </c>
      <c r="BM189" s="187" t="s">
        <v>399</v>
      </c>
    </row>
    <row r="190" spans="1:47" s="2" customFormat="1" ht="39">
      <c r="A190" s="32"/>
      <c r="B190" s="33"/>
      <c r="C190" s="34"/>
      <c r="D190" s="189" t="s">
        <v>208</v>
      </c>
      <c r="E190" s="34"/>
      <c r="F190" s="190" t="s">
        <v>400</v>
      </c>
      <c r="G190" s="34"/>
      <c r="H190" s="34"/>
      <c r="I190" s="191"/>
      <c r="J190" s="34"/>
      <c r="K190" s="34"/>
      <c r="L190" s="37"/>
      <c r="M190" s="192"/>
      <c r="N190" s="193"/>
      <c r="O190" s="62"/>
      <c r="P190" s="62"/>
      <c r="Q190" s="62"/>
      <c r="R190" s="62"/>
      <c r="S190" s="62"/>
      <c r="T190" s="63"/>
      <c r="U190" s="32"/>
      <c r="V190" s="32"/>
      <c r="W190" s="32"/>
      <c r="X190" s="32"/>
      <c r="Y190" s="32"/>
      <c r="Z190" s="32"/>
      <c r="AA190" s="32"/>
      <c r="AB190" s="32"/>
      <c r="AC190" s="32"/>
      <c r="AD190" s="32"/>
      <c r="AE190" s="32"/>
      <c r="AT190" s="15" t="s">
        <v>208</v>
      </c>
      <c r="AU190" s="15" t="s">
        <v>79</v>
      </c>
    </row>
    <row r="191" spans="1:65" s="2" customFormat="1" ht="22.15" customHeight="1">
      <c r="A191" s="32"/>
      <c r="B191" s="33"/>
      <c r="C191" s="176" t="s">
        <v>401</v>
      </c>
      <c r="D191" s="176" t="s">
        <v>198</v>
      </c>
      <c r="E191" s="177" t="s">
        <v>402</v>
      </c>
      <c r="F191" s="178" t="s">
        <v>403</v>
      </c>
      <c r="G191" s="179" t="s">
        <v>253</v>
      </c>
      <c r="H191" s="180">
        <v>66.992</v>
      </c>
      <c r="I191" s="181"/>
      <c r="J191" s="182">
        <f>ROUND(I191*H191,2)</f>
        <v>0</v>
      </c>
      <c r="K191" s="178" t="s">
        <v>202</v>
      </c>
      <c r="L191" s="37"/>
      <c r="M191" s="183" t="s">
        <v>19</v>
      </c>
      <c r="N191" s="184" t="s">
        <v>41</v>
      </c>
      <c r="O191" s="62"/>
      <c r="P191" s="185">
        <f>O191*H191</f>
        <v>0</v>
      </c>
      <c r="Q191" s="185">
        <v>0</v>
      </c>
      <c r="R191" s="185">
        <f>Q191*H191</f>
        <v>0</v>
      </c>
      <c r="S191" s="185">
        <v>0</v>
      </c>
      <c r="T191" s="186">
        <f>S191*H191</f>
        <v>0</v>
      </c>
      <c r="U191" s="32"/>
      <c r="V191" s="32"/>
      <c r="W191" s="32"/>
      <c r="X191" s="32"/>
      <c r="Y191" s="32"/>
      <c r="Z191" s="32"/>
      <c r="AA191" s="32"/>
      <c r="AB191" s="32"/>
      <c r="AC191" s="32"/>
      <c r="AD191" s="32"/>
      <c r="AE191" s="32"/>
      <c r="AR191" s="187" t="s">
        <v>203</v>
      </c>
      <c r="AT191" s="187" t="s">
        <v>198</v>
      </c>
      <c r="AU191" s="187" t="s">
        <v>79</v>
      </c>
      <c r="AY191" s="15" t="s">
        <v>196</v>
      </c>
      <c r="BE191" s="188">
        <f>IF(N191="základní",J191,0)</f>
        <v>0</v>
      </c>
      <c r="BF191" s="188">
        <f>IF(N191="snížená",J191,0)</f>
        <v>0</v>
      </c>
      <c r="BG191" s="188">
        <f>IF(N191="zákl. přenesená",J191,0)</f>
        <v>0</v>
      </c>
      <c r="BH191" s="188">
        <f>IF(N191="sníž. přenesená",J191,0)</f>
        <v>0</v>
      </c>
      <c r="BI191" s="188">
        <f>IF(N191="nulová",J191,0)</f>
        <v>0</v>
      </c>
      <c r="BJ191" s="15" t="s">
        <v>77</v>
      </c>
      <c r="BK191" s="188">
        <f>ROUND(I191*H191,2)</f>
        <v>0</v>
      </c>
      <c r="BL191" s="15" t="s">
        <v>203</v>
      </c>
      <c r="BM191" s="187" t="s">
        <v>404</v>
      </c>
    </row>
    <row r="192" spans="1:47" s="2" customFormat="1" ht="39">
      <c r="A192" s="32"/>
      <c r="B192" s="33"/>
      <c r="C192" s="34"/>
      <c r="D192" s="189" t="s">
        <v>208</v>
      </c>
      <c r="E192" s="34"/>
      <c r="F192" s="190" t="s">
        <v>400</v>
      </c>
      <c r="G192" s="34"/>
      <c r="H192" s="34"/>
      <c r="I192" s="191"/>
      <c r="J192" s="34"/>
      <c r="K192" s="34"/>
      <c r="L192" s="37"/>
      <c r="M192" s="192"/>
      <c r="N192" s="193"/>
      <c r="O192" s="62"/>
      <c r="P192" s="62"/>
      <c r="Q192" s="62"/>
      <c r="R192" s="62"/>
      <c r="S192" s="62"/>
      <c r="T192" s="63"/>
      <c r="U192" s="32"/>
      <c r="V192" s="32"/>
      <c r="W192" s="32"/>
      <c r="X192" s="32"/>
      <c r="Y192" s="32"/>
      <c r="Z192" s="32"/>
      <c r="AA192" s="32"/>
      <c r="AB192" s="32"/>
      <c r="AC192" s="32"/>
      <c r="AD192" s="32"/>
      <c r="AE192" s="32"/>
      <c r="AT192" s="15" t="s">
        <v>208</v>
      </c>
      <c r="AU192" s="15" t="s">
        <v>79</v>
      </c>
    </row>
    <row r="193" spans="1:65" s="2" customFormat="1" ht="22.15" customHeight="1">
      <c r="A193" s="32"/>
      <c r="B193" s="33"/>
      <c r="C193" s="176" t="s">
        <v>405</v>
      </c>
      <c r="D193" s="176" t="s">
        <v>198</v>
      </c>
      <c r="E193" s="177" t="s">
        <v>406</v>
      </c>
      <c r="F193" s="178" t="s">
        <v>407</v>
      </c>
      <c r="G193" s="179" t="s">
        <v>310</v>
      </c>
      <c r="H193" s="180">
        <v>230.236</v>
      </c>
      <c r="I193" s="181"/>
      <c r="J193" s="182">
        <f>ROUND(I193*H193,2)</f>
        <v>0</v>
      </c>
      <c r="K193" s="178" t="s">
        <v>202</v>
      </c>
      <c r="L193" s="37"/>
      <c r="M193" s="183" t="s">
        <v>19</v>
      </c>
      <c r="N193" s="184" t="s">
        <v>41</v>
      </c>
      <c r="O193" s="62"/>
      <c r="P193" s="185">
        <f>O193*H193</f>
        <v>0</v>
      </c>
      <c r="Q193" s="185">
        <v>0</v>
      </c>
      <c r="R193" s="185">
        <f>Q193*H193</f>
        <v>0</v>
      </c>
      <c r="S193" s="185">
        <v>0</v>
      </c>
      <c r="T193" s="186">
        <f>S193*H193</f>
        <v>0</v>
      </c>
      <c r="U193" s="32"/>
      <c r="V193" s="32"/>
      <c r="W193" s="32"/>
      <c r="X193" s="32"/>
      <c r="Y193" s="32"/>
      <c r="Z193" s="32"/>
      <c r="AA193" s="32"/>
      <c r="AB193" s="32"/>
      <c r="AC193" s="32"/>
      <c r="AD193" s="32"/>
      <c r="AE193" s="32"/>
      <c r="AR193" s="187" t="s">
        <v>203</v>
      </c>
      <c r="AT193" s="187" t="s">
        <v>198</v>
      </c>
      <c r="AU193" s="187" t="s">
        <v>79</v>
      </c>
      <c r="AY193" s="15" t="s">
        <v>196</v>
      </c>
      <c r="BE193" s="188">
        <f>IF(N193="základní",J193,0)</f>
        <v>0</v>
      </c>
      <c r="BF193" s="188">
        <f>IF(N193="snížená",J193,0)</f>
        <v>0</v>
      </c>
      <c r="BG193" s="188">
        <f>IF(N193="zákl. přenesená",J193,0)</f>
        <v>0</v>
      </c>
      <c r="BH193" s="188">
        <f>IF(N193="sníž. přenesená",J193,0)</f>
        <v>0</v>
      </c>
      <c r="BI193" s="188">
        <f>IF(N193="nulová",J193,0)</f>
        <v>0</v>
      </c>
      <c r="BJ193" s="15" t="s">
        <v>77</v>
      </c>
      <c r="BK193" s="188">
        <f>ROUND(I193*H193,2)</f>
        <v>0</v>
      </c>
      <c r="BL193" s="15" t="s">
        <v>203</v>
      </c>
      <c r="BM193" s="187" t="s">
        <v>408</v>
      </c>
    </row>
    <row r="194" spans="1:47" s="2" customFormat="1" ht="48.75">
      <c r="A194" s="32"/>
      <c r="B194" s="33"/>
      <c r="C194" s="34"/>
      <c r="D194" s="189" t="s">
        <v>208</v>
      </c>
      <c r="E194" s="34"/>
      <c r="F194" s="190" t="s">
        <v>409</v>
      </c>
      <c r="G194" s="34"/>
      <c r="H194" s="34"/>
      <c r="I194" s="191"/>
      <c r="J194" s="34"/>
      <c r="K194" s="34"/>
      <c r="L194" s="37"/>
      <c r="M194" s="192"/>
      <c r="N194" s="193"/>
      <c r="O194" s="62"/>
      <c r="P194" s="62"/>
      <c r="Q194" s="62"/>
      <c r="R194" s="62"/>
      <c r="S194" s="62"/>
      <c r="T194" s="63"/>
      <c r="U194" s="32"/>
      <c r="V194" s="32"/>
      <c r="W194" s="32"/>
      <c r="X194" s="32"/>
      <c r="Y194" s="32"/>
      <c r="Z194" s="32"/>
      <c r="AA194" s="32"/>
      <c r="AB194" s="32"/>
      <c r="AC194" s="32"/>
      <c r="AD194" s="32"/>
      <c r="AE194" s="32"/>
      <c r="AT194" s="15" t="s">
        <v>208</v>
      </c>
      <c r="AU194" s="15" t="s">
        <v>79</v>
      </c>
    </row>
    <row r="195" spans="1:65" s="2" customFormat="1" ht="13.9" customHeight="1">
      <c r="A195" s="32"/>
      <c r="B195" s="33"/>
      <c r="C195" s="194" t="s">
        <v>410</v>
      </c>
      <c r="D195" s="194" t="s">
        <v>411</v>
      </c>
      <c r="E195" s="195" t="s">
        <v>412</v>
      </c>
      <c r="F195" s="196" t="s">
        <v>413</v>
      </c>
      <c r="G195" s="197" t="s">
        <v>310</v>
      </c>
      <c r="H195" s="198">
        <v>241.748</v>
      </c>
      <c r="I195" s="199"/>
      <c r="J195" s="200">
        <f>ROUND(I195*H195,2)</f>
        <v>0</v>
      </c>
      <c r="K195" s="196" t="s">
        <v>19</v>
      </c>
      <c r="L195" s="201"/>
      <c r="M195" s="202" t="s">
        <v>19</v>
      </c>
      <c r="N195" s="203" t="s">
        <v>41</v>
      </c>
      <c r="O195" s="62"/>
      <c r="P195" s="185">
        <f>O195*H195</f>
        <v>0</v>
      </c>
      <c r="Q195" s="185">
        <v>0.0001</v>
      </c>
      <c r="R195" s="185">
        <f>Q195*H195</f>
        <v>0.0241748</v>
      </c>
      <c r="S195" s="185">
        <v>0</v>
      </c>
      <c r="T195" s="186">
        <f>S195*H195</f>
        <v>0</v>
      </c>
      <c r="U195" s="32"/>
      <c r="V195" s="32"/>
      <c r="W195" s="32"/>
      <c r="X195" s="32"/>
      <c r="Y195" s="32"/>
      <c r="Z195" s="32"/>
      <c r="AA195" s="32"/>
      <c r="AB195" s="32"/>
      <c r="AC195" s="32"/>
      <c r="AD195" s="32"/>
      <c r="AE195" s="32"/>
      <c r="AR195" s="187" t="s">
        <v>230</v>
      </c>
      <c r="AT195" s="187" t="s">
        <v>411</v>
      </c>
      <c r="AU195" s="187" t="s">
        <v>79</v>
      </c>
      <c r="AY195" s="15" t="s">
        <v>196</v>
      </c>
      <c r="BE195" s="188">
        <f>IF(N195="základní",J195,0)</f>
        <v>0</v>
      </c>
      <c r="BF195" s="188">
        <f>IF(N195="snížená",J195,0)</f>
        <v>0</v>
      </c>
      <c r="BG195" s="188">
        <f>IF(N195="zákl. přenesená",J195,0)</f>
        <v>0</v>
      </c>
      <c r="BH195" s="188">
        <f>IF(N195="sníž. přenesená",J195,0)</f>
        <v>0</v>
      </c>
      <c r="BI195" s="188">
        <f>IF(N195="nulová",J195,0)</f>
        <v>0</v>
      </c>
      <c r="BJ195" s="15" t="s">
        <v>77</v>
      </c>
      <c r="BK195" s="188">
        <f>ROUND(I195*H195,2)</f>
        <v>0</v>
      </c>
      <c r="BL195" s="15" t="s">
        <v>203</v>
      </c>
      <c r="BM195" s="187" t="s">
        <v>414</v>
      </c>
    </row>
    <row r="196" spans="1:65" s="2" customFormat="1" ht="22.15" customHeight="1">
      <c r="A196" s="32"/>
      <c r="B196" s="33"/>
      <c r="C196" s="176" t="s">
        <v>415</v>
      </c>
      <c r="D196" s="176" t="s">
        <v>198</v>
      </c>
      <c r="E196" s="177" t="s">
        <v>416</v>
      </c>
      <c r="F196" s="178" t="s">
        <v>417</v>
      </c>
      <c r="G196" s="179" t="s">
        <v>258</v>
      </c>
      <c r="H196" s="180">
        <v>40</v>
      </c>
      <c r="I196" s="181"/>
      <c r="J196" s="182">
        <f>ROUND(I196*H196,2)</f>
        <v>0</v>
      </c>
      <c r="K196" s="178" t="s">
        <v>202</v>
      </c>
      <c r="L196" s="37"/>
      <c r="M196" s="183" t="s">
        <v>19</v>
      </c>
      <c r="N196" s="184" t="s">
        <v>41</v>
      </c>
      <c r="O196" s="62"/>
      <c r="P196" s="185">
        <f>O196*H196</f>
        <v>0</v>
      </c>
      <c r="Q196" s="185">
        <v>0.00125</v>
      </c>
      <c r="R196" s="185">
        <f>Q196*H196</f>
        <v>0.05</v>
      </c>
      <c r="S196" s="185">
        <v>0</v>
      </c>
      <c r="T196" s="186">
        <f>S196*H196</f>
        <v>0</v>
      </c>
      <c r="U196" s="32"/>
      <c r="V196" s="32"/>
      <c r="W196" s="32"/>
      <c r="X196" s="32"/>
      <c r="Y196" s="32"/>
      <c r="Z196" s="32"/>
      <c r="AA196" s="32"/>
      <c r="AB196" s="32"/>
      <c r="AC196" s="32"/>
      <c r="AD196" s="32"/>
      <c r="AE196" s="32"/>
      <c r="AR196" s="187" t="s">
        <v>203</v>
      </c>
      <c r="AT196" s="187" t="s">
        <v>198</v>
      </c>
      <c r="AU196" s="187" t="s">
        <v>79</v>
      </c>
      <c r="AY196" s="15" t="s">
        <v>196</v>
      </c>
      <c r="BE196" s="188">
        <f>IF(N196="základní",J196,0)</f>
        <v>0</v>
      </c>
      <c r="BF196" s="188">
        <f>IF(N196="snížená",J196,0)</f>
        <v>0</v>
      </c>
      <c r="BG196" s="188">
        <f>IF(N196="zákl. přenesená",J196,0)</f>
        <v>0</v>
      </c>
      <c r="BH196" s="188">
        <f>IF(N196="sníž. přenesená",J196,0)</f>
        <v>0</v>
      </c>
      <c r="BI196" s="188">
        <f>IF(N196="nulová",J196,0)</f>
        <v>0</v>
      </c>
      <c r="BJ196" s="15" t="s">
        <v>77</v>
      </c>
      <c r="BK196" s="188">
        <f>ROUND(I196*H196,2)</f>
        <v>0</v>
      </c>
      <c r="BL196" s="15" t="s">
        <v>203</v>
      </c>
      <c r="BM196" s="187" t="s">
        <v>418</v>
      </c>
    </row>
    <row r="197" spans="1:65" s="2" customFormat="1" ht="13.9" customHeight="1">
      <c r="A197" s="32"/>
      <c r="B197" s="33"/>
      <c r="C197" s="176" t="s">
        <v>419</v>
      </c>
      <c r="D197" s="176" t="s">
        <v>198</v>
      </c>
      <c r="E197" s="177" t="s">
        <v>420</v>
      </c>
      <c r="F197" s="178" t="s">
        <v>421</v>
      </c>
      <c r="G197" s="179" t="s">
        <v>201</v>
      </c>
      <c r="H197" s="180">
        <v>0.576</v>
      </c>
      <c r="I197" s="181"/>
      <c r="J197" s="182">
        <f>ROUND(I197*H197,2)</f>
        <v>0</v>
      </c>
      <c r="K197" s="178" t="s">
        <v>202</v>
      </c>
      <c r="L197" s="37"/>
      <c r="M197" s="183" t="s">
        <v>19</v>
      </c>
      <c r="N197" s="184" t="s">
        <v>41</v>
      </c>
      <c r="O197" s="62"/>
      <c r="P197" s="185">
        <f>O197*H197</f>
        <v>0</v>
      </c>
      <c r="Q197" s="185">
        <v>2.45329</v>
      </c>
      <c r="R197" s="185">
        <f>Q197*H197</f>
        <v>1.41309504</v>
      </c>
      <c r="S197" s="185">
        <v>0</v>
      </c>
      <c r="T197" s="186">
        <f>S197*H197</f>
        <v>0</v>
      </c>
      <c r="U197" s="32"/>
      <c r="V197" s="32"/>
      <c r="W197" s="32"/>
      <c r="X197" s="32"/>
      <c r="Y197" s="32"/>
      <c r="Z197" s="32"/>
      <c r="AA197" s="32"/>
      <c r="AB197" s="32"/>
      <c r="AC197" s="32"/>
      <c r="AD197" s="32"/>
      <c r="AE197" s="32"/>
      <c r="AR197" s="187" t="s">
        <v>203</v>
      </c>
      <c r="AT197" s="187" t="s">
        <v>198</v>
      </c>
      <c r="AU197" s="187" t="s">
        <v>79</v>
      </c>
      <c r="AY197" s="15" t="s">
        <v>196</v>
      </c>
      <c r="BE197" s="188">
        <f>IF(N197="základní",J197,0)</f>
        <v>0</v>
      </c>
      <c r="BF197" s="188">
        <f>IF(N197="snížená",J197,0)</f>
        <v>0</v>
      </c>
      <c r="BG197" s="188">
        <f>IF(N197="zákl. přenesená",J197,0)</f>
        <v>0</v>
      </c>
      <c r="BH197" s="188">
        <f>IF(N197="sníž. přenesená",J197,0)</f>
        <v>0</v>
      </c>
      <c r="BI197" s="188">
        <f>IF(N197="nulová",J197,0)</f>
        <v>0</v>
      </c>
      <c r="BJ197" s="15" t="s">
        <v>77</v>
      </c>
      <c r="BK197" s="188">
        <f>ROUND(I197*H197,2)</f>
        <v>0</v>
      </c>
      <c r="BL197" s="15" t="s">
        <v>203</v>
      </c>
      <c r="BM197" s="187" t="s">
        <v>422</v>
      </c>
    </row>
    <row r="198" spans="1:47" s="2" customFormat="1" ht="136.5">
      <c r="A198" s="32"/>
      <c r="B198" s="33"/>
      <c r="C198" s="34"/>
      <c r="D198" s="189" t="s">
        <v>208</v>
      </c>
      <c r="E198" s="34"/>
      <c r="F198" s="190" t="s">
        <v>423</v>
      </c>
      <c r="G198" s="34"/>
      <c r="H198" s="34"/>
      <c r="I198" s="191"/>
      <c r="J198" s="34"/>
      <c r="K198" s="34"/>
      <c r="L198" s="37"/>
      <c r="M198" s="192"/>
      <c r="N198" s="193"/>
      <c r="O198" s="62"/>
      <c r="P198" s="62"/>
      <c r="Q198" s="62"/>
      <c r="R198" s="62"/>
      <c r="S198" s="62"/>
      <c r="T198" s="63"/>
      <c r="U198" s="32"/>
      <c r="V198" s="32"/>
      <c r="W198" s="32"/>
      <c r="X198" s="32"/>
      <c r="Y198" s="32"/>
      <c r="Z198" s="32"/>
      <c r="AA198" s="32"/>
      <c r="AB198" s="32"/>
      <c r="AC198" s="32"/>
      <c r="AD198" s="32"/>
      <c r="AE198" s="32"/>
      <c r="AT198" s="15" t="s">
        <v>208</v>
      </c>
      <c r="AU198" s="15" t="s">
        <v>79</v>
      </c>
    </row>
    <row r="199" spans="1:65" s="2" customFormat="1" ht="13.9" customHeight="1">
      <c r="A199" s="32"/>
      <c r="B199" s="33"/>
      <c r="C199" s="176" t="s">
        <v>424</v>
      </c>
      <c r="D199" s="176" t="s">
        <v>198</v>
      </c>
      <c r="E199" s="177" t="s">
        <v>425</v>
      </c>
      <c r="F199" s="178" t="s">
        <v>426</v>
      </c>
      <c r="G199" s="179" t="s">
        <v>201</v>
      </c>
      <c r="H199" s="180">
        <v>1.152</v>
      </c>
      <c r="I199" s="181"/>
      <c r="J199" s="182">
        <f>ROUND(I199*H199,2)</f>
        <v>0</v>
      </c>
      <c r="K199" s="178" t="s">
        <v>202</v>
      </c>
      <c r="L199" s="37"/>
      <c r="M199" s="183" t="s">
        <v>19</v>
      </c>
      <c r="N199" s="184" t="s">
        <v>41</v>
      </c>
      <c r="O199" s="62"/>
      <c r="P199" s="185">
        <f>O199*H199</f>
        <v>0</v>
      </c>
      <c r="Q199" s="185">
        <v>2.45329</v>
      </c>
      <c r="R199" s="185">
        <f>Q199*H199</f>
        <v>2.82619008</v>
      </c>
      <c r="S199" s="185">
        <v>0</v>
      </c>
      <c r="T199" s="186">
        <f>S199*H199</f>
        <v>0</v>
      </c>
      <c r="U199" s="32"/>
      <c r="V199" s="32"/>
      <c r="W199" s="32"/>
      <c r="X199" s="32"/>
      <c r="Y199" s="32"/>
      <c r="Z199" s="32"/>
      <c r="AA199" s="32"/>
      <c r="AB199" s="32"/>
      <c r="AC199" s="32"/>
      <c r="AD199" s="32"/>
      <c r="AE199" s="32"/>
      <c r="AR199" s="187" t="s">
        <v>203</v>
      </c>
      <c r="AT199" s="187" t="s">
        <v>198</v>
      </c>
      <c r="AU199" s="187" t="s">
        <v>79</v>
      </c>
      <c r="AY199" s="15" t="s">
        <v>196</v>
      </c>
      <c r="BE199" s="188">
        <f>IF(N199="základní",J199,0)</f>
        <v>0</v>
      </c>
      <c r="BF199" s="188">
        <f>IF(N199="snížená",J199,0)</f>
        <v>0</v>
      </c>
      <c r="BG199" s="188">
        <f>IF(N199="zákl. přenesená",J199,0)</f>
        <v>0</v>
      </c>
      <c r="BH199" s="188">
        <f>IF(N199="sníž. přenesená",J199,0)</f>
        <v>0</v>
      </c>
      <c r="BI199" s="188">
        <f>IF(N199="nulová",J199,0)</f>
        <v>0</v>
      </c>
      <c r="BJ199" s="15" t="s">
        <v>77</v>
      </c>
      <c r="BK199" s="188">
        <f>ROUND(I199*H199,2)</f>
        <v>0</v>
      </c>
      <c r="BL199" s="15" t="s">
        <v>203</v>
      </c>
      <c r="BM199" s="187" t="s">
        <v>427</v>
      </c>
    </row>
    <row r="200" spans="1:47" s="2" customFormat="1" ht="136.5">
      <c r="A200" s="32"/>
      <c r="B200" s="33"/>
      <c r="C200" s="34"/>
      <c r="D200" s="189" t="s">
        <v>208</v>
      </c>
      <c r="E200" s="34"/>
      <c r="F200" s="190" t="s">
        <v>423</v>
      </c>
      <c r="G200" s="34"/>
      <c r="H200" s="34"/>
      <c r="I200" s="191"/>
      <c r="J200" s="34"/>
      <c r="K200" s="34"/>
      <c r="L200" s="37"/>
      <c r="M200" s="192"/>
      <c r="N200" s="193"/>
      <c r="O200" s="62"/>
      <c r="P200" s="62"/>
      <c r="Q200" s="62"/>
      <c r="R200" s="62"/>
      <c r="S200" s="62"/>
      <c r="T200" s="63"/>
      <c r="U200" s="32"/>
      <c r="V200" s="32"/>
      <c r="W200" s="32"/>
      <c r="X200" s="32"/>
      <c r="Y200" s="32"/>
      <c r="Z200" s="32"/>
      <c r="AA200" s="32"/>
      <c r="AB200" s="32"/>
      <c r="AC200" s="32"/>
      <c r="AD200" s="32"/>
      <c r="AE200" s="32"/>
      <c r="AT200" s="15" t="s">
        <v>208</v>
      </c>
      <c r="AU200" s="15" t="s">
        <v>79</v>
      </c>
    </row>
    <row r="201" spans="1:65" s="2" customFormat="1" ht="22.15" customHeight="1">
      <c r="A201" s="32"/>
      <c r="B201" s="33"/>
      <c r="C201" s="176" t="s">
        <v>428</v>
      </c>
      <c r="D201" s="176" t="s">
        <v>198</v>
      </c>
      <c r="E201" s="177" t="s">
        <v>429</v>
      </c>
      <c r="F201" s="178" t="s">
        <v>430</v>
      </c>
      <c r="G201" s="179" t="s">
        <v>201</v>
      </c>
      <c r="H201" s="180">
        <v>0.576</v>
      </c>
      <c r="I201" s="181"/>
      <c r="J201" s="182">
        <f>ROUND(I201*H201,2)</f>
        <v>0</v>
      </c>
      <c r="K201" s="178" t="s">
        <v>202</v>
      </c>
      <c r="L201" s="37"/>
      <c r="M201" s="183" t="s">
        <v>19</v>
      </c>
      <c r="N201" s="184" t="s">
        <v>41</v>
      </c>
      <c r="O201" s="62"/>
      <c r="P201" s="185">
        <f>O201*H201</f>
        <v>0</v>
      </c>
      <c r="Q201" s="185">
        <v>0</v>
      </c>
      <c r="R201" s="185">
        <f>Q201*H201</f>
        <v>0</v>
      </c>
      <c r="S201" s="185">
        <v>0</v>
      </c>
      <c r="T201" s="186">
        <f>S201*H201</f>
        <v>0</v>
      </c>
      <c r="U201" s="32"/>
      <c r="V201" s="32"/>
      <c r="W201" s="32"/>
      <c r="X201" s="32"/>
      <c r="Y201" s="32"/>
      <c r="Z201" s="32"/>
      <c r="AA201" s="32"/>
      <c r="AB201" s="32"/>
      <c r="AC201" s="32"/>
      <c r="AD201" s="32"/>
      <c r="AE201" s="32"/>
      <c r="AR201" s="187" t="s">
        <v>203</v>
      </c>
      <c r="AT201" s="187" t="s">
        <v>198</v>
      </c>
      <c r="AU201" s="187" t="s">
        <v>79</v>
      </c>
      <c r="AY201" s="15" t="s">
        <v>196</v>
      </c>
      <c r="BE201" s="188">
        <f>IF(N201="základní",J201,0)</f>
        <v>0</v>
      </c>
      <c r="BF201" s="188">
        <f>IF(N201="snížená",J201,0)</f>
        <v>0</v>
      </c>
      <c r="BG201" s="188">
        <f>IF(N201="zákl. přenesená",J201,0)</f>
        <v>0</v>
      </c>
      <c r="BH201" s="188">
        <f>IF(N201="sníž. přenesená",J201,0)</f>
        <v>0</v>
      </c>
      <c r="BI201" s="188">
        <f>IF(N201="nulová",J201,0)</f>
        <v>0</v>
      </c>
      <c r="BJ201" s="15" t="s">
        <v>77</v>
      </c>
      <c r="BK201" s="188">
        <f>ROUND(I201*H201,2)</f>
        <v>0</v>
      </c>
      <c r="BL201" s="15" t="s">
        <v>203</v>
      </c>
      <c r="BM201" s="187" t="s">
        <v>431</v>
      </c>
    </row>
    <row r="202" spans="1:47" s="2" customFormat="1" ht="58.5">
      <c r="A202" s="32"/>
      <c r="B202" s="33"/>
      <c r="C202" s="34"/>
      <c r="D202" s="189" t="s">
        <v>208</v>
      </c>
      <c r="E202" s="34"/>
      <c r="F202" s="190" t="s">
        <v>432</v>
      </c>
      <c r="G202" s="34"/>
      <c r="H202" s="34"/>
      <c r="I202" s="191"/>
      <c r="J202" s="34"/>
      <c r="K202" s="34"/>
      <c r="L202" s="37"/>
      <c r="M202" s="192"/>
      <c r="N202" s="193"/>
      <c r="O202" s="62"/>
      <c r="P202" s="62"/>
      <c r="Q202" s="62"/>
      <c r="R202" s="62"/>
      <c r="S202" s="62"/>
      <c r="T202" s="63"/>
      <c r="U202" s="32"/>
      <c r="V202" s="32"/>
      <c r="W202" s="32"/>
      <c r="X202" s="32"/>
      <c r="Y202" s="32"/>
      <c r="Z202" s="32"/>
      <c r="AA202" s="32"/>
      <c r="AB202" s="32"/>
      <c r="AC202" s="32"/>
      <c r="AD202" s="32"/>
      <c r="AE202" s="32"/>
      <c r="AT202" s="15" t="s">
        <v>208</v>
      </c>
      <c r="AU202" s="15" t="s">
        <v>79</v>
      </c>
    </row>
    <row r="203" spans="1:65" s="2" customFormat="1" ht="22.15" customHeight="1">
      <c r="A203" s="32"/>
      <c r="B203" s="33"/>
      <c r="C203" s="176" t="s">
        <v>433</v>
      </c>
      <c r="D203" s="176" t="s">
        <v>198</v>
      </c>
      <c r="E203" s="177" t="s">
        <v>434</v>
      </c>
      <c r="F203" s="178" t="s">
        <v>435</v>
      </c>
      <c r="G203" s="179" t="s">
        <v>201</v>
      </c>
      <c r="H203" s="180">
        <v>1.152</v>
      </c>
      <c r="I203" s="181"/>
      <c r="J203" s="182">
        <f>ROUND(I203*H203,2)</f>
        <v>0</v>
      </c>
      <c r="K203" s="178" t="s">
        <v>202</v>
      </c>
      <c r="L203" s="37"/>
      <c r="M203" s="183" t="s">
        <v>19</v>
      </c>
      <c r="N203" s="184" t="s">
        <v>41</v>
      </c>
      <c r="O203" s="62"/>
      <c r="P203" s="185">
        <f>O203*H203</f>
        <v>0</v>
      </c>
      <c r="Q203" s="185">
        <v>0</v>
      </c>
      <c r="R203" s="185">
        <f>Q203*H203</f>
        <v>0</v>
      </c>
      <c r="S203" s="185">
        <v>0</v>
      </c>
      <c r="T203" s="186">
        <f>S203*H203</f>
        <v>0</v>
      </c>
      <c r="U203" s="32"/>
      <c r="V203" s="32"/>
      <c r="W203" s="32"/>
      <c r="X203" s="32"/>
      <c r="Y203" s="32"/>
      <c r="Z203" s="32"/>
      <c r="AA203" s="32"/>
      <c r="AB203" s="32"/>
      <c r="AC203" s="32"/>
      <c r="AD203" s="32"/>
      <c r="AE203" s="32"/>
      <c r="AR203" s="187" t="s">
        <v>203</v>
      </c>
      <c r="AT203" s="187" t="s">
        <v>198</v>
      </c>
      <c r="AU203" s="187" t="s">
        <v>79</v>
      </c>
      <c r="AY203" s="15" t="s">
        <v>196</v>
      </c>
      <c r="BE203" s="188">
        <f>IF(N203="základní",J203,0)</f>
        <v>0</v>
      </c>
      <c r="BF203" s="188">
        <f>IF(N203="snížená",J203,0)</f>
        <v>0</v>
      </c>
      <c r="BG203" s="188">
        <f>IF(N203="zákl. přenesená",J203,0)</f>
        <v>0</v>
      </c>
      <c r="BH203" s="188">
        <f>IF(N203="sníž. přenesená",J203,0)</f>
        <v>0</v>
      </c>
      <c r="BI203" s="188">
        <f>IF(N203="nulová",J203,0)</f>
        <v>0</v>
      </c>
      <c r="BJ203" s="15" t="s">
        <v>77</v>
      </c>
      <c r="BK203" s="188">
        <f>ROUND(I203*H203,2)</f>
        <v>0</v>
      </c>
      <c r="BL203" s="15" t="s">
        <v>203</v>
      </c>
      <c r="BM203" s="187" t="s">
        <v>436</v>
      </c>
    </row>
    <row r="204" spans="1:47" s="2" customFormat="1" ht="58.5">
      <c r="A204" s="32"/>
      <c r="B204" s="33"/>
      <c r="C204" s="34"/>
      <c r="D204" s="189" t="s">
        <v>208</v>
      </c>
      <c r="E204" s="34"/>
      <c r="F204" s="190" t="s">
        <v>432</v>
      </c>
      <c r="G204" s="34"/>
      <c r="H204" s="34"/>
      <c r="I204" s="191"/>
      <c r="J204" s="34"/>
      <c r="K204" s="34"/>
      <c r="L204" s="37"/>
      <c r="M204" s="192"/>
      <c r="N204" s="193"/>
      <c r="O204" s="62"/>
      <c r="P204" s="62"/>
      <c r="Q204" s="62"/>
      <c r="R204" s="62"/>
      <c r="S204" s="62"/>
      <c r="T204" s="63"/>
      <c r="U204" s="32"/>
      <c r="V204" s="32"/>
      <c r="W204" s="32"/>
      <c r="X204" s="32"/>
      <c r="Y204" s="32"/>
      <c r="Z204" s="32"/>
      <c r="AA204" s="32"/>
      <c r="AB204" s="32"/>
      <c r="AC204" s="32"/>
      <c r="AD204" s="32"/>
      <c r="AE204" s="32"/>
      <c r="AT204" s="15" t="s">
        <v>208</v>
      </c>
      <c r="AU204" s="15" t="s">
        <v>79</v>
      </c>
    </row>
    <row r="205" spans="1:65" s="2" customFormat="1" ht="13.9" customHeight="1">
      <c r="A205" s="32"/>
      <c r="B205" s="33"/>
      <c r="C205" s="176" t="s">
        <v>437</v>
      </c>
      <c r="D205" s="176" t="s">
        <v>198</v>
      </c>
      <c r="E205" s="177" t="s">
        <v>438</v>
      </c>
      <c r="F205" s="178" t="s">
        <v>439</v>
      </c>
      <c r="G205" s="179" t="s">
        <v>242</v>
      </c>
      <c r="H205" s="180">
        <v>0.036</v>
      </c>
      <c r="I205" s="181"/>
      <c r="J205" s="182">
        <f>ROUND(I205*H205,2)</f>
        <v>0</v>
      </c>
      <c r="K205" s="178" t="s">
        <v>202</v>
      </c>
      <c r="L205" s="37"/>
      <c r="M205" s="183" t="s">
        <v>19</v>
      </c>
      <c r="N205" s="184" t="s">
        <v>41</v>
      </c>
      <c r="O205" s="62"/>
      <c r="P205" s="185">
        <f>O205*H205</f>
        <v>0</v>
      </c>
      <c r="Q205" s="185">
        <v>1.06277</v>
      </c>
      <c r="R205" s="185">
        <f>Q205*H205</f>
        <v>0.03825972</v>
      </c>
      <c r="S205" s="185">
        <v>0</v>
      </c>
      <c r="T205" s="186">
        <f>S205*H205</f>
        <v>0</v>
      </c>
      <c r="U205" s="32"/>
      <c r="V205" s="32"/>
      <c r="W205" s="32"/>
      <c r="X205" s="32"/>
      <c r="Y205" s="32"/>
      <c r="Z205" s="32"/>
      <c r="AA205" s="32"/>
      <c r="AB205" s="32"/>
      <c r="AC205" s="32"/>
      <c r="AD205" s="32"/>
      <c r="AE205" s="32"/>
      <c r="AR205" s="187" t="s">
        <v>203</v>
      </c>
      <c r="AT205" s="187" t="s">
        <v>198</v>
      </c>
      <c r="AU205" s="187" t="s">
        <v>79</v>
      </c>
      <c r="AY205" s="15" t="s">
        <v>196</v>
      </c>
      <c r="BE205" s="188">
        <f>IF(N205="základní",J205,0)</f>
        <v>0</v>
      </c>
      <c r="BF205" s="188">
        <f>IF(N205="snížená",J205,0)</f>
        <v>0</v>
      </c>
      <c r="BG205" s="188">
        <f>IF(N205="zákl. přenesená",J205,0)</f>
        <v>0</v>
      </c>
      <c r="BH205" s="188">
        <f>IF(N205="sníž. přenesená",J205,0)</f>
        <v>0</v>
      </c>
      <c r="BI205" s="188">
        <f>IF(N205="nulová",J205,0)</f>
        <v>0</v>
      </c>
      <c r="BJ205" s="15" t="s">
        <v>77</v>
      </c>
      <c r="BK205" s="188">
        <f>ROUND(I205*H205,2)</f>
        <v>0</v>
      </c>
      <c r="BL205" s="15" t="s">
        <v>203</v>
      </c>
      <c r="BM205" s="187" t="s">
        <v>440</v>
      </c>
    </row>
    <row r="206" spans="1:47" s="2" customFormat="1" ht="29.25">
      <c r="A206" s="32"/>
      <c r="B206" s="33"/>
      <c r="C206" s="34"/>
      <c r="D206" s="189" t="s">
        <v>208</v>
      </c>
      <c r="E206" s="34"/>
      <c r="F206" s="190" t="s">
        <v>441</v>
      </c>
      <c r="G206" s="34"/>
      <c r="H206" s="34"/>
      <c r="I206" s="191"/>
      <c r="J206" s="34"/>
      <c r="K206" s="34"/>
      <c r="L206" s="37"/>
      <c r="M206" s="192"/>
      <c r="N206" s="193"/>
      <c r="O206" s="62"/>
      <c r="P206" s="62"/>
      <c r="Q206" s="62"/>
      <c r="R206" s="62"/>
      <c r="S206" s="62"/>
      <c r="T206" s="63"/>
      <c r="U206" s="32"/>
      <c r="V206" s="32"/>
      <c r="W206" s="32"/>
      <c r="X206" s="32"/>
      <c r="Y206" s="32"/>
      <c r="Z206" s="32"/>
      <c r="AA206" s="32"/>
      <c r="AB206" s="32"/>
      <c r="AC206" s="32"/>
      <c r="AD206" s="32"/>
      <c r="AE206" s="32"/>
      <c r="AT206" s="15" t="s">
        <v>208</v>
      </c>
      <c r="AU206" s="15" t="s">
        <v>79</v>
      </c>
    </row>
    <row r="207" spans="1:65" s="2" customFormat="1" ht="13.9" customHeight="1">
      <c r="A207" s="32"/>
      <c r="B207" s="33"/>
      <c r="C207" s="176" t="s">
        <v>442</v>
      </c>
      <c r="D207" s="176" t="s">
        <v>198</v>
      </c>
      <c r="E207" s="177" t="s">
        <v>443</v>
      </c>
      <c r="F207" s="178" t="s">
        <v>444</v>
      </c>
      <c r="G207" s="179" t="s">
        <v>253</v>
      </c>
      <c r="H207" s="180">
        <v>17.7</v>
      </c>
      <c r="I207" s="181"/>
      <c r="J207" s="182">
        <f>ROUND(I207*H207,2)</f>
        <v>0</v>
      </c>
      <c r="K207" s="178" t="s">
        <v>19</v>
      </c>
      <c r="L207" s="37"/>
      <c r="M207" s="183" t="s">
        <v>19</v>
      </c>
      <c r="N207" s="184" t="s">
        <v>41</v>
      </c>
      <c r="O207" s="62"/>
      <c r="P207" s="185">
        <f>O207*H207</f>
        <v>0</v>
      </c>
      <c r="Q207" s="185">
        <v>0.0378</v>
      </c>
      <c r="R207" s="185">
        <f>Q207*H207</f>
        <v>0.66906</v>
      </c>
      <c r="S207" s="185">
        <v>0</v>
      </c>
      <c r="T207" s="186">
        <f>S207*H207</f>
        <v>0</v>
      </c>
      <c r="U207" s="32"/>
      <c r="V207" s="32"/>
      <c r="W207" s="32"/>
      <c r="X207" s="32"/>
      <c r="Y207" s="32"/>
      <c r="Z207" s="32"/>
      <c r="AA207" s="32"/>
      <c r="AB207" s="32"/>
      <c r="AC207" s="32"/>
      <c r="AD207" s="32"/>
      <c r="AE207" s="32"/>
      <c r="AR207" s="187" t="s">
        <v>203</v>
      </c>
      <c r="AT207" s="187" t="s">
        <v>198</v>
      </c>
      <c r="AU207" s="187" t="s">
        <v>79</v>
      </c>
      <c r="AY207" s="15" t="s">
        <v>196</v>
      </c>
      <c r="BE207" s="188">
        <f>IF(N207="základní",J207,0)</f>
        <v>0</v>
      </c>
      <c r="BF207" s="188">
        <f>IF(N207="snížená",J207,0)</f>
        <v>0</v>
      </c>
      <c r="BG207" s="188">
        <f>IF(N207="zákl. přenesená",J207,0)</f>
        <v>0</v>
      </c>
      <c r="BH207" s="188">
        <f>IF(N207="sníž. přenesená",J207,0)</f>
        <v>0</v>
      </c>
      <c r="BI207" s="188">
        <f>IF(N207="nulová",J207,0)</f>
        <v>0</v>
      </c>
      <c r="BJ207" s="15" t="s">
        <v>77</v>
      </c>
      <c r="BK207" s="188">
        <f>ROUND(I207*H207,2)</f>
        <v>0</v>
      </c>
      <c r="BL207" s="15" t="s">
        <v>203</v>
      </c>
      <c r="BM207" s="187" t="s">
        <v>445</v>
      </c>
    </row>
    <row r="208" spans="1:47" s="2" customFormat="1" ht="39">
      <c r="A208" s="32"/>
      <c r="B208" s="33"/>
      <c r="C208" s="34"/>
      <c r="D208" s="189" t="s">
        <v>208</v>
      </c>
      <c r="E208" s="34"/>
      <c r="F208" s="190" t="s">
        <v>446</v>
      </c>
      <c r="G208" s="34"/>
      <c r="H208" s="34"/>
      <c r="I208" s="191"/>
      <c r="J208" s="34"/>
      <c r="K208" s="34"/>
      <c r="L208" s="37"/>
      <c r="M208" s="192"/>
      <c r="N208" s="193"/>
      <c r="O208" s="62"/>
      <c r="P208" s="62"/>
      <c r="Q208" s="62"/>
      <c r="R208" s="62"/>
      <c r="S208" s="62"/>
      <c r="T208" s="63"/>
      <c r="U208" s="32"/>
      <c r="V208" s="32"/>
      <c r="W208" s="32"/>
      <c r="X208" s="32"/>
      <c r="Y208" s="32"/>
      <c r="Z208" s="32"/>
      <c r="AA208" s="32"/>
      <c r="AB208" s="32"/>
      <c r="AC208" s="32"/>
      <c r="AD208" s="32"/>
      <c r="AE208" s="32"/>
      <c r="AT208" s="15" t="s">
        <v>208</v>
      </c>
      <c r="AU208" s="15" t="s">
        <v>79</v>
      </c>
    </row>
    <row r="209" spans="1:65" s="2" customFormat="1" ht="13.9" customHeight="1">
      <c r="A209" s="32"/>
      <c r="B209" s="33"/>
      <c r="C209" s="176" t="s">
        <v>447</v>
      </c>
      <c r="D209" s="176" t="s">
        <v>198</v>
      </c>
      <c r="E209" s="177" t="s">
        <v>448</v>
      </c>
      <c r="F209" s="178" t="s">
        <v>449</v>
      </c>
      <c r="G209" s="179" t="s">
        <v>253</v>
      </c>
      <c r="H209" s="180">
        <v>252.3</v>
      </c>
      <c r="I209" s="181"/>
      <c r="J209" s="182">
        <f>ROUND(I209*H209,2)</f>
        <v>0</v>
      </c>
      <c r="K209" s="178" t="s">
        <v>202</v>
      </c>
      <c r="L209" s="37"/>
      <c r="M209" s="183" t="s">
        <v>19</v>
      </c>
      <c r="N209" s="184" t="s">
        <v>41</v>
      </c>
      <c r="O209" s="62"/>
      <c r="P209" s="185">
        <f>O209*H209</f>
        <v>0</v>
      </c>
      <c r="Q209" s="185">
        <v>0.08211</v>
      </c>
      <c r="R209" s="185">
        <f>Q209*H209</f>
        <v>20.716353</v>
      </c>
      <c r="S209" s="185">
        <v>0</v>
      </c>
      <c r="T209" s="186">
        <f>S209*H209</f>
        <v>0</v>
      </c>
      <c r="U209" s="32"/>
      <c r="V209" s="32"/>
      <c r="W209" s="32"/>
      <c r="X209" s="32"/>
      <c r="Y209" s="32"/>
      <c r="Z209" s="32"/>
      <c r="AA209" s="32"/>
      <c r="AB209" s="32"/>
      <c r="AC209" s="32"/>
      <c r="AD209" s="32"/>
      <c r="AE209" s="32"/>
      <c r="AR209" s="187" t="s">
        <v>203</v>
      </c>
      <c r="AT209" s="187" t="s">
        <v>198</v>
      </c>
      <c r="AU209" s="187" t="s">
        <v>79</v>
      </c>
      <c r="AY209" s="15" t="s">
        <v>196</v>
      </c>
      <c r="BE209" s="188">
        <f>IF(N209="základní",J209,0)</f>
        <v>0</v>
      </c>
      <c r="BF209" s="188">
        <f>IF(N209="snížená",J209,0)</f>
        <v>0</v>
      </c>
      <c r="BG209" s="188">
        <f>IF(N209="zákl. přenesená",J209,0)</f>
        <v>0</v>
      </c>
      <c r="BH209" s="188">
        <f>IF(N209="sníž. přenesená",J209,0)</f>
        <v>0</v>
      </c>
      <c r="BI209" s="188">
        <f>IF(N209="nulová",J209,0)</f>
        <v>0</v>
      </c>
      <c r="BJ209" s="15" t="s">
        <v>77</v>
      </c>
      <c r="BK209" s="188">
        <f>ROUND(I209*H209,2)</f>
        <v>0</v>
      </c>
      <c r="BL209" s="15" t="s">
        <v>203</v>
      </c>
      <c r="BM209" s="187" t="s">
        <v>450</v>
      </c>
    </row>
    <row r="210" spans="1:47" s="2" customFormat="1" ht="39">
      <c r="A210" s="32"/>
      <c r="B210" s="33"/>
      <c r="C210" s="34"/>
      <c r="D210" s="189" t="s">
        <v>208</v>
      </c>
      <c r="E210" s="34"/>
      <c r="F210" s="190" t="s">
        <v>451</v>
      </c>
      <c r="G210" s="34"/>
      <c r="H210" s="34"/>
      <c r="I210" s="191"/>
      <c r="J210" s="34"/>
      <c r="K210" s="34"/>
      <c r="L210" s="37"/>
      <c r="M210" s="192"/>
      <c r="N210" s="193"/>
      <c r="O210" s="62"/>
      <c r="P210" s="62"/>
      <c r="Q210" s="62"/>
      <c r="R210" s="62"/>
      <c r="S210" s="62"/>
      <c r="T210" s="63"/>
      <c r="U210" s="32"/>
      <c r="V210" s="32"/>
      <c r="W210" s="32"/>
      <c r="X210" s="32"/>
      <c r="Y210" s="32"/>
      <c r="Z210" s="32"/>
      <c r="AA210" s="32"/>
      <c r="AB210" s="32"/>
      <c r="AC210" s="32"/>
      <c r="AD210" s="32"/>
      <c r="AE210" s="32"/>
      <c r="AT210" s="15" t="s">
        <v>208</v>
      </c>
      <c r="AU210" s="15" t="s">
        <v>79</v>
      </c>
    </row>
    <row r="211" spans="1:65" s="2" customFormat="1" ht="13.9" customHeight="1">
      <c r="A211" s="32"/>
      <c r="B211" s="33"/>
      <c r="C211" s="176" t="s">
        <v>452</v>
      </c>
      <c r="D211" s="176" t="s">
        <v>198</v>
      </c>
      <c r="E211" s="177" t="s">
        <v>453</v>
      </c>
      <c r="F211" s="178" t="s">
        <v>454</v>
      </c>
      <c r="G211" s="179" t="s">
        <v>253</v>
      </c>
      <c r="H211" s="180">
        <v>28.5</v>
      </c>
      <c r="I211" s="181"/>
      <c r="J211" s="182">
        <f>ROUND(I211*H211,2)</f>
        <v>0</v>
      </c>
      <c r="K211" s="178" t="s">
        <v>202</v>
      </c>
      <c r="L211" s="37"/>
      <c r="M211" s="183" t="s">
        <v>19</v>
      </c>
      <c r="N211" s="184" t="s">
        <v>41</v>
      </c>
      <c r="O211" s="62"/>
      <c r="P211" s="185">
        <f>O211*H211</f>
        <v>0</v>
      </c>
      <c r="Q211" s="185">
        <v>0.09384</v>
      </c>
      <c r="R211" s="185">
        <f>Q211*H211</f>
        <v>2.67444</v>
      </c>
      <c r="S211" s="185">
        <v>0</v>
      </c>
      <c r="T211" s="186">
        <f>S211*H211</f>
        <v>0</v>
      </c>
      <c r="U211" s="32"/>
      <c r="V211" s="32"/>
      <c r="W211" s="32"/>
      <c r="X211" s="32"/>
      <c r="Y211" s="32"/>
      <c r="Z211" s="32"/>
      <c r="AA211" s="32"/>
      <c r="AB211" s="32"/>
      <c r="AC211" s="32"/>
      <c r="AD211" s="32"/>
      <c r="AE211" s="32"/>
      <c r="AR211" s="187" t="s">
        <v>203</v>
      </c>
      <c r="AT211" s="187" t="s">
        <v>198</v>
      </c>
      <c r="AU211" s="187" t="s">
        <v>79</v>
      </c>
      <c r="AY211" s="15" t="s">
        <v>196</v>
      </c>
      <c r="BE211" s="188">
        <f>IF(N211="základní",J211,0)</f>
        <v>0</v>
      </c>
      <c r="BF211" s="188">
        <f>IF(N211="snížená",J211,0)</f>
        <v>0</v>
      </c>
      <c r="BG211" s="188">
        <f>IF(N211="zákl. přenesená",J211,0)</f>
        <v>0</v>
      </c>
      <c r="BH211" s="188">
        <f>IF(N211="sníž. přenesená",J211,0)</f>
        <v>0</v>
      </c>
      <c r="BI211" s="188">
        <f>IF(N211="nulová",J211,0)</f>
        <v>0</v>
      </c>
      <c r="BJ211" s="15" t="s">
        <v>77</v>
      </c>
      <c r="BK211" s="188">
        <f>ROUND(I211*H211,2)</f>
        <v>0</v>
      </c>
      <c r="BL211" s="15" t="s">
        <v>203</v>
      </c>
      <c r="BM211" s="187" t="s">
        <v>455</v>
      </c>
    </row>
    <row r="212" spans="1:47" s="2" customFormat="1" ht="39">
      <c r="A212" s="32"/>
      <c r="B212" s="33"/>
      <c r="C212" s="34"/>
      <c r="D212" s="189" t="s">
        <v>208</v>
      </c>
      <c r="E212" s="34"/>
      <c r="F212" s="190" t="s">
        <v>451</v>
      </c>
      <c r="G212" s="34"/>
      <c r="H212" s="34"/>
      <c r="I212" s="191"/>
      <c r="J212" s="34"/>
      <c r="K212" s="34"/>
      <c r="L212" s="37"/>
      <c r="M212" s="192"/>
      <c r="N212" s="193"/>
      <c r="O212" s="62"/>
      <c r="P212" s="62"/>
      <c r="Q212" s="62"/>
      <c r="R212" s="62"/>
      <c r="S212" s="62"/>
      <c r="T212" s="63"/>
      <c r="U212" s="32"/>
      <c r="V212" s="32"/>
      <c r="W212" s="32"/>
      <c r="X212" s="32"/>
      <c r="Y212" s="32"/>
      <c r="Z212" s="32"/>
      <c r="AA212" s="32"/>
      <c r="AB212" s="32"/>
      <c r="AC212" s="32"/>
      <c r="AD212" s="32"/>
      <c r="AE212" s="32"/>
      <c r="AT212" s="15" t="s">
        <v>208</v>
      </c>
      <c r="AU212" s="15" t="s">
        <v>79</v>
      </c>
    </row>
    <row r="213" spans="1:65" s="2" customFormat="1" ht="22.15" customHeight="1">
      <c r="A213" s="32"/>
      <c r="B213" s="33"/>
      <c r="C213" s="176" t="s">
        <v>456</v>
      </c>
      <c r="D213" s="176" t="s">
        <v>198</v>
      </c>
      <c r="E213" s="177" t="s">
        <v>457</v>
      </c>
      <c r="F213" s="178" t="s">
        <v>458</v>
      </c>
      <c r="G213" s="179" t="s">
        <v>253</v>
      </c>
      <c r="H213" s="180">
        <v>17.7</v>
      </c>
      <c r="I213" s="181"/>
      <c r="J213" s="182">
        <f>ROUND(I213*H213,2)</f>
        <v>0</v>
      </c>
      <c r="K213" s="178" t="s">
        <v>19</v>
      </c>
      <c r="L213" s="37"/>
      <c r="M213" s="183" t="s">
        <v>19</v>
      </c>
      <c r="N213" s="184" t="s">
        <v>41</v>
      </c>
      <c r="O213" s="62"/>
      <c r="P213" s="185">
        <f>O213*H213</f>
        <v>0</v>
      </c>
      <c r="Q213" s="185">
        <v>0.0612</v>
      </c>
      <c r="R213" s="185">
        <f>Q213*H213</f>
        <v>1.08324</v>
      </c>
      <c r="S213" s="185">
        <v>0</v>
      </c>
      <c r="T213" s="186">
        <f>S213*H213</f>
        <v>0</v>
      </c>
      <c r="U213" s="32"/>
      <c r="V213" s="32"/>
      <c r="W213" s="32"/>
      <c r="X213" s="32"/>
      <c r="Y213" s="32"/>
      <c r="Z213" s="32"/>
      <c r="AA213" s="32"/>
      <c r="AB213" s="32"/>
      <c r="AC213" s="32"/>
      <c r="AD213" s="32"/>
      <c r="AE213" s="32"/>
      <c r="AR213" s="187" t="s">
        <v>203</v>
      </c>
      <c r="AT213" s="187" t="s">
        <v>198</v>
      </c>
      <c r="AU213" s="187" t="s">
        <v>79</v>
      </c>
      <c r="AY213" s="15" t="s">
        <v>196</v>
      </c>
      <c r="BE213" s="188">
        <f>IF(N213="základní",J213,0)</f>
        <v>0</v>
      </c>
      <c r="BF213" s="188">
        <f>IF(N213="snížená",J213,0)</f>
        <v>0</v>
      </c>
      <c r="BG213" s="188">
        <f>IF(N213="zákl. přenesená",J213,0)</f>
        <v>0</v>
      </c>
      <c r="BH213" s="188">
        <f>IF(N213="sníž. přenesená",J213,0)</f>
        <v>0</v>
      </c>
      <c r="BI213" s="188">
        <f>IF(N213="nulová",J213,0)</f>
        <v>0</v>
      </c>
      <c r="BJ213" s="15" t="s">
        <v>77</v>
      </c>
      <c r="BK213" s="188">
        <f>ROUND(I213*H213,2)</f>
        <v>0</v>
      </c>
      <c r="BL213" s="15" t="s">
        <v>203</v>
      </c>
      <c r="BM213" s="187" t="s">
        <v>459</v>
      </c>
    </row>
    <row r="214" spans="1:65" s="2" customFormat="1" ht="13.9" customHeight="1">
      <c r="A214" s="32"/>
      <c r="B214" s="33"/>
      <c r="C214" s="176" t="s">
        <v>460</v>
      </c>
      <c r="D214" s="176" t="s">
        <v>198</v>
      </c>
      <c r="E214" s="177" t="s">
        <v>461</v>
      </c>
      <c r="F214" s="178" t="s">
        <v>462</v>
      </c>
      <c r="G214" s="179" t="s">
        <v>253</v>
      </c>
      <c r="H214" s="180">
        <v>5.76</v>
      </c>
      <c r="I214" s="181"/>
      <c r="J214" s="182">
        <f>ROUND(I214*H214,2)</f>
        <v>0</v>
      </c>
      <c r="K214" s="178" t="s">
        <v>19</v>
      </c>
      <c r="L214" s="37"/>
      <c r="M214" s="183" t="s">
        <v>19</v>
      </c>
      <c r="N214" s="184" t="s">
        <v>41</v>
      </c>
      <c r="O214" s="62"/>
      <c r="P214" s="185">
        <f>O214*H214</f>
        <v>0</v>
      </c>
      <c r="Q214" s="185">
        <v>0</v>
      </c>
      <c r="R214" s="185">
        <f>Q214*H214</f>
        <v>0</v>
      </c>
      <c r="S214" s="185">
        <v>0</v>
      </c>
      <c r="T214" s="186">
        <f>S214*H214</f>
        <v>0</v>
      </c>
      <c r="U214" s="32"/>
      <c r="V214" s="32"/>
      <c r="W214" s="32"/>
      <c r="X214" s="32"/>
      <c r="Y214" s="32"/>
      <c r="Z214" s="32"/>
      <c r="AA214" s="32"/>
      <c r="AB214" s="32"/>
      <c r="AC214" s="32"/>
      <c r="AD214" s="32"/>
      <c r="AE214" s="32"/>
      <c r="AR214" s="187" t="s">
        <v>203</v>
      </c>
      <c r="AT214" s="187" t="s">
        <v>198</v>
      </c>
      <c r="AU214" s="187" t="s">
        <v>79</v>
      </c>
      <c r="AY214" s="15" t="s">
        <v>196</v>
      </c>
      <c r="BE214" s="188">
        <f>IF(N214="základní",J214,0)</f>
        <v>0</v>
      </c>
      <c r="BF214" s="188">
        <f>IF(N214="snížená",J214,0)</f>
        <v>0</v>
      </c>
      <c r="BG214" s="188">
        <f>IF(N214="zákl. přenesená",J214,0)</f>
        <v>0</v>
      </c>
      <c r="BH214" s="188">
        <f>IF(N214="sníž. přenesená",J214,0)</f>
        <v>0</v>
      </c>
      <c r="BI214" s="188">
        <f>IF(N214="nulová",J214,0)</f>
        <v>0</v>
      </c>
      <c r="BJ214" s="15" t="s">
        <v>77</v>
      </c>
      <c r="BK214" s="188">
        <f>ROUND(I214*H214,2)</f>
        <v>0</v>
      </c>
      <c r="BL214" s="15" t="s">
        <v>203</v>
      </c>
      <c r="BM214" s="187" t="s">
        <v>463</v>
      </c>
    </row>
    <row r="215" spans="2:63" s="12" customFormat="1" ht="22.9" customHeight="1">
      <c r="B215" s="160"/>
      <c r="C215" s="161"/>
      <c r="D215" s="162" t="s">
        <v>69</v>
      </c>
      <c r="E215" s="174" t="s">
        <v>230</v>
      </c>
      <c r="F215" s="174" t="s">
        <v>464</v>
      </c>
      <c r="G215" s="161"/>
      <c r="H215" s="161"/>
      <c r="I215" s="164"/>
      <c r="J215" s="175">
        <f>BK215</f>
        <v>0</v>
      </c>
      <c r="K215" s="161"/>
      <c r="L215" s="166"/>
      <c r="M215" s="167"/>
      <c r="N215" s="168"/>
      <c r="O215" s="168"/>
      <c r="P215" s="169">
        <f>P216</f>
        <v>0</v>
      </c>
      <c r="Q215" s="168"/>
      <c r="R215" s="169">
        <f>R216</f>
        <v>0</v>
      </c>
      <c r="S215" s="168"/>
      <c r="T215" s="170">
        <f>T216</f>
        <v>0.4</v>
      </c>
      <c r="AR215" s="171" t="s">
        <v>77</v>
      </c>
      <c r="AT215" s="172" t="s">
        <v>69</v>
      </c>
      <c r="AU215" s="172" t="s">
        <v>77</v>
      </c>
      <c r="AY215" s="171" t="s">
        <v>196</v>
      </c>
      <c r="BK215" s="173">
        <f>BK216</f>
        <v>0</v>
      </c>
    </row>
    <row r="216" spans="1:65" s="2" customFormat="1" ht="13.9" customHeight="1">
      <c r="A216" s="32"/>
      <c r="B216" s="33"/>
      <c r="C216" s="176" t="s">
        <v>465</v>
      </c>
      <c r="D216" s="176" t="s">
        <v>198</v>
      </c>
      <c r="E216" s="177" t="s">
        <v>466</v>
      </c>
      <c r="F216" s="178" t="s">
        <v>467</v>
      </c>
      <c r="G216" s="179" t="s">
        <v>258</v>
      </c>
      <c r="H216" s="180">
        <v>4</v>
      </c>
      <c r="I216" s="181"/>
      <c r="J216" s="182">
        <f>ROUND(I216*H216,2)</f>
        <v>0</v>
      </c>
      <c r="K216" s="178" t="s">
        <v>202</v>
      </c>
      <c r="L216" s="37"/>
      <c r="M216" s="183" t="s">
        <v>19</v>
      </c>
      <c r="N216" s="184" t="s">
        <v>41</v>
      </c>
      <c r="O216" s="62"/>
      <c r="P216" s="185">
        <f>O216*H216</f>
        <v>0</v>
      </c>
      <c r="Q216" s="185">
        <v>0</v>
      </c>
      <c r="R216" s="185">
        <f>Q216*H216</f>
        <v>0</v>
      </c>
      <c r="S216" s="185">
        <v>0.1</v>
      </c>
      <c r="T216" s="186">
        <f>S216*H216</f>
        <v>0.4</v>
      </c>
      <c r="U216" s="32"/>
      <c r="V216" s="32"/>
      <c r="W216" s="32"/>
      <c r="X216" s="32"/>
      <c r="Y216" s="32"/>
      <c r="Z216" s="32"/>
      <c r="AA216" s="32"/>
      <c r="AB216" s="32"/>
      <c r="AC216" s="32"/>
      <c r="AD216" s="32"/>
      <c r="AE216" s="32"/>
      <c r="AR216" s="187" t="s">
        <v>203</v>
      </c>
      <c r="AT216" s="187" t="s">
        <v>198</v>
      </c>
      <c r="AU216" s="187" t="s">
        <v>79</v>
      </c>
      <c r="AY216" s="15" t="s">
        <v>196</v>
      </c>
      <c r="BE216" s="188">
        <f>IF(N216="základní",J216,0)</f>
        <v>0</v>
      </c>
      <c r="BF216" s="188">
        <f>IF(N216="snížená",J216,0)</f>
        <v>0</v>
      </c>
      <c r="BG216" s="188">
        <f>IF(N216="zákl. přenesená",J216,0)</f>
        <v>0</v>
      </c>
      <c r="BH216" s="188">
        <f>IF(N216="sníž. přenesená",J216,0)</f>
        <v>0</v>
      </c>
      <c r="BI216" s="188">
        <f>IF(N216="nulová",J216,0)</f>
        <v>0</v>
      </c>
      <c r="BJ216" s="15" t="s">
        <v>77</v>
      </c>
      <c r="BK216" s="188">
        <f>ROUND(I216*H216,2)</f>
        <v>0</v>
      </c>
      <c r="BL216" s="15" t="s">
        <v>203</v>
      </c>
      <c r="BM216" s="187" t="s">
        <v>468</v>
      </c>
    </row>
    <row r="217" spans="2:63" s="12" customFormat="1" ht="22.9" customHeight="1">
      <c r="B217" s="160"/>
      <c r="C217" s="161"/>
      <c r="D217" s="162" t="s">
        <v>69</v>
      </c>
      <c r="E217" s="174" t="s">
        <v>234</v>
      </c>
      <c r="F217" s="174" t="s">
        <v>469</v>
      </c>
      <c r="G217" s="161"/>
      <c r="H217" s="161"/>
      <c r="I217" s="164"/>
      <c r="J217" s="175">
        <f>BK217</f>
        <v>0</v>
      </c>
      <c r="K217" s="161"/>
      <c r="L217" s="166"/>
      <c r="M217" s="167"/>
      <c r="N217" s="168"/>
      <c r="O217" s="168"/>
      <c r="P217" s="169">
        <f>SUM(P218:P280)</f>
        <v>0</v>
      </c>
      <c r="Q217" s="168"/>
      <c r="R217" s="169">
        <f>SUM(R218:R280)</f>
        <v>4.0078115</v>
      </c>
      <c r="S217" s="168"/>
      <c r="T217" s="170">
        <f>SUM(T218:T280)</f>
        <v>135.97445900000002</v>
      </c>
      <c r="AR217" s="171" t="s">
        <v>77</v>
      </c>
      <c r="AT217" s="172" t="s">
        <v>69</v>
      </c>
      <c r="AU217" s="172" t="s">
        <v>77</v>
      </c>
      <c r="AY217" s="171" t="s">
        <v>196</v>
      </c>
      <c r="BK217" s="173">
        <f>SUM(BK218:BK280)</f>
        <v>0</v>
      </c>
    </row>
    <row r="218" spans="1:65" s="2" customFormat="1" ht="22.15" customHeight="1">
      <c r="A218" s="32"/>
      <c r="B218" s="33"/>
      <c r="C218" s="176" t="s">
        <v>470</v>
      </c>
      <c r="D218" s="176" t="s">
        <v>198</v>
      </c>
      <c r="E218" s="177" t="s">
        <v>471</v>
      </c>
      <c r="F218" s="178" t="s">
        <v>472</v>
      </c>
      <c r="G218" s="179" t="s">
        <v>253</v>
      </c>
      <c r="H218" s="180">
        <v>332.4</v>
      </c>
      <c r="I218" s="181"/>
      <c r="J218" s="182">
        <f>ROUND(I218*H218,2)</f>
        <v>0</v>
      </c>
      <c r="K218" s="178" t="s">
        <v>202</v>
      </c>
      <c r="L218" s="37"/>
      <c r="M218" s="183" t="s">
        <v>19</v>
      </c>
      <c r="N218" s="184" t="s">
        <v>41</v>
      </c>
      <c r="O218" s="62"/>
      <c r="P218" s="185">
        <f>O218*H218</f>
        <v>0</v>
      </c>
      <c r="Q218" s="185">
        <v>0.00013</v>
      </c>
      <c r="R218" s="185">
        <f>Q218*H218</f>
        <v>0.043211999999999993</v>
      </c>
      <c r="S218" s="185">
        <v>0</v>
      </c>
      <c r="T218" s="186">
        <f>S218*H218</f>
        <v>0</v>
      </c>
      <c r="U218" s="32"/>
      <c r="V218" s="32"/>
      <c r="W218" s="32"/>
      <c r="X218" s="32"/>
      <c r="Y218" s="32"/>
      <c r="Z218" s="32"/>
      <c r="AA218" s="32"/>
      <c r="AB218" s="32"/>
      <c r="AC218" s="32"/>
      <c r="AD218" s="32"/>
      <c r="AE218" s="32"/>
      <c r="AR218" s="187" t="s">
        <v>203</v>
      </c>
      <c r="AT218" s="187" t="s">
        <v>198</v>
      </c>
      <c r="AU218" s="187" t="s">
        <v>79</v>
      </c>
      <c r="AY218" s="15" t="s">
        <v>196</v>
      </c>
      <c r="BE218" s="188">
        <f>IF(N218="základní",J218,0)</f>
        <v>0</v>
      </c>
      <c r="BF218" s="188">
        <f>IF(N218="snížená",J218,0)</f>
        <v>0</v>
      </c>
      <c r="BG218" s="188">
        <f>IF(N218="zákl. přenesená",J218,0)</f>
        <v>0</v>
      </c>
      <c r="BH218" s="188">
        <f>IF(N218="sníž. přenesená",J218,0)</f>
        <v>0</v>
      </c>
      <c r="BI218" s="188">
        <f>IF(N218="nulová",J218,0)</f>
        <v>0</v>
      </c>
      <c r="BJ218" s="15" t="s">
        <v>77</v>
      </c>
      <c r="BK218" s="188">
        <f>ROUND(I218*H218,2)</f>
        <v>0</v>
      </c>
      <c r="BL218" s="15" t="s">
        <v>203</v>
      </c>
      <c r="BM218" s="187" t="s">
        <v>473</v>
      </c>
    </row>
    <row r="219" spans="1:47" s="2" customFormat="1" ht="48.75">
      <c r="A219" s="32"/>
      <c r="B219" s="33"/>
      <c r="C219" s="34"/>
      <c r="D219" s="189" t="s">
        <v>208</v>
      </c>
      <c r="E219" s="34"/>
      <c r="F219" s="190" t="s">
        <v>474</v>
      </c>
      <c r="G219" s="34"/>
      <c r="H219" s="34"/>
      <c r="I219" s="191"/>
      <c r="J219" s="34"/>
      <c r="K219" s="34"/>
      <c r="L219" s="37"/>
      <c r="M219" s="192"/>
      <c r="N219" s="193"/>
      <c r="O219" s="62"/>
      <c r="P219" s="62"/>
      <c r="Q219" s="62"/>
      <c r="R219" s="62"/>
      <c r="S219" s="62"/>
      <c r="T219" s="63"/>
      <c r="U219" s="32"/>
      <c r="V219" s="32"/>
      <c r="W219" s="32"/>
      <c r="X219" s="32"/>
      <c r="Y219" s="32"/>
      <c r="Z219" s="32"/>
      <c r="AA219" s="32"/>
      <c r="AB219" s="32"/>
      <c r="AC219" s="32"/>
      <c r="AD219" s="32"/>
      <c r="AE219" s="32"/>
      <c r="AT219" s="15" t="s">
        <v>208</v>
      </c>
      <c r="AU219" s="15" t="s">
        <v>79</v>
      </c>
    </row>
    <row r="220" spans="1:65" s="2" customFormat="1" ht="22.15" customHeight="1">
      <c r="A220" s="32"/>
      <c r="B220" s="33"/>
      <c r="C220" s="176" t="s">
        <v>475</v>
      </c>
      <c r="D220" s="176" t="s">
        <v>198</v>
      </c>
      <c r="E220" s="177" t="s">
        <v>476</v>
      </c>
      <c r="F220" s="178" t="s">
        <v>477</v>
      </c>
      <c r="G220" s="179" t="s">
        <v>253</v>
      </c>
      <c r="H220" s="180">
        <v>527.75</v>
      </c>
      <c r="I220" s="181"/>
      <c r="J220" s="182">
        <f>ROUND(I220*H220,2)</f>
        <v>0</v>
      </c>
      <c r="K220" s="178" t="s">
        <v>202</v>
      </c>
      <c r="L220" s="37"/>
      <c r="M220" s="183" t="s">
        <v>19</v>
      </c>
      <c r="N220" s="184" t="s">
        <v>41</v>
      </c>
      <c r="O220" s="62"/>
      <c r="P220" s="185">
        <f>O220*H220</f>
        <v>0</v>
      </c>
      <c r="Q220" s="185">
        <v>4E-05</v>
      </c>
      <c r="R220" s="185">
        <f>Q220*H220</f>
        <v>0.02111</v>
      </c>
      <c r="S220" s="185">
        <v>0</v>
      </c>
      <c r="T220" s="186">
        <f>S220*H220</f>
        <v>0</v>
      </c>
      <c r="U220" s="32"/>
      <c r="V220" s="32"/>
      <c r="W220" s="32"/>
      <c r="X220" s="32"/>
      <c r="Y220" s="32"/>
      <c r="Z220" s="32"/>
      <c r="AA220" s="32"/>
      <c r="AB220" s="32"/>
      <c r="AC220" s="32"/>
      <c r="AD220" s="32"/>
      <c r="AE220" s="32"/>
      <c r="AR220" s="187" t="s">
        <v>203</v>
      </c>
      <c r="AT220" s="187" t="s">
        <v>198</v>
      </c>
      <c r="AU220" s="187" t="s">
        <v>79</v>
      </c>
      <c r="AY220" s="15" t="s">
        <v>196</v>
      </c>
      <c r="BE220" s="188">
        <f>IF(N220="základní",J220,0)</f>
        <v>0</v>
      </c>
      <c r="BF220" s="188">
        <f>IF(N220="snížená",J220,0)</f>
        <v>0</v>
      </c>
      <c r="BG220" s="188">
        <f>IF(N220="zákl. přenesená",J220,0)</f>
        <v>0</v>
      </c>
      <c r="BH220" s="188">
        <f>IF(N220="sníž. přenesená",J220,0)</f>
        <v>0</v>
      </c>
      <c r="BI220" s="188">
        <f>IF(N220="nulová",J220,0)</f>
        <v>0</v>
      </c>
      <c r="BJ220" s="15" t="s">
        <v>77</v>
      </c>
      <c r="BK220" s="188">
        <f>ROUND(I220*H220,2)</f>
        <v>0</v>
      </c>
      <c r="BL220" s="15" t="s">
        <v>203</v>
      </c>
      <c r="BM220" s="187" t="s">
        <v>478</v>
      </c>
    </row>
    <row r="221" spans="1:47" s="2" customFormat="1" ht="136.5">
      <c r="A221" s="32"/>
      <c r="B221" s="33"/>
      <c r="C221" s="34"/>
      <c r="D221" s="189" t="s">
        <v>208</v>
      </c>
      <c r="E221" s="34"/>
      <c r="F221" s="190" t="s">
        <v>479</v>
      </c>
      <c r="G221" s="34"/>
      <c r="H221" s="34"/>
      <c r="I221" s="191"/>
      <c r="J221" s="34"/>
      <c r="K221" s="34"/>
      <c r="L221" s="37"/>
      <c r="M221" s="192"/>
      <c r="N221" s="193"/>
      <c r="O221" s="62"/>
      <c r="P221" s="62"/>
      <c r="Q221" s="62"/>
      <c r="R221" s="62"/>
      <c r="S221" s="62"/>
      <c r="T221" s="63"/>
      <c r="U221" s="32"/>
      <c r="V221" s="32"/>
      <c r="W221" s="32"/>
      <c r="X221" s="32"/>
      <c r="Y221" s="32"/>
      <c r="Z221" s="32"/>
      <c r="AA221" s="32"/>
      <c r="AB221" s="32"/>
      <c r="AC221" s="32"/>
      <c r="AD221" s="32"/>
      <c r="AE221" s="32"/>
      <c r="AT221" s="15" t="s">
        <v>208</v>
      </c>
      <c r="AU221" s="15" t="s">
        <v>79</v>
      </c>
    </row>
    <row r="222" spans="1:65" s="2" customFormat="1" ht="13.9" customHeight="1">
      <c r="A222" s="32"/>
      <c r="B222" s="33"/>
      <c r="C222" s="176" t="s">
        <v>480</v>
      </c>
      <c r="D222" s="176" t="s">
        <v>198</v>
      </c>
      <c r="E222" s="177" t="s">
        <v>481</v>
      </c>
      <c r="F222" s="178" t="s">
        <v>482</v>
      </c>
      <c r="G222" s="179" t="s">
        <v>258</v>
      </c>
      <c r="H222" s="180">
        <v>3</v>
      </c>
      <c r="I222" s="181"/>
      <c r="J222" s="182">
        <f>ROUND(I222*H222,2)</f>
        <v>0</v>
      </c>
      <c r="K222" s="178" t="s">
        <v>202</v>
      </c>
      <c r="L222" s="37"/>
      <c r="M222" s="183" t="s">
        <v>19</v>
      </c>
      <c r="N222" s="184" t="s">
        <v>41</v>
      </c>
      <c r="O222" s="62"/>
      <c r="P222" s="185">
        <f>O222*H222</f>
        <v>0</v>
      </c>
      <c r="Q222" s="185">
        <v>0.00018</v>
      </c>
      <c r="R222" s="185">
        <f>Q222*H222</f>
        <v>0.00054</v>
      </c>
      <c r="S222" s="185">
        <v>0</v>
      </c>
      <c r="T222" s="186">
        <f>S222*H222</f>
        <v>0</v>
      </c>
      <c r="U222" s="32"/>
      <c r="V222" s="32"/>
      <c r="W222" s="32"/>
      <c r="X222" s="32"/>
      <c r="Y222" s="32"/>
      <c r="Z222" s="32"/>
      <c r="AA222" s="32"/>
      <c r="AB222" s="32"/>
      <c r="AC222" s="32"/>
      <c r="AD222" s="32"/>
      <c r="AE222" s="32"/>
      <c r="AR222" s="187" t="s">
        <v>203</v>
      </c>
      <c r="AT222" s="187" t="s">
        <v>198</v>
      </c>
      <c r="AU222" s="187" t="s">
        <v>79</v>
      </c>
      <c r="AY222" s="15" t="s">
        <v>196</v>
      </c>
      <c r="BE222" s="188">
        <f>IF(N222="základní",J222,0)</f>
        <v>0</v>
      </c>
      <c r="BF222" s="188">
        <f>IF(N222="snížená",J222,0)</f>
        <v>0</v>
      </c>
      <c r="BG222" s="188">
        <f>IF(N222="zákl. přenesená",J222,0)</f>
        <v>0</v>
      </c>
      <c r="BH222" s="188">
        <f>IF(N222="sníž. přenesená",J222,0)</f>
        <v>0</v>
      </c>
      <c r="BI222" s="188">
        <f>IF(N222="nulová",J222,0)</f>
        <v>0</v>
      </c>
      <c r="BJ222" s="15" t="s">
        <v>77</v>
      </c>
      <c r="BK222" s="188">
        <f>ROUND(I222*H222,2)</f>
        <v>0</v>
      </c>
      <c r="BL222" s="15" t="s">
        <v>203</v>
      </c>
      <c r="BM222" s="187" t="s">
        <v>483</v>
      </c>
    </row>
    <row r="223" spans="1:47" s="2" customFormat="1" ht="68.25">
      <c r="A223" s="32"/>
      <c r="B223" s="33"/>
      <c r="C223" s="34"/>
      <c r="D223" s="189" t="s">
        <v>208</v>
      </c>
      <c r="E223" s="34"/>
      <c r="F223" s="190" t="s">
        <v>484</v>
      </c>
      <c r="G223" s="34"/>
      <c r="H223" s="34"/>
      <c r="I223" s="191"/>
      <c r="J223" s="34"/>
      <c r="K223" s="34"/>
      <c r="L223" s="37"/>
      <c r="M223" s="192"/>
      <c r="N223" s="193"/>
      <c r="O223" s="62"/>
      <c r="P223" s="62"/>
      <c r="Q223" s="62"/>
      <c r="R223" s="62"/>
      <c r="S223" s="62"/>
      <c r="T223" s="63"/>
      <c r="U223" s="32"/>
      <c r="V223" s="32"/>
      <c r="W223" s="32"/>
      <c r="X223" s="32"/>
      <c r="Y223" s="32"/>
      <c r="Z223" s="32"/>
      <c r="AA223" s="32"/>
      <c r="AB223" s="32"/>
      <c r="AC223" s="32"/>
      <c r="AD223" s="32"/>
      <c r="AE223" s="32"/>
      <c r="AT223" s="15" t="s">
        <v>208</v>
      </c>
      <c r="AU223" s="15" t="s">
        <v>79</v>
      </c>
    </row>
    <row r="224" spans="1:65" s="2" customFormat="1" ht="13.9" customHeight="1">
      <c r="A224" s="32"/>
      <c r="B224" s="33"/>
      <c r="C224" s="194" t="s">
        <v>485</v>
      </c>
      <c r="D224" s="194" t="s">
        <v>411</v>
      </c>
      <c r="E224" s="195" t="s">
        <v>486</v>
      </c>
      <c r="F224" s="196" t="s">
        <v>487</v>
      </c>
      <c r="G224" s="197" t="s">
        <v>258</v>
      </c>
      <c r="H224" s="198">
        <v>3</v>
      </c>
      <c r="I224" s="199"/>
      <c r="J224" s="200">
        <f>ROUND(I224*H224,2)</f>
        <v>0</v>
      </c>
      <c r="K224" s="196" t="s">
        <v>19</v>
      </c>
      <c r="L224" s="201"/>
      <c r="M224" s="202" t="s">
        <v>19</v>
      </c>
      <c r="N224" s="203" t="s">
        <v>41</v>
      </c>
      <c r="O224" s="62"/>
      <c r="P224" s="185">
        <f>O224*H224</f>
        <v>0</v>
      </c>
      <c r="Q224" s="185">
        <v>0.012</v>
      </c>
      <c r="R224" s="185">
        <f>Q224*H224</f>
        <v>0.036000000000000004</v>
      </c>
      <c r="S224" s="185">
        <v>0</v>
      </c>
      <c r="T224" s="186">
        <f>S224*H224</f>
        <v>0</v>
      </c>
      <c r="U224" s="32"/>
      <c r="V224" s="32"/>
      <c r="W224" s="32"/>
      <c r="X224" s="32"/>
      <c r="Y224" s="32"/>
      <c r="Z224" s="32"/>
      <c r="AA224" s="32"/>
      <c r="AB224" s="32"/>
      <c r="AC224" s="32"/>
      <c r="AD224" s="32"/>
      <c r="AE224" s="32"/>
      <c r="AR224" s="187" t="s">
        <v>230</v>
      </c>
      <c r="AT224" s="187" t="s">
        <v>411</v>
      </c>
      <c r="AU224" s="187" t="s">
        <v>79</v>
      </c>
      <c r="AY224" s="15" t="s">
        <v>196</v>
      </c>
      <c r="BE224" s="188">
        <f>IF(N224="základní",J224,0)</f>
        <v>0</v>
      </c>
      <c r="BF224" s="188">
        <f>IF(N224="snížená",J224,0)</f>
        <v>0</v>
      </c>
      <c r="BG224" s="188">
        <f>IF(N224="zákl. přenesená",J224,0)</f>
        <v>0</v>
      </c>
      <c r="BH224" s="188">
        <f>IF(N224="sníž. přenesená",J224,0)</f>
        <v>0</v>
      </c>
      <c r="BI224" s="188">
        <f>IF(N224="nulová",J224,0)</f>
        <v>0</v>
      </c>
      <c r="BJ224" s="15" t="s">
        <v>77</v>
      </c>
      <c r="BK224" s="188">
        <f>ROUND(I224*H224,2)</f>
        <v>0</v>
      </c>
      <c r="BL224" s="15" t="s">
        <v>203</v>
      </c>
      <c r="BM224" s="187" t="s">
        <v>488</v>
      </c>
    </row>
    <row r="225" spans="1:65" s="2" customFormat="1" ht="13.9" customHeight="1">
      <c r="A225" s="32"/>
      <c r="B225" s="33"/>
      <c r="C225" s="176" t="s">
        <v>489</v>
      </c>
      <c r="D225" s="176" t="s">
        <v>198</v>
      </c>
      <c r="E225" s="177" t="s">
        <v>490</v>
      </c>
      <c r="F225" s="178" t="s">
        <v>491</v>
      </c>
      <c r="G225" s="179" t="s">
        <v>258</v>
      </c>
      <c r="H225" s="180">
        <v>30</v>
      </c>
      <c r="I225" s="181"/>
      <c r="J225" s="182">
        <f>ROUND(I225*H225,2)</f>
        <v>0</v>
      </c>
      <c r="K225" s="178" t="s">
        <v>19</v>
      </c>
      <c r="L225" s="37"/>
      <c r="M225" s="183" t="s">
        <v>19</v>
      </c>
      <c r="N225" s="184" t="s">
        <v>41</v>
      </c>
      <c r="O225" s="62"/>
      <c r="P225" s="185">
        <f>O225*H225</f>
        <v>0</v>
      </c>
      <c r="Q225" s="185">
        <v>0</v>
      </c>
      <c r="R225" s="185">
        <f>Q225*H225</f>
        <v>0</v>
      </c>
      <c r="S225" s="185">
        <v>0</v>
      </c>
      <c r="T225" s="186">
        <f>S225*H225</f>
        <v>0</v>
      </c>
      <c r="U225" s="32"/>
      <c r="V225" s="32"/>
      <c r="W225" s="32"/>
      <c r="X225" s="32"/>
      <c r="Y225" s="32"/>
      <c r="Z225" s="32"/>
      <c r="AA225" s="32"/>
      <c r="AB225" s="32"/>
      <c r="AC225" s="32"/>
      <c r="AD225" s="32"/>
      <c r="AE225" s="32"/>
      <c r="AR225" s="187" t="s">
        <v>203</v>
      </c>
      <c r="AT225" s="187" t="s">
        <v>198</v>
      </c>
      <c r="AU225" s="187" t="s">
        <v>79</v>
      </c>
      <c r="AY225" s="15" t="s">
        <v>196</v>
      </c>
      <c r="BE225" s="188">
        <f>IF(N225="základní",J225,0)</f>
        <v>0</v>
      </c>
      <c r="BF225" s="188">
        <f>IF(N225="snížená",J225,0)</f>
        <v>0</v>
      </c>
      <c r="BG225" s="188">
        <f>IF(N225="zákl. přenesená",J225,0)</f>
        <v>0</v>
      </c>
      <c r="BH225" s="188">
        <f>IF(N225="sníž. přenesená",J225,0)</f>
        <v>0</v>
      </c>
      <c r="BI225" s="188">
        <f>IF(N225="nulová",J225,0)</f>
        <v>0</v>
      </c>
      <c r="BJ225" s="15" t="s">
        <v>77</v>
      </c>
      <c r="BK225" s="188">
        <f>ROUND(I225*H225,2)</f>
        <v>0</v>
      </c>
      <c r="BL225" s="15" t="s">
        <v>203</v>
      </c>
      <c r="BM225" s="187" t="s">
        <v>492</v>
      </c>
    </row>
    <row r="226" spans="1:65" s="2" customFormat="1" ht="22.15" customHeight="1">
      <c r="A226" s="32"/>
      <c r="B226" s="33"/>
      <c r="C226" s="176" t="s">
        <v>493</v>
      </c>
      <c r="D226" s="176" t="s">
        <v>198</v>
      </c>
      <c r="E226" s="177" t="s">
        <v>494</v>
      </c>
      <c r="F226" s="178" t="s">
        <v>495</v>
      </c>
      <c r="G226" s="179" t="s">
        <v>253</v>
      </c>
      <c r="H226" s="180">
        <v>99.821</v>
      </c>
      <c r="I226" s="181"/>
      <c r="J226" s="182">
        <f>ROUND(I226*H226,2)</f>
        <v>0</v>
      </c>
      <c r="K226" s="178" t="s">
        <v>202</v>
      </c>
      <c r="L226" s="37"/>
      <c r="M226" s="183" t="s">
        <v>19</v>
      </c>
      <c r="N226" s="184" t="s">
        <v>41</v>
      </c>
      <c r="O226" s="62"/>
      <c r="P226" s="185">
        <f>O226*H226</f>
        <v>0</v>
      </c>
      <c r="Q226" s="185">
        <v>0</v>
      </c>
      <c r="R226" s="185">
        <f>Q226*H226</f>
        <v>0</v>
      </c>
      <c r="S226" s="185">
        <v>0.131</v>
      </c>
      <c r="T226" s="186">
        <f>S226*H226</f>
        <v>13.076551</v>
      </c>
      <c r="U226" s="32"/>
      <c r="V226" s="32"/>
      <c r="W226" s="32"/>
      <c r="X226" s="32"/>
      <c r="Y226" s="32"/>
      <c r="Z226" s="32"/>
      <c r="AA226" s="32"/>
      <c r="AB226" s="32"/>
      <c r="AC226" s="32"/>
      <c r="AD226" s="32"/>
      <c r="AE226" s="32"/>
      <c r="AR226" s="187" t="s">
        <v>203</v>
      </c>
      <c r="AT226" s="187" t="s">
        <v>198</v>
      </c>
      <c r="AU226" s="187" t="s">
        <v>79</v>
      </c>
      <c r="AY226" s="15" t="s">
        <v>196</v>
      </c>
      <c r="BE226" s="188">
        <f>IF(N226="základní",J226,0)</f>
        <v>0</v>
      </c>
      <c r="BF226" s="188">
        <f>IF(N226="snížená",J226,0)</f>
        <v>0</v>
      </c>
      <c r="BG226" s="188">
        <f>IF(N226="zákl. přenesená",J226,0)</f>
        <v>0</v>
      </c>
      <c r="BH226" s="188">
        <f>IF(N226="sníž. přenesená",J226,0)</f>
        <v>0</v>
      </c>
      <c r="BI226" s="188">
        <f>IF(N226="nulová",J226,0)</f>
        <v>0</v>
      </c>
      <c r="BJ226" s="15" t="s">
        <v>77</v>
      </c>
      <c r="BK226" s="188">
        <f>ROUND(I226*H226,2)</f>
        <v>0</v>
      </c>
      <c r="BL226" s="15" t="s">
        <v>203</v>
      </c>
      <c r="BM226" s="187" t="s">
        <v>496</v>
      </c>
    </row>
    <row r="227" spans="1:65" s="2" customFormat="1" ht="22.15" customHeight="1">
      <c r="A227" s="32"/>
      <c r="B227" s="33"/>
      <c r="C227" s="176" t="s">
        <v>497</v>
      </c>
      <c r="D227" s="176" t="s">
        <v>198</v>
      </c>
      <c r="E227" s="177" t="s">
        <v>498</v>
      </c>
      <c r="F227" s="178" t="s">
        <v>499</v>
      </c>
      <c r="G227" s="179" t="s">
        <v>253</v>
      </c>
      <c r="H227" s="180">
        <v>36.649</v>
      </c>
      <c r="I227" s="181"/>
      <c r="J227" s="182">
        <f>ROUND(I227*H227,2)</f>
        <v>0</v>
      </c>
      <c r="K227" s="178" t="s">
        <v>202</v>
      </c>
      <c r="L227" s="37"/>
      <c r="M227" s="183" t="s">
        <v>19</v>
      </c>
      <c r="N227" s="184" t="s">
        <v>41</v>
      </c>
      <c r="O227" s="62"/>
      <c r="P227" s="185">
        <f>O227*H227</f>
        <v>0</v>
      </c>
      <c r="Q227" s="185">
        <v>0</v>
      </c>
      <c r="R227" s="185">
        <f>Q227*H227</f>
        <v>0</v>
      </c>
      <c r="S227" s="185">
        <v>0.261</v>
      </c>
      <c r="T227" s="186">
        <f>S227*H227</f>
        <v>9.565389000000001</v>
      </c>
      <c r="U227" s="32"/>
      <c r="V227" s="32"/>
      <c r="W227" s="32"/>
      <c r="X227" s="32"/>
      <c r="Y227" s="32"/>
      <c r="Z227" s="32"/>
      <c r="AA227" s="32"/>
      <c r="AB227" s="32"/>
      <c r="AC227" s="32"/>
      <c r="AD227" s="32"/>
      <c r="AE227" s="32"/>
      <c r="AR227" s="187" t="s">
        <v>203</v>
      </c>
      <c r="AT227" s="187" t="s">
        <v>198</v>
      </c>
      <c r="AU227" s="187" t="s">
        <v>79</v>
      </c>
      <c r="AY227" s="15" t="s">
        <v>196</v>
      </c>
      <c r="BE227" s="188">
        <f>IF(N227="základní",J227,0)</f>
        <v>0</v>
      </c>
      <c r="BF227" s="188">
        <f>IF(N227="snížená",J227,0)</f>
        <v>0</v>
      </c>
      <c r="BG227" s="188">
        <f>IF(N227="zákl. přenesená",J227,0)</f>
        <v>0</v>
      </c>
      <c r="BH227" s="188">
        <f>IF(N227="sníž. přenesená",J227,0)</f>
        <v>0</v>
      </c>
      <c r="BI227" s="188">
        <f>IF(N227="nulová",J227,0)</f>
        <v>0</v>
      </c>
      <c r="BJ227" s="15" t="s">
        <v>77</v>
      </c>
      <c r="BK227" s="188">
        <f>ROUND(I227*H227,2)</f>
        <v>0</v>
      </c>
      <c r="BL227" s="15" t="s">
        <v>203</v>
      </c>
      <c r="BM227" s="187" t="s">
        <v>500</v>
      </c>
    </row>
    <row r="228" spans="1:65" s="2" customFormat="1" ht="22.15" customHeight="1">
      <c r="A228" s="32"/>
      <c r="B228" s="33"/>
      <c r="C228" s="176" t="s">
        <v>501</v>
      </c>
      <c r="D228" s="176" t="s">
        <v>198</v>
      </c>
      <c r="E228" s="177" t="s">
        <v>502</v>
      </c>
      <c r="F228" s="178" t="s">
        <v>503</v>
      </c>
      <c r="G228" s="179" t="s">
        <v>201</v>
      </c>
      <c r="H228" s="180">
        <v>0.942</v>
      </c>
      <c r="I228" s="181"/>
      <c r="J228" s="182">
        <f>ROUND(I228*H228,2)</f>
        <v>0</v>
      </c>
      <c r="K228" s="178" t="s">
        <v>202</v>
      </c>
      <c r="L228" s="37"/>
      <c r="M228" s="183" t="s">
        <v>19</v>
      </c>
      <c r="N228" s="184" t="s">
        <v>41</v>
      </c>
      <c r="O228" s="62"/>
      <c r="P228" s="185">
        <f>O228*H228</f>
        <v>0</v>
      </c>
      <c r="Q228" s="185">
        <v>0</v>
      </c>
      <c r="R228" s="185">
        <f>Q228*H228</f>
        <v>0</v>
      </c>
      <c r="S228" s="185">
        <v>1.8</v>
      </c>
      <c r="T228" s="186">
        <f>S228*H228</f>
        <v>1.6956</v>
      </c>
      <c r="U228" s="32"/>
      <c r="V228" s="32"/>
      <c r="W228" s="32"/>
      <c r="X228" s="32"/>
      <c r="Y228" s="32"/>
      <c r="Z228" s="32"/>
      <c r="AA228" s="32"/>
      <c r="AB228" s="32"/>
      <c r="AC228" s="32"/>
      <c r="AD228" s="32"/>
      <c r="AE228" s="32"/>
      <c r="AR228" s="187" t="s">
        <v>203</v>
      </c>
      <c r="AT228" s="187" t="s">
        <v>198</v>
      </c>
      <c r="AU228" s="187" t="s">
        <v>79</v>
      </c>
      <c r="AY228" s="15" t="s">
        <v>196</v>
      </c>
      <c r="BE228" s="188">
        <f>IF(N228="základní",J228,0)</f>
        <v>0</v>
      </c>
      <c r="BF228" s="188">
        <f>IF(N228="snížená",J228,0)</f>
        <v>0</v>
      </c>
      <c r="BG228" s="188">
        <f>IF(N228="zákl. přenesená",J228,0)</f>
        <v>0</v>
      </c>
      <c r="BH228" s="188">
        <f>IF(N228="sníž. přenesená",J228,0)</f>
        <v>0</v>
      </c>
      <c r="BI228" s="188">
        <f>IF(N228="nulová",J228,0)</f>
        <v>0</v>
      </c>
      <c r="BJ228" s="15" t="s">
        <v>77</v>
      </c>
      <c r="BK228" s="188">
        <f>ROUND(I228*H228,2)</f>
        <v>0</v>
      </c>
      <c r="BL228" s="15" t="s">
        <v>203</v>
      </c>
      <c r="BM228" s="187" t="s">
        <v>504</v>
      </c>
    </row>
    <row r="229" spans="1:47" s="2" customFormat="1" ht="39">
      <c r="A229" s="32"/>
      <c r="B229" s="33"/>
      <c r="C229" s="34"/>
      <c r="D229" s="189" t="s">
        <v>208</v>
      </c>
      <c r="E229" s="34"/>
      <c r="F229" s="190" t="s">
        <v>505</v>
      </c>
      <c r="G229" s="34"/>
      <c r="H229" s="34"/>
      <c r="I229" s="191"/>
      <c r="J229" s="34"/>
      <c r="K229" s="34"/>
      <c r="L229" s="37"/>
      <c r="M229" s="192"/>
      <c r="N229" s="193"/>
      <c r="O229" s="62"/>
      <c r="P229" s="62"/>
      <c r="Q229" s="62"/>
      <c r="R229" s="62"/>
      <c r="S229" s="62"/>
      <c r="T229" s="63"/>
      <c r="U229" s="32"/>
      <c r="V229" s="32"/>
      <c r="W229" s="32"/>
      <c r="X229" s="32"/>
      <c r="Y229" s="32"/>
      <c r="Z229" s="32"/>
      <c r="AA229" s="32"/>
      <c r="AB229" s="32"/>
      <c r="AC229" s="32"/>
      <c r="AD229" s="32"/>
      <c r="AE229" s="32"/>
      <c r="AT229" s="15" t="s">
        <v>208</v>
      </c>
      <c r="AU229" s="15" t="s">
        <v>79</v>
      </c>
    </row>
    <row r="230" spans="1:65" s="2" customFormat="1" ht="13.9" customHeight="1">
      <c r="A230" s="32"/>
      <c r="B230" s="33"/>
      <c r="C230" s="176" t="s">
        <v>506</v>
      </c>
      <c r="D230" s="176" t="s">
        <v>198</v>
      </c>
      <c r="E230" s="177" t="s">
        <v>507</v>
      </c>
      <c r="F230" s="178" t="s">
        <v>508</v>
      </c>
      <c r="G230" s="179" t="s">
        <v>201</v>
      </c>
      <c r="H230" s="180">
        <v>10.521</v>
      </c>
      <c r="I230" s="181"/>
      <c r="J230" s="182">
        <f>ROUND(I230*H230,2)</f>
        <v>0</v>
      </c>
      <c r="K230" s="178" t="s">
        <v>202</v>
      </c>
      <c r="L230" s="37"/>
      <c r="M230" s="183" t="s">
        <v>19</v>
      </c>
      <c r="N230" s="184" t="s">
        <v>41</v>
      </c>
      <c r="O230" s="62"/>
      <c r="P230" s="185">
        <f>O230*H230</f>
        <v>0</v>
      </c>
      <c r="Q230" s="185">
        <v>0</v>
      </c>
      <c r="R230" s="185">
        <f>Q230*H230</f>
        <v>0</v>
      </c>
      <c r="S230" s="185">
        <v>2.2</v>
      </c>
      <c r="T230" s="186">
        <f>S230*H230</f>
        <v>23.146200000000004</v>
      </c>
      <c r="U230" s="32"/>
      <c r="V230" s="32"/>
      <c r="W230" s="32"/>
      <c r="X230" s="32"/>
      <c r="Y230" s="32"/>
      <c r="Z230" s="32"/>
      <c r="AA230" s="32"/>
      <c r="AB230" s="32"/>
      <c r="AC230" s="32"/>
      <c r="AD230" s="32"/>
      <c r="AE230" s="32"/>
      <c r="AR230" s="187" t="s">
        <v>203</v>
      </c>
      <c r="AT230" s="187" t="s">
        <v>198</v>
      </c>
      <c r="AU230" s="187" t="s">
        <v>79</v>
      </c>
      <c r="AY230" s="15" t="s">
        <v>196</v>
      </c>
      <c r="BE230" s="188">
        <f>IF(N230="základní",J230,0)</f>
        <v>0</v>
      </c>
      <c r="BF230" s="188">
        <f>IF(N230="snížená",J230,0)</f>
        <v>0</v>
      </c>
      <c r="BG230" s="188">
        <f>IF(N230="zákl. přenesená",J230,0)</f>
        <v>0</v>
      </c>
      <c r="BH230" s="188">
        <f>IF(N230="sníž. přenesená",J230,0)</f>
        <v>0</v>
      </c>
      <c r="BI230" s="188">
        <f>IF(N230="nulová",J230,0)</f>
        <v>0</v>
      </c>
      <c r="BJ230" s="15" t="s">
        <v>77</v>
      </c>
      <c r="BK230" s="188">
        <f>ROUND(I230*H230,2)</f>
        <v>0</v>
      </c>
      <c r="BL230" s="15" t="s">
        <v>203</v>
      </c>
      <c r="BM230" s="187" t="s">
        <v>509</v>
      </c>
    </row>
    <row r="231" spans="1:65" s="2" customFormat="1" ht="13.9" customHeight="1">
      <c r="A231" s="32"/>
      <c r="B231" s="33"/>
      <c r="C231" s="176" t="s">
        <v>510</v>
      </c>
      <c r="D231" s="176" t="s">
        <v>198</v>
      </c>
      <c r="E231" s="177" t="s">
        <v>511</v>
      </c>
      <c r="F231" s="178" t="s">
        <v>512</v>
      </c>
      <c r="G231" s="179" t="s">
        <v>201</v>
      </c>
      <c r="H231" s="180">
        <v>1.44</v>
      </c>
      <c r="I231" s="181"/>
      <c r="J231" s="182">
        <f>ROUND(I231*H231,2)</f>
        <v>0</v>
      </c>
      <c r="K231" s="178" t="s">
        <v>202</v>
      </c>
      <c r="L231" s="37"/>
      <c r="M231" s="183" t="s">
        <v>19</v>
      </c>
      <c r="N231" s="184" t="s">
        <v>41</v>
      </c>
      <c r="O231" s="62"/>
      <c r="P231" s="185">
        <f>O231*H231</f>
        <v>0</v>
      </c>
      <c r="Q231" s="185">
        <v>0</v>
      </c>
      <c r="R231" s="185">
        <f>Q231*H231</f>
        <v>0</v>
      </c>
      <c r="S231" s="185">
        <v>2.2</v>
      </c>
      <c r="T231" s="186">
        <f>S231*H231</f>
        <v>3.168</v>
      </c>
      <c r="U231" s="32"/>
      <c r="V231" s="32"/>
      <c r="W231" s="32"/>
      <c r="X231" s="32"/>
      <c r="Y231" s="32"/>
      <c r="Z231" s="32"/>
      <c r="AA231" s="32"/>
      <c r="AB231" s="32"/>
      <c r="AC231" s="32"/>
      <c r="AD231" s="32"/>
      <c r="AE231" s="32"/>
      <c r="AR231" s="187" t="s">
        <v>203</v>
      </c>
      <c r="AT231" s="187" t="s">
        <v>198</v>
      </c>
      <c r="AU231" s="187" t="s">
        <v>79</v>
      </c>
      <c r="AY231" s="15" t="s">
        <v>196</v>
      </c>
      <c r="BE231" s="188">
        <f>IF(N231="základní",J231,0)</f>
        <v>0</v>
      </c>
      <c r="BF231" s="188">
        <f>IF(N231="snížená",J231,0)</f>
        <v>0</v>
      </c>
      <c r="BG231" s="188">
        <f>IF(N231="zákl. přenesená",J231,0)</f>
        <v>0</v>
      </c>
      <c r="BH231" s="188">
        <f>IF(N231="sníž. přenesená",J231,0)</f>
        <v>0</v>
      </c>
      <c r="BI231" s="188">
        <f>IF(N231="nulová",J231,0)</f>
        <v>0</v>
      </c>
      <c r="BJ231" s="15" t="s">
        <v>77</v>
      </c>
      <c r="BK231" s="188">
        <f>ROUND(I231*H231,2)</f>
        <v>0</v>
      </c>
      <c r="BL231" s="15" t="s">
        <v>203</v>
      </c>
      <c r="BM231" s="187" t="s">
        <v>513</v>
      </c>
    </row>
    <row r="232" spans="1:65" s="2" customFormat="1" ht="13.9" customHeight="1">
      <c r="A232" s="32"/>
      <c r="B232" s="33"/>
      <c r="C232" s="176" t="s">
        <v>514</v>
      </c>
      <c r="D232" s="176" t="s">
        <v>198</v>
      </c>
      <c r="E232" s="177" t="s">
        <v>515</v>
      </c>
      <c r="F232" s="178" t="s">
        <v>516</v>
      </c>
      <c r="G232" s="179" t="s">
        <v>201</v>
      </c>
      <c r="H232" s="180">
        <v>1.44</v>
      </c>
      <c r="I232" s="181"/>
      <c r="J232" s="182">
        <f>ROUND(I232*H232,2)</f>
        <v>0</v>
      </c>
      <c r="K232" s="178" t="s">
        <v>202</v>
      </c>
      <c r="L232" s="37"/>
      <c r="M232" s="183" t="s">
        <v>19</v>
      </c>
      <c r="N232" s="184" t="s">
        <v>41</v>
      </c>
      <c r="O232" s="62"/>
      <c r="P232" s="185">
        <f>O232*H232</f>
        <v>0</v>
      </c>
      <c r="Q232" s="185">
        <v>0</v>
      </c>
      <c r="R232" s="185">
        <f>Q232*H232</f>
        <v>0</v>
      </c>
      <c r="S232" s="185">
        <v>0.029</v>
      </c>
      <c r="T232" s="186">
        <f>S232*H232</f>
        <v>0.04176</v>
      </c>
      <c r="U232" s="32"/>
      <c r="V232" s="32"/>
      <c r="W232" s="32"/>
      <c r="X232" s="32"/>
      <c r="Y232" s="32"/>
      <c r="Z232" s="32"/>
      <c r="AA232" s="32"/>
      <c r="AB232" s="32"/>
      <c r="AC232" s="32"/>
      <c r="AD232" s="32"/>
      <c r="AE232" s="32"/>
      <c r="AR232" s="187" t="s">
        <v>203</v>
      </c>
      <c r="AT232" s="187" t="s">
        <v>198</v>
      </c>
      <c r="AU232" s="187" t="s">
        <v>79</v>
      </c>
      <c r="AY232" s="15" t="s">
        <v>196</v>
      </c>
      <c r="BE232" s="188">
        <f>IF(N232="základní",J232,0)</f>
        <v>0</v>
      </c>
      <c r="BF232" s="188">
        <f>IF(N232="snížená",J232,0)</f>
        <v>0</v>
      </c>
      <c r="BG232" s="188">
        <f>IF(N232="zákl. přenesená",J232,0)</f>
        <v>0</v>
      </c>
      <c r="BH232" s="188">
        <f>IF(N232="sníž. přenesená",J232,0)</f>
        <v>0</v>
      </c>
      <c r="BI232" s="188">
        <f>IF(N232="nulová",J232,0)</f>
        <v>0</v>
      </c>
      <c r="BJ232" s="15" t="s">
        <v>77</v>
      </c>
      <c r="BK232" s="188">
        <f>ROUND(I232*H232,2)</f>
        <v>0</v>
      </c>
      <c r="BL232" s="15" t="s">
        <v>203</v>
      </c>
      <c r="BM232" s="187" t="s">
        <v>517</v>
      </c>
    </row>
    <row r="233" spans="1:65" s="2" customFormat="1" ht="22.15" customHeight="1">
      <c r="A233" s="32"/>
      <c r="B233" s="33"/>
      <c r="C233" s="176" t="s">
        <v>518</v>
      </c>
      <c r="D233" s="176" t="s">
        <v>198</v>
      </c>
      <c r="E233" s="177" t="s">
        <v>519</v>
      </c>
      <c r="F233" s="178" t="s">
        <v>520</v>
      </c>
      <c r="G233" s="179" t="s">
        <v>253</v>
      </c>
      <c r="H233" s="180">
        <v>20.882</v>
      </c>
      <c r="I233" s="181"/>
      <c r="J233" s="182">
        <f>ROUND(I233*H233,2)</f>
        <v>0</v>
      </c>
      <c r="K233" s="178" t="s">
        <v>202</v>
      </c>
      <c r="L233" s="37"/>
      <c r="M233" s="183" t="s">
        <v>19</v>
      </c>
      <c r="N233" s="184" t="s">
        <v>41</v>
      </c>
      <c r="O233" s="62"/>
      <c r="P233" s="185">
        <f>O233*H233</f>
        <v>0</v>
      </c>
      <c r="Q233" s="185">
        <v>0</v>
      </c>
      <c r="R233" s="185">
        <f>Q233*H233</f>
        <v>0</v>
      </c>
      <c r="S233" s="185">
        <v>0.076</v>
      </c>
      <c r="T233" s="186">
        <f>S233*H233</f>
        <v>1.587032</v>
      </c>
      <c r="U233" s="32"/>
      <c r="V233" s="32"/>
      <c r="W233" s="32"/>
      <c r="X233" s="32"/>
      <c r="Y233" s="32"/>
      <c r="Z233" s="32"/>
      <c r="AA233" s="32"/>
      <c r="AB233" s="32"/>
      <c r="AC233" s="32"/>
      <c r="AD233" s="32"/>
      <c r="AE233" s="32"/>
      <c r="AR233" s="187" t="s">
        <v>203</v>
      </c>
      <c r="AT233" s="187" t="s">
        <v>198</v>
      </c>
      <c r="AU233" s="187" t="s">
        <v>79</v>
      </c>
      <c r="AY233" s="15" t="s">
        <v>196</v>
      </c>
      <c r="BE233" s="188">
        <f>IF(N233="základní",J233,0)</f>
        <v>0</v>
      </c>
      <c r="BF233" s="188">
        <f>IF(N233="snížená",J233,0)</f>
        <v>0</v>
      </c>
      <c r="BG233" s="188">
        <f>IF(N233="zákl. přenesená",J233,0)</f>
        <v>0</v>
      </c>
      <c r="BH233" s="188">
        <f>IF(N233="sníž. přenesená",J233,0)</f>
        <v>0</v>
      </c>
      <c r="BI233" s="188">
        <f>IF(N233="nulová",J233,0)</f>
        <v>0</v>
      </c>
      <c r="BJ233" s="15" t="s">
        <v>77</v>
      </c>
      <c r="BK233" s="188">
        <f>ROUND(I233*H233,2)</f>
        <v>0</v>
      </c>
      <c r="BL233" s="15" t="s">
        <v>203</v>
      </c>
      <c r="BM233" s="187" t="s">
        <v>521</v>
      </c>
    </row>
    <row r="234" spans="1:47" s="2" customFormat="1" ht="39">
      <c r="A234" s="32"/>
      <c r="B234" s="33"/>
      <c r="C234" s="34"/>
      <c r="D234" s="189" t="s">
        <v>208</v>
      </c>
      <c r="E234" s="34"/>
      <c r="F234" s="190" t="s">
        <v>522</v>
      </c>
      <c r="G234" s="34"/>
      <c r="H234" s="34"/>
      <c r="I234" s="191"/>
      <c r="J234" s="34"/>
      <c r="K234" s="34"/>
      <c r="L234" s="37"/>
      <c r="M234" s="192"/>
      <c r="N234" s="193"/>
      <c r="O234" s="62"/>
      <c r="P234" s="62"/>
      <c r="Q234" s="62"/>
      <c r="R234" s="62"/>
      <c r="S234" s="62"/>
      <c r="T234" s="63"/>
      <c r="U234" s="32"/>
      <c r="V234" s="32"/>
      <c r="W234" s="32"/>
      <c r="X234" s="32"/>
      <c r="Y234" s="32"/>
      <c r="Z234" s="32"/>
      <c r="AA234" s="32"/>
      <c r="AB234" s="32"/>
      <c r="AC234" s="32"/>
      <c r="AD234" s="32"/>
      <c r="AE234" s="32"/>
      <c r="AT234" s="15" t="s">
        <v>208</v>
      </c>
      <c r="AU234" s="15" t="s">
        <v>79</v>
      </c>
    </row>
    <row r="235" spans="1:65" s="2" customFormat="1" ht="13.9" customHeight="1">
      <c r="A235" s="32"/>
      <c r="B235" s="33"/>
      <c r="C235" s="176" t="s">
        <v>523</v>
      </c>
      <c r="D235" s="176" t="s">
        <v>198</v>
      </c>
      <c r="E235" s="177" t="s">
        <v>524</v>
      </c>
      <c r="F235" s="178" t="s">
        <v>525</v>
      </c>
      <c r="G235" s="179" t="s">
        <v>258</v>
      </c>
      <c r="H235" s="180">
        <v>2</v>
      </c>
      <c r="I235" s="181"/>
      <c r="J235" s="182">
        <f>ROUND(I235*H235,2)</f>
        <v>0</v>
      </c>
      <c r="K235" s="178" t="s">
        <v>19</v>
      </c>
      <c r="L235" s="37"/>
      <c r="M235" s="183" t="s">
        <v>19</v>
      </c>
      <c r="N235" s="184" t="s">
        <v>41</v>
      </c>
      <c r="O235" s="62"/>
      <c r="P235" s="185">
        <f>O235*H235</f>
        <v>0</v>
      </c>
      <c r="Q235" s="185">
        <v>0</v>
      </c>
      <c r="R235" s="185">
        <f>Q235*H235</f>
        <v>0</v>
      </c>
      <c r="S235" s="185">
        <v>0.076</v>
      </c>
      <c r="T235" s="186">
        <f>S235*H235</f>
        <v>0.152</v>
      </c>
      <c r="U235" s="32"/>
      <c r="V235" s="32"/>
      <c r="W235" s="32"/>
      <c r="X235" s="32"/>
      <c r="Y235" s="32"/>
      <c r="Z235" s="32"/>
      <c r="AA235" s="32"/>
      <c r="AB235" s="32"/>
      <c r="AC235" s="32"/>
      <c r="AD235" s="32"/>
      <c r="AE235" s="32"/>
      <c r="AR235" s="187" t="s">
        <v>203</v>
      </c>
      <c r="AT235" s="187" t="s">
        <v>198</v>
      </c>
      <c r="AU235" s="187" t="s">
        <v>79</v>
      </c>
      <c r="AY235" s="15" t="s">
        <v>196</v>
      </c>
      <c r="BE235" s="188">
        <f>IF(N235="základní",J235,0)</f>
        <v>0</v>
      </c>
      <c r="BF235" s="188">
        <f>IF(N235="snížená",J235,0)</f>
        <v>0</v>
      </c>
      <c r="BG235" s="188">
        <f>IF(N235="zákl. přenesená",J235,0)</f>
        <v>0</v>
      </c>
      <c r="BH235" s="188">
        <f>IF(N235="sníž. přenesená",J235,0)</f>
        <v>0</v>
      </c>
      <c r="BI235" s="188">
        <f>IF(N235="nulová",J235,0)</f>
        <v>0</v>
      </c>
      <c r="BJ235" s="15" t="s">
        <v>77</v>
      </c>
      <c r="BK235" s="188">
        <f>ROUND(I235*H235,2)</f>
        <v>0</v>
      </c>
      <c r="BL235" s="15" t="s">
        <v>203</v>
      </c>
      <c r="BM235" s="187" t="s">
        <v>526</v>
      </c>
    </row>
    <row r="236" spans="1:47" s="2" customFormat="1" ht="39">
      <c r="A236" s="32"/>
      <c r="B236" s="33"/>
      <c r="C236" s="34"/>
      <c r="D236" s="189" t="s">
        <v>208</v>
      </c>
      <c r="E236" s="34"/>
      <c r="F236" s="190" t="s">
        <v>522</v>
      </c>
      <c r="G236" s="34"/>
      <c r="H236" s="34"/>
      <c r="I236" s="191"/>
      <c r="J236" s="34"/>
      <c r="K236" s="34"/>
      <c r="L236" s="37"/>
      <c r="M236" s="192"/>
      <c r="N236" s="193"/>
      <c r="O236" s="62"/>
      <c r="P236" s="62"/>
      <c r="Q236" s="62"/>
      <c r="R236" s="62"/>
      <c r="S236" s="62"/>
      <c r="T236" s="63"/>
      <c r="U236" s="32"/>
      <c r="V236" s="32"/>
      <c r="W236" s="32"/>
      <c r="X236" s="32"/>
      <c r="Y236" s="32"/>
      <c r="Z236" s="32"/>
      <c r="AA236" s="32"/>
      <c r="AB236" s="32"/>
      <c r="AC236" s="32"/>
      <c r="AD236" s="32"/>
      <c r="AE236" s="32"/>
      <c r="AT236" s="15" t="s">
        <v>208</v>
      </c>
      <c r="AU236" s="15" t="s">
        <v>79</v>
      </c>
    </row>
    <row r="237" spans="1:65" s="2" customFormat="1" ht="22.15" customHeight="1">
      <c r="A237" s="32"/>
      <c r="B237" s="33"/>
      <c r="C237" s="176" t="s">
        <v>527</v>
      </c>
      <c r="D237" s="176" t="s">
        <v>198</v>
      </c>
      <c r="E237" s="177" t="s">
        <v>528</v>
      </c>
      <c r="F237" s="178" t="s">
        <v>529</v>
      </c>
      <c r="G237" s="179" t="s">
        <v>258</v>
      </c>
      <c r="H237" s="180">
        <v>2</v>
      </c>
      <c r="I237" s="181"/>
      <c r="J237" s="182">
        <f aca="true" t="shared" si="0" ref="J237:J255">ROUND(I237*H237,2)</f>
        <v>0</v>
      </c>
      <c r="K237" s="178" t="s">
        <v>202</v>
      </c>
      <c r="L237" s="37"/>
      <c r="M237" s="183" t="s">
        <v>19</v>
      </c>
      <c r="N237" s="184" t="s">
        <v>41</v>
      </c>
      <c r="O237" s="62"/>
      <c r="P237" s="185">
        <f aca="true" t="shared" si="1" ref="P237:P255">O237*H237</f>
        <v>0</v>
      </c>
      <c r="Q237" s="185">
        <v>0</v>
      </c>
      <c r="R237" s="185">
        <f aca="true" t="shared" si="2" ref="R237:R255">Q237*H237</f>
        <v>0</v>
      </c>
      <c r="S237" s="185">
        <v>0.124</v>
      </c>
      <c r="T237" s="186">
        <f aca="true" t="shared" si="3" ref="T237:T255">S237*H237</f>
        <v>0.248</v>
      </c>
      <c r="U237" s="32"/>
      <c r="V237" s="32"/>
      <c r="W237" s="32"/>
      <c r="X237" s="32"/>
      <c r="Y237" s="32"/>
      <c r="Z237" s="32"/>
      <c r="AA237" s="32"/>
      <c r="AB237" s="32"/>
      <c r="AC237" s="32"/>
      <c r="AD237" s="32"/>
      <c r="AE237" s="32"/>
      <c r="AR237" s="187" t="s">
        <v>203</v>
      </c>
      <c r="AT237" s="187" t="s">
        <v>198</v>
      </c>
      <c r="AU237" s="187" t="s">
        <v>79</v>
      </c>
      <c r="AY237" s="15" t="s">
        <v>196</v>
      </c>
      <c r="BE237" s="188">
        <f aca="true" t="shared" si="4" ref="BE237:BE255">IF(N237="základní",J237,0)</f>
        <v>0</v>
      </c>
      <c r="BF237" s="188">
        <f aca="true" t="shared" si="5" ref="BF237:BF255">IF(N237="snížená",J237,0)</f>
        <v>0</v>
      </c>
      <c r="BG237" s="188">
        <f aca="true" t="shared" si="6" ref="BG237:BG255">IF(N237="zákl. přenesená",J237,0)</f>
        <v>0</v>
      </c>
      <c r="BH237" s="188">
        <f aca="true" t="shared" si="7" ref="BH237:BH255">IF(N237="sníž. přenesená",J237,0)</f>
        <v>0</v>
      </c>
      <c r="BI237" s="188">
        <f aca="true" t="shared" si="8" ref="BI237:BI255">IF(N237="nulová",J237,0)</f>
        <v>0</v>
      </c>
      <c r="BJ237" s="15" t="s">
        <v>77</v>
      </c>
      <c r="BK237" s="188">
        <f aca="true" t="shared" si="9" ref="BK237:BK255">ROUND(I237*H237,2)</f>
        <v>0</v>
      </c>
      <c r="BL237" s="15" t="s">
        <v>203</v>
      </c>
      <c r="BM237" s="187" t="s">
        <v>530</v>
      </c>
    </row>
    <row r="238" spans="1:65" s="2" customFormat="1" ht="22.15" customHeight="1">
      <c r="A238" s="32"/>
      <c r="B238" s="33"/>
      <c r="C238" s="176" t="s">
        <v>531</v>
      </c>
      <c r="D238" s="176" t="s">
        <v>198</v>
      </c>
      <c r="E238" s="177" t="s">
        <v>532</v>
      </c>
      <c r="F238" s="178" t="s">
        <v>533</v>
      </c>
      <c r="G238" s="179" t="s">
        <v>258</v>
      </c>
      <c r="H238" s="180">
        <v>2</v>
      </c>
      <c r="I238" s="181"/>
      <c r="J238" s="182">
        <f t="shared" si="0"/>
        <v>0</v>
      </c>
      <c r="K238" s="178" t="s">
        <v>202</v>
      </c>
      <c r="L238" s="37"/>
      <c r="M238" s="183" t="s">
        <v>19</v>
      </c>
      <c r="N238" s="184" t="s">
        <v>41</v>
      </c>
      <c r="O238" s="62"/>
      <c r="P238" s="185">
        <f t="shared" si="1"/>
        <v>0</v>
      </c>
      <c r="Q238" s="185">
        <v>0</v>
      </c>
      <c r="R238" s="185">
        <f t="shared" si="2"/>
        <v>0</v>
      </c>
      <c r="S238" s="185">
        <v>0.149</v>
      </c>
      <c r="T238" s="186">
        <f t="shared" si="3"/>
        <v>0.298</v>
      </c>
      <c r="U238" s="32"/>
      <c r="V238" s="32"/>
      <c r="W238" s="32"/>
      <c r="X238" s="32"/>
      <c r="Y238" s="32"/>
      <c r="Z238" s="32"/>
      <c r="AA238" s="32"/>
      <c r="AB238" s="32"/>
      <c r="AC238" s="32"/>
      <c r="AD238" s="32"/>
      <c r="AE238" s="32"/>
      <c r="AR238" s="187" t="s">
        <v>203</v>
      </c>
      <c r="AT238" s="187" t="s">
        <v>198</v>
      </c>
      <c r="AU238" s="187" t="s">
        <v>79</v>
      </c>
      <c r="AY238" s="15" t="s">
        <v>196</v>
      </c>
      <c r="BE238" s="188">
        <f t="shared" si="4"/>
        <v>0</v>
      </c>
      <c r="BF238" s="188">
        <f t="shared" si="5"/>
        <v>0</v>
      </c>
      <c r="BG238" s="188">
        <f t="shared" si="6"/>
        <v>0</v>
      </c>
      <c r="BH238" s="188">
        <f t="shared" si="7"/>
        <v>0</v>
      </c>
      <c r="BI238" s="188">
        <f t="shared" si="8"/>
        <v>0</v>
      </c>
      <c r="BJ238" s="15" t="s">
        <v>77</v>
      </c>
      <c r="BK238" s="188">
        <f t="shared" si="9"/>
        <v>0</v>
      </c>
      <c r="BL238" s="15" t="s">
        <v>203</v>
      </c>
      <c r="BM238" s="187" t="s">
        <v>534</v>
      </c>
    </row>
    <row r="239" spans="1:65" s="2" customFormat="1" ht="22.15" customHeight="1">
      <c r="A239" s="32"/>
      <c r="B239" s="33"/>
      <c r="C239" s="176" t="s">
        <v>535</v>
      </c>
      <c r="D239" s="176" t="s">
        <v>198</v>
      </c>
      <c r="E239" s="177" t="s">
        <v>536</v>
      </c>
      <c r="F239" s="178" t="s">
        <v>537</v>
      </c>
      <c r="G239" s="179" t="s">
        <v>258</v>
      </c>
      <c r="H239" s="180">
        <v>3</v>
      </c>
      <c r="I239" s="181"/>
      <c r="J239" s="182">
        <f t="shared" si="0"/>
        <v>0</v>
      </c>
      <c r="K239" s="178" t="s">
        <v>202</v>
      </c>
      <c r="L239" s="37"/>
      <c r="M239" s="183" t="s">
        <v>19</v>
      </c>
      <c r="N239" s="184" t="s">
        <v>41</v>
      </c>
      <c r="O239" s="62"/>
      <c r="P239" s="185">
        <f t="shared" si="1"/>
        <v>0</v>
      </c>
      <c r="Q239" s="185">
        <v>0</v>
      </c>
      <c r="R239" s="185">
        <f t="shared" si="2"/>
        <v>0</v>
      </c>
      <c r="S239" s="185">
        <v>0.344</v>
      </c>
      <c r="T239" s="186">
        <f t="shared" si="3"/>
        <v>1.032</v>
      </c>
      <c r="U239" s="32"/>
      <c r="V239" s="32"/>
      <c r="W239" s="32"/>
      <c r="X239" s="32"/>
      <c r="Y239" s="32"/>
      <c r="Z239" s="32"/>
      <c r="AA239" s="32"/>
      <c r="AB239" s="32"/>
      <c r="AC239" s="32"/>
      <c r="AD239" s="32"/>
      <c r="AE239" s="32"/>
      <c r="AR239" s="187" t="s">
        <v>203</v>
      </c>
      <c r="AT239" s="187" t="s">
        <v>198</v>
      </c>
      <c r="AU239" s="187" t="s">
        <v>79</v>
      </c>
      <c r="AY239" s="15" t="s">
        <v>196</v>
      </c>
      <c r="BE239" s="188">
        <f t="shared" si="4"/>
        <v>0</v>
      </c>
      <c r="BF239" s="188">
        <f t="shared" si="5"/>
        <v>0</v>
      </c>
      <c r="BG239" s="188">
        <f t="shared" si="6"/>
        <v>0</v>
      </c>
      <c r="BH239" s="188">
        <f t="shared" si="7"/>
        <v>0</v>
      </c>
      <c r="BI239" s="188">
        <f t="shared" si="8"/>
        <v>0</v>
      </c>
      <c r="BJ239" s="15" t="s">
        <v>77</v>
      </c>
      <c r="BK239" s="188">
        <f t="shared" si="9"/>
        <v>0</v>
      </c>
      <c r="BL239" s="15" t="s">
        <v>203</v>
      </c>
      <c r="BM239" s="187" t="s">
        <v>538</v>
      </c>
    </row>
    <row r="240" spans="1:65" s="2" customFormat="1" ht="22.15" customHeight="1">
      <c r="A240" s="32"/>
      <c r="B240" s="33"/>
      <c r="C240" s="176" t="s">
        <v>539</v>
      </c>
      <c r="D240" s="176" t="s">
        <v>198</v>
      </c>
      <c r="E240" s="177" t="s">
        <v>540</v>
      </c>
      <c r="F240" s="178" t="s">
        <v>541</v>
      </c>
      <c r="G240" s="179" t="s">
        <v>258</v>
      </c>
      <c r="H240" s="180">
        <v>4</v>
      </c>
      <c r="I240" s="181"/>
      <c r="J240" s="182">
        <f t="shared" si="0"/>
        <v>0</v>
      </c>
      <c r="K240" s="178" t="s">
        <v>202</v>
      </c>
      <c r="L240" s="37"/>
      <c r="M240" s="183" t="s">
        <v>19</v>
      </c>
      <c r="N240" s="184" t="s">
        <v>41</v>
      </c>
      <c r="O240" s="62"/>
      <c r="P240" s="185">
        <f t="shared" si="1"/>
        <v>0</v>
      </c>
      <c r="Q240" s="185">
        <v>0</v>
      </c>
      <c r="R240" s="185">
        <f t="shared" si="2"/>
        <v>0</v>
      </c>
      <c r="S240" s="185">
        <v>0.413</v>
      </c>
      <c r="T240" s="186">
        <f t="shared" si="3"/>
        <v>1.652</v>
      </c>
      <c r="U240" s="32"/>
      <c r="V240" s="32"/>
      <c r="W240" s="32"/>
      <c r="X240" s="32"/>
      <c r="Y240" s="32"/>
      <c r="Z240" s="32"/>
      <c r="AA240" s="32"/>
      <c r="AB240" s="32"/>
      <c r="AC240" s="32"/>
      <c r="AD240" s="32"/>
      <c r="AE240" s="32"/>
      <c r="AR240" s="187" t="s">
        <v>203</v>
      </c>
      <c r="AT240" s="187" t="s">
        <v>198</v>
      </c>
      <c r="AU240" s="187" t="s">
        <v>79</v>
      </c>
      <c r="AY240" s="15" t="s">
        <v>196</v>
      </c>
      <c r="BE240" s="188">
        <f t="shared" si="4"/>
        <v>0</v>
      </c>
      <c r="BF240" s="188">
        <f t="shared" si="5"/>
        <v>0</v>
      </c>
      <c r="BG240" s="188">
        <f t="shared" si="6"/>
        <v>0</v>
      </c>
      <c r="BH240" s="188">
        <f t="shared" si="7"/>
        <v>0</v>
      </c>
      <c r="BI240" s="188">
        <f t="shared" si="8"/>
        <v>0</v>
      </c>
      <c r="BJ240" s="15" t="s">
        <v>77</v>
      </c>
      <c r="BK240" s="188">
        <f t="shared" si="9"/>
        <v>0</v>
      </c>
      <c r="BL240" s="15" t="s">
        <v>203</v>
      </c>
      <c r="BM240" s="187" t="s">
        <v>542</v>
      </c>
    </row>
    <row r="241" spans="1:65" s="2" customFormat="1" ht="22.15" customHeight="1">
      <c r="A241" s="32"/>
      <c r="B241" s="33"/>
      <c r="C241" s="176" t="s">
        <v>543</v>
      </c>
      <c r="D241" s="176" t="s">
        <v>198</v>
      </c>
      <c r="E241" s="177" t="s">
        <v>544</v>
      </c>
      <c r="F241" s="178" t="s">
        <v>545</v>
      </c>
      <c r="G241" s="179" t="s">
        <v>201</v>
      </c>
      <c r="H241" s="180">
        <v>1.058</v>
      </c>
      <c r="I241" s="181"/>
      <c r="J241" s="182">
        <f t="shared" si="0"/>
        <v>0</v>
      </c>
      <c r="K241" s="178" t="s">
        <v>202</v>
      </c>
      <c r="L241" s="37"/>
      <c r="M241" s="183" t="s">
        <v>19</v>
      </c>
      <c r="N241" s="184" t="s">
        <v>41</v>
      </c>
      <c r="O241" s="62"/>
      <c r="P241" s="185">
        <f t="shared" si="1"/>
        <v>0</v>
      </c>
      <c r="Q241" s="185">
        <v>0</v>
      </c>
      <c r="R241" s="185">
        <f t="shared" si="2"/>
        <v>0</v>
      </c>
      <c r="S241" s="185">
        <v>1.8</v>
      </c>
      <c r="T241" s="186">
        <f t="shared" si="3"/>
        <v>1.9044</v>
      </c>
      <c r="U241" s="32"/>
      <c r="V241" s="32"/>
      <c r="W241" s="32"/>
      <c r="X241" s="32"/>
      <c r="Y241" s="32"/>
      <c r="Z241" s="32"/>
      <c r="AA241" s="32"/>
      <c r="AB241" s="32"/>
      <c r="AC241" s="32"/>
      <c r="AD241" s="32"/>
      <c r="AE241" s="32"/>
      <c r="AR241" s="187" t="s">
        <v>203</v>
      </c>
      <c r="AT241" s="187" t="s">
        <v>198</v>
      </c>
      <c r="AU241" s="187" t="s">
        <v>79</v>
      </c>
      <c r="AY241" s="15" t="s">
        <v>196</v>
      </c>
      <c r="BE241" s="188">
        <f t="shared" si="4"/>
        <v>0</v>
      </c>
      <c r="BF241" s="188">
        <f t="shared" si="5"/>
        <v>0</v>
      </c>
      <c r="BG241" s="188">
        <f t="shared" si="6"/>
        <v>0</v>
      </c>
      <c r="BH241" s="188">
        <f t="shared" si="7"/>
        <v>0</v>
      </c>
      <c r="BI241" s="188">
        <f t="shared" si="8"/>
        <v>0</v>
      </c>
      <c r="BJ241" s="15" t="s">
        <v>77</v>
      </c>
      <c r="BK241" s="188">
        <f t="shared" si="9"/>
        <v>0</v>
      </c>
      <c r="BL241" s="15" t="s">
        <v>203</v>
      </c>
      <c r="BM241" s="187" t="s">
        <v>546</v>
      </c>
    </row>
    <row r="242" spans="1:65" s="2" customFormat="1" ht="22.15" customHeight="1">
      <c r="A242" s="32"/>
      <c r="B242" s="33"/>
      <c r="C242" s="176" t="s">
        <v>547</v>
      </c>
      <c r="D242" s="176" t="s">
        <v>198</v>
      </c>
      <c r="E242" s="177" t="s">
        <v>548</v>
      </c>
      <c r="F242" s="178" t="s">
        <v>549</v>
      </c>
      <c r="G242" s="179" t="s">
        <v>201</v>
      </c>
      <c r="H242" s="180">
        <v>2.256</v>
      </c>
      <c r="I242" s="181"/>
      <c r="J242" s="182">
        <f t="shared" si="0"/>
        <v>0</v>
      </c>
      <c r="K242" s="178" t="s">
        <v>202</v>
      </c>
      <c r="L242" s="37"/>
      <c r="M242" s="183" t="s">
        <v>19</v>
      </c>
      <c r="N242" s="184" t="s">
        <v>41</v>
      </c>
      <c r="O242" s="62"/>
      <c r="P242" s="185">
        <f t="shared" si="1"/>
        <v>0</v>
      </c>
      <c r="Q242" s="185">
        <v>0</v>
      </c>
      <c r="R242" s="185">
        <f t="shared" si="2"/>
        <v>0</v>
      </c>
      <c r="S242" s="185">
        <v>1.8</v>
      </c>
      <c r="T242" s="186">
        <f t="shared" si="3"/>
        <v>4.0607999999999995</v>
      </c>
      <c r="U242" s="32"/>
      <c r="V242" s="32"/>
      <c r="W242" s="32"/>
      <c r="X242" s="32"/>
      <c r="Y242" s="32"/>
      <c r="Z242" s="32"/>
      <c r="AA242" s="32"/>
      <c r="AB242" s="32"/>
      <c r="AC242" s="32"/>
      <c r="AD242" s="32"/>
      <c r="AE242" s="32"/>
      <c r="AR242" s="187" t="s">
        <v>203</v>
      </c>
      <c r="AT242" s="187" t="s">
        <v>198</v>
      </c>
      <c r="AU242" s="187" t="s">
        <v>79</v>
      </c>
      <c r="AY242" s="15" t="s">
        <v>196</v>
      </c>
      <c r="BE242" s="188">
        <f t="shared" si="4"/>
        <v>0</v>
      </c>
      <c r="BF242" s="188">
        <f t="shared" si="5"/>
        <v>0</v>
      </c>
      <c r="BG242" s="188">
        <f t="shared" si="6"/>
        <v>0</v>
      </c>
      <c r="BH242" s="188">
        <f t="shared" si="7"/>
        <v>0</v>
      </c>
      <c r="BI242" s="188">
        <f t="shared" si="8"/>
        <v>0</v>
      </c>
      <c r="BJ242" s="15" t="s">
        <v>77</v>
      </c>
      <c r="BK242" s="188">
        <f t="shared" si="9"/>
        <v>0</v>
      </c>
      <c r="BL242" s="15" t="s">
        <v>203</v>
      </c>
      <c r="BM242" s="187" t="s">
        <v>550</v>
      </c>
    </row>
    <row r="243" spans="1:65" s="2" customFormat="1" ht="13.9" customHeight="1">
      <c r="A243" s="32"/>
      <c r="B243" s="33"/>
      <c r="C243" s="176" t="s">
        <v>551</v>
      </c>
      <c r="D243" s="176" t="s">
        <v>198</v>
      </c>
      <c r="E243" s="177" t="s">
        <v>552</v>
      </c>
      <c r="F243" s="178" t="s">
        <v>553</v>
      </c>
      <c r="G243" s="179" t="s">
        <v>310</v>
      </c>
      <c r="H243" s="180">
        <v>55</v>
      </c>
      <c r="I243" s="181"/>
      <c r="J243" s="182">
        <f t="shared" si="0"/>
        <v>0</v>
      </c>
      <c r="K243" s="178" t="s">
        <v>202</v>
      </c>
      <c r="L243" s="37"/>
      <c r="M243" s="183" t="s">
        <v>19</v>
      </c>
      <c r="N243" s="184" t="s">
        <v>41</v>
      </c>
      <c r="O243" s="62"/>
      <c r="P243" s="185">
        <f t="shared" si="1"/>
        <v>0</v>
      </c>
      <c r="Q243" s="185">
        <v>0</v>
      </c>
      <c r="R243" s="185">
        <f t="shared" si="2"/>
        <v>0</v>
      </c>
      <c r="S243" s="185">
        <v>0.027</v>
      </c>
      <c r="T243" s="186">
        <f t="shared" si="3"/>
        <v>1.4849999999999999</v>
      </c>
      <c r="U243" s="32"/>
      <c r="V243" s="32"/>
      <c r="W243" s="32"/>
      <c r="X243" s="32"/>
      <c r="Y243" s="32"/>
      <c r="Z243" s="32"/>
      <c r="AA243" s="32"/>
      <c r="AB243" s="32"/>
      <c r="AC243" s="32"/>
      <c r="AD243" s="32"/>
      <c r="AE243" s="32"/>
      <c r="AR243" s="187" t="s">
        <v>203</v>
      </c>
      <c r="AT243" s="187" t="s">
        <v>198</v>
      </c>
      <c r="AU243" s="187" t="s">
        <v>79</v>
      </c>
      <c r="AY243" s="15" t="s">
        <v>196</v>
      </c>
      <c r="BE243" s="188">
        <f t="shared" si="4"/>
        <v>0</v>
      </c>
      <c r="BF243" s="188">
        <f t="shared" si="5"/>
        <v>0</v>
      </c>
      <c r="BG243" s="188">
        <f t="shared" si="6"/>
        <v>0</v>
      </c>
      <c r="BH243" s="188">
        <f t="shared" si="7"/>
        <v>0</v>
      </c>
      <c r="BI243" s="188">
        <f t="shared" si="8"/>
        <v>0</v>
      </c>
      <c r="BJ243" s="15" t="s">
        <v>77</v>
      </c>
      <c r="BK243" s="188">
        <f t="shared" si="9"/>
        <v>0</v>
      </c>
      <c r="BL243" s="15" t="s">
        <v>203</v>
      </c>
      <c r="BM243" s="187" t="s">
        <v>554</v>
      </c>
    </row>
    <row r="244" spans="1:65" s="2" customFormat="1" ht="13.9" customHeight="1">
      <c r="A244" s="32"/>
      <c r="B244" s="33"/>
      <c r="C244" s="176" t="s">
        <v>555</v>
      </c>
      <c r="D244" s="176" t="s">
        <v>198</v>
      </c>
      <c r="E244" s="177" t="s">
        <v>556</v>
      </c>
      <c r="F244" s="178" t="s">
        <v>557</v>
      </c>
      <c r="G244" s="179" t="s">
        <v>310</v>
      </c>
      <c r="H244" s="180">
        <v>70</v>
      </c>
      <c r="I244" s="181"/>
      <c r="J244" s="182">
        <f t="shared" si="0"/>
        <v>0</v>
      </c>
      <c r="K244" s="178" t="s">
        <v>202</v>
      </c>
      <c r="L244" s="37"/>
      <c r="M244" s="183" t="s">
        <v>19</v>
      </c>
      <c r="N244" s="184" t="s">
        <v>41</v>
      </c>
      <c r="O244" s="62"/>
      <c r="P244" s="185">
        <f t="shared" si="1"/>
        <v>0</v>
      </c>
      <c r="Q244" s="185">
        <v>0</v>
      </c>
      <c r="R244" s="185">
        <f t="shared" si="2"/>
        <v>0</v>
      </c>
      <c r="S244" s="185">
        <v>0.054</v>
      </c>
      <c r="T244" s="186">
        <f t="shared" si="3"/>
        <v>3.78</v>
      </c>
      <c r="U244" s="32"/>
      <c r="V244" s="32"/>
      <c r="W244" s="32"/>
      <c r="X244" s="32"/>
      <c r="Y244" s="32"/>
      <c r="Z244" s="32"/>
      <c r="AA244" s="32"/>
      <c r="AB244" s="32"/>
      <c r="AC244" s="32"/>
      <c r="AD244" s="32"/>
      <c r="AE244" s="32"/>
      <c r="AR244" s="187" t="s">
        <v>203</v>
      </c>
      <c r="AT244" s="187" t="s">
        <v>198</v>
      </c>
      <c r="AU244" s="187" t="s">
        <v>79</v>
      </c>
      <c r="AY244" s="15" t="s">
        <v>196</v>
      </c>
      <c r="BE244" s="188">
        <f t="shared" si="4"/>
        <v>0</v>
      </c>
      <c r="BF244" s="188">
        <f t="shared" si="5"/>
        <v>0</v>
      </c>
      <c r="BG244" s="188">
        <f t="shared" si="6"/>
        <v>0</v>
      </c>
      <c r="BH244" s="188">
        <f t="shared" si="7"/>
        <v>0</v>
      </c>
      <c r="BI244" s="188">
        <f t="shared" si="8"/>
        <v>0</v>
      </c>
      <c r="BJ244" s="15" t="s">
        <v>77</v>
      </c>
      <c r="BK244" s="188">
        <f t="shared" si="9"/>
        <v>0</v>
      </c>
      <c r="BL244" s="15" t="s">
        <v>203</v>
      </c>
      <c r="BM244" s="187" t="s">
        <v>558</v>
      </c>
    </row>
    <row r="245" spans="1:65" s="2" customFormat="1" ht="22.15" customHeight="1">
      <c r="A245" s="32"/>
      <c r="B245" s="33"/>
      <c r="C245" s="176" t="s">
        <v>559</v>
      </c>
      <c r="D245" s="176" t="s">
        <v>198</v>
      </c>
      <c r="E245" s="177" t="s">
        <v>560</v>
      </c>
      <c r="F245" s="178" t="s">
        <v>561</v>
      </c>
      <c r="G245" s="179" t="s">
        <v>310</v>
      </c>
      <c r="H245" s="180">
        <v>45</v>
      </c>
      <c r="I245" s="181"/>
      <c r="J245" s="182">
        <f t="shared" si="0"/>
        <v>0</v>
      </c>
      <c r="K245" s="178" t="s">
        <v>202</v>
      </c>
      <c r="L245" s="37"/>
      <c r="M245" s="183" t="s">
        <v>19</v>
      </c>
      <c r="N245" s="184" t="s">
        <v>41</v>
      </c>
      <c r="O245" s="62"/>
      <c r="P245" s="185">
        <f t="shared" si="1"/>
        <v>0</v>
      </c>
      <c r="Q245" s="185">
        <v>0</v>
      </c>
      <c r="R245" s="185">
        <f t="shared" si="2"/>
        <v>0</v>
      </c>
      <c r="S245" s="185">
        <v>0.042</v>
      </c>
      <c r="T245" s="186">
        <f t="shared" si="3"/>
        <v>1.8900000000000001</v>
      </c>
      <c r="U245" s="32"/>
      <c r="V245" s="32"/>
      <c r="W245" s="32"/>
      <c r="X245" s="32"/>
      <c r="Y245" s="32"/>
      <c r="Z245" s="32"/>
      <c r="AA245" s="32"/>
      <c r="AB245" s="32"/>
      <c r="AC245" s="32"/>
      <c r="AD245" s="32"/>
      <c r="AE245" s="32"/>
      <c r="AR245" s="187" t="s">
        <v>203</v>
      </c>
      <c r="AT245" s="187" t="s">
        <v>198</v>
      </c>
      <c r="AU245" s="187" t="s">
        <v>79</v>
      </c>
      <c r="AY245" s="15" t="s">
        <v>196</v>
      </c>
      <c r="BE245" s="188">
        <f t="shared" si="4"/>
        <v>0</v>
      </c>
      <c r="BF245" s="188">
        <f t="shared" si="5"/>
        <v>0</v>
      </c>
      <c r="BG245" s="188">
        <f t="shared" si="6"/>
        <v>0</v>
      </c>
      <c r="BH245" s="188">
        <f t="shared" si="7"/>
        <v>0</v>
      </c>
      <c r="BI245" s="188">
        <f t="shared" si="8"/>
        <v>0</v>
      </c>
      <c r="BJ245" s="15" t="s">
        <v>77</v>
      </c>
      <c r="BK245" s="188">
        <f t="shared" si="9"/>
        <v>0</v>
      </c>
      <c r="BL245" s="15" t="s">
        <v>203</v>
      </c>
      <c r="BM245" s="187" t="s">
        <v>562</v>
      </c>
    </row>
    <row r="246" spans="1:65" s="2" customFormat="1" ht="22.15" customHeight="1">
      <c r="A246" s="32"/>
      <c r="B246" s="33"/>
      <c r="C246" s="176" t="s">
        <v>563</v>
      </c>
      <c r="D246" s="176" t="s">
        <v>198</v>
      </c>
      <c r="E246" s="177" t="s">
        <v>564</v>
      </c>
      <c r="F246" s="178" t="s">
        <v>565</v>
      </c>
      <c r="G246" s="179" t="s">
        <v>310</v>
      </c>
      <c r="H246" s="180">
        <v>0.7</v>
      </c>
      <c r="I246" s="181"/>
      <c r="J246" s="182">
        <f t="shared" si="0"/>
        <v>0</v>
      </c>
      <c r="K246" s="178" t="s">
        <v>202</v>
      </c>
      <c r="L246" s="37"/>
      <c r="M246" s="183" t="s">
        <v>19</v>
      </c>
      <c r="N246" s="184" t="s">
        <v>41</v>
      </c>
      <c r="O246" s="62"/>
      <c r="P246" s="185">
        <f t="shared" si="1"/>
        <v>0</v>
      </c>
      <c r="Q246" s="185">
        <v>0</v>
      </c>
      <c r="R246" s="185">
        <f t="shared" si="2"/>
        <v>0</v>
      </c>
      <c r="S246" s="185">
        <v>0.065</v>
      </c>
      <c r="T246" s="186">
        <f t="shared" si="3"/>
        <v>0.0455</v>
      </c>
      <c r="U246" s="32"/>
      <c r="V246" s="32"/>
      <c r="W246" s="32"/>
      <c r="X246" s="32"/>
      <c r="Y246" s="32"/>
      <c r="Z246" s="32"/>
      <c r="AA246" s="32"/>
      <c r="AB246" s="32"/>
      <c r="AC246" s="32"/>
      <c r="AD246" s="32"/>
      <c r="AE246" s="32"/>
      <c r="AR246" s="187" t="s">
        <v>203</v>
      </c>
      <c r="AT246" s="187" t="s">
        <v>198</v>
      </c>
      <c r="AU246" s="187" t="s">
        <v>79</v>
      </c>
      <c r="AY246" s="15" t="s">
        <v>196</v>
      </c>
      <c r="BE246" s="188">
        <f t="shared" si="4"/>
        <v>0</v>
      </c>
      <c r="BF246" s="188">
        <f t="shared" si="5"/>
        <v>0</v>
      </c>
      <c r="BG246" s="188">
        <f t="shared" si="6"/>
        <v>0</v>
      </c>
      <c r="BH246" s="188">
        <f t="shared" si="7"/>
        <v>0</v>
      </c>
      <c r="BI246" s="188">
        <f t="shared" si="8"/>
        <v>0</v>
      </c>
      <c r="BJ246" s="15" t="s">
        <v>77</v>
      </c>
      <c r="BK246" s="188">
        <f t="shared" si="9"/>
        <v>0</v>
      </c>
      <c r="BL246" s="15" t="s">
        <v>203</v>
      </c>
      <c r="BM246" s="187" t="s">
        <v>566</v>
      </c>
    </row>
    <row r="247" spans="1:65" s="2" customFormat="1" ht="13.9" customHeight="1">
      <c r="A247" s="32"/>
      <c r="B247" s="33"/>
      <c r="C247" s="176" t="s">
        <v>567</v>
      </c>
      <c r="D247" s="176" t="s">
        <v>198</v>
      </c>
      <c r="E247" s="177" t="s">
        <v>568</v>
      </c>
      <c r="F247" s="178" t="s">
        <v>569</v>
      </c>
      <c r="G247" s="179" t="s">
        <v>310</v>
      </c>
      <c r="H247" s="180">
        <v>45.5</v>
      </c>
      <c r="I247" s="181"/>
      <c r="J247" s="182">
        <f t="shared" si="0"/>
        <v>0</v>
      </c>
      <c r="K247" s="178" t="s">
        <v>202</v>
      </c>
      <c r="L247" s="37"/>
      <c r="M247" s="183" t="s">
        <v>19</v>
      </c>
      <c r="N247" s="184" t="s">
        <v>41</v>
      </c>
      <c r="O247" s="62"/>
      <c r="P247" s="185">
        <f t="shared" si="1"/>
        <v>0</v>
      </c>
      <c r="Q247" s="185">
        <v>0</v>
      </c>
      <c r="R247" s="185">
        <f t="shared" si="2"/>
        <v>0</v>
      </c>
      <c r="S247" s="185">
        <v>0.022</v>
      </c>
      <c r="T247" s="186">
        <f t="shared" si="3"/>
        <v>1.001</v>
      </c>
      <c r="U247" s="32"/>
      <c r="V247" s="32"/>
      <c r="W247" s="32"/>
      <c r="X247" s="32"/>
      <c r="Y247" s="32"/>
      <c r="Z247" s="32"/>
      <c r="AA247" s="32"/>
      <c r="AB247" s="32"/>
      <c r="AC247" s="32"/>
      <c r="AD247" s="32"/>
      <c r="AE247" s="32"/>
      <c r="AR247" s="187" t="s">
        <v>203</v>
      </c>
      <c r="AT247" s="187" t="s">
        <v>198</v>
      </c>
      <c r="AU247" s="187" t="s">
        <v>79</v>
      </c>
      <c r="AY247" s="15" t="s">
        <v>196</v>
      </c>
      <c r="BE247" s="188">
        <f t="shared" si="4"/>
        <v>0</v>
      </c>
      <c r="BF247" s="188">
        <f t="shared" si="5"/>
        <v>0</v>
      </c>
      <c r="BG247" s="188">
        <f t="shared" si="6"/>
        <v>0</v>
      </c>
      <c r="BH247" s="188">
        <f t="shared" si="7"/>
        <v>0</v>
      </c>
      <c r="BI247" s="188">
        <f t="shared" si="8"/>
        <v>0</v>
      </c>
      <c r="BJ247" s="15" t="s">
        <v>77</v>
      </c>
      <c r="BK247" s="188">
        <f t="shared" si="9"/>
        <v>0</v>
      </c>
      <c r="BL247" s="15" t="s">
        <v>203</v>
      </c>
      <c r="BM247" s="187" t="s">
        <v>570</v>
      </c>
    </row>
    <row r="248" spans="1:65" s="2" customFormat="1" ht="13.9" customHeight="1">
      <c r="A248" s="32"/>
      <c r="B248" s="33"/>
      <c r="C248" s="176" t="s">
        <v>571</v>
      </c>
      <c r="D248" s="176" t="s">
        <v>198</v>
      </c>
      <c r="E248" s="177" t="s">
        <v>572</v>
      </c>
      <c r="F248" s="178" t="s">
        <v>573</v>
      </c>
      <c r="G248" s="179" t="s">
        <v>310</v>
      </c>
      <c r="H248" s="180">
        <v>4</v>
      </c>
      <c r="I248" s="181"/>
      <c r="J248" s="182">
        <f t="shared" si="0"/>
        <v>0</v>
      </c>
      <c r="K248" s="178" t="s">
        <v>202</v>
      </c>
      <c r="L248" s="37"/>
      <c r="M248" s="183" t="s">
        <v>19</v>
      </c>
      <c r="N248" s="184" t="s">
        <v>41</v>
      </c>
      <c r="O248" s="62"/>
      <c r="P248" s="185">
        <f t="shared" si="1"/>
        <v>0</v>
      </c>
      <c r="Q248" s="185">
        <v>0</v>
      </c>
      <c r="R248" s="185">
        <f t="shared" si="2"/>
        <v>0</v>
      </c>
      <c r="S248" s="185">
        <v>0.066</v>
      </c>
      <c r="T248" s="186">
        <f t="shared" si="3"/>
        <v>0.264</v>
      </c>
      <c r="U248" s="32"/>
      <c r="V248" s="32"/>
      <c r="W248" s="32"/>
      <c r="X248" s="32"/>
      <c r="Y248" s="32"/>
      <c r="Z248" s="32"/>
      <c r="AA248" s="32"/>
      <c r="AB248" s="32"/>
      <c r="AC248" s="32"/>
      <c r="AD248" s="32"/>
      <c r="AE248" s="32"/>
      <c r="AR248" s="187" t="s">
        <v>203</v>
      </c>
      <c r="AT248" s="187" t="s">
        <v>198</v>
      </c>
      <c r="AU248" s="187" t="s">
        <v>79</v>
      </c>
      <c r="AY248" s="15" t="s">
        <v>196</v>
      </c>
      <c r="BE248" s="188">
        <f t="shared" si="4"/>
        <v>0</v>
      </c>
      <c r="BF248" s="188">
        <f t="shared" si="5"/>
        <v>0</v>
      </c>
      <c r="BG248" s="188">
        <f t="shared" si="6"/>
        <v>0</v>
      </c>
      <c r="BH248" s="188">
        <f t="shared" si="7"/>
        <v>0</v>
      </c>
      <c r="BI248" s="188">
        <f t="shared" si="8"/>
        <v>0</v>
      </c>
      <c r="BJ248" s="15" t="s">
        <v>77</v>
      </c>
      <c r="BK248" s="188">
        <f t="shared" si="9"/>
        <v>0</v>
      </c>
      <c r="BL248" s="15" t="s">
        <v>203</v>
      </c>
      <c r="BM248" s="187" t="s">
        <v>574</v>
      </c>
    </row>
    <row r="249" spans="1:65" s="2" customFormat="1" ht="22.15" customHeight="1">
      <c r="A249" s="32"/>
      <c r="B249" s="33"/>
      <c r="C249" s="176" t="s">
        <v>575</v>
      </c>
      <c r="D249" s="176" t="s">
        <v>198</v>
      </c>
      <c r="E249" s="177" t="s">
        <v>576</v>
      </c>
      <c r="F249" s="178" t="s">
        <v>577</v>
      </c>
      <c r="G249" s="179" t="s">
        <v>310</v>
      </c>
      <c r="H249" s="180">
        <v>4</v>
      </c>
      <c r="I249" s="181"/>
      <c r="J249" s="182">
        <f t="shared" si="0"/>
        <v>0</v>
      </c>
      <c r="K249" s="178" t="s">
        <v>202</v>
      </c>
      <c r="L249" s="37"/>
      <c r="M249" s="183" t="s">
        <v>19</v>
      </c>
      <c r="N249" s="184" t="s">
        <v>41</v>
      </c>
      <c r="O249" s="62"/>
      <c r="P249" s="185">
        <f t="shared" si="1"/>
        <v>0</v>
      </c>
      <c r="Q249" s="185">
        <v>0</v>
      </c>
      <c r="R249" s="185">
        <f t="shared" si="2"/>
        <v>0</v>
      </c>
      <c r="S249" s="185">
        <v>0.022</v>
      </c>
      <c r="T249" s="186">
        <f t="shared" si="3"/>
        <v>0.088</v>
      </c>
      <c r="U249" s="32"/>
      <c r="V249" s="32"/>
      <c r="W249" s="32"/>
      <c r="X249" s="32"/>
      <c r="Y249" s="32"/>
      <c r="Z249" s="32"/>
      <c r="AA249" s="32"/>
      <c r="AB249" s="32"/>
      <c r="AC249" s="32"/>
      <c r="AD249" s="32"/>
      <c r="AE249" s="32"/>
      <c r="AR249" s="187" t="s">
        <v>203</v>
      </c>
      <c r="AT249" s="187" t="s">
        <v>198</v>
      </c>
      <c r="AU249" s="187" t="s">
        <v>79</v>
      </c>
      <c r="AY249" s="15" t="s">
        <v>196</v>
      </c>
      <c r="BE249" s="188">
        <f t="shared" si="4"/>
        <v>0</v>
      </c>
      <c r="BF249" s="188">
        <f t="shared" si="5"/>
        <v>0</v>
      </c>
      <c r="BG249" s="188">
        <f t="shared" si="6"/>
        <v>0</v>
      </c>
      <c r="BH249" s="188">
        <f t="shared" si="7"/>
        <v>0</v>
      </c>
      <c r="BI249" s="188">
        <f t="shared" si="8"/>
        <v>0</v>
      </c>
      <c r="BJ249" s="15" t="s">
        <v>77</v>
      </c>
      <c r="BK249" s="188">
        <f t="shared" si="9"/>
        <v>0</v>
      </c>
      <c r="BL249" s="15" t="s">
        <v>203</v>
      </c>
      <c r="BM249" s="187" t="s">
        <v>578</v>
      </c>
    </row>
    <row r="250" spans="1:65" s="2" customFormat="1" ht="13.9" customHeight="1">
      <c r="A250" s="32"/>
      <c r="B250" s="33"/>
      <c r="C250" s="176" t="s">
        <v>579</v>
      </c>
      <c r="D250" s="176" t="s">
        <v>198</v>
      </c>
      <c r="E250" s="177" t="s">
        <v>580</v>
      </c>
      <c r="F250" s="178" t="s">
        <v>581</v>
      </c>
      <c r="G250" s="179" t="s">
        <v>310</v>
      </c>
      <c r="H250" s="180">
        <v>26.2</v>
      </c>
      <c r="I250" s="181"/>
      <c r="J250" s="182">
        <f t="shared" si="0"/>
        <v>0</v>
      </c>
      <c r="K250" s="178" t="s">
        <v>202</v>
      </c>
      <c r="L250" s="37"/>
      <c r="M250" s="183" t="s">
        <v>19</v>
      </c>
      <c r="N250" s="184" t="s">
        <v>41</v>
      </c>
      <c r="O250" s="62"/>
      <c r="P250" s="185">
        <f t="shared" si="1"/>
        <v>0</v>
      </c>
      <c r="Q250" s="185">
        <v>0</v>
      </c>
      <c r="R250" s="185">
        <f t="shared" si="2"/>
        <v>0</v>
      </c>
      <c r="S250" s="185">
        <v>0.132</v>
      </c>
      <c r="T250" s="186">
        <f t="shared" si="3"/>
        <v>3.4584</v>
      </c>
      <c r="U250" s="32"/>
      <c r="V250" s="32"/>
      <c r="W250" s="32"/>
      <c r="X250" s="32"/>
      <c r="Y250" s="32"/>
      <c r="Z250" s="32"/>
      <c r="AA250" s="32"/>
      <c r="AB250" s="32"/>
      <c r="AC250" s="32"/>
      <c r="AD250" s="32"/>
      <c r="AE250" s="32"/>
      <c r="AR250" s="187" t="s">
        <v>203</v>
      </c>
      <c r="AT250" s="187" t="s">
        <v>198</v>
      </c>
      <c r="AU250" s="187" t="s">
        <v>79</v>
      </c>
      <c r="AY250" s="15" t="s">
        <v>196</v>
      </c>
      <c r="BE250" s="188">
        <f t="shared" si="4"/>
        <v>0</v>
      </c>
      <c r="BF250" s="188">
        <f t="shared" si="5"/>
        <v>0</v>
      </c>
      <c r="BG250" s="188">
        <f t="shared" si="6"/>
        <v>0</v>
      </c>
      <c r="BH250" s="188">
        <f t="shared" si="7"/>
        <v>0</v>
      </c>
      <c r="BI250" s="188">
        <f t="shared" si="8"/>
        <v>0</v>
      </c>
      <c r="BJ250" s="15" t="s">
        <v>77</v>
      </c>
      <c r="BK250" s="188">
        <f t="shared" si="9"/>
        <v>0</v>
      </c>
      <c r="BL250" s="15" t="s">
        <v>203</v>
      </c>
      <c r="BM250" s="187" t="s">
        <v>582</v>
      </c>
    </row>
    <row r="251" spans="1:65" s="2" customFormat="1" ht="22.15" customHeight="1">
      <c r="A251" s="32"/>
      <c r="B251" s="33"/>
      <c r="C251" s="176" t="s">
        <v>583</v>
      </c>
      <c r="D251" s="176" t="s">
        <v>198</v>
      </c>
      <c r="E251" s="177" t="s">
        <v>584</v>
      </c>
      <c r="F251" s="178" t="s">
        <v>585</v>
      </c>
      <c r="G251" s="179" t="s">
        <v>310</v>
      </c>
      <c r="H251" s="180">
        <v>262</v>
      </c>
      <c r="I251" s="181"/>
      <c r="J251" s="182">
        <f t="shared" si="0"/>
        <v>0</v>
      </c>
      <c r="K251" s="178" t="s">
        <v>202</v>
      </c>
      <c r="L251" s="37"/>
      <c r="M251" s="183" t="s">
        <v>19</v>
      </c>
      <c r="N251" s="184" t="s">
        <v>41</v>
      </c>
      <c r="O251" s="62"/>
      <c r="P251" s="185">
        <f t="shared" si="1"/>
        <v>0</v>
      </c>
      <c r="Q251" s="185">
        <v>0</v>
      </c>
      <c r="R251" s="185">
        <f t="shared" si="2"/>
        <v>0</v>
      </c>
      <c r="S251" s="185">
        <v>0.044</v>
      </c>
      <c r="T251" s="186">
        <f t="shared" si="3"/>
        <v>11.527999999999999</v>
      </c>
      <c r="U251" s="32"/>
      <c r="V251" s="32"/>
      <c r="W251" s="32"/>
      <c r="X251" s="32"/>
      <c r="Y251" s="32"/>
      <c r="Z251" s="32"/>
      <c r="AA251" s="32"/>
      <c r="AB251" s="32"/>
      <c r="AC251" s="32"/>
      <c r="AD251" s="32"/>
      <c r="AE251" s="32"/>
      <c r="AR251" s="187" t="s">
        <v>203</v>
      </c>
      <c r="AT251" s="187" t="s">
        <v>198</v>
      </c>
      <c r="AU251" s="187" t="s">
        <v>79</v>
      </c>
      <c r="AY251" s="15" t="s">
        <v>196</v>
      </c>
      <c r="BE251" s="188">
        <f t="shared" si="4"/>
        <v>0</v>
      </c>
      <c r="BF251" s="188">
        <f t="shared" si="5"/>
        <v>0</v>
      </c>
      <c r="BG251" s="188">
        <f t="shared" si="6"/>
        <v>0</v>
      </c>
      <c r="BH251" s="188">
        <f t="shared" si="7"/>
        <v>0</v>
      </c>
      <c r="BI251" s="188">
        <f t="shared" si="8"/>
        <v>0</v>
      </c>
      <c r="BJ251" s="15" t="s">
        <v>77</v>
      </c>
      <c r="BK251" s="188">
        <f t="shared" si="9"/>
        <v>0</v>
      </c>
      <c r="BL251" s="15" t="s">
        <v>203</v>
      </c>
      <c r="BM251" s="187" t="s">
        <v>586</v>
      </c>
    </row>
    <row r="252" spans="1:65" s="2" customFormat="1" ht="13.9" customHeight="1">
      <c r="A252" s="32"/>
      <c r="B252" s="33"/>
      <c r="C252" s="176" t="s">
        <v>587</v>
      </c>
      <c r="D252" s="176" t="s">
        <v>198</v>
      </c>
      <c r="E252" s="177" t="s">
        <v>588</v>
      </c>
      <c r="F252" s="178" t="s">
        <v>589</v>
      </c>
      <c r="G252" s="179" t="s">
        <v>310</v>
      </c>
      <c r="H252" s="180">
        <v>1200</v>
      </c>
      <c r="I252" s="181"/>
      <c r="J252" s="182">
        <f t="shared" si="0"/>
        <v>0</v>
      </c>
      <c r="K252" s="178" t="s">
        <v>202</v>
      </c>
      <c r="L252" s="37"/>
      <c r="M252" s="183" t="s">
        <v>19</v>
      </c>
      <c r="N252" s="184" t="s">
        <v>41</v>
      </c>
      <c r="O252" s="62"/>
      <c r="P252" s="185">
        <f t="shared" si="1"/>
        <v>0</v>
      </c>
      <c r="Q252" s="185">
        <v>0</v>
      </c>
      <c r="R252" s="185">
        <f t="shared" si="2"/>
        <v>0</v>
      </c>
      <c r="S252" s="185">
        <v>0.002</v>
      </c>
      <c r="T252" s="186">
        <f t="shared" si="3"/>
        <v>2.4</v>
      </c>
      <c r="U252" s="32"/>
      <c r="V252" s="32"/>
      <c r="W252" s="32"/>
      <c r="X252" s="32"/>
      <c r="Y252" s="32"/>
      <c r="Z252" s="32"/>
      <c r="AA252" s="32"/>
      <c r="AB252" s="32"/>
      <c r="AC252" s="32"/>
      <c r="AD252" s="32"/>
      <c r="AE252" s="32"/>
      <c r="AR252" s="187" t="s">
        <v>203</v>
      </c>
      <c r="AT252" s="187" t="s">
        <v>198</v>
      </c>
      <c r="AU252" s="187" t="s">
        <v>79</v>
      </c>
      <c r="AY252" s="15" t="s">
        <v>196</v>
      </c>
      <c r="BE252" s="188">
        <f t="shared" si="4"/>
        <v>0</v>
      </c>
      <c r="BF252" s="188">
        <f t="shared" si="5"/>
        <v>0</v>
      </c>
      <c r="BG252" s="188">
        <f t="shared" si="6"/>
        <v>0</v>
      </c>
      <c r="BH252" s="188">
        <f t="shared" si="7"/>
        <v>0</v>
      </c>
      <c r="BI252" s="188">
        <f t="shared" si="8"/>
        <v>0</v>
      </c>
      <c r="BJ252" s="15" t="s">
        <v>77</v>
      </c>
      <c r="BK252" s="188">
        <f t="shared" si="9"/>
        <v>0</v>
      </c>
      <c r="BL252" s="15" t="s">
        <v>203</v>
      </c>
      <c r="BM252" s="187" t="s">
        <v>590</v>
      </c>
    </row>
    <row r="253" spans="1:65" s="2" customFormat="1" ht="13.9" customHeight="1">
      <c r="A253" s="32"/>
      <c r="B253" s="33"/>
      <c r="C253" s="176" t="s">
        <v>591</v>
      </c>
      <c r="D253" s="176" t="s">
        <v>198</v>
      </c>
      <c r="E253" s="177" t="s">
        <v>592</v>
      </c>
      <c r="F253" s="178" t="s">
        <v>593</v>
      </c>
      <c r="G253" s="179" t="s">
        <v>310</v>
      </c>
      <c r="H253" s="180">
        <v>200</v>
      </c>
      <c r="I253" s="181"/>
      <c r="J253" s="182">
        <f t="shared" si="0"/>
        <v>0</v>
      </c>
      <c r="K253" s="178" t="s">
        <v>202</v>
      </c>
      <c r="L253" s="37"/>
      <c r="M253" s="183" t="s">
        <v>19</v>
      </c>
      <c r="N253" s="184" t="s">
        <v>41</v>
      </c>
      <c r="O253" s="62"/>
      <c r="P253" s="185">
        <f t="shared" si="1"/>
        <v>0</v>
      </c>
      <c r="Q253" s="185">
        <v>0</v>
      </c>
      <c r="R253" s="185">
        <f t="shared" si="2"/>
        <v>0</v>
      </c>
      <c r="S253" s="185">
        <v>0.003</v>
      </c>
      <c r="T253" s="186">
        <f t="shared" si="3"/>
        <v>0.6</v>
      </c>
      <c r="U253" s="32"/>
      <c r="V253" s="32"/>
      <c r="W253" s="32"/>
      <c r="X253" s="32"/>
      <c r="Y253" s="32"/>
      <c r="Z253" s="32"/>
      <c r="AA253" s="32"/>
      <c r="AB253" s="32"/>
      <c r="AC253" s="32"/>
      <c r="AD253" s="32"/>
      <c r="AE253" s="32"/>
      <c r="AR253" s="187" t="s">
        <v>203</v>
      </c>
      <c r="AT253" s="187" t="s">
        <v>198</v>
      </c>
      <c r="AU253" s="187" t="s">
        <v>79</v>
      </c>
      <c r="AY253" s="15" t="s">
        <v>196</v>
      </c>
      <c r="BE253" s="188">
        <f t="shared" si="4"/>
        <v>0</v>
      </c>
      <c r="BF253" s="188">
        <f t="shared" si="5"/>
        <v>0</v>
      </c>
      <c r="BG253" s="188">
        <f t="shared" si="6"/>
        <v>0</v>
      </c>
      <c r="BH253" s="188">
        <f t="shared" si="7"/>
        <v>0</v>
      </c>
      <c r="BI253" s="188">
        <f t="shared" si="8"/>
        <v>0</v>
      </c>
      <c r="BJ253" s="15" t="s">
        <v>77</v>
      </c>
      <c r="BK253" s="188">
        <f t="shared" si="9"/>
        <v>0</v>
      </c>
      <c r="BL253" s="15" t="s">
        <v>203</v>
      </c>
      <c r="BM253" s="187" t="s">
        <v>594</v>
      </c>
    </row>
    <row r="254" spans="1:65" s="2" customFormat="1" ht="13.9" customHeight="1">
      <c r="A254" s="32"/>
      <c r="B254" s="33"/>
      <c r="C254" s="176" t="s">
        <v>595</v>
      </c>
      <c r="D254" s="176" t="s">
        <v>198</v>
      </c>
      <c r="E254" s="177" t="s">
        <v>596</v>
      </c>
      <c r="F254" s="178" t="s">
        <v>597</v>
      </c>
      <c r="G254" s="179" t="s">
        <v>310</v>
      </c>
      <c r="H254" s="180">
        <v>200</v>
      </c>
      <c r="I254" s="181"/>
      <c r="J254" s="182">
        <f t="shared" si="0"/>
        <v>0</v>
      </c>
      <c r="K254" s="178" t="s">
        <v>202</v>
      </c>
      <c r="L254" s="37"/>
      <c r="M254" s="183" t="s">
        <v>19</v>
      </c>
      <c r="N254" s="184" t="s">
        <v>41</v>
      </c>
      <c r="O254" s="62"/>
      <c r="P254" s="185">
        <f t="shared" si="1"/>
        <v>0</v>
      </c>
      <c r="Q254" s="185">
        <v>0</v>
      </c>
      <c r="R254" s="185">
        <f t="shared" si="2"/>
        <v>0</v>
      </c>
      <c r="S254" s="185">
        <v>0.002</v>
      </c>
      <c r="T254" s="186">
        <f t="shared" si="3"/>
        <v>0.4</v>
      </c>
      <c r="U254" s="32"/>
      <c r="V254" s="32"/>
      <c r="W254" s="32"/>
      <c r="X254" s="32"/>
      <c r="Y254" s="32"/>
      <c r="Z254" s="32"/>
      <c r="AA254" s="32"/>
      <c r="AB254" s="32"/>
      <c r="AC254" s="32"/>
      <c r="AD254" s="32"/>
      <c r="AE254" s="32"/>
      <c r="AR254" s="187" t="s">
        <v>203</v>
      </c>
      <c r="AT254" s="187" t="s">
        <v>198</v>
      </c>
      <c r="AU254" s="187" t="s">
        <v>79</v>
      </c>
      <c r="AY254" s="15" t="s">
        <v>196</v>
      </c>
      <c r="BE254" s="188">
        <f t="shared" si="4"/>
        <v>0</v>
      </c>
      <c r="BF254" s="188">
        <f t="shared" si="5"/>
        <v>0</v>
      </c>
      <c r="BG254" s="188">
        <f t="shared" si="6"/>
        <v>0</v>
      </c>
      <c r="BH254" s="188">
        <f t="shared" si="7"/>
        <v>0</v>
      </c>
      <c r="BI254" s="188">
        <f t="shared" si="8"/>
        <v>0</v>
      </c>
      <c r="BJ254" s="15" t="s">
        <v>77</v>
      </c>
      <c r="BK254" s="188">
        <f t="shared" si="9"/>
        <v>0</v>
      </c>
      <c r="BL254" s="15" t="s">
        <v>203</v>
      </c>
      <c r="BM254" s="187" t="s">
        <v>598</v>
      </c>
    </row>
    <row r="255" spans="1:65" s="2" customFormat="1" ht="22.15" customHeight="1">
      <c r="A255" s="32"/>
      <c r="B255" s="33"/>
      <c r="C255" s="176" t="s">
        <v>599</v>
      </c>
      <c r="D255" s="176" t="s">
        <v>198</v>
      </c>
      <c r="E255" s="177" t="s">
        <v>600</v>
      </c>
      <c r="F255" s="178" t="s">
        <v>601</v>
      </c>
      <c r="G255" s="179" t="s">
        <v>310</v>
      </c>
      <c r="H255" s="180">
        <v>15</v>
      </c>
      <c r="I255" s="181"/>
      <c r="J255" s="182">
        <f t="shared" si="0"/>
        <v>0</v>
      </c>
      <c r="K255" s="178" t="s">
        <v>202</v>
      </c>
      <c r="L255" s="37"/>
      <c r="M255" s="183" t="s">
        <v>19</v>
      </c>
      <c r="N255" s="184" t="s">
        <v>41</v>
      </c>
      <c r="O255" s="62"/>
      <c r="P255" s="185">
        <f t="shared" si="1"/>
        <v>0</v>
      </c>
      <c r="Q255" s="185">
        <v>0.11903</v>
      </c>
      <c r="R255" s="185">
        <f t="shared" si="2"/>
        <v>1.78545</v>
      </c>
      <c r="S255" s="185">
        <v>0</v>
      </c>
      <c r="T255" s="186">
        <f t="shared" si="3"/>
        <v>0</v>
      </c>
      <c r="U255" s="32"/>
      <c r="V255" s="32"/>
      <c r="W255" s="32"/>
      <c r="X255" s="32"/>
      <c r="Y255" s="32"/>
      <c r="Z255" s="32"/>
      <c r="AA255" s="32"/>
      <c r="AB255" s="32"/>
      <c r="AC255" s="32"/>
      <c r="AD255" s="32"/>
      <c r="AE255" s="32"/>
      <c r="AR255" s="187" t="s">
        <v>203</v>
      </c>
      <c r="AT255" s="187" t="s">
        <v>198</v>
      </c>
      <c r="AU255" s="187" t="s">
        <v>79</v>
      </c>
      <c r="AY255" s="15" t="s">
        <v>196</v>
      </c>
      <c r="BE255" s="188">
        <f t="shared" si="4"/>
        <v>0</v>
      </c>
      <c r="BF255" s="188">
        <f t="shared" si="5"/>
        <v>0</v>
      </c>
      <c r="BG255" s="188">
        <f t="shared" si="6"/>
        <v>0</v>
      </c>
      <c r="BH255" s="188">
        <f t="shared" si="7"/>
        <v>0</v>
      </c>
      <c r="BI255" s="188">
        <f t="shared" si="8"/>
        <v>0</v>
      </c>
      <c r="BJ255" s="15" t="s">
        <v>77</v>
      </c>
      <c r="BK255" s="188">
        <f t="shared" si="9"/>
        <v>0</v>
      </c>
      <c r="BL255" s="15" t="s">
        <v>203</v>
      </c>
      <c r="BM255" s="187" t="s">
        <v>602</v>
      </c>
    </row>
    <row r="256" spans="1:47" s="2" customFormat="1" ht="97.5">
      <c r="A256" s="32"/>
      <c r="B256" s="33"/>
      <c r="C256" s="34"/>
      <c r="D256" s="189" t="s">
        <v>208</v>
      </c>
      <c r="E256" s="34"/>
      <c r="F256" s="190" t="s">
        <v>603</v>
      </c>
      <c r="G256" s="34"/>
      <c r="H256" s="34"/>
      <c r="I256" s="191"/>
      <c r="J256" s="34"/>
      <c r="K256" s="34"/>
      <c r="L256" s="37"/>
      <c r="M256" s="192"/>
      <c r="N256" s="193"/>
      <c r="O256" s="62"/>
      <c r="P256" s="62"/>
      <c r="Q256" s="62"/>
      <c r="R256" s="62"/>
      <c r="S256" s="62"/>
      <c r="T256" s="63"/>
      <c r="U256" s="32"/>
      <c r="V256" s="32"/>
      <c r="W256" s="32"/>
      <c r="X256" s="32"/>
      <c r="Y256" s="32"/>
      <c r="Z256" s="32"/>
      <c r="AA256" s="32"/>
      <c r="AB256" s="32"/>
      <c r="AC256" s="32"/>
      <c r="AD256" s="32"/>
      <c r="AE256" s="32"/>
      <c r="AT256" s="15" t="s">
        <v>208</v>
      </c>
      <c r="AU256" s="15" t="s">
        <v>79</v>
      </c>
    </row>
    <row r="257" spans="1:65" s="2" customFormat="1" ht="22.15" customHeight="1">
      <c r="A257" s="32"/>
      <c r="B257" s="33"/>
      <c r="C257" s="176" t="s">
        <v>604</v>
      </c>
      <c r="D257" s="176" t="s">
        <v>198</v>
      </c>
      <c r="E257" s="177" t="s">
        <v>605</v>
      </c>
      <c r="F257" s="178" t="s">
        <v>606</v>
      </c>
      <c r="G257" s="179" t="s">
        <v>310</v>
      </c>
      <c r="H257" s="180">
        <v>15</v>
      </c>
      <c r="I257" s="181"/>
      <c r="J257" s="182">
        <f>ROUND(I257*H257,2)</f>
        <v>0</v>
      </c>
      <c r="K257" s="178" t="s">
        <v>202</v>
      </c>
      <c r="L257" s="37"/>
      <c r="M257" s="183" t="s">
        <v>19</v>
      </c>
      <c r="N257" s="184" t="s">
        <v>41</v>
      </c>
      <c r="O257" s="62"/>
      <c r="P257" s="185">
        <f>O257*H257</f>
        <v>0</v>
      </c>
      <c r="Q257" s="185">
        <v>0.1389</v>
      </c>
      <c r="R257" s="185">
        <f>Q257*H257</f>
        <v>2.0835</v>
      </c>
      <c r="S257" s="185">
        <v>0</v>
      </c>
      <c r="T257" s="186">
        <f>S257*H257</f>
        <v>0</v>
      </c>
      <c r="U257" s="32"/>
      <c r="V257" s="32"/>
      <c r="W257" s="32"/>
      <c r="X257" s="32"/>
      <c r="Y257" s="32"/>
      <c r="Z257" s="32"/>
      <c r="AA257" s="32"/>
      <c r="AB257" s="32"/>
      <c r="AC257" s="32"/>
      <c r="AD257" s="32"/>
      <c r="AE257" s="32"/>
      <c r="AR257" s="187" t="s">
        <v>203</v>
      </c>
      <c r="AT257" s="187" t="s">
        <v>198</v>
      </c>
      <c r="AU257" s="187" t="s">
        <v>79</v>
      </c>
      <c r="AY257" s="15" t="s">
        <v>196</v>
      </c>
      <c r="BE257" s="188">
        <f>IF(N257="základní",J257,0)</f>
        <v>0</v>
      </c>
      <c r="BF257" s="188">
        <f>IF(N257="snížená",J257,0)</f>
        <v>0</v>
      </c>
      <c r="BG257" s="188">
        <f>IF(N257="zákl. přenesená",J257,0)</f>
        <v>0</v>
      </c>
      <c r="BH257" s="188">
        <f>IF(N257="sníž. přenesená",J257,0)</f>
        <v>0</v>
      </c>
      <c r="BI257" s="188">
        <f>IF(N257="nulová",J257,0)</f>
        <v>0</v>
      </c>
      <c r="BJ257" s="15" t="s">
        <v>77</v>
      </c>
      <c r="BK257" s="188">
        <f>ROUND(I257*H257,2)</f>
        <v>0</v>
      </c>
      <c r="BL257" s="15" t="s">
        <v>203</v>
      </c>
      <c r="BM257" s="187" t="s">
        <v>607</v>
      </c>
    </row>
    <row r="258" spans="1:47" s="2" customFormat="1" ht="97.5">
      <c r="A258" s="32"/>
      <c r="B258" s="33"/>
      <c r="C258" s="34"/>
      <c r="D258" s="189" t="s">
        <v>208</v>
      </c>
      <c r="E258" s="34"/>
      <c r="F258" s="190" t="s">
        <v>603</v>
      </c>
      <c r="G258" s="34"/>
      <c r="H258" s="34"/>
      <c r="I258" s="191"/>
      <c r="J258" s="34"/>
      <c r="K258" s="34"/>
      <c r="L258" s="37"/>
      <c r="M258" s="192"/>
      <c r="N258" s="193"/>
      <c r="O258" s="62"/>
      <c r="P258" s="62"/>
      <c r="Q258" s="62"/>
      <c r="R258" s="62"/>
      <c r="S258" s="62"/>
      <c r="T258" s="63"/>
      <c r="U258" s="32"/>
      <c r="V258" s="32"/>
      <c r="W258" s="32"/>
      <c r="X258" s="32"/>
      <c r="Y258" s="32"/>
      <c r="Z258" s="32"/>
      <c r="AA258" s="32"/>
      <c r="AB258" s="32"/>
      <c r="AC258" s="32"/>
      <c r="AD258" s="32"/>
      <c r="AE258" s="32"/>
      <c r="AT258" s="15" t="s">
        <v>208</v>
      </c>
      <c r="AU258" s="15" t="s">
        <v>79</v>
      </c>
    </row>
    <row r="259" spans="1:65" s="2" customFormat="1" ht="22.15" customHeight="1">
      <c r="A259" s="32"/>
      <c r="B259" s="33"/>
      <c r="C259" s="176" t="s">
        <v>608</v>
      </c>
      <c r="D259" s="176" t="s">
        <v>198</v>
      </c>
      <c r="E259" s="177" t="s">
        <v>609</v>
      </c>
      <c r="F259" s="178" t="s">
        <v>610</v>
      </c>
      <c r="G259" s="179" t="s">
        <v>310</v>
      </c>
      <c r="H259" s="180">
        <v>6.2</v>
      </c>
      <c r="I259" s="181"/>
      <c r="J259" s="182">
        <f>ROUND(I259*H259,2)</f>
        <v>0</v>
      </c>
      <c r="K259" s="178" t="s">
        <v>202</v>
      </c>
      <c r="L259" s="37"/>
      <c r="M259" s="183" t="s">
        <v>19</v>
      </c>
      <c r="N259" s="184" t="s">
        <v>41</v>
      </c>
      <c r="O259" s="62"/>
      <c r="P259" s="185">
        <f>O259*H259</f>
        <v>0</v>
      </c>
      <c r="Q259" s="185">
        <v>0.00074</v>
      </c>
      <c r="R259" s="185">
        <f>Q259*H259</f>
        <v>0.004588</v>
      </c>
      <c r="S259" s="185">
        <v>0.008</v>
      </c>
      <c r="T259" s="186">
        <f>S259*H259</f>
        <v>0.049600000000000005</v>
      </c>
      <c r="U259" s="32"/>
      <c r="V259" s="32"/>
      <c r="W259" s="32"/>
      <c r="X259" s="32"/>
      <c r="Y259" s="32"/>
      <c r="Z259" s="32"/>
      <c r="AA259" s="32"/>
      <c r="AB259" s="32"/>
      <c r="AC259" s="32"/>
      <c r="AD259" s="32"/>
      <c r="AE259" s="32"/>
      <c r="AR259" s="187" t="s">
        <v>203</v>
      </c>
      <c r="AT259" s="187" t="s">
        <v>198</v>
      </c>
      <c r="AU259" s="187" t="s">
        <v>79</v>
      </c>
      <c r="AY259" s="15" t="s">
        <v>196</v>
      </c>
      <c r="BE259" s="188">
        <f>IF(N259="základní",J259,0)</f>
        <v>0</v>
      </c>
      <c r="BF259" s="188">
        <f>IF(N259="snížená",J259,0)</f>
        <v>0</v>
      </c>
      <c r="BG259" s="188">
        <f>IF(N259="zákl. přenesená",J259,0)</f>
        <v>0</v>
      </c>
      <c r="BH259" s="188">
        <f>IF(N259="sníž. přenesená",J259,0)</f>
        <v>0</v>
      </c>
      <c r="BI259" s="188">
        <f>IF(N259="nulová",J259,0)</f>
        <v>0</v>
      </c>
      <c r="BJ259" s="15" t="s">
        <v>77</v>
      </c>
      <c r="BK259" s="188">
        <f>ROUND(I259*H259,2)</f>
        <v>0</v>
      </c>
      <c r="BL259" s="15" t="s">
        <v>203</v>
      </c>
      <c r="BM259" s="187" t="s">
        <v>611</v>
      </c>
    </row>
    <row r="260" spans="1:47" s="2" customFormat="1" ht="39">
      <c r="A260" s="32"/>
      <c r="B260" s="33"/>
      <c r="C260" s="34"/>
      <c r="D260" s="189" t="s">
        <v>208</v>
      </c>
      <c r="E260" s="34"/>
      <c r="F260" s="190" t="s">
        <v>612</v>
      </c>
      <c r="G260" s="34"/>
      <c r="H260" s="34"/>
      <c r="I260" s="191"/>
      <c r="J260" s="34"/>
      <c r="K260" s="34"/>
      <c r="L260" s="37"/>
      <c r="M260" s="192"/>
      <c r="N260" s="193"/>
      <c r="O260" s="62"/>
      <c r="P260" s="62"/>
      <c r="Q260" s="62"/>
      <c r="R260" s="62"/>
      <c r="S260" s="62"/>
      <c r="T260" s="63"/>
      <c r="U260" s="32"/>
      <c r="V260" s="32"/>
      <c r="W260" s="32"/>
      <c r="X260" s="32"/>
      <c r="Y260" s="32"/>
      <c r="Z260" s="32"/>
      <c r="AA260" s="32"/>
      <c r="AB260" s="32"/>
      <c r="AC260" s="32"/>
      <c r="AD260" s="32"/>
      <c r="AE260" s="32"/>
      <c r="AT260" s="15" t="s">
        <v>208</v>
      </c>
      <c r="AU260" s="15" t="s">
        <v>79</v>
      </c>
    </row>
    <row r="261" spans="1:65" s="2" customFormat="1" ht="22.15" customHeight="1">
      <c r="A261" s="32"/>
      <c r="B261" s="33"/>
      <c r="C261" s="176" t="s">
        <v>613</v>
      </c>
      <c r="D261" s="176" t="s">
        <v>198</v>
      </c>
      <c r="E261" s="177" t="s">
        <v>614</v>
      </c>
      <c r="F261" s="178" t="s">
        <v>615</v>
      </c>
      <c r="G261" s="179" t="s">
        <v>310</v>
      </c>
      <c r="H261" s="180">
        <v>5.8</v>
      </c>
      <c r="I261" s="181"/>
      <c r="J261" s="182">
        <f>ROUND(I261*H261,2)</f>
        <v>0</v>
      </c>
      <c r="K261" s="178" t="s">
        <v>202</v>
      </c>
      <c r="L261" s="37"/>
      <c r="M261" s="183" t="s">
        <v>19</v>
      </c>
      <c r="N261" s="184" t="s">
        <v>41</v>
      </c>
      <c r="O261" s="62"/>
      <c r="P261" s="185">
        <f>O261*H261</f>
        <v>0</v>
      </c>
      <c r="Q261" s="185">
        <v>0.00084</v>
      </c>
      <c r="R261" s="185">
        <f>Q261*H261</f>
        <v>0.0048720000000000005</v>
      </c>
      <c r="S261" s="185">
        <v>0.02</v>
      </c>
      <c r="T261" s="186">
        <f>S261*H261</f>
        <v>0.11599999999999999</v>
      </c>
      <c r="U261" s="32"/>
      <c r="V261" s="32"/>
      <c r="W261" s="32"/>
      <c r="X261" s="32"/>
      <c r="Y261" s="32"/>
      <c r="Z261" s="32"/>
      <c r="AA261" s="32"/>
      <c r="AB261" s="32"/>
      <c r="AC261" s="32"/>
      <c r="AD261" s="32"/>
      <c r="AE261" s="32"/>
      <c r="AR261" s="187" t="s">
        <v>203</v>
      </c>
      <c r="AT261" s="187" t="s">
        <v>198</v>
      </c>
      <c r="AU261" s="187" t="s">
        <v>79</v>
      </c>
      <c r="AY261" s="15" t="s">
        <v>196</v>
      </c>
      <c r="BE261" s="188">
        <f>IF(N261="základní",J261,0)</f>
        <v>0</v>
      </c>
      <c r="BF261" s="188">
        <f>IF(N261="snížená",J261,0)</f>
        <v>0</v>
      </c>
      <c r="BG261" s="188">
        <f>IF(N261="zákl. přenesená",J261,0)</f>
        <v>0</v>
      </c>
      <c r="BH261" s="188">
        <f>IF(N261="sníž. přenesená",J261,0)</f>
        <v>0</v>
      </c>
      <c r="BI261" s="188">
        <f>IF(N261="nulová",J261,0)</f>
        <v>0</v>
      </c>
      <c r="BJ261" s="15" t="s">
        <v>77</v>
      </c>
      <c r="BK261" s="188">
        <f>ROUND(I261*H261,2)</f>
        <v>0</v>
      </c>
      <c r="BL261" s="15" t="s">
        <v>203</v>
      </c>
      <c r="BM261" s="187" t="s">
        <v>616</v>
      </c>
    </row>
    <row r="262" spans="1:47" s="2" customFormat="1" ht="39">
      <c r="A262" s="32"/>
      <c r="B262" s="33"/>
      <c r="C262" s="34"/>
      <c r="D262" s="189" t="s">
        <v>208</v>
      </c>
      <c r="E262" s="34"/>
      <c r="F262" s="190" t="s">
        <v>612</v>
      </c>
      <c r="G262" s="34"/>
      <c r="H262" s="34"/>
      <c r="I262" s="191"/>
      <c r="J262" s="34"/>
      <c r="K262" s="34"/>
      <c r="L262" s="37"/>
      <c r="M262" s="192"/>
      <c r="N262" s="193"/>
      <c r="O262" s="62"/>
      <c r="P262" s="62"/>
      <c r="Q262" s="62"/>
      <c r="R262" s="62"/>
      <c r="S262" s="62"/>
      <c r="T262" s="63"/>
      <c r="U262" s="32"/>
      <c r="V262" s="32"/>
      <c r="W262" s="32"/>
      <c r="X262" s="32"/>
      <c r="Y262" s="32"/>
      <c r="Z262" s="32"/>
      <c r="AA262" s="32"/>
      <c r="AB262" s="32"/>
      <c r="AC262" s="32"/>
      <c r="AD262" s="32"/>
      <c r="AE262" s="32"/>
      <c r="AT262" s="15" t="s">
        <v>208</v>
      </c>
      <c r="AU262" s="15" t="s">
        <v>79</v>
      </c>
    </row>
    <row r="263" spans="1:65" s="2" customFormat="1" ht="22.15" customHeight="1">
      <c r="A263" s="32"/>
      <c r="B263" s="33"/>
      <c r="C263" s="176" t="s">
        <v>617</v>
      </c>
      <c r="D263" s="176" t="s">
        <v>198</v>
      </c>
      <c r="E263" s="177" t="s">
        <v>618</v>
      </c>
      <c r="F263" s="178" t="s">
        <v>619</v>
      </c>
      <c r="G263" s="179" t="s">
        <v>310</v>
      </c>
      <c r="H263" s="180">
        <v>5.6</v>
      </c>
      <c r="I263" s="181"/>
      <c r="J263" s="182">
        <f>ROUND(I263*H263,2)</f>
        <v>0</v>
      </c>
      <c r="K263" s="178" t="s">
        <v>202</v>
      </c>
      <c r="L263" s="37"/>
      <c r="M263" s="183" t="s">
        <v>19</v>
      </c>
      <c r="N263" s="184" t="s">
        <v>41</v>
      </c>
      <c r="O263" s="62"/>
      <c r="P263" s="185">
        <f>O263*H263</f>
        <v>0</v>
      </c>
      <c r="Q263" s="185">
        <v>0.00096</v>
      </c>
      <c r="R263" s="185">
        <f>Q263*H263</f>
        <v>0.005376</v>
      </c>
      <c r="S263" s="185">
        <v>0.031</v>
      </c>
      <c r="T263" s="186">
        <f>S263*H263</f>
        <v>0.17359999999999998</v>
      </c>
      <c r="U263" s="32"/>
      <c r="V263" s="32"/>
      <c r="W263" s="32"/>
      <c r="X263" s="32"/>
      <c r="Y263" s="32"/>
      <c r="Z263" s="32"/>
      <c r="AA263" s="32"/>
      <c r="AB263" s="32"/>
      <c r="AC263" s="32"/>
      <c r="AD263" s="32"/>
      <c r="AE263" s="32"/>
      <c r="AR263" s="187" t="s">
        <v>203</v>
      </c>
      <c r="AT263" s="187" t="s">
        <v>198</v>
      </c>
      <c r="AU263" s="187" t="s">
        <v>79</v>
      </c>
      <c r="AY263" s="15" t="s">
        <v>196</v>
      </c>
      <c r="BE263" s="188">
        <f>IF(N263="základní",J263,0)</f>
        <v>0</v>
      </c>
      <c r="BF263" s="188">
        <f>IF(N263="snížená",J263,0)</f>
        <v>0</v>
      </c>
      <c r="BG263" s="188">
        <f>IF(N263="zákl. přenesená",J263,0)</f>
        <v>0</v>
      </c>
      <c r="BH263" s="188">
        <f>IF(N263="sníž. přenesená",J263,0)</f>
        <v>0</v>
      </c>
      <c r="BI263" s="188">
        <f>IF(N263="nulová",J263,0)</f>
        <v>0</v>
      </c>
      <c r="BJ263" s="15" t="s">
        <v>77</v>
      </c>
      <c r="BK263" s="188">
        <f>ROUND(I263*H263,2)</f>
        <v>0</v>
      </c>
      <c r="BL263" s="15" t="s">
        <v>203</v>
      </c>
      <c r="BM263" s="187" t="s">
        <v>620</v>
      </c>
    </row>
    <row r="264" spans="1:47" s="2" customFormat="1" ht="39">
      <c r="A264" s="32"/>
      <c r="B264" s="33"/>
      <c r="C264" s="34"/>
      <c r="D264" s="189" t="s">
        <v>208</v>
      </c>
      <c r="E264" s="34"/>
      <c r="F264" s="190" t="s">
        <v>612</v>
      </c>
      <c r="G264" s="34"/>
      <c r="H264" s="34"/>
      <c r="I264" s="191"/>
      <c r="J264" s="34"/>
      <c r="K264" s="34"/>
      <c r="L264" s="37"/>
      <c r="M264" s="192"/>
      <c r="N264" s="193"/>
      <c r="O264" s="62"/>
      <c r="P264" s="62"/>
      <c r="Q264" s="62"/>
      <c r="R264" s="62"/>
      <c r="S264" s="62"/>
      <c r="T264" s="63"/>
      <c r="U264" s="32"/>
      <c r="V264" s="32"/>
      <c r="W264" s="32"/>
      <c r="X264" s="32"/>
      <c r="Y264" s="32"/>
      <c r="Z264" s="32"/>
      <c r="AA264" s="32"/>
      <c r="AB264" s="32"/>
      <c r="AC264" s="32"/>
      <c r="AD264" s="32"/>
      <c r="AE264" s="32"/>
      <c r="AT264" s="15" t="s">
        <v>208</v>
      </c>
      <c r="AU264" s="15" t="s">
        <v>79</v>
      </c>
    </row>
    <row r="265" spans="1:65" s="2" customFormat="1" ht="22.15" customHeight="1">
      <c r="A265" s="32"/>
      <c r="B265" s="33"/>
      <c r="C265" s="176" t="s">
        <v>621</v>
      </c>
      <c r="D265" s="176" t="s">
        <v>198</v>
      </c>
      <c r="E265" s="177" t="s">
        <v>622</v>
      </c>
      <c r="F265" s="178" t="s">
        <v>623</v>
      </c>
      <c r="G265" s="179" t="s">
        <v>310</v>
      </c>
      <c r="H265" s="180">
        <v>1.825</v>
      </c>
      <c r="I265" s="181"/>
      <c r="J265" s="182">
        <f>ROUND(I265*H265,2)</f>
        <v>0</v>
      </c>
      <c r="K265" s="178" t="s">
        <v>202</v>
      </c>
      <c r="L265" s="37"/>
      <c r="M265" s="183" t="s">
        <v>19</v>
      </c>
      <c r="N265" s="184" t="s">
        <v>41</v>
      </c>
      <c r="O265" s="62"/>
      <c r="P265" s="185">
        <f>O265*H265</f>
        <v>0</v>
      </c>
      <c r="Q265" s="185">
        <v>0.00282</v>
      </c>
      <c r="R265" s="185">
        <f>Q265*H265</f>
        <v>0.0051465</v>
      </c>
      <c r="S265" s="185">
        <v>0.101</v>
      </c>
      <c r="T265" s="186">
        <f>S265*H265</f>
        <v>0.18432500000000002</v>
      </c>
      <c r="U265" s="32"/>
      <c r="V265" s="32"/>
      <c r="W265" s="32"/>
      <c r="X265" s="32"/>
      <c r="Y265" s="32"/>
      <c r="Z265" s="32"/>
      <c r="AA265" s="32"/>
      <c r="AB265" s="32"/>
      <c r="AC265" s="32"/>
      <c r="AD265" s="32"/>
      <c r="AE265" s="32"/>
      <c r="AR265" s="187" t="s">
        <v>203</v>
      </c>
      <c r="AT265" s="187" t="s">
        <v>198</v>
      </c>
      <c r="AU265" s="187" t="s">
        <v>79</v>
      </c>
      <c r="AY265" s="15" t="s">
        <v>196</v>
      </c>
      <c r="BE265" s="188">
        <f>IF(N265="základní",J265,0)</f>
        <v>0</v>
      </c>
      <c r="BF265" s="188">
        <f>IF(N265="snížená",J265,0)</f>
        <v>0</v>
      </c>
      <c r="BG265" s="188">
        <f>IF(N265="zákl. přenesená",J265,0)</f>
        <v>0</v>
      </c>
      <c r="BH265" s="188">
        <f>IF(N265="sníž. přenesená",J265,0)</f>
        <v>0</v>
      </c>
      <c r="BI265" s="188">
        <f>IF(N265="nulová",J265,0)</f>
        <v>0</v>
      </c>
      <c r="BJ265" s="15" t="s">
        <v>77</v>
      </c>
      <c r="BK265" s="188">
        <f>ROUND(I265*H265,2)</f>
        <v>0</v>
      </c>
      <c r="BL265" s="15" t="s">
        <v>203</v>
      </c>
      <c r="BM265" s="187" t="s">
        <v>624</v>
      </c>
    </row>
    <row r="266" spans="1:47" s="2" customFormat="1" ht="39">
      <c r="A266" s="32"/>
      <c r="B266" s="33"/>
      <c r="C266" s="34"/>
      <c r="D266" s="189" t="s">
        <v>208</v>
      </c>
      <c r="E266" s="34"/>
      <c r="F266" s="190" t="s">
        <v>612</v>
      </c>
      <c r="G266" s="34"/>
      <c r="H266" s="34"/>
      <c r="I266" s="191"/>
      <c r="J266" s="34"/>
      <c r="K266" s="34"/>
      <c r="L266" s="37"/>
      <c r="M266" s="192"/>
      <c r="N266" s="193"/>
      <c r="O266" s="62"/>
      <c r="P266" s="62"/>
      <c r="Q266" s="62"/>
      <c r="R266" s="62"/>
      <c r="S266" s="62"/>
      <c r="T266" s="63"/>
      <c r="U266" s="32"/>
      <c r="V266" s="32"/>
      <c r="W266" s="32"/>
      <c r="X266" s="32"/>
      <c r="Y266" s="32"/>
      <c r="Z266" s="32"/>
      <c r="AA266" s="32"/>
      <c r="AB266" s="32"/>
      <c r="AC266" s="32"/>
      <c r="AD266" s="32"/>
      <c r="AE266" s="32"/>
      <c r="AT266" s="15" t="s">
        <v>208</v>
      </c>
      <c r="AU266" s="15" t="s">
        <v>79</v>
      </c>
    </row>
    <row r="267" spans="1:65" s="2" customFormat="1" ht="22.15" customHeight="1">
      <c r="A267" s="32"/>
      <c r="B267" s="33"/>
      <c r="C267" s="176" t="s">
        <v>625</v>
      </c>
      <c r="D267" s="176" t="s">
        <v>198</v>
      </c>
      <c r="E267" s="177" t="s">
        <v>626</v>
      </c>
      <c r="F267" s="178" t="s">
        <v>627</v>
      </c>
      <c r="G267" s="179" t="s">
        <v>310</v>
      </c>
      <c r="H267" s="180">
        <v>1.4</v>
      </c>
      <c r="I267" s="181"/>
      <c r="J267" s="182">
        <f>ROUND(I267*H267,2)</f>
        <v>0</v>
      </c>
      <c r="K267" s="178" t="s">
        <v>202</v>
      </c>
      <c r="L267" s="37"/>
      <c r="M267" s="183" t="s">
        <v>19</v>
      </c>
      <c r="N267" s="184" t="s">
        <v>41</v>
      </c>
      <c r="O267" s="62"/>
      <c r="P267" s="185">
        <f>O267*H267</f>
        <v>0</v>
      </c>
      <c r="Q267" s="185">
        <v>0.00309</v>
      </c>
      <c r="R267" s="185">
        <f>Q267*H267</f>
        <v>0.004325999999999999</v>
      </c>
      <c r="S267" s="185">
        <v>0.126</v>
      </c>
      <c r="T267" s="186">
        <f>S267*H267</f>
        <v>0.1764</v>
      </c>
      <c r="U267" s="32"/>
      <c r="V267" s="32"/>
      <c r="W267" s="32"/>
      <c r="X267" s="32"/>
      <c r="Y267" s="32"/>
      <c r="Z267" s="32"/>
      <c r="AA267" s="32"/>
      <c r="AB267" s="32"/>
      <c r="AC267" s="32"/>
      <c r="AD267" s="32"/>
      <c r="AE267" s="32"/>
      <c r="AR267" s="187" t="s">
        <v>203</v>
      </c>
      <c r="AT267" s="187" t="s">
        <v>198</v>
      </c>
      <c r="AU267" s="187" t="s">
        <v>79</v>
      </c>
      <c r="AY267" s="15" t="s">
        <v>196</v>
      </c>
      <c r="BE267" s="188">
        <f>IF(N267="základní",J267,0)</f>
        <v>0</v>
      </c>
      <c r="BF267" s="188">
        <f>IF(N267="snížená",J267,0)</f>
        <v>0</v>
      </c>
      <c r="BG267" s="188">
        <f>IF(N267="zákl. přenesená",J267,0)</f>
        <v>0</v>
      </c>
      <c r="BH267" s="188">
        <f>IF(N267="sníž. přenesená",J267,0)</f>
        <v>0</v>
      </c>
      <c r="BI267" s="188">
        <f>IF(N267="nulová",J267,0)</f>
        <v>0</v>
      </c>
      <c r="BJ267" s="15" t="s">
        <v>77</v>
      </c>
      <c r="BK267" s="188">
        <f>ROUND(I267*H267,2)</f>
        <v>0</v>
      </c>
      <c r="BL267" s="15" t="s">
        <v>203</v>
      </c>
      <c r="BM267" s="187" t="s">
        <v>628</v>
      </c>
    </row>
    <row r="268" spans="1:47" s="2" customFormat="1" ht="39">
      <c r="A268" s="32"/>
      <c r="B268" s="33"/>
      <c r="C268" s="34"/>
      <c r="D268" s="189" t="s">
        <v>208</v>
      </c>
      <c r="E268" s="34"/>
      <c r="F268" s="190" t="s">
        <v>612</v>
      </c>
      <c r="G268" s="34"/>
      <c r="H268" s="34"/>
      <c r="I268" s="191"/>
      <c r="J268" s="34"/>
      <c r="K268" s="34"/>
      <c r="L268" s="37"/>
      <c r="M268" s="192"/>
      <c r="N268" s="193"/>
      <c r="O268" s="62"/>
      <c r="P268" s="62"/>
      <c r="Q268" s="62"/>
      <c r="R268" s="62"/>
      <c r="S268" s="62"/>
      <c r="T268" s="63"/>
      <c r="U268" s="32"/>
      <c r="V268" s="32"/>
      <c r="W268" s="32"/>
      <c r="X268" s="32"/>
      <c r="Y268" s="32"/>
      <c r="Z268" s="32"/>
      <c r="AA268" s="32"/>
      <c r="AB268" s="32"/>
      <c r="AC268" s="32"/>
      <c r="AD268" s="32"/>
      <c r="AE268" s="32"/>
      <c r="AT268" s="15" t="s">
        <v>208</v>
      </c>
      <c r="AU268" s="15" t="s">
        <v>79</v>
      </c>
    </row>
    <row r="269" spans="1:65" s="2" customFormat="1" ht="22.15" customHeight="1">
      <c r="A269" s="32"/>
      <c r="B269" s="33"/>
      <c r="C269" s="176" t="s">
        <v>629</v>
      </c>
      <c r="D269" s="176" t="s">
        <v>198</v>
      </c>
      <c r="E269" s="177" t="s">
        <v>630</v>
      </c>
      <c r="F269" s="178" t="s">
        <v>631</v>
      </c>
      <c r="G269" s="179" t="s">
        <v>310</v>
      </c>
      <c r="H269" s="180">
        <v>2.7</v>
      </c>
      <c r="I269" s="181"/>
      <c r="J269" s="182">
        <f>ROUND(I269*H269,2)</f>
        <v>0</v>
      </c>
      <c r="K269" s="178" t="s">
        <v>202</v>
      </c>
      <c r="L269" s="37"/>
      <c r="M269" s="183" t="s">
        <v>19</v>
      </c>
      <c r="N269" s="184" t="s">
        <v>41</v>
      </c>
      <c r="O269" s="62"/>
      <c r="P269" s="185">
        <f>O269*H269</f>
        <v>0</v>
      </c>
      <c r="Q269" s="185">
        <v>0.00477</v>
      </c>
      <c r="R269" s="185">
        <f>Q269*H269</f>
        <v>0.012879</v>
      </c>
      <c r="S269" s="185">
        <v>0.384</v>
      </c>
      <c r="T269" s="186">
        <f>S269*H269</f>
        <v>1.0368000000000002</v>
      </c>
      <c r="U269" s="32"/>
      <c r="V269" s="32"/>
      <c r="W269" s="32"/>
      <c r="X269" s="32"/>
      <c r="Y269" s="32"/>
      <c r="Z269" s="32"/>
      <c r="AA269" s="32"/>
      <c r="AB269" s="32"/>
      <c r="AC269" s="32"/>
      <c r="AD269" s="32"/>
      <c r="AE269" s="32"/>
      <c r="AR269" s="187" t="s">
        <v>203</v>
      </c>
      <c r="AT269" s="187" t="s">
        <v>198</v>
      </c>
      <c r="AU269" s="187" t="s">
        <v>79</v>
      </c>
      <c r="AY269" s="15" t="s">
        <v>196</v>
      </c>
      <c r="BE269" s="188">
        <f>IF(N269="základní",J269,0)</f>
        <v>0</v>
      </c>
      <c r="BF269" s="188">
        <f>IF(N269="snížená",J269,0)</f>
        <v>0</v>
      </c>
      <c r="BG269" s="188">
        <f>IF(N269="zákl. přenesená",J269,0)</f>
        <v>0</v>
      </c>
      <c r="BH269" s="188">
        <f>IF(N269="sníž. přenesená",J269,0)</f>
        <v>0</v>
      </c>
      <c r="BI269" s="188">
        <f>IF(N269="nulová",J269,0)</f>
        <v>0</v>
      </c>
      <c r="BJ269" s="15" t="s">
        <v>77</v>
      </c>
      <c r="BK269" s="188">
        <f>ROUND(I269*H269,2)</f>
        <v>0</v>
      </c>
      <c r="BL269" s="15" t="s">
        <v>203</v>
      </c>
      <c r="BM269" s="187" t="s">
        <v>632</v>
      </c>
    </row>
    <row r="270" spans="1:47" s="2" customFormat="1" ht="39">
      <c r="A270" s="32"/>
      <c r="B270" s="33"/>
      <c r="C270" s="34"/>
      <c r="D270" s="189" t="s">
        <v>208</v>
      </c>
      <c r="E270" s="34"/>
      <c r="F270" s="190" t="s">
        <v>612</v>
      </c>
      <c r="G270" s="34"/>
      <c r="H270" s="34"/>
      <c r="I270" s="191"/>
      <c r="J270" s="34"/>
      <c r="K270" s="34"/>
      <c r="L270" s="37"/>
      <c r="M270" s="192"/>
      <c r="N270" s="193"/>
      <c r="O270" s="62"/>
      <c r="P270" s="62"/>
      <c r="Q270" s="62"/>
      <c r="R270" s="62"/>
      <c r="S270" s="62"/>
      <c r="T270" s="63"/>
      <c r="U270" s="32"/>
      <c r="V270" s="32"/>
      <c r="W270" s="32"/>
      <c r="X270" s="32"/>
      <c r="Y270" s="32"/>
      <c r="Z270" s="32"/>
      <c r="AA270" s="32"/>
      <c r="AB270" s="32"/>
      <c r="AC270" s="32"/>
      <c r="AD270" s="32"/>
      <c r="AE270" s="32"/>
      <c r="AT270" s="15" t="s">
        <v>208</v>
      </c>
      <c r="AU270" s="15" t="s">
        <v>79</v>
      </c>
    </row>
    <row r="271" spans="1:65" s="2" customFormat="1" ht="13.9" customHeight="1">
      <c r="A271" s="32"/>
      <c r="B271" s="33"/>
      <c r="C271" s="176" t="s">
        <v>633</v>
      </c>
      <c r="D271" s="176" t="s">
        <v>198</v>
      </c>
      <c r="E271" s="177" t="s">
        <v>634</v>
      </c>
      <c r="F271" s="178" t="s">
        <v>635</v>
      </c>
      <c r="G271" s="179" t="s">
        <v>310</v>
      </c>
      <c r="H271" s="180">
        <v>91</v>
      </c>
      <c r="I271" s="181"/>
      <c r="J271" s="182">
        <f>ROUND(I271*H271,2)</f>
        <v>0</v>
      </c>
      <c r="K271" s="178" t="s">
        <v>202</v>
      </c>
      <c r="L271" s="37"/>
      <c r="M271" s="183" t="s">
        <v>19</v>
      </c>
      <c r="N271" s="184" t="s">
        <v>41</v>
      </c>
      <c r="O271" s="62"/>
      <c r="P271" s="185">
        <f>O271*H271</f>
        <v>0</v>
      </c>
      <c r="Q271" s="185">
        <v>0</v>
      </c>
      <c r="R271" s="185">
        <f>Q271*H271</f>
        <v>0</v>
      </c>
      <c r="S271" s="185">
        <v>0</v>
      </c>
      <c r="T271" s="186">
        <f>S271*H271</f>
        <v>0</v>
      </c>
      <c r="U271" s="32"/>
      <c r="V271" s="32"/>
      <c r="W271" s="32"/>
      <c r="X271" s="32"/>
      <c r="Y271" s="32"/>
      <c r="Z271" s="32"/>
      <c r="AA271" s="32"/>
      <c r="AB271" s="32"/>
      <c r="AC271" s="32"/>
      <c r="AD271" s="32"/>
      <c r="AE271" s="32"/>
      <c r="AR271" s="187" t="s">
        <v>203</v>
      </c>
      <c r="AT271" s="187" t="s">
        <v>198</v>
      </c>
      <c r="AU271" s="187" t="s">
        <v>79</v>
      </c>
      <c r="AY271" s="15" t="s">
        <v>196</v>
      </c>
      <c r="BE271" s="188">
        <f>IF(N271="základní",J271,0)</f>
        <v>0</v>
      </c>
      <c r="BF271" s="188">
        <f>IF(N271="snížená",J271,0)</f>
        <v>0</v>
      </c>
      <c r="BG271" s="188">
        <f>IF(N271="zákl. přenesená",J271,0)</f>
        <v>0</v>
      </c>
      <c r="BH271" s="188">
        <f>IF(N271="sníž. přenesená",J271,0)</f>
        <v>0</v>
      </c>
      <c r="BI271" s="188">
        <f>IF(N271="nulová",J271,0)</f>
        <v>0</v>
      </c>
      <c r="BJ271" s="15" t="s">
        <v>77</v>
      </c>
      <c r="BK271" s="188">
        <f>ROUND(I271*H271,2)</f>
        <v>0</v>
      </c>
      <c r="BL271" s="15" t="s">
        <v>203</v>
      </c>
      <c r="BM271" s="187" t="s">
        <v>636</v>
      </c>
    </row>
    <row r="272" spans="1:65" s="2" customFormat="1" ht="13.9" customHeight="1">
      <c r="A272" s="32"/>
      <c r="B272" s="33"/>
      <c r="C272" s="176" t="s">
        <v>637</v>
      </c>
      <c r="D272" s="176" t="s">
        <v>198</v>
      </c>
      <c r="E272" s="177" t="s">
        <v>638</v>
      </c>
      <c r="F272" s="178" t="s">
        <v>639</v>
      </c>
      <c r="G272" s="179" t="s">
        <v>310</v>
      </c>
      <c r="H272" s="180">
        <v>81.2</v>
      </c>
      <c r="I272" s="181"/>
      <c r="J272" s="182">
        <f>ROUND(I272*H272,2)</f>
        <v>0</v>
      </c>
      <c r="K272" s="178" t="s">
        <v>202</v>
      </c>
      <c r="L272" s="37"/>
      <c r="M272" s="183" t="s">
        <v>19</v>
      </c>
      <c r="N272" s="184" t="s">
        <v>41</v>
      </c>
      <c r="O272" s="62"/>
      <c r="P272" s="185">
        <f>O272*H272</f>
        <v>0</v>
      </c>
      <c r="Q272" s="185">
        <v>1E-05</v>
      </c>
      <c r="R272" s="185">
        <f>Q272*H272</f>
        <v>0.0008120000000000001</v>
      </c>
      <c r="S272" s="185">
        <v>0</v>
      </c>
      <c r="T272" s="186">
        <f>S272*H272</f>
        <v>0</v>
      </c>
      <c r="U272" s="32"/>
      <c r="V272" s="32"/>
      <c r="W272" s="32"/>
      <c r="X272" s="32"/>
      <c r="Y272" s="32"/>
      <c r="Z272" s="32"/>
      <c r="AA272" s="32"/>
      <c r="AB272" s="32"/>
      <c r="AC272" s="32"/>
      <c r="AD272" s="32"/>
      <c r="AE272" s="32"/>
      <c r="AR272" s="187" t="s">
        <v>203</v>
      </c>
      <c r="AT272" s="187" t="s">
        <v>198</v>
      </c>
      <c r="AU272" s="187" t="s">
        <v>79</v>
      </c>
      <c r="AY272" s="15" t="s">
        <v>196</v>
      </c>
      <c r="BE272" s="188">
        <f>IF(N272="základní",J272,0)</f>
        <v>0</v>
      </c>
      <c r="BF272" s="188">
        <f>IF(N272="snížená",J272,0)</f>
        <v>0</v>
      </c>
      <c r="BG272" s="188">
        <f>IF(N272="zákl. přenesená",J272,0)</f>
        <v>0</v>
      </c>
      <c r="BH272" s="188">
        <f>IF(N272="sníž. přenesená",J272,0)</f>
        <v>0</v>
      </c>
      <c r="BI272" s="188">
        <f>IF(N272="nulová",J272,0)</f>
        <v>0</v>
      </c>
      <c r="BJ272" s="15" t="s">
        <v>77</v>
      </c>
      <c r="BK272" s="188">
        <f>ROUND(I272*H272,2)</f>
        <v>0</v>
      </c>
      <c r="BL272" s="15" t="s">
        <v>203</v>
      </c>
      <c r="BM272" s="187" t="s">
        <v>640</v>
      </c>
    </row>
    <row r="273" spans="1:65" s="2" customFormat="1" ht="13.9" customHeight="1">
      <c r="A273" s="32"/>
      <c r="B273" s="33"/>
      <c r="C273" s="176" t="s">
        <v>641</v>
      </c>
      <c r="D273" s="176" t="s">
        <v>198</v>
      </c>
      <c r="E273" s="177" t="s">
        <v>642</v>
      </c>
      <c r="F273" s="178" t="s">
        <v>643</v>
      </c>
      <c r="G273" s="179" t="s">
        <v>253</v>
      </c>
      <c r="H273" s="180">
        <v>52.3</v>
      </c>
      <c r="I273" s="181"/>
      <c r="J273" s="182">
        <f>ROUND(I273*H273,2)</f>
        <v>0</v>
      </c>
      <c r="K273" s="178" t="s">
        <v>202</v>
      </c>
      <c r="L273" s="37"/>
      <c r="M273" s="183" t="s">
        <v>19</v>
      </c>
      <c r="N273" s="184" t="s">
        <v>41</v>
      </c>
      <c r="O273" s="62"/>
      <c r="P273" s="185">
        <f>O273*H273</f>
        <v>0</v>
      </c>
      <c r="Q273" s="185">
        <v>0</v>
      </c>
      <c r="R273" s="185">
        <f>Q273*H273</f>
        <v>0</v>
      </c>
      <c r="S273" s="185">
        <v>0.02</v>
      </c>
      <c r="T273" s="186">
        <f>S273*H273</f>
        <v>1.046</v>
      </c>
      <c r="U273" s="32"/>
      <c r="V273" s="32"/>
      <c r="W273" s="32"/>
      <c r="X273" s="32"/>
      <c r="Y273" s="32"/>
      <c r="Z273" s="32"/>
      <c r="AA273" s="32"/>
      <c r="AB273" s="32"/>
      <c r="AC273" s="32"/>
      <c r="AD273" s="32"/>
      <c r="AE273" s="32"/>
      <c r="AR273" s="187" t="s">
        <v>203</v>
      </c>
      <c r="AT273" s="187" t="s">
        <v>198</v>
      </c>
      <c r="AU273" s="187" t="s">
        <v>79</v>
      </c>
      <c r="AY273" s="15" t="s">
        <v>196</v>
      </c>
      <c r="BE273" s="188">
        <f>IF(N273="základní",J273,0)</f>
        <v>0</v>
      </c>
      <c r="BF273" s="188">
        <f>IF(N273="snížená",J273,0)</f>
        <v>0</v>
      </c>
      <c r="BG273" s="188">
        <f>IF(N273="zákl. přenesená",J273,0)</f>
        <v>0</v>
      </c>
      <c r="BH273" s="188">
        <f>IF(N273="sníž. přenesená",J273,0)</f>
        <v>0</v>
      </c>
      <c r="BI273" s="188">
        <f>IF(N273="nulová",J273,0)</f>
        <v>0</v>
      </c>
      <c r="BJ273" s="15" t="s">
        <v>77</v>
      </c>
      <c r="BK273" s="188">
        <f>ROUND(I273*H273,2)</f>
        <v>0</v>
      </c>
      <c r="BL273" s="15" t="s">
        <v>203</v>
      </c>
      <c r="BM273" s="187" t="s">
        <v>644</v>
      </c>
    </row>
    <row r="274" spans="1:47" s="2" customFormat="1" ht="29.25">
      <c r="A274" s="32"/>
      <c r="B274" s="33"/>
      <c r="C274" s="34"/>
      <c r="D274" s="189" t="s">
        <v>208</v>
      </c>
      <c r="E274" s="34"/>
      <c r="F274" s="190" t="s">
        <v>645</v>
      </c>
      <c r="G274" s="34"/>
      <c r="H274" s="34"/>
      <c r="I274" s="191"/>
      <c r="J274" s="34"/>
      <c r="K274" s="34"/>
      <c r="L274" s="37"/>
      <c r="M274" s="192"/>
      <c r="N274" s="193"/>
      <c r="O274" s="62"/>
      <c r="P274" s="62"/>
      <c r="Q274" s="62"/>
      <c r="R274" s="62"/>
      <c r="S274" s="62"/>
      <c r="T274" s="63"/>
      <c r="U274" s="32"/>
      <c r="V274" s="32"/>
      <c r="W274" s="32"/>
      <c r="X274" s="32"/>
      <c r="Y274" s="32"/>
      <c r="Z274" s="32"/>
      <c r="AA274" s="32"/>
      <c r="AB274" s="32"/>
      <c r="AC274" s="32"/>
      <c r="AD274" s="32"/>
      <c r="AE274" s="32"/>
      <c r="AT274" s="15" t="s">
        <v>208</v>
      </c>
      <c r="AU274" s="15" t="s">
        <v>79</v>
      </c>
    </row>
    <row r="275" spans="1:65" s="2" customFormat="1" ht="13.9" customHeight="1">
      <c r="A275" s="32"/>
      <c r="B275" s="33"/>
      <c r="C275" s="176" t="s">
        <v>646</v>
      </c>
      <c r="D275" s="176" t="s">
        <v>198</v>
      </c>
      <c r="E275" s="177" t="s">
        <v>647</v>
      </c>
      <c r="F275" s="178" t="s">
        <v>648</v>
      </c>
      <c r="G275" s="179" t="s">
        <v>253</v>
      </c>
      <c r="H275" s="180">
        <v>279</v>
      </c>
      <c r="I275" s="181"/>
      <c r="J275" s="182">
        <f>ROUND(I275*H275,2)</f>
        <v>0</v>
      </c>
      <c r="K275" s="178" t="s">
        <v>202</v>
      </c>
      <c r="L275" s="37"/>
      <c r="M275" s="183" t="s">
        <v>19</v>
      </c>
      <c r="N275" s="184" t="s">
        <v>41</v>
      </c>
      <c r="O275" s="62"/>
      <c r="P275" s="185">
        <f>O275*H275</f>
        <v>0</v>
      </c>
      <c r="Q275" s="185">
        <v>0</v>
      </c>
      <c r="R275" s="185">
        <f>Q275*H275</f>
        <v>0</v>
      </c>
      <c r="S275" s="185">
        <v>0.05</v>
      </c>
      <c r="T275" s="186">
        <f>S275*H275</f>
        <v>13.950000000000001</v>
      </c>
      <c r="U275" s="32"/>
      <c r="V275" s="32"/>
      <c r="W275" s="32"/>
      <c r="X275" s="32"/>
      <c r="Y275" s="32"/>
      <c r="Z275" s="32"/>
      <c r="AA275" s="32"/>
      <c r="AB275" s="32"/>
      <c r="AC275" s="32"/>
      <c r="AD275" s="32"/>
      <c r="AE275" s="32"/>
      <c r="AR275" s="187" t="s">
        <v>203</v>
      </c>
      <c r="AT275" s="187" t="s">
        <v>198</v>
      </c>
      <c r="AU275" s="187" t="s">
        <v>79</v>
      </c>
      <c r="AY275" s="15" t="s">
        <v>196</v>
      </c>
      <c r="BE275" s="188">
        <f>IF(N275="základní",J275,0)</f>
        <v>0</v>
      </c>
      <c r="BF275" s="188">
        <f>IF(N275="snížená",J275,0)</f>
        <v>0</v>
      </c>
      <c r="BG275" s="188">
        <f>IF(N275="zákl. přenesená",J275,0)</f>
        <v>0</v>
      </c>
      <c r="BH275" s="188">
        <f>IF(N275="sníž. přenesená",J275,0)</f>
        <v>0</v>
      </c>
      <c r="BI275" s="188">
        <f>IF(N275="nulová",J275,0)</f>
        <v>0</v>
      </c>
      <c r="BJ275" s="15" t="s">
        <v>77</v>
      </c>
      <c r="BK275" s="188">
        <f>ROUND(I275*H275,2)</f>
        <v>0</v>
      </c>
      <c r="BL275" s="15" t="s">
        <v>203</v>
      </c>
      <c r="BM275" s="187" t="s">
        <v>649</v>
      </c>
    </row>
    <row r="276" spans="1:47" s="2" customFormat="1" ht="29.25">
      <c r="A276" s="32"/>
      <c r="B276" s="33"/>
      <c r="C276" s="34"/>
      <c r="D276" s="189" t="s">
        <v>208</v>
      </c>
      <c r="E276" s="34"/>
      <c r="F276" s="190" t="s">
        <v>645</v>
      </c>
      <c r="G276" s="34"/>
      <c r="H276" s="34"/>
      <c r="I276" s="191"/>
      <c r="J276" s="34"/>
      <c r="K276" s="34"/>
      <c r="L276" s="37"/>
      <c r="M276" s="192"/>
      <c r="N276" s="193"/>
      <c r="O276" s="62"/>
      <c r="P276" s="62"/>
      <c r="Q276" s="62"/>
      <c r="R276" s="62"/>
      <c r="S276" s="62"/>
      <c r="T276" s="63"/>
      <c r="U276" s="32"/>
      <c r="V276" s="32"/>
      <c r="W276" s="32"/>
      <c r="X276" s="32"/>
      <c r="Y276" s="32"/>
      <c r="Z276" s="32"/>
      <c r="AA276" s="32"/>
      <c r="AB276" s="32"/>
      <c r="AC276" s="32"/>
      <c r="AD276" s="32"/>
      <c r="AE276" s="32"/>
      <c r="AT276" s="15" t="s">
        <v>208</v>
      </c>
      <c r="AU276" s="15" t="s">
        <v>79</v>
      </c>
    </row>
    <row r="277" spans="1:65" s="2" customFormat="1" ht="22.15" customHeight="1">
      <c r="A277" s="32"/>
      <c r="B277" s="33"/>
      <c r="C277" s="176" t="s">
        <v>650</v>
      </c>
      <c r="D277" s="176" t="s">
        <v>198</v>
      </c>
      <c r="E277" s="177" t="s">
        <v>651</v>
      </c>
      <c r="F277" s="178" t="s">
        <v>652</v>
      </c>
      <c r="G277" s="179" t="s">
        <v>253</v>
      </c>
      <c r="H277" s="180">
        <v>195.871</v>
      </c>
      <c r="I277" s="181"/>
      <c r="J277" s="182">
        <f>ROUND(I277*H277,2)</f>
        <v>0</v>
      </c>
      <c r="K277" s="178" t="s">
        <v>202</v>
      </c>
      <c r="L277" s="37"/>
      <c r="M277" s="183" t="s">
        <v>19</v>
      </c>
      <c r="N277" s="184" t="s">
        <v>41</v>
      </c>
      <c r="O277" s="62"/>
      <c r="P277" s="185">
        <f>O277*H277</f>
        <v>0</v>
      </c>
      <c r="Q277" s="185">
        <v>0</v>
      </c>
      <c r="R277" s="185">
        <f>Q277*H277</f>
        <v>0</v>
      </c>
      <c r="S277" s="185">
        <v>0.02</v>
      </c>
      <c r="T277" s="186">
        <f>S277*H277</f>
        <v>3.9174200000000003</v>
      </c>
      <c r="U277" s="32"/>
      <c r="V277" s="32"/>
      <c r="W277" s="32"/>
      <c r="X277" s="32"/>
      <c r="Y277" s="32"/>
      <c r="Z277" s="32"/>
      <c r="AA277" s="32"/>
      <c r="AB277" s="32"/>
      <c r="AC277" s="32"/>
      <c r="AD277" s="32"/>
      <c r="AE277" s="32"/>
      <c r="AR277" s="187" t="s">
        <v>203</v>
      </c>
      <c r="AT277" s="187" t="s">
        <v>198</v>
      </c>
      <c r="AU277" s="187" t="s">
        <v>79</v>
      </c>
      <c r="AY277" s="15" t="s">
        <v>196</v>
      </c>
      <c r="BE277" s="188">
        <f>IF(N277="základní",J277,0)</f>
        <v>0</v>
      </c>
      <c r="BF277" s="188">
        <f>IF(N277="snížená",J277,0)</f>
        <v>0</v>
      </c>
      <c r="BG277" s="188">
        <f>IF(N277="zákl. přenesená",J277,0)</f>
        <v>0</v>
      </c>
      <c r="BH277" s="188">
        <f>IF(N277="sníž. přenesená",J277,0)</f>
        <v>0</v>
      </c>
      <c r="BI277" s="188">
        <f>IF(N277="nulová",J277,0)</f>
        <v>0</v>
      </c>
      <c r="BJ277" s="15" t="s">
        <v>77</v>
      </c>
      <c r="BK277" s="188">
        <f>ROUND(I277*H277,2)</f>
        <v>0</v>
      </c>
      <c r="BL277" s="15" t="s">
        <v>203</v>
      </c>
      <c r="BM277" s="187" t="s">
        <v>653</v>
      </c>
    </row>
    <row r="278" spans="1:47" s="2" customFormat="1" ht="29.25">
      <c r="A278" s="32"/>
      <c r="B278" s="33"/>
      <c r="C278" s="34"/>
      <c r="D278" s="189" t="s">
        <v>208</v>
      </c>
      <c r="E278" s="34"/>
      <c r="F278" s="190" t="s">
        <v>645</v>
      </c>
      <c r="G278" s="34"/>
      <c r="H278" s="34"/>
      <c r="I278" s="191"/>
      <c r="J278" s="34"/>
      <c r="K278" s="34"/>
      <c r="L278" s="37"/>
      <c r="M278" s="192"/>
      <c r="N278" s="193"/>
      <c r="O278" s="62"/>
      <c r="P278" s="62"/>
      <c r="Q278" s="62"/>
      <c r="R278" s="62"/>
      <c r="S278" s="62"/>
      <c r="T278" s="63"/>
      <c r="U278" s="32"/>
      <c r="V278" s="32"/>
      <c r="W278" s="32"/>
      <c r="X278" s="32"/>
      <c r="Y278" s="32"/>
      <c r="Z278" s="32"/>
      <c r="AA278" s="32"/>
      <c r="AB278" s="32"/>
      <c r="AC278" s="32"/>
      <c r="AD278" s="32"/>
      <c r="AE278" s="32"/>
      <c r="AT278" s="15" t="s">
        <v>208</v>
      </c>
      <c r="AU278" s="15" t="s">
        <v>79</v>
      </c>
    </row>
    <row r="279" spans="1:65" s="2" customFormat="1" ht="22.15" customHeight="1">
      <c r="A279" s="32"/>
      <c r="B279" s="33"/>
      <c r="C279" s="176" t="s">
        <v>654</v>
      </c>
      <c r="D279" s="176" t="s">
        <v>198</v>
      </c>
      <c r="E279" s="177" t="s">
        <v>655</v>
      </c>
      <c r="F279" s="178" t="s">
        <v>656</v>
      </c>
      <c r="G279" s="179" t="s">
        <v>253</v>
      </c>
      <c r="H279" s="180">
        <v>581.667</v>
      </c>
      <c r="I279" s="181"/>
      <c r="J279" s="182">
        <f>ROUND(I279*H279,2)</f>
        <v>0</v>
      </c>
      <c r="K279" s="178" t="s">
        <v>202</v>
      </c>
      <c r="L279" s="37"/>
      <c r="M279" s="183" t="s">
        <v>19</v>
      </c>
      <c r="N279" s="184" t="s">
        <v>41</v>
      </c>
      <c r="O279" s="62"/>
      <c r="P279" s="185">
        <f>O279*H279</f>
        <v>0</v>
      </c>
      <c r="Q279" s="185">
        <v>0</v>
      </c>
      <c r="R279" s="185">
        <f>Q279*H279</f>
        <v>0</v>
      </c>
      <c r="S279" s="185">
        <v>0.046</v>
      </c>
      <c r="T279" s="186">
        <f>S279*H279</f>
        <v>26.756682</v>
      </c>
      <c r="U279" s="32"/>
      <c r="V279" s="32"/>
      <c r="W279" s="32"/>
      <c r="X279" s="32"/>
      <c r="Y279" s="32"/>
      <c r="Z279" s="32"/>
      <c r="AA279" s="32"/>
      <c r="AB279" s="32"/>
      <c r="AC279" s="32"/>
      <c r="AD279" s="32"/>
      <c r="AE279" s="32"/>
      <c r="AR279" s="187" t="s">
        <v>203</v>
      </c>
      <c r="AT279" s="187" t="s">
        <v>198</v>
      </c>
      <c r="AU279" s="187" t="s">
        <v>79</v>
      </c>
      <c r="AY279" s="15" t="s">
        <v>196</v>
      </c>
      <c r="BE279" s="188">
        <f>IF(N279="základní",J279,0)</f>
        <v>0</v>
      </c>
      <c r="BF279" s="188">
        <f>IF(N279="snížená",J279,0)</f>
        <v>0</v>
      </c>
      <c r="BG279" s="188">
        <f>IF(N279="zákl. přenesená",J279,0)</f>
        <v>0</v>
      </c>
      <c r="BH279" s="188">
        <f>IF(N279="sníž. přenesená",J279,0)</f>
        <v>0</v>
      </c>
      <c r="BI279" s="188">
        <f>IF(N279="nulová",J279,0)</f>
        <v>0</v>
      </c>
      <c r="BJ279" s="15" t="s">
        <v>77</v>
      </c>
      <c r="BK279" s="188">
        <f>ROUND(I279*H279,2)</f>
        <v>0</v>
      </c>
      <c r="BL279" s="15" t="s">
        <v>203</v>
      </c>
      <c r="BM279" s="187" t="s">
        <v>657</v>
      </c>
    </row>
    <row r="280" spans="1:47" s="2" customFormat="1" ht="29.25">
      <c r="A280" s="32"/>
      <c r="B280" s="33"/>
      <c r="C280" s="34"/>
      <c r="D280" s="189" t="s">
        <v>208</v>
      </c>
      <c r="E280" s="34"/>
      <c r="F280" s="190" t="s">
        <v>645</v>
      </c>
      <c r="G280" s="34"/>
      <c r="H280" s="34"/>
      <c r="I280" s="191"/>
      <c r="J280" s="34"/>
      <c r="K280" s="34"/>
      <c r="L280" s="37"/>
      <c r="M280" s="192"/>
      <c r="N280" s="193"/>
      <c r="O280" s="62"/>
      <c r="P280" s="62"/>
      <c r="Q280" s="62"/>
      <c r="R280" s="62"/>
      <c r="S280" s="62"/>
      <c r="T280" s="63"/>
      <c r="U280" s="32"/>
      <c r="V280" s="32"/>
      <c r="W280" s="32"/>
      <c r="X280" s="32"/>
      <c r="Y280" s="32"/>
      <c r="Z280" s="32"/>
      <c r="AA280" s="32"/>
      <c r="AB280" s="32"/>
      <c r="AC280" s="32"/>
      <c r="AD280" s="32"/>
      <c r="AE280" s="32"/>
      <c r="AT280" s="15" t="s">
        <v>208</v>
      </c>
      <c r="AU280" s="15" t="s">
        <v>79</v>
      </c>
    </row>
    <row r="281" spans="2:63" s="12" customFormat="1" ht="22.9" customHeight="1">
      <c r="B281" s="160"/>
      <c r="C281" s="161"/>
      <c r="D281" s="162" t="s">
        <v>69</v>
      </c>
      <c r="E281" s="174" t="s">
        <v>658</v>
      </c>
      <c r="F281" s="174" t="s">
        <v>659</v>
      </c>
      <c r="G281" s="161"/>
      <c r="H281" s="161"/>
      <c r="I281" s="164"/>
      <c r="J281" s="175">
        <f>BK281</f>
        <v>0</v>
      </c>
      <c r="K281" s="161"/>
      <c r="L281" s="166"/>
      <c r="M281" s="167"/>
      <c r="N281" s="168"/>
      <c r="O281" s="168"/>
      <c r="P281" s="169">
        <f>SUM(P282:P293)</f>
        <v>0</v>
      </c>
      <c r="Q281" s="168"/>
      <c r="R281" s="169">
        <f>SUM(R282:R293)</f>
        <v>0</v>
      </c>
      <c r="S281" s="168"/>
      <c r="T281" s="170">
        <f>SUM(T282:T293)</f>
        <v>0</v>
      </c>
      <c r="AR281" s="171" t="s">
        <v>77</v>
      </c>
      <c r="AT281" s="172" t="s">
        <v>69</v>
      </c>
      <c r="AU281" s="172" t="s">
        <v>77</v>
      </c>
      <c r="AY281" s="171" t="s">
        <v>196</v>
      </c>
      <c r="BK281" s="173">
        <f>SUM(BK282:BK293)</f>
        <v>0</v>
      </c>
    </row>
    <row r="282" spans="1:65" s="2" customFormat="1" ht="13.9" customHeight="1">
      <c r="A282" s="32"/>
      <c r="B282" s="33"/>
      <c r="C282" s="176" t="s">
        <v>660</v>
      </c>
      <c r="D282" s="176" t="s">
        <v>198</v>
      </c>
      <c r="E282" s="177" t="s">
        <v>661</v>
      </c>
      <c r="F282" s="178" t="s">
        <v>662</v>
      </c>
      <c r="G282" s="179" t="s">
        <v>242</v>
      </c>
      <c r="H282" s="180">
        <v>188.147</v>
      </c>
      <c r="I282" s="181"/>
      <c r="J282" s="182">
        <f>ROUND(I282*H282,2)</f>
        <v>0</v>
      </c>
      <c r="K282" s="178" t="s">
        <v>202</v>
      </c>
      <c r="L282" s="37"/>
      <c r="M282" s="183" t="s">
        <v>19</v>
      </c>
      <c r="N282" s="184" t="s">
        <v>41</v>
      </c>
      <c r="O282" s="62"/>
      <c r="P282" s="185">
        <f>O282*H282</f>
        <v>0</v>
      </c>
      <c r="Q282" s="185">
        <v>0</v>
      </c>
      <c r="R282" s="185">
        <f>Q282*H282</f>
        <v>0</v>
      </c>
      <c r="S282" s="185">
        <v>0</v>
      </c>
      <c r="T282" s="186">
        <f>S282*H282</f>
        <v>0</v>
      </c>
      <c r="U282" s="32"/>
      <c r="V282" s="32"/>
      <c r="W282" s="32"/>
      <c r="X282" s="32"/>
      <c r="Y282" s="32"/>
      <c r="Z282" s="32"/>
      <c r="AA282" s="32"/>
      <c r="AB282" s="32"/>
      <c r="AC282" s="32"/>
      <c r="AD282" s="32"/>
      <c r="AE282" s="32"/>
      <c r="AR282" s="187" t="s">
        <v>203</v>
      </c>
      <c r="AT282" s="187" t="s">
        <v>198</v>
      </c>
      <c r="AU282" s="187" t="s">
        <v>79</v>
      </c>
      <c r="AY282" s="15" t="s">
        <v>196</v>
      </c>
      <c r="BE282" s="188">
        <f>IF(N282="základní",J282,0)</f>
        <v>0</v>
      </c>
      <c r="BF282" s="188">
        <f>IF(N282="snížená",J282,0)</f>
        <v>0</v>
      </c>
      <c r="BG282" s="188">
        <f>IF(N282="zákl. přenesená",J282,0)</f>
        <v>0</v>
      </c>
      <c r="BH282" s="188">
        <f>IF(N282="sníž. přenesená",J282,0)</f>
        <v>0</v>
      </c>
      <c r="BI282" s="188">
        <f>IF(N282="nulová",J282,0)</f>
        <v>0</v>
      </c>
      <c r="BJ282" s="15" t="s">
        <v>77</v>
      </c>
      <c r="BK282" s="188">
        <f>ROUND(I282*H282,2)</f>
        <v>0</v>
      </c>
      <c r="BL282" s="15" t="s">
        <v>203</v>
      </c>
      <c r="BM282" s="187" t="s">
        <v>663</v>
      </c>
    </row>
    <row r="283" spans="1:47" s="2" customFormat="1" ht="107.25">
      <c r="A283" s="32"/>
      <c r="B283" s="33"/>
      <c r="C283" s="34"/>
      <c r="D283" s="189" t="s">
        <v>208</v>
      </c>
      <c r="E283" s="34"/>
      <c r="F283" s="190" t="s">
        <v>664</v>
      </c>
      <c r="G283" s="34"/>
      <c r="H283" s="34"/>
      <c r="I283" s="191"/>
      <c r="J283" s="34"/>
      <c r="K283" s="34"/>
      <c r="L283" s="37"/>
      <c r="M283" s="192"/>
      <c r="N283" s="193"/>
      <c r="O283" s="62"/>
      <c r="P283" s="62"/>
      <c r="Q283" s="62"/>
      <c r="R283" s="62"/>
      <c r="S283" s="62"/>
      <c r="T283" s="63"/>
      <c r="U283" s="32"/>
      <c r="V283" s="32"/>
      <c r="W283" s="32"/>
      <c r="X283" s="32"/>
      <c r="Y283" s="32"/>
      <c r="Z283" s="32"/>
      <c r="AA283" s="32"/>
      <c r="AB283" s="32"/>
      <c r="AC283" s="32"/>
      <c r="AD283" s="32"/>
      <c r="AE283" s="32"/>
      <c r="AT283" s="15" t="s">
        <v>208</v>
      </c>
      <c r="AU283" s="15" t="s">
        <v>79</v>
      </c>
    </row>
    <row r="284" spans="1:65" s="2" customFormat="1" ht="13.9" customHeight="1">
      <c r="A284" s="32"/>
      <c r="B284" s="33"/>
      <c r="C284" s="176" t="s">
        <v>665</v>
      </c>
      <c r="D284" s="176" t="s">
        <v>198</v>
      </c>
      <c r="E284" s="177" t="s">
        <v>666</v>
      </c>
      <c r="F284" s="178" t="s">
        <v>667</v>
      </c>
      <c r="G284" s="179" t="s">
        <v>242</v>
      </c>
      <c r="H284" s="180">
        <v>188.147</v>
      </c>
      <c r="I284" s="181"/>
      <c r="J284" s="182">
        <f>ROUND(I284*H284,2)</f>
        <v>0</v>
      </c>
      <c r="K284" s="178" t="s">
        <v>202</v>
      </c>
      <c r="L284" s="37"/>
      <c r="M284" s="183" t="s">
        <v>19</v>
      </c>
      <c r="N284" s="184" t="s">
        <v>41</v>
      </c>
      <c r="O284" s="62"/>
      <c r="P284" s="185">
        <f>O284*H284</f>
        <v>0</v>
      </c>
      <c r="Q284" s="185">
        <v>0</v>
      </c>
      <c r="R284" s="185">
        <f>Q284*H284</f>
        <v>0</v>
      </c>
      <c r="S284" s="185">
        <v>0</v>
      </c>
      <c r="T284" s="186">
        <f>S284*H284</f>
        <v>0</v>
      </c>
      <c r="U284" s="32"/>
      <c r="V284" s="32"/>
      <c r="W284" s="32"/>
      <c r="X284" s="32"/>
      <c r="Y284" s="32"/>
      <c r="Z284" s="32"/>
      <c r="AA284" s="32"/>
      <c r="AB284" s="32"/>
      <c r="AC284" s="32"/>
      <c r="AD284" s="32"/>
      <c r="AE284" s="32"/>
      <c r="AR284" s="187" t="s">
        <v>203</v>
      </c>
      <c r="AT284" s="187" t="s">
        <v>198</v>
      </c>
      <c r="AU284" s="187" t="s">
        <v>79</v>
      </c>
      <c r="AY284" s="15" t="s">
        <v>196</v>
      </c>
      <c r="BE284" s="188">
        <f>IF(N284="základní",J284,0)</f>
        <v>0</v>
      </c>
      <c r="BF284" s="188">
        <f>IF(N284="snížená",J284,0)</f>
        <v>0</v>
      </c>
      <c r="BG284" s="188">
        <f>IF(N284="zákl. přenesená",J284,0)</f>
        <v>0</v>
      </c>
      <c r="BH284" s="188">
        <f>IF(N284="sníž. přenesená",J284,0)</f>
        <v>0</v>
      </c>
      <c r="BI284" s="188">
        <f>IF(N284="nulová",J284,0)</f>
        <v>0</v>
      </c>
      <c r="BJ284" s="15" t="s">
        <v>77</v>
      </c>
      <c r="BK284" s="188">
        <f>ROUND(I284*H284,2)</f>
        <v>0</v>
      </c>
      <c r="BL284" s="15" t="s">
        <v>203</v>
      </c>
      <c r="BM284" s="187" t="s">
        <v>668</v>
      </c>
    </row>
    <row r="285" spans="1:47" s="2" customFormat="1" ht="58.5">
      <c r="A285" s="32"/>
      <c r="B285" s="33"/>
      <c r="C285" s="34"/>
      <c r="D285" s="189" t="s">
        <v>208</v>
      </c>
      <c r="E285" s="34"/>
      <c r="F285" s="190" t="s">
        <v>669</v>
      </c>
      <c r="G285" s="34"/>
      <c r="H285" s="34"/>
      <c r="I285" s="191"/>
      <c r="J285" s="34"/>
      <c r="K285" s="34"/>
      <c r="L285" s="37"/>
      <c r="M285" s="192"/>
      <c r="N285" s="193"/>
      <c r="O285" s="62"/>
      <c r="P285" s="62"/>
      <c r="Q285" s="62"/>
      <c r="R285" s="62"/>
      <c r="S285" s="62"/>
      <c r="T285" s="63"/>
      <c r="U285" s="32"/>
      <c r="V285" s="32"/>
      <c r="W285" s="32"/>
      <c r="X285" s="32"/>
      <c r="Y285" s="32"/>
      <c r="Z285" s="32"/>
      <c r="AA285" s="32"/>
      <c r="AB285" s="32"/>
      <c r="AC285" s="32"/>
      <c r="AD285" s="32"/>
      <c r="AE285" s="32"/>
      <c r="AT285" s="15" t="s">
        <v>208</v>
      </c>
      <c r="AU285" s="15" t="s">
        <v>79</v>
      </c>
    </row>
    <row r="286" spans="1:65" s="2" customFormat="1" ht="22.15" customHeight="1">
      <c r="A286" s="32"/>
      <c r="B286" s="33"/>
      <c r="C286" s="176" t="s">
        <v>670</v>
      </c>
      <c r="D286" s="176" t="s">
        <v>198</v>
      </c>
      <c r="E286" s="177" t="s">
        <v>671</v>
      </c>
      <c r="F286" s="178" t="s">
        <v>672</v>
      </c>
      <c r="G286" s="179" t="s">
        <v>242</v>
      </c>
      <c r="H286" s="180">
        <v>3762.94</v>
      </c>
      <c r="I286" s="181"/>
      <c r="J286" s="182">
        <f>ROUND(I286*H286,2)</f>
        <v>0</v>
      </c>
      <c r="K286" s="178" t="s">
        <v>202</v>
      </c>
      <c r="L286" s="37"/>
      <c r="M286" s="183" t="s">
        <v>19</v>
      </c>
      <c r="N286" s="184" t="s">
        <v>41</v>
      </c>
      <c r="O286" s="62"/>
      <c r="P286" s="185">
        <f>O286*H286</f>
        <v>0</v>
      </c>
      <c r="Q286" s="185">
        <v>0</v>
      </c>
      <c r="R286" s="185">
        <f>Q286*H286</f>
        <v>0</v>
      </c>
      <c r="S286" s="185">
        <v>0</v>
      </c>
      <c r="T286" s="186">
        <f>S286*H286</f>
        <v>0</v>
      </c>
      <c r="U286" s="32"/>
      <c r="V286" s="32"/>
      <c r="W286" s="32"/>
      <c r="X286" s="32"/>
      <c r="Y286" s="32"/>
      <c r="Z286" s="32"/>
      <c r="AA286" s="32"/>
      <c r="AB286" s="32"/>
      <c r="AC286" s="32"/>
      <c r="AD286" s="32"/>
      <c r="AE286" s="32"/>
      <c r="AR286" s="187" t="s">
        <v>203</v>
      </c>
      <c r="AT286" s="187" t="s">
        <v>198</v>
      </c>
      <c r="AU286" s="187" t="s">
        <v>79</v>
      </c>
      <c r="AY286" s="15" t="s">
        <v>196</v>
      </c>
      <c r="BE286" s="188">
        <f>IF(N286="základní",J286,0)</f>
        <v>0</v>
      </c>
      <c r="BF286" s="188">
        <f>IF(N286="snížená",J286,0)</f>
        <v>0</v>
      </c>
      <c r="BG286" s="188">
        <f>IF(N286="zákl. přenesená",J286,0)</f>
        <v>0</v>
      </c>
      <c r="BH286" s="188">
        <f>IF(N286="sníž. přenesená",J286,0)</f>
        <v>0</v>
      </c>
      <c r="BI286" s="188">
        <f>IF(N286="nulová",J286,0)</f>
        <v>0</v>
      </c>
      <c r="BJ286" s="15" t="s">
        <v>77</v>
      </c>
      <c r="BK286" s="188">
        <f>ROUND(I286*H286,2)</f>
        <v>0</v>
      </c>
      <c r="BL286" s="15" t="s">
        <v>203</v>
      </c>
      <c r="BM286" s="187" t="s">
        <v>673</v>
      </c>
    </row>
    <row r="287" spans="1:47" s="2" customFormat="1" ht="58.5">
      <c r="A287" s="32"/>
      <c r="B287" s="33"/>
      <c r="C287" s="34"/>
      <c r="D287" s="189" t="s">
        <v>208</v>
      </c>
      <c r="E287" s="34"/>
      <c r="F287" s="190" t="s">
        <v>669</v>
      </c>
      <c r="G287" s="34"/>
      <c r="H287" s="34"/>
      <c r="I287" s="191"/>
      <c r="J287" s="34"/>
      <c r="K287" s="34"/>
      <c r="L287" s="37"/>
      <c r="M287" s="192"/>
      <c r="N287" s="193"/>
      <c r="O287" s="62"/>
      <c r="P287" s="62"/>
      <c r="Q287" s="62"/>
      <c r="R287" s="62"/>
      <c r="S287" s="62"/>
      <c r="T287" s="63"/>
      <c r="U287" s="32"/>
      <c r="V287" s="32"/>
      <c r="W287" s="32"/>
      <c r="X287" s="32"/>
      <c r="Y287" s="32"/>
      <c r="Z287" s="32"/>
      <c r="AA287" s="32"/>
      <c r="AB287" s="32"/>
      <c r="AC287" s="32"/>
      <c r="AD287" s="32"/>
      <c r="AE287" s="32"/>
      <c r="AT287" s="15" t="s">
        <v>208</v>
      </c>
      <c r="AU287" s="15" t="s">
        <v>79</v>
      </c>
    </row>
    <row r="288" spans="1:65" s="2" customFormat="1" ht="22.15" customHeight="1">
      <c r="A288" s="32"/>
      <c r="B288" s="33"/>
      <c r="C288" s="176" t="s">
        <v>674</v>
      </c>
      <c r="D288" s="176" t="s">
        <v>198</v>
      </c>
      <c r="E288" s="177" t="s">
        <v>675</v>
      </c>
      <c r="F288" s="178" t="s">
        <v>676</v>
      </c>
      <c r="G288" s="179" t="s">
        <v>242</v>
      </c>
      <c r="H288" s="180">
        <v>159.925</v>
      </c>
      <c r="I288" s="181"/>
      <c r="J288" s="182">
        <f>ROUND(I288*H288,2)</f>
        <v>0</v>
      </c>
      <c r="K288" s="178" t="s">
        <v>202</v>
      </c>
      <c r="L288" s="37"/>
      <c r="M288" s="183" t="s">
        <v>19</v>
      </c>
      <c r="N288" s="184" t="s">
        <v>41</v>
      </c>
      <c r="O288" s="62"/>
      <c r="P288" s="185">
        <f>O288*H288</f>
        <v>0</v>
      </c>
      <c r="Q288" s="185">
        <v>0</v>
      </c>
      <c r="R288" s="185">
        <f>Q288*H288</f>
        <v>0</v>
      </c>
      <c r="S288" s="185">
        <v>0</v>
      </c>
      <c r="T288" s="186">
        <f>S288*H288</f>
        <v>0</v>
      </c>
      <c r="U288" s="32"/>
      <c r="V288" s="32"/>
      <c r="W288" s="32"/>
      <c r="X288" s="32"/>
      <c r="Y288" s="32"/>
      <c r="Z288" s="32"/>
      <c r="AA288" s="32"/>
      <c r="AB288" s="32"/>
      <c r="AC288" s="32"/>
      <c r="AD288" s="32"/>
      <c r="AE288" s="32"/>
      <c r="AR288" s="187" t="s">
        <v>203</v>
      </c>
      <c r="AT288" s="187" t="s">
        <v>198</v>
      </c>
      <c r="AU288" s="187" t="s">
        <v>79</v>
      </c>
      <c r="AY288" s="15" t="s">
        <v>196</v>
      </c>
      <c r="BE288" s="188">
        <f>IF(N288="základní",J288,0)</f>
        <v>0</v>
      </c>
      <c r="BF288" s="188">
        <f>IF(N288="snížená",J288,0)</f>
        <v>0</v>
      </c>
      <c r="BG288" s="188">
        <f>IF(N288="zákl. přenesená",J288,0)</f>
        <v>0</v>
      </c>
      <c r="BH288" s="188">
        <f>IF(N288="sníž. přenesená",J288,0)</f>
        <v>0</v>
      </c>
      <c r="BI288" s="188">
        <f>IF(N288="nulová",J288,0)</f>
        <v>0</v>
      </c>
      <c r="BJ288" s="15" t="s">
        <v>77</v>
      </c>
      <c r="BK288" s="188">
        <f>ROUND(I288*H288,2)</f>
        <v>0</v>
      </c>
      <c r="BL288" s="15" t="s">
        <v>203</v>
      </c>
      <c r="BM288" s="187" t="s">
        <v>677</v>
      </c>
    </row>
    <row r="289" spans="1:47" s="2" customFormat="1" ht="58.5">
      <c r="A289" s="32"/>
      <c r="B289" s="33"/>
      <c r="C289" s="34"/>
      <c r="D289" s="189" t="s">
        <v>208</v>
      </c>
      <c r="E289" s="34"/>
      <c r="F289" s="190" t="s">
        <v>678</v>
      </c>
      <c r="G289" s="34"/>
      <c r="H289" s="34"/>
      <c r="I289" s="191"/>
      <c r="J289" s="34"/>
      <c r="K289" s="34"/>
      <c r="L289" s="37"/>
      <c r="M289" s="192"/>
      <c r="N289" s="193"/>
      <c r="O289" s="62"/>
      <c r="P289" s="62"/>
      <c r="Q289" s="62"/>
      <c r="R289" s="62"/>
      <c r="S289" s="62"/>
      <c r="T289" s="63"/>
      <c r="U289" s="32"/>
      <c r="V289" s="32"/>
      <c r="W289" s="32"/>
      <c r="X289" s="32"/>
      <c r="Y289" s="32"/>
      <c r="Z289" s="32"/>
      <c r="AA289" s="32"/>
      <c r="AB289" s="32"/>
      <c r="AC289" s="32"/>
      <c r="AD289" s="32"/>
      <c r="AE289" s="32"/>
      <c r="AT289" s="15" t="s">
        <v>208</v>
      </c>
      <c r="AU289" s="15" t="s">
        <v>79</v>
      </c>
    </row>
    <row r="290" spans="1:65" s="2" customFormat="1" ht="22.15" customHeight="1">
      <c r="A290" s="32"/>
      <c r="B290" s="33"/>
      <c r="C290" s="176" t="s">
        <v>679</v>
      </c>
      <c r="D290" s="176" t="s">
        <v>198</v>
      </c>
      <c r="E290" s="177" t="s">
        <v>680</v>
      </c>
      <c r="F290" s="178" t="s">
        <v>681</v>
      </c>
      <c r="G290" s="179" t="s">
        <v>242</v>
      </c>
      <c r="H290" s="180">
        <v>18.814</v>
      </c>
      <c r="I290" s="181"/>
      <c r="J290" s="182">
        <f>ROUND(I290*H290,2)</f>
        <v>0</v>
      </c>
      <c r="K290" s="178" t="s">
        <v>202</v>
      </c>
      <c r="L290" s="37"/>
      <c r="M290" s="183" t="s">
        <v>19</v>
      </c>
      <c r="N290" s="184" t="s">
        <v>41</v>
      </c>
      <c r="O290" s="62"/>
      <c r="P290" s="185">
        <f>O290*H290</f>
        <v>0</v>
      </c>
      <c r="Q290" s="185">
        <v>0</v>
      </c>
      <c r="R290" s="185">
        <f>Q290*H290</f>
        <v>0</v>
      </c>
      <c r="S290" s="185">
        <v>0</v>
      </c>
      <c r="T290" s="186">
        <f>S290*H290</f>
        <v>0</v>
      </c>
      <c r="U290" s="32"/>
      <c r="V290" s="32"/>
      <c r="W290" s="32"/>
      <c r="X290" s="32"/>
      <c r="Y290" s="32"/>
      <c r="Z290" s="32"/>
      <c r="AA290" s="32"/>
      <c r="AB290" s="32"/>
      <c r="AC290" s="32"/>
      <c r="AD290" s="32"/>
      <c r="AE290" s="32"/>
      <c r="AR290" s="187" t="s">
        <v>203</v>
      </c>
      <c r="AT290" s="187" t="s">
        <v>198</v>
      </c>
      <c r="AU290" s="187" t="s">
        <v>79</v>
      </c>
      <c r="AY290" s="15" t="s">
        <v>196</v>
      </c>
      <c r="BE290" s="188">
        <f>IF(N290="základní",J290,0)</f>
        <v>0</v>
      </c>
      <c r="BF290" s="188">
        <f>IF(N290="snížená",J290,0)</f>
        <v>0</v>
      </c>
      <c r="BG290" s="188">
        <f>IF(N290="zákl. přenesená",J290,0)</f>
        <v>0</v>
      </c>
      <c r="BH290" s="188">
        <f>IF(N290="sníž. přenesená",J290,0)</f>
        <v>0</v>
      </c>
      <c r="BI290" s="188">
        <f>IF(N290="nulová",J290,0)</f>
        <v>0</v>
      </c>
      <c r="BJ290" s="15" t="s">
        <v>77</v>
      </c>
      <c r="BK290" s="188">
        <f>ROUND(I290*H290,2)</f>
        <v>0</v>
      </c>
      <c r="BL290" s="15" t="s">
        <v>203</v>
      </c>
      <c r="BM290" s="187" t="s">
        <v>682</v>
      </c>
    </row>
    <row r="291" spans="1:47" s="2" customFormat="1" ht="58.5">
      <c r="A291" s="32"/>
      <c r="B291" s="33"/>
      <c r="C291" s="34"/>
      <c r="D291" s="189" t="s">
        <v>208</v>
      </c>
      <c r="E291" s="34"/>
      <c r="F291" s="190" t="s">
        <v>678</v>
      </c>
      <c r="G291" s="34"/>
      <c r="H291" s="34"/>
      <c r="I291" s="191"/>
      <c r="J291" s="34"/>
      <c r="K291" s="34"/>
      <c r="L291" s="37"/>
      <c r="M291" s="192"/>
      <c r="N291" s="193"/>
      <c r="O291" s="62"/>
      <c r="P291" s="62"/>
      <c r="Q291" s="62"/>
      <c r="R291" s="62"/>
      <c r="S291" s="62"/>
      <c r="T291" s="63"/>
      <c r="U291" s="32"/>
      <c r="V291" s="32"/>
      <c r="W291" s="32"/>
      <c r="X291" s="32"/>
      <c r="Y291" s="32"/>
      <c r="Z291" s="32"/>
      <c r="AA291" s="32"/>
      <c r="AB291" s="32"/>
      <c r="AC291" s="32"/>
      <c r="AD291" s="32"/>
      <c r="AE291" s="32"/>
      <c r="AT291" s="15" t="s">
        <v>208</v>
      </c>
      <c r="AU291" s="15" t="s">
        <v>79</v>
      </c>
    </row>
    <row r="292" spans="1:65" s="2" customFormat="1" ht="22.15" customHeight="1">
      <c r="A292" s="32"/>
      <c r="B292" s="33"/>
      <c r="C292" s="176" t="s">
        <v>683</v>
      </c>
      <c r="D292" s="176" t="s">
        <v>198</v>
      </c>
      <c r="E292" s="177" t="s">
        <v>684</v>
      </c>
      <c r="F292" s="178" t="s">
        <v>685</v>
      </c>
      <c r="G292" s="179" t="s">
        <v>242</v>
      </c>
      <c r="H292" s="180">
        <v>9.407</v>
      </c>
      <c r="I292" s="181"/>
      <c r="J292" s="182">
        <f>ROUND(I292*H292,2)</f>
        <v>0</v>
      </c>
      <c r="K292" s="178" t="s">
        <v>202</v>
      </c>
      <c r="L292" s="37"/>
      <c r="M292" s="183" t="s">
        <v>19</v>
      </c>
      <c r="N292" s="184" t="s">
        <v>41</v>
      </c>
      <c r="O292" s="62"/>
      <c r="P292" s="185">
        <f>O292*H292</f>
        <v>0</v>
      </c>
      <c r="Q292" s="185">
        <v>0</v>
      </c>
      <c r="R292" s="185">
        <f>Q292*H292</f>
        <v>0</v>
      </c>
      <c r="S292" s="185">
        <v>0</v>
      </c>
      <c r="T292" s="186">
        <f>S292*H292</f>
        <v>0</v>
      </c>
      <c r="U292" s="32"/>
      <c r="V292" s="32"/>
      <c r="W292" s="32"/>
      <c r="X292" s="32"/>
      <c r="Y292" s="32"/>
      <c r="Z292" s="32"/>
      <c r="AA292" s="32"/>
      <c r="AB292" s="32"/>
      <c r="AC292" s="32"/>
      <c r="AD292" s="32"/>
      <c r="AE292" s="32"/>
      <c r="AR292" s="187" t="s">
        <v>203</v>
      </c>
      <c r="AT292" s="187" t="s">
        <v>198</v>
      </c>
      <c r="AU292" s="187" t="s">
        <v>79</v>
      </c>
      <c r="AY292" s="15" t="s">
        <v>196</v>
      </c>
      <c r="BE292" s="188">
        <f>IF(N292="základní",J292,0)</f>
        <v>0</v>
      </c>
      <c r="BF292" s="188">
        <f>IF(N292="snížená",J292,0)</f>
        <v>0</v>
      </c>
      <c r="BG292" s="188">
        <f>IF(N292="zákl. přenesená",J292,0)</f>
        <v>0</v>
      </c>
      <c r="BH292" s="188">
        <f>IF(N292="sníž. přenesená",J292,0)</f>
        <v>0</v>
      </c>
      <c r="BI292" s="188">
        <f>IF(N292="nulová",J292,0)</f>
        <v>0</v>
      </c>
      <c r="BJ292" s="15" t="s">
        <v>77</v>
      </c>
      <c r="BK292" s="188">
        <f>ROUND(I292*H292,2)</f>
        <v>0</v>
      </c>
      <c r="BL292" s="15" t="s">
        <v>203</v>
      </c>
      <c r="BM292" s="187" t="s">
        <v>686</v>
      </c>
    </row>
    <row r="293" spans="1:47" s="2" customFormat="1" ht="58.5">
      <c r="A293" s="32"/>
      <c r="B293" s="33"/>
      <c r="C293" s="34"/>
      <c r="D293" s="189" t="s">
        <v>208</v>
      </c>
      <c r="E293" s="34"/>
      <c r="F293" s="190" t="s">
        <v>678</v>
      </c>
      <c r="G293" s="34"/>
      <c r="H293" s="34"/>
      <c r="I293" s="191"/>
      <c r="J293" s="34"/>
      <c r="K293" s="34"/>
      <c r="L293" s="37"/>
      <c r="M293" s="192"/>
      <c r="N293" s="193"/>
      <c r="O293" s="62"/>
      <c r="P293" s="62"/>
      <c r="Q293" s="62"/>
      <c r="R293" s="62"/>
      <c r="S293" s="62"/>
      <c r="T293" s="63"/>
      <c r="U293" s="32"/>
      <c r="V293" s="32"/>
      <c r="W293" s="32"/>
      <c r="X293" s="32"/>
      <c r="Y293" s="32"/>
      <c r="Z293" s="32"/>
      <c r="AA293" s="32"/>
      <c r="AB293" s="32"/>
      <c r="AC293" s="32"/>
      <c r="AD293" s="32"/>
      <c r="AE293" s="32"/>
      <c r="AT293" s="15" t="s">
        <v>208</v>
      </c>
      <c r="AU293" s="15" t="s">
        <v>79</v>
      </c>
    </row>
    <row r="294" spans="2:63" s="12" customFormat="1" ht="22.9" customHeight="1">
      <c r="B294" s="160"/>
      <c r="C294" s="161"/>
      <c r="D294" s="162" t="s">
        <v>69</v>
      </c>
      <c r="E294" s="174" t="s">
        <v>687</v>
      </c>
      <c r="F294" s="174" t="s">
        <v>688</v>
      </c>
      <c r="G294" s="161"/>
      <c r="H294" s="161"/>
      <c r="I294" s="164"/>
      <c r="J294" s="175">
        <f>BK294</f>
        <v>0</v>
      </c>
      <c r="K294" s="161"/>
      <c r="L294" s="166"/>
      <c r="M294" s="167"/>
      <c r="N294" s="168"/>
      <c r="O294" s="168"/>
      <c r="P294" s="169">
        <f>SUM(P295:P296)</f>
        <v>0</v>
      </c>
      <c r="Q294" s="168"/>
      <c r="R294" s="169">
        <f>SUM(R295:R296)</f>
        <v>0</v>
      </c>
      <c r="S294" s="168"/>
      <c r="T294" s="170">
        <f>SUM(T295:T296)</f>
        <v>0</v>
      </c>
      <c r="AR294" s="171" t="s">
        <v>77</v>
      </c>
      <c r="AT294" s="172" t="s">
        <v>69</v>
      </c>
      <c r="AU294" s="172" t="s">
        <v>77</v>
      </c>
      <c r="AY294" s="171" t="s">
        <v>196</v>
      </c>
      <c r="BK294" s="173">
        <f>SUM(BK295:BK296)</f>
        <v>0</v>
      </c>
    </row>
    <row r="295" spans="1:65" s="2" customFormat="1" ht="22.15" customHeight="1">
      <c r="A295" s="32"/>
      <c r="B295" s="33"/>
      <c r="C295" s="176" t="s">
        <v>689</v>
      </c>
      <c r="D295" s="176" t="s">
        <v>198</v>
      </c>
      <c r="E295" s="177" t="s">
        <v>690</v>
      </c>
      <c r="F295" s="178" t="s">
        <v>691</v>
      </c>
      <c r="G295" s="179" t="s">
        <v>242</v>
      </c>
      <c r="H295" s="180">
        <v>178.209</v>
      </c>
      <c r="I295" s="181"/>
      <c r="J295" s="182">
        <f>ROUND(I295*H295,2)</f>
        <v>0</v>
      </c>
      <c r="K295" s="178" t="s">
        <v>202</v>
      </c>
      <c r="L295" s="37"/>
      <c r="M295" s="183" t="s">
        <v>19</v>
      </c>
      <c r="N295" s="184" t="s">
        <v>41</v>
      </c>
      <c r="O295" s="62"/>
      <c r="P295" s="185">
        <f>O295*H295</f>
        <v>0</v>
      </c>
      <c r="Q295" s="185">
        <v>0</v>
      </c>
      <c r="R295" s="185">
        <f>Q295*H295</f>
        <v>0</v>
      </c>
      <c r="S295" s="185">
        <v>0</v>
      </c>
      <c r="T295" s="186">
        <f>S295*H295</f>
        <v>0</v>
      </c>
      <c r="U295" s="32"/>
      <c r="V295" s="32"/>
      <c r="W295" s="32"/>
      <c r="X295" s="32"/>
      <c r="Y295" s="32"/>
      <c r="Z295" s="32"/>
      <c r="AA295" s="32"/>
      <c r="AB295" s="32"/>
      <c r="AC295" s="32"/>
      <c r="AD295" s="32"/>
      <c r="AE295" s="32"/>
      <c r="AR295" s="187" t="s">
        <v>203</v>
      </c>
      <c r="AT295" s="187" t="s">
        <v>198</v>
      </c>
      <c r="AU295" s="187" t="s">
        <v>79</v>
      </c>
      <c r="AY295" s="15" t="s">
        <v>196</v>
      </c>
      <c r="BE295" s="188">
        <f>IF(N295="základní",J295,0)</f>
        <v>0</v>
      </c>
      <c r="BF295" s="188">
        <f>IF(N295="snížená",J295,0)</f>
        <v>0</v>
      </c>
      <c r="BG295" s="188">
        <f>IF(N295="zákl. přenesená",J295,0)</f>
        <v>0</v>
      </c>
      <c r="BH295" s="188">
        <f>IF(N295="sníž. přenesená",J295,0)</f>
        <v>0</v>
      </c>
      <c r="BI295" s="188">
        <f>IF(N295="nulová",J295,0)</f>
        <v>0</v>
      </c>
      <c r="BJ295" s="15" t="s">
        <v>77</v>
      </c>
      <c r="BK295" s="188">
        <f>ROUND(I295*H295,2)</f>
        <v>0</v>
      </c>
      <c r="BL295" s="15" t="s">
        <v>203</v>
      </c>
      <c r="BM295" s="187" t="s">
        <v>692</v>
      </c>
    </row>
    <row r="296" spans="1:47" s="2" customFormat="1" ht="58.5">
      <c r="A296" s="32"/>
      <c r="B296" s="33"/>
      <c r="C296" s="34"/>
      <c r="D296" s="189" t="s">
        <v>208</v>
      </c>
      <c r="E296" s="34"/>
      <c r="F296" s="190" t="s">
        <v>693</v>
      </c>
      <c r="G296" s="34"/>
      <c r="H296" s="34"/>
      <c r="I296" s="191"/>
      <c r="J296" s="34"/>
      <c r="K296" s="34"/>
      <c r="L296" s="37"/>
      <c r="M296" s="192"/>
      <c r="N296" s="193"/>
      <c r="O296" s="62"/>
      <c r="P296" s="62"/>
      <c r="Q296" s="62"/>
      <c r="R296" s="62"/>
      <c r="S296" s="62"/>
      <c r="T296" s="63"/>
      <c r="U296" s="32"/>
      <c r="V296" s="32"/>
      <c r="W296" s="32"/>
      <c r="X296" s="32"/>
      <c r="Y296" s="32"/>
      <c r="Z296" s="32"/>
      <c r="AA296" s="32"/>
      <c r="AB296" s="32"/>
      <c r="AC296" s="32"/>
      <c r="AD296" s="32"/>
      <c r="AE296" s="32"/>
      <c r="AT296" s="15" t="s">
        <v>208</v>
      </c>
      <c r="AU296" s="15" t="s">
        <v>79</v>
      </c>
    </row>
    <row r="297" spans="2:63" s="12" customFormat="1" ht="25.9" customHeight="1">
      <c r="B297" s="160"/>
      <c r="C297" s="161"/>
      <c r="D297" s="162" t="s">
        <v>69</v>
      </c>
      <c r="E297" s="163" t="s">
        <v>694</v>
      </c>
      <c r="F297" s="163" t="s">
        <v>695</v>
      </c>
      <c r="G297" s="161"/>
      <c r="H297" s="161"/>
      <c r="I297" s="164"/>
      <c r="J297" s="165">
        <f>BK297</f>
        <v>0</v>
      </c>
      <c r="K297" s="161"/>
      <c r="L297" s="166"/>
      <c r="M297" s="167"/>
      <c r="N297" s="168"/>
      <c r="O297" s="168"/>
      <c r="P297" s="169">
        <f>P298+P308+P310+P317+P320+P367+P385+P402+P444+P451+P473+P501+P506+P515+P517+P519+P533</f>
        <v>0</v>
      </c>
      <c r="Q297" s="168"/>
      <c r="R297" s="169">
        <f>R298+R308+R310+R317+R320+R367+R385+R402+R444+R451+R473+R501+R506+R515+R517+R519+R533</f>
        <v>21.618856190000002</v>
      </c>
      <c r="S297" s="168"/>
      <c r="T297" s="170">
        <f>T298+T308+T310+T317+T320+T367+T385+T402+T444+T451+T473+T501+T506+T515+T517+T519+T533</f>
        <v>51.772280859999995</v>
      </c>
      <c r="AR297" s="171" t="s">
        <v>79</v>
      </c>
      <c r="AT297" s="172" t="s">
        <v>69</v>
      </c>
      <c r="AU297" s="172" t="s">
        <v>70</v>
      </c>
      <c r="AY297" s="171" t="s">
        <v>196</v>
      </c>
      <c r="BK297" s="173">
        <f>BK298+BK308+BK310+BK317+BK320+BK367+BK385+BK402+BK444+BK451+BK473+BK501+BK506+BK515+BK517+BK519+BK533</f>
        <v>0</v>
      </c>
    </row>
    <row r="298" spans="2:63" s="12" customFormat="1" ht="22.9" customHeight="1">
      <c r="B298" s="160"/>
      <c r="C298" s="161"/>
      <c r="D298" s="162" t="s">
        <v>69</v>
      </c>
      <c r="E298" s="174" t="s">
        <v>696</v>
      </c>
      <c r="F298" s="174" t="s">
        <v>697</v>
      </c>
      <c r="G298" s="161"/>
      <c r="H298" s="161"/>
      <c r="I298" s="164"/>
      <c r="J298" s="175">
        <f>BK298</f>
        <v>0</v>
      </c>
      <c r="K298" s="161"/>
      <c r="L298" s="166"/>
      <c r="M298" s="167"/>
      <c r="N298" s="168"/>
      <c r="O298" s="168"/>
      <c r="P298" s="169">
        <f>SUM(P299:P307)</f>
        <v>0</v>
      </c>
      <c r="Q298" s="168"/>
      <c r="R298" s="169">
        <f>SUM(R299:R307)</f>
        <v>2.4228179999999995</v>
      </c>
      <c r="S298" s="168"/>
      <c r="T298" s="170">
        <f>SUM(T299:T307)</f>
        <v>0.13624</v>
      </c>
      <c r="AR298" s="171" t="s">
        <v>79</v>
      </c>
      <c r="AT298" s="172" t="s">
        <v>69</v>
      </c>
      <c r="AU298" s="172" t="s">
        <v>77</v>
      </c>
      <c r="AY298" s="171" t="s">
        <v>196</v>
      </c>
      <c r="BK298" s="173">
        <f>SUM(BK299:BK307)</f>
        <v>0</v>
      </c>
    </row>
    <row r="299" spans="1:65" s="2" customFormat="1" ht="22.15" customHeight="1">
      <c r="A299" s="32"/>
      <c r="B299" s="33"/>
      <c r="C299" s="176" t="s">
        <v>698</v>
      </c>
      <c r="D299" s="176" t="s">
        <v>198</v>
      </c>
      <c r="E299" s="177" t="s">
        <v>699</v>
      </c>
      <c r="F299" s="178" t="s">
        <v>700</v>
      </c>
      <c r="G299" s="179" t="s">
        <v>253</v>
      </c>
      <c r="H299" s="180">
        <v>6.912</v>
      </c>
      <c r="I299" s="181"/>
      <c r="J299" s="182">
        <f>ROUND(I299*H299,2)</f>
        <v>0</v>
      </c>
      <c r="K299" s="178" t="s">
        <v>202</v>
      </c>
      <c r="L299" s="37"/>
      <c r="M299" s="183" t="s">
        <v>19</v>
      </c>
      <c r="N299" s="184" t="s">
        <v>41</v>
      </c>
      <c r="O299" s="62"/>
      <c r="P299" s="185">
        <f>O299*H299</f>
        <v>0</v>
      </c>
      <c r="Q299" s="185">
        <v>0.004</v>
      </c>
      <c r="R299" s="185">
        <f>Q299*H299</f>
        <v>0.027648</v>
      </c>
      <c r="S299" s="185">
        <v>0</v>
      </c>
      <c r="T299" s="186">
        <f>S299*H299</f>
        <v>0</v>
      </c>
      <c r="U299" s="32"/>
      <c r="V299" s="32"/>
      <c r="W299" s="32"/>
      <c r="X299" s="32"/>
      <c r="Y299" s="32"/>
      <c r="Z299" s="32"/>
      <c r="AA299" s="32"/>
      <c r="AB299" s="32"/>
      <c r="AC299" s="32"/>
      <c r="AD299" s="32"/>
      <c r="AE299" s="32"/>
      <c r="AR299" s="187" t="s">
        <v>270</v>
      </c>
      <c r="AT299" s="187" t="s">
        <v>198</v>
      </c>
      <c r="AU299" s="187" t="s">
        <v>79</v>
      </c>
      <c r="AY299" s="15" t="s">
        <v>196</v>
      </c>
      <c r="BE299" s="188">
        <f>IF(N299="základní",J299,0)</f>
        <v>0</v>
      </c>
      <c r="BF299" s="188">
        <f>IF(N299="snížená",J299,0)</f>
        <v>0</v>
      </c>
      <c r="BG299" s="188">
        <f>IF(N299="zákl. přenesená",J299,0)</f>
        <v>0</v>
      </c>
      <c r="BH299" s="188">
        <f>IF(N299="sníž. přenesená",J299,0)</f>
        <v>0</v>
      </c>
      <c r="BI299" s="188">
        <f>IF(N299="nulová",J299,0)</f>
        <v>0</v>
      </c>
      <c r="BJ299" s="15" t="s">
        <v>77</v>
      </c>
      <c r="BK299" s="188">
        <f>ROUND(I299*H299,2)</f>
        <v>0</v>
      </c>
      <c r="BL299" s="15" t="s">
        <v>270</v>
      </c>
      <c r="BM299" s="187" t="s">
        <v>701</v>
      </c>
    </row>
    <row r="300" spans="1:65" s="2" customFormat="1" ht="13.9" customHeight="1">
      <c r="A300" s="32"/>
      <c r="B300" s="33"/>
      <c r="C300" s="176" t="s">
        <v>702</v>
      </c>
      <c r="D300" s="176" t="s">
        <v>198</v>
      </c>
      <c r="E300" s="177" t="s">
        <v>703</v>
      </c>
      <c r="F300" s="178" t="s">
        <v>704</v>
      </c>
      <c r="G300" s="179" t="s">
        <v>253</v>
      </c>
      <c r="H300" s="180">
        <v>34.06</v>
      </c>
      <c r="I300" s="181"/>
      <c r="J300" s="182">
        <f>ROUND(I300*H300,2)</f>
        <v>0</v>
      </c>
      <c r="K300" s="178" t="s">
        <v>202</v>
      </c>
      <c r="L300" s="37"/>
      <c r="M300" s="183" t="s">
        <v>19</v>
      </c>
      <c r="N300" s="184" t="s">
        <v>41</v>
      </c>
      <c r="O300" s="62"/>
      <c r="P300" s="185">
        <f>O300*H300</f>
        <v>0</v>
      </c>
      <c r="Q300" s="185">
        <v>0</v>
      </c>
      <c r="R300" s="185">
        <f>Q300*H300</f>
        <v>0</v>
      </c>
      <c r="S300" s="185">
        <v>0.004</v>
      </c>
      <c r="T300" s="186">
        <f>S300*H300</f>
        <v>0.13624</v>
      </c>
      <c r="U300" s="32"/>
      <c r="V300" s="32"/>
      <c r="W300" s="32"/>
      <c r="X300" s="32"/>
      <c r="Y300" s="32"/>
      <c r="Z300" s="32"/>
      <c r="AA300" s="32"/>
      <c r="AB300" s="32"/>
      <c r="AC300" s="32"/>
      <c r="AD300" s="32"/>
      <c r="AE300" s="32"/>
      <c r="AR300" s="187" t="s">
        <v>270</v>
      </c>
      <c r="AT300" s="187" t="s">
        <v>198</v>
      </c>
      <c r="AU300" s="187" t="s">
        <v>79</v>
      </c>
      <c r="AY300" s="15" t="s">
        <v>196</v>
      </c>
      <c r="BE300" s="188">
        <f>IF(N300="základní",J300,0)</f>
        <v>0</v>
      </c>
      <c r="BF300" s="188">
        <f>IF(N300="snížená",J300,0)</f>
        <v>0</v>
      </c>
      <c r="BG300" s="188">
        <f>IF(N300="zákl. přenesená",J300,0)</f>
        <v>0</v>
      </c>
      <c r="BH300" s="188">
        <f>IF(N300="sníž. přenesená",J300,0)</f>
        <v>0</v>
      </c>
      <c r="BI300" s="188">
        <f>IF(N300="nulová",J300,0)</f>
        <v>0</v>
      </c>
      <c r="BJ300" s="15" t="s">
        <v>77</v>
      </c>
      <c r="BK300" s="188">
        <f>ROUND(I300*H300,2)</f>
        <v>0</v>
      </c>
      <c r="BL300" s="15" t="s">
        <v>270</v>
      </c>
      <c r="BM300" s="187" t="s">
        <v>705</v>
      </c>
    </row>
    <row r="301" spans="1:47" s="2" customFormat="1" ht="29.25">
      <c r="A301" s="32"/>
      <c r="B301" s="33"/>
      <c r="C301" s="34"/>
      <c r="D301" s="189" t="s">
        <v>208</v>
      </c>
      <c r="E301" s="34"/>
      <c r="F301" s="190" t="s">
        <v>706</v>
      </c>
      <c r="G301" s="34"/>
      <c r="H301" s="34"/>
      <c r="I301" s="191"/>
      <c r="J301" s="34"/>
      <c r="K301" s="34"/>
      <c r="L301" s="37"/>
      <c r="M301" s="192"/>
      <c r="N301" s="193"/>
      <c r="O301" s="62"/>
      <c r="P301" s="62"/>
      <c r="Q301" s="62"/>
      <c r="R301" s="62"/>
      <c r="S301" s="62"/>
      <c r="T301" s="63"/>
      <c r="U301" s="32"/>
      <c r="V301" s="32"/>
      <c r="W301" s="32"/>
      <c r="X301" s="32"/>
      <c r="Y301" s="32"/>
      <c r="Z301" s="32"/>
      <c r="AA301" s="32"/>
      <c r="AB301" s="32"/>
      <c r="AC301" s="32"/>
      <c r="AD301" s="32"/>
      <c r="AE301" s="32"/>
      <c r="AT301" s="15" t="s">
        <v>208</v>
      </c>
      <c r="AU301" s="15" t="s">
        <v>79</v>
      </c>
    </row>
    <row r="302" spans="1:65" s="2" customFormat="1" ht="129" customHeight="1">
      <c r="A302" s="32"/>
      <c r="B302" s="33"/>
      <c r="C302" s="176" t="s">
        <v>707</v>
      </c>
      <c r="D302" s="176" t="s">
        <v>198</v>
      </c>
      <c r="E302" s="177" t="s">
        <v>708</v>
      </c>
      <c r="F302" s="178" t="s">
        <v>709</v>
      </c>
      <c r="G302" s="179" t="s">
        <v>253</v>
      </c>
      <c r="H302" s="180">
        <v>229.5</v>
      </c>
      <c r="I302" s="181"/>
      <c r="J302" s="182">
        <f>ROUND(I302*H302,2)</f>
        <v>0</v>
      </c>
      <c r="K302" s="178" t="s">
        <v>19</v>
      </c>
      <c r="L302" s="37"/>
      <c r="M302" s="183" t="s">
        <v>19</v>
      </c>
      <c r="N302" s="184" t="s">
        <v>41</v>
      </c>
      <c r="O302" s="62"/>
      <c r="P302" s="185">
        <f>O302*H302</f>
        <v>0</v>
      </c>
      <c r="Q302" s="185">
        <v>0.0045</v>
      </c>
      <c r="R302" s="185">
        <f>Q302*H302</f>
        <v>1.0327499999999998</v>
      </c>
      <c r="S302" s="185">
        <v>0</v>
      </c>
      <c r="T302" s="186">
        <f>S302*H302</f>
        <v>0</v>
      </c>
      <c r="U302" s="32"/>
      <c r="V302" s="32"/>
      <c r="W302" s="32"/>
      <c r="X302" s="32"/>
      <c r="Y302" s="32"/>
      <c r="Z302" s="32"/>
      <c r="AA302" s="32"/>
      <c r="AB302" s="32"/>
      <c r="AC302" s="32"/>
      <c r="AD302" s="32"/>
      <c r="AE302" s="32"/>
      <c r="AR302" s="187" t="s">
        <v>270</v>
      </c>
      <c r="AT302" s="187" t="s">
        <v>198</v>
      </c>
      <c r="AU302" s="187" t="s">
        <v>79</v>
      </c>
      <c r="AY302" s="15" t="s">
        <v>196</v>
      </c>
      <c r="BE302" s="188">
        <f>IF(N302="základní",J302,0)</f>
        <v>0</v>
      </c>
      <c r="BF302" s="188">
        <f>IF(N302="snížená",J302,0)</f>
        <v>0</v>
      </c>
      <c r="BG302" s="188">
        <f>IF(N302="zákl. přenesená",J302,0)</f>
        <v>0</v>
      </c>
      <c r="BH302" s="188">
        <f>IF(N302="sníž. přenesená",J302,0)</f>
        <v>0</v>
      </c>
      <c r="BI302" s="188">
        <f>IF(N302="nulová",J302,0)</f>
        <v>0</v>
      </c>
      <c r="BJ302" s="15" t="s">
        <v>77</v>
      </c>
      <c r="BK302" s="188">
        <f>ROUND(I302*H302,2)</f>
        <v>0</v>
      </c>
      <c r="BL302" s="15" t="s">
        <v>270</v>
      </c>
      <c r="BM302" s="187" t="s">
        <v>710</v>
      </c>
    </row>
    <row r="303" spans="1:65" s="2" customFormat="1" ht="116.45" customHeight="1">
      <c r="A303" s="32"/>
      <c r="B303" s="33"/>
      <c r="C303" s="176" t="s">
        <v>711</v>
      </c>
      <c r="D303" s="176" t="s">
        <v>198</v>
      </c>
      <c r="E303" s="177" t="s">
        <v>712</v>
      </c>
      <c r="F303" s="178" t="s">
        <v>713</v>
      </c>
      <c r="G303" s="179" t="s">
        <v>253</v>
      </c>
      <c r="H303" s="180">
        <v>302.76</v>
      </c>
      <c r="I303" s="181"/>
      <c r="J303" s="182">
        <f>ROUND(I303*H303,2)</f>
        <v>0</v>
      </c>
      <c r="K303" s="178" t="s">
        <v>19</v>
      </c>
      <c r="L303" s="37"/>
      <c r="M303" s="183" t="s">
        <v>19</v>
      </c>
      <c r="N303" s="184" t="s">
        <v>41</v>
      </c>
      <c r="O303" s="62"/>
      <c r="P303" s="185">
        <f>O303*H303</f>
        <v>0</v>
      </c>
      <c r="Q303" s="185">
        <v>0.0045</v>
      </c>
      <c r="R303" s="185">
        <f>Q303*H303</f>
        <v>1.36242</v>
      </c>
      <c r="S303" s="185">
        <v>0</v>
      </c>
      <c r="T303" s="186">
        <f>S303*H303</f>
        <v>0</v>
      </c>
      <c r="U303" s="32"/>
      <c r="V303" s="32"/>
      <c r="W303" s="32"/>
      <c r="X303" s="32"/>
      <c r="Y303" s="32"/>
      <c r="Z303" s="32"/>
      <c r="AA303" s="32"/>
      <c r="AB303" s="32"/>
      <c r="AC303" s="32"/>
      <c r="AD303" s="32"/>
      <c r="AE303" s="32"/>
      <c r="AR303" s="187" t="s">
        <v>270</v>
      </c>
      <c r="AT303" s="187" t="s">
        <v>198</v>
      </c>
      <c r="AU303" s="187" t="s">
        <v>79</v>
      </c>
      <c r="AY303" s="15" t="s">
        <v>196</v>
      </c>
      <c r="BE303" s="188">
        <f>IF(N303="základní",J303,0)</f>
        <v>0</v>
      </c>
      <c r="BF303" s="188">
        <f>IF(N303="snížená",J303,0)</f>
        <v>0</v>
      </c>
      <c r="BG303" s="188">
        <f>IF(N303="zákl. přenesená",J303,0)</f>
        <v>0</v>
      </c>
      <c r="BH303" s="188">
        <f>IF(N303="sníž. přenesená",J303,0)</f>
        <v>0</v>
      </c>
      <c r="BI303" s="188">
        <f>IF(N303="nulová",J303,0)</f>
        <v>0</v>
      </c>
      <c r="BJ303" s="15" t="s">
        <v>77</v>
      </c>
      <c r="BK303" s="188">
        <f>ROUND(I303*H303,2)</f>
        <v>0</v>
      </c>
      <c r="BL303" s="15" t="s">
        <v>270</v>
      </c>
      <c r="BM303" s="187" t="s">
        <v>714</v>
      </c>
    </row>
    <row r="304" spans="1:65" s="2" customFormat="1" ht="22.15" customHeight="1">
      <c r="A304" s="32"/>
      <c r="B304" s="33"/>
      <c r="C304" s="176" t="s">
        <v>715</v>
      </c>
      <c r="D304" s="176" t="s">
        <v>198</v>
      </c>
      <c r="E304" s="177" t="s">
        <v>716</v>
      </c>
      <c r="F304" s="178" t="s">
        <v>717</v>
      </c>
      <c r="G304" s="179" t="s">
        <v>242</v>
      </c>
      <c r="H304" s="180">
        <v>2.423</v>
      </c>
      <c r="I304" s="181"/>
      <c r="J304" s="182">
        <f>ROUND(I304*H304,2)</f>
        <v>0</v>
      </c>
      <c r="K304" s="178" t="s">
        <v>202</v>
      </c>
      <c r="L304" s="37"/>
      <c r="M304" s="183" t="s">
        <v>19</v>
      </c>
      <c r="N304" s="184" t="s">
        <v>41</v>
      </c>
      <c r="O304" s="62"/>
      <c r="P304" s="185">
        <f>O304*H304</f>
        <v>0</v>
      </c>
      <c r="Q304" s="185">
        <v>0</v>
      </c>
      <c r="R304" s="185">
        <f>Q304*H304</f>
        <v>0</v>
      </c>
      <c r="S304" s="185">
        <v>0</v>
      </c>
      <c r="T304" s="186">
        <f>S304*H304</f>
        <v>0</v>
      </c>
      <c r="U304" s="32"/>
      <c r="V304" s="32"/>
      <c r="W304" s="32"/>
      <c r="X304" s="32"/>
      <c r="Y304" s="32"/>
      <c r="Z304" s="32"/>
      <c r="AA304" s="32"/>
      <c r="AB304" s="32"/>
      <c r="AC304" s="32"/>
      <c r="AD304" s="32"/>
      <c r="AE304" s="32"/>
      <c r="AR304" s="187" t="s">
        <v>270</v>
      </c>
      <c r="AT304" s="187" t="s">
        <v>198</v>
      </c>
      <c r="AU304" s="187" t="s">
        <v>79</v>
      </c>
      <c r="AY304" s="15" t="s">
        <v>196</v>
      </c>
      <c r="BE304" s="188">
        <f>IF(N304="základní",J304,0)</f>
        <v>0</v>
      </c>
      <c r="BF304" s="188">
        <f>IF(N304="snížená",J304,0)</f>
        <v>0</v>
      </c>
      <c r="BG304" s="188">
        <f>IF(N304="zákl. přenesená",J304,0)</f>
        <v>0</v>
      </c>
      <c r="BH304" s="188">
        <f>IF(N304="sníž. přenesená",J304,0)</f>
        <v>0</v>
      </c>
      <c r="BI304" s="188">
        <f>IF(N304="nulová",J304,0)</f>
        <v>0</v>
      </c>
      <c r="BJ304" s="15" t="s">
        <v>77</v>
      </c>
      <c r="BK304" s="188">
        <f>ROUND(I304*H304,2)</f>
        <v>0</v>
      </c>
      <c r="BL304" s="15" t="s">
        <v>270</v>
      </c>
      <c r="BM304" s="187" t="s">
        <v>718</v>
      </c>
    </row>
    <row r="305" spans="1:47" s="2" customFormat="1" ht="78">
      <c r="A305" s="32"/>
      <c r="B305" s="33"/>
      <c r="C305" s="34"/>
      <c r="D305" s="189" t="s">
        <v>208</v>
      </c>
      <c r="E305" s="34"/>
      <c r="F305" s="190" t="s">
        <v>719</v>
      </c>
      <c r="G305" s="34"/>
      <c r="H305" s="34"/>
      <c r="I305" s="191"/>
      <c r="J305" s="34"/>
      <c r="K305" s="34"/>
      <c r="L305" s="37"/>
      <c r="M305" s="192"/>
      <c r="N305" s="193"/>
      <c r="O305" s="62"/>
      <c r="P305" s="62"/>
      <c r="Q305" s="62"/>
      <c r="R305" s="62"/>
      <c r="S305" s="62"/>
      <c r="T305" s="63"/>
      <c r="U305" s="32"/>
      <c r="V305" s="32"/>
      <c r="W305" s="32"/>
      <c r="X305" s="32"/>
      <c r="Y305" s="32"/>
      <c r="Z305" s="32"/>
      <c r="AA305" s="32"/>
      <c r="AB305" s="32"/>
      <c r="AC305" s="32"/>
      <c r="AD305" s="32"/>
      <c r="AE305" s="32"/>
      <c r="AT305" s="15" t="s">
        <v>208</v>
      </c>
      <c r="AU305" s="15" t="s">
        <v>79</v>
      </c>
    </row>
    <row r="306" spans="1:65" s="2" customFormat="1" ht="22.15" customHeight="1">
      <c r="A306" s="32"/>
      <c r="B306" s="33"/>
      <c r="C306" s="176" t="s">
        <v>720</v>
      </c>
      <c r="D306" s="176" t="s">
        <v>198</v>
      </c>
      <c r="E306" s="177" t="s">
        <v>721</v>
      </c>
      <c r="F306" s="178" t="s">
        <v>722</v>
      </c>
      <c r="G306" s="179" t="s">
        <v>242</v>
      </c>
      <c r="H306" s="180">
        <v>2.423</v>
      </c>
      <c r="I306" s="181"/>
      <c r="J306" s="182">
        <f>ROUND(I306*H306,2)</f>
        <v>0</v>
      </c>
      <c r="K306" s="178" t="s">
        <v>202</v>
      </c>
      <c r="L306" s="37"/>
      <c r="M306" s="183" t="s">
        <v>19</v>
      </c>
      <c r="N306" s="184" t="s">
        <v>41</v>
      </c>
      <c r="O306" s="62"/>
      <c r="P306" s="185">
        <f>O306*H306</f>
        <v>0</v>
      </c>
      <c r="Q306" s="185">
        <v>0</v>
      </c>
      <c r="R306" s="185">
        <f>Q306*H306</f>
        <v>0</v>
      </c>
      <c r="S306" s="185">
        <v>0</v>
      </c>
      <c r="T306" s="186">
        <f>S306*H306</f>
        <v>0</v>
      </c>
      <c r="U306" s="32"/>
      <c r="V306" s="32"/>
      <c r="W306" s="32"/>
      <c r="X306" s="32"/>
      <c r="Y306" s="32"/>
      <c r="Z306" s="32"/>
      <c r="AA306" s="32"/>
      <c r="AB306" s="32"/>
      <c r="AC306" s="32"/>
      <c r="AD306" s="32"/>
      <c r="AE306" s="32"/>
      <c r="AR306" s="187" t="s">
        <v>270</v>
      </c>
      <c r="AT306" s="187" t="s">
        <v>198</v>
      </c>
      <c r="AU306" s="187" t="s">
        <v>79</v>
      </c>
      <c r="AY306" s="15" t="s">
        <v>196</v>
      </c>
      <c r="BE306" s="188">
        <f>IF(N306="základní",J306,0)</f>
        <v>0</v>
      </c>
      <c r="BF306" s="188">
        <f>IF(N306="snížená",J306,0)</f>
        <v>0</v>
      </c>
      <c r="BG306" s="188">
        <f>IF(N306="zákl. přenesená",J306,0)</f>
        <v>0</v>
      </c>
      <c r="BH306" s="188">
        <f>IF(N306="sníž. přenesená",J306,0)</f>
        <v>0</v>
      </c>
      <c r="BI306" s="188">
        <f>IF(N306="nulová",J306,0)</f>
        <v>0</v>
      </c>
      <c r="BJ306" s="15" t="s">
        <v>77</v>
      </c>
      <c r="BK306" s="188">
        <f>ROUND(I306*H306,2)</f>
        <v>0</v>
      </c>
      <c r="BL306" s="15" t="s">
        <v>270</v>
      </c>
      <c r="BM306" s="187" t="s">
        <v>723</v>
      </c>
    </row>
    <row r="307" spans="1:47" s="2" customFormat="1" ht="78">
      <c r="A307" s="32"/>
      <c r="B307" s="33"/>
      <c r="C307" s="34"/>
      <c r="D307" s="189" t="s">
        <v>208</v>
      </c>
      <c r="E307" s="34"/>
      <c r="F307" s="190" t="s">
        <v>719</v>
      </c>
      <c r="G307" s="34"/>
      <c r="H307" s="34"/>
      <c r="I307" s="191"/>
      <c r="J307" s="34"/>
      <c r="K307" s="34"/>
      <c r="L307" s="37"/>
      <c r="M307" s="192"/>
      <c r="N307" s="193"/>
      <c r="O307" s="62"/>
      <c r="P307" s="62"/>
      <c r="Q307" s="62"/>
      <c r="R307" s="62"/>
      <c r="S307" s="62"/>
      <c r="T307" s="63"/>
      <c r="U307" s="32"/>
      <c r="V307" s="32"/>
      <c r="W307" s="32"/>
      <c r="X307" s="32"/>
      <c r="Y307" s="32"/>
      <c r="Z307" s="32"/>
      <c r="AA307" s="32"/>
      <c r="AB307" s="32"/>
      <c r="AC307" s="32"/>
      <c r="AD307" s="32"/>
      <c r="AE307" s="32"/>
      <c r="AT307" s="15" t="s">
        <v>208</v>
      </c>
      <c r="AU307" s="15" t="s">
        <v>79</v>
      </c>
    </row>
    <row r="308" spans="2:63" s="12" customFormat="1" ht="22.9" customHeight="1">
      <c r="B308" s="160"/>
      <c r="C308" s="161"/>
      <c r="D308" s="162" t="s">
        <v>69</v>
      </c>
      <c r="E308" s="174" t="s">
        <v>724</v>
      </c>
      <c r="F308" s="174" t="s">
        <v>725</v>
      </c>
      <c r="G308" s="161"/>
      <c r="H308" s="161"/>
      <c r="I308" s="164"/>
      <c r="J308" s="175">
        <f>BK308</f>
        <v>0</v>
      </c>
      <c r="K308" s="161"/>
      <c r="L308" s="166"/>
      <c r="M308" s="167"/>
      <c r="N308" s="168"/>
      <c r="O308" s="168"/>
      <c r="P308" s="169">
        <f>P309</f>
        <v>0</v>
      </c>
      <c r="Q308" s="168"/>
      <c r="R308" s="169">
        <f>R309</f>
        <v>0</v>
      </c>
      <c r="S308" s="168"/>
      <c r="T308" s="170">
        <f>T309</f>
        <v>0</v>
      </c>
      <c r="AR308" s="171" t="s">
        <v>79</v>
      </c>
      <c r="AT308" s="172" t="s">
        <v>69</v>
      </c>
      <c r="AU308" s="172" t="s">
        <v>77</v>
      </c>
      <c r="AY308" s="171" t="s">
        <v>196</v>
      </c>
      <c r="BK308" s="173">
        <f>BK309</f>
        <v>0</v>
      </c>
    </row>
    <row r="309" spans="1:65" s="2" customFormat="1" ht="13.9" customHeight="1">
      <c r="A309" s="32"/>
      <c r="B309" s="33"/>
      <c r="C309" s="176" t="s">
        <v>726</v>
      </c>
      <c r="D309" s="176" t="s">
        <v>198</v>
      </c>
      <c r="E309" s="177" t="s">
        <v>727</v>
      </c>
      <c r="F309" s="178" t="s">
        <v>728</v>
      </c>
      <c r="G309" s="179" t="s">
        <v>729</v>
      </c>
      <c r="H309" s="180">
        <v>10</v>
      </c>
      <c r="I309" s="181"/>
      <c r="J309" s="182">
        <f>ROUND(I309*H309,2)</f>
        <v>0</v>
      </c>
      <c r="K309" s="178" t="s">
        <v>19</v>
      </c>
      <c r="L309" s="37"/>
      <c r="M309" s="183" t="s">
        <v>19</v>
      </c>
      <c r="N309" s="184" t="s">
        <v>41</v>
      </c>
      <c r="O309" s="62"/>
      <c r="P309" s="185">
        <f>O309*H309</f>
        <v>0</v>
      </c>
      <c r="Q309" s="185">
        <v>0</v>
      </c>
      <c r="R309" s="185">
        <f>Q309*H309</f>
        <v>0</v>
      </c>
      <c r="S309" s="185">
        <v>0</v>
      </c>
      <c r="T309" s="186">
        <f>S309*H309</f>
        <v>0</v>
      </c>
      <c r="U309" s="32"/>
      <c r="V309" s="32"/>
      <c r="W309" s="32"/>
      <c r="X309" s="32"/>
      <c r="Y309" s="32"/>
      <c r="Z309" s="32"/>
      <c r="AA309" s="32"/>
      <c r="AB309" s="32"/>
      <c r="AC309" s="32"/>
      <c r="AD309" s="32"/>
      <c r="AE309" s="32"/>
      <c r="AR309" s="187" t="s">
        <v>270</v>
      </c>
      <c r="AT309" s="187" t="s">
        <v>198</v>
      </c>
      <c r="AU309" s="187" t="s">
        <v>79</v>
      </c>
      <c r="AY309" s="15" t="s">
        <v>196</v>
      </c>
      <c r="BE309" s="188">
        <f>IF(N309="základní",J309,0)</f>
        <v>0</v>
      </c>
      <c r="BF309" s="188">
        <f>IF(N309="snížená",J309,0)</f>
        <v>0</v>
      </c>
      <c r="BG309" s="188">
        <f>IF(N309="zákl. přenesená",J309,0)</f>
        <v>0</v>
      </c>
      <c r="BH309" s="188">
        <f>IF(N309="sníž. přenesená",J309,0)</f>
        <v>0</v>
      </c>
      <c r="BI309" s="188">
        <f>IF(N309="nulová",J309,0)</f>
        <v>0</v>
      </c>
      <c r="BJ309" s="15" t="s">
        <v>77</v>
      </c>
      <c r="BK309" s="188">
        <f>ROUND(I309*H309,2)</f>
        <v>0</v>
      </c>
      <c r="BL309" s="15" t="s">
        <v>270</v>
      </c>
      <c r="BM309" s="187" t="s">
        <v>730</v>
      </c>
    </row>
    <row r="310" spans="2:63" s="12" customFormat="1" ht="22.9" customHeight="1">
      <c r="B310" s="160"/>
      <c r="C310" s="161"/>
      <c r="D310" s="162" t="s">
        <v>69</v>
      </c>
      <c r="E310" s="174" t="s">
        <v>731</v>
      </c>
      <c r="F310" s="174" t="s">
        <v>732</v>
      </c>
      <c r="G310" s="161"/>
      <c r="H310" s="161"/>
      <c r="I310" s="164"/>
      <c r="J310" s="175">
        <f>BK310</f>
        <v>0</v>
      </c>
      <c r="K310" s="161"/>
      <c r="L310" s="166"/>
      <c r="M310" s="167"/>
      <c r="N310" s="168"/>
      <c r="O310" s="168"/>
      <c r="P310" s="169">
        <f>SUM(P311:P316)</f>
        <v>0</v>
      </c>
      <c r="Q310" s="168"/>
      <c r="R310" s="169">
        <f>SUM(R311:R316)</f>
        <v>0</v>
      </c>
      <c r="S310" s="168"/>
      <c r="T310" s="170">
        <f>SUM(T311:T316)</f>
        <v>0</v>
      </c>
      <c r="AR310" s="171" t="s">
        <v>79</v>
      </c>
      <c r="AT310" s="172" t="s">
        <v>69</v>
      </c>
      <c r="AU310" s="172" t="s">
        <v>77</v>
      </c>
      <c r="AY310" s="171" t="s">
        <v>196</v>
      </c>
      <c r="BK310" s="173">
        <f>SUM(BK311:BK316)</f>
        <v>0</v>
      </c>
    </row>
    <row r="311" spans="1:65" s="2" customFormat="1" ht="13.9" customHeight="1">
      <c r="A311" s="32"/>
      <c r="B311" s="33"/>
      <c r="C311" s="176" t="s">
        <v>733</v>
      </c>
      <c r="D311" s="176" t="s">
        <v>198</v>
      </c>
      <c r="E311" s="177" t="s">
        <v>734</v>
      </c>
      <c r="F311" s="178" t="s">
        <v>735</v>
      </c>
      <c r="G311" s="179" t="s">
        <v>729</v>
      </c>
      <c r="H311" s="180">
        <v>1</v>
      </c>
      <c r="I311" s="181"/>
      <c r="J311" s="182">
        <f aca="true" t="shared" si="10" ref="J311:J316">ROUND(I311*H311,2)</f>
        <v>0</v>
      </c>
      <c r="K311" s="178" t="s">
        <v>19</v>
      </c>
      <c r="L311" s="37"/>
      <c r="M311" s="183" t="s">
        <v>19</v>
      </c>
      <c r="N311" s="184" t="s">
        <v>41</v>
      </c>
      <c r="O311" s="62"/>
      <c r="P311" s="185">
        <f aca="true" t="shared" si="11" ref="P311:P316">O311*H311</f>
        <v>0</v>
      </c>
      <c r="Q311" s="185">
        <v>0</v>
      </c>
      <c r="R311" s="185">
        <f aca="true" t="shared" si="12" ref="R311:R316">Q311*H311</f>
        <v>0</v>
      </c>
      <c r="S311" s="185">
        <v>0</v>
      </c>
      <c r="T311" s="186">
        <f aca="true" t="shared" si="13" ref="T311:T316">S311*H311</f>
        <v>0</v>
      </c>
      <c r="U311" s="32"/>
      <c r="V311" s="32"/>
      <c r="W311" s="32"/>
      <c r="X311" s="32"/>
      <c r="Y311" s="32"/>
      <c r="Z311" s="32"/>
      <c r="AA311" s="32"/>
      <c r="AB311" s="32"/>
      <c r="AC311" s="32"/>
      <c r="AD311" s="32"/>
      <c r="AE311" s="32"/>
      <c r="AR311" s="187" t="s">
        <v>270</v>
      </c>
      <c r="AT311" s="187" t="s">
        <v>198</v>
      </c>
      <c r="AU311" s="187" t="s">
        <v>79</v>
      </c>
      <c r="AY311" s="15" t="s">
        <v>196</v>
      </c>
      <c r="BE311" s="188">
        <f aca="true" t="shared" si="14" ref="BE311:BE316">IF(N311="základní",J311,0)</f>
        <v>0</v>
      </c>
      <c r="BF311" s="188">
        <f aca="true" t="shared" si="15" ref="BF311:BF316">IF(N311="snížená",J311,0)</f>
        <v>0</v>
      </c>
      <c r="BG311" s="188">
        <f aca="true" t="shared" si="16" ref="BG311:BG316">IF(N311="zákl. přenesená",J311,0)</f>
        <v>0</v>
      </c>
      <c r="BH311" s="188">
        <f aca="true" t="shared" si="17" ref="BH311:BH316">IF(N311="sníž. přenesená",J311,0)</f>
        <v>0</v>
      </c>
      <c r="BI311" s="188">
        <f aca="true" t="shared" si="18" ref="BI311:BI316">IF(N311="nulová",J311,0)</f>
        <v>0</v>
      </c>
      <c r="BJ311" s="15" t="s">
        <v>77</v>
      </c>
      <c r="BK311" s="188">
        <f aca="true" t="shared" si="19" ref="BK311:BK316">ROUND(I311*H311,2)</f>
        <v>0</v>
      </c>
      <c r="BL311" s="15" t="s">
        <v>270</v>
      </c>
      <c r="BM311" s="187" t="s">
        <v>736</v>
      </c>
    </row>
    <row r="312" spans="1:65" s="2" customFormat="1" ht="13.9" customHeight="1">
      <c r="A312" s="32"/>
      <c r="B312" s="33"/>
      <c r="C312" s="176" t="s">
        <v>737</v>
      </c>
      <c r="D312" s="176" t="s">
        <v>198</v>
      </c>
      <c r="E312" s="177" t="s">
        <v>738</v>
      </c>
      <c r="F312" s="178" t="s">
        <v>739</v>
      </c>
      <c r="G312" s="179" t="s">
        <v>310</v>
      </c>
      <c r="H312" s="180">
        <v>230</v>
      </c>
      <c r="I312" s="181"/>
      <c r="J312" s="182">
        <f t="shared" si="10"/>
        <v>0</v>
      </c>
      <c r="K312" s="178" t="s">
        <v>19</v>
      </c>
      <c r="L312" s="37"/>
      <c r="M312" s="183" t="s">
        <v>19</v>
      </c>
      <c r="N312" s="184" t="s">
        <v>41</v>
      </c>
      <c r="O312" s="62"/>
      <c r="P312" s="185">
        <f t="shared" si="11"/>
        <v>0</v>
      </c>
      <c r="Q312" s="185">
        <v>0</v>
      </c>
      <c r="R312" s="185">
        <f t="shared" si="12"/>
        <v>0</v>
      </c>
      <c r="S312" s="185">
        <v>0</v>
      </c>
      <c r="T312" s="186">
        <f t="shared" si="13"/>
        <v>0</v>
      </c>
      <c r="U312" s="32"/>
      <c r="V312" s="32"/>
      <c r="W312" s="32"/>
      <c r="X312" s="32"/>
      <c r="Y312" s="32"/>
      <c r="Z312" s="32"/>
      <c r="AA312" s="32"/>
      <c r="AB312" s="32"/>
      <c r="AC312" s="32"/>
      <c r="AD312" s="32"/>
      <c r="AE312" s="32"/>
      <c r="AR312" s="187" t="s">
        <v>270</v>
      </c>
      <c r="AT312" s="187" t="s">
        <v>198</v>
      </c>
      <c r="AU312" s="187" t="s">
        <v>79</v>
      </c>
      <c r="AY312" s="15" t="s">
        <v>196</v>
      </c>
      <c r="BE312" s="188">
        <f t="shared" si="14"/>
        <v>0</v>
      </c>
      <c r="BF312" s="188">
        <f t="shared" si="15"/>
        <v>0</v>
      </c>
      <c r="BG312" s="188">
        <f t="shared" si="16"/>
        <v>0</v>
      </c>
      <c r="BH312" s="188">
        <f t="shared" si="17"/>
        <v>0</v>
      </c>
      <c r="BI312" s="188">
        <f t="shared" si="18"/>
        <v>0</v>
      </c>
      <c r="BJ312" s="15" t="s">
        <v>77</v>
      </c>
      <c r="BK312" s="188">
        <f t="shared" si="19"/>
        <v>0</v>
      </c>
      <c r="BL312" s="15" t="s">
        <v>270</v>
      </c>
      <c r="BM312" s="187" t="s">
        <v>740</v>
      </c>
    </row>
    <row r="313" spans="1:65" s="2" customFormat="1" ht="13.9" customHeight="1">
      <c r="A313" s="32"/>
      <c r="B313" s="33"/>
      <c r="C313" s="176" t="s">
        <v>741</v>
      </c>
      <c r="D313" s="176" t="s">
        <v>198</v>
      </c>
      <c r="E313" s="177" t="s">
        <v>742</v>
      </c>
      <c r="F313" s="178" t="s">
        <v>743</v>
      </c>
      <c r="G313" s="179" t="s">
        <v>310</v>
      </c>
      <c r="H313" s="180">
        <v>180</v>
      </c>
      <c r="I313" s="181"/>
      <c r="J313" s="182">
        <f t="shared" si="10"/>
        <v>0</v>
      </c>
      <c r="K313" s="178" t="s">
        <v>19</v>
      </c>
      <c r="L313" s="37"/>
      <c r="M313" s="183" t="s">
        <v>19</v>
      </c>
      <c r="N313" s="184" t="s">
        <v>41</v>
      </c>
      <c r="O313" s="62"/>
      <c r="P313" s="185">
        <f t="shared" si="11"/>
        <v>0</v>
      </c>
      <c r="Q313" s="185">
        <v>0</v>
      </c>
      <c r="R313" s="185">
        <f t="shared" si="12"/>
        <v>0</v>
      </c>
      <c r="S313" s="185">
        <v>0</v>
      </c>
      <c r="T313" s="186">
        <f t="shared" si="13"/>
        <v>0</v>
      </c>
      <c r="U313" s="32"/>
      <c r="V313" s="32"/>
      <c r="W313" s="32"/>
      <c r="X313" s="32"/>
      <c r="Y313" s="32"/>
      <c r="Z313" s="32"/>
      <c r="AA313" s="32"/>
      <c r="AB313" s="32"/>
      <c r="AC313" s="32"/>
      <c r="AD313" s="32"/>
      <c r="AE313" s="32"/>
      <c r="AR313" s="187" t="s">
        <v>270</v>
      </c>
      <c r="AT313" s="187" t="s">
        <v>198</v>
      </c>
      <c r="AU313" s="187" t="s">
        <v>79</v>
      </c>
      <c r="AY313" s="15" t="s">
        <v>196</v>
      </c>
      <c r="BE313" s="188">
        <f t="shared" si="14"/>
        <v>0</v>
      </c>
      <c r="BF313" s="188">
        <f t="shared" si="15"/>
        <v>0</v>
      </c>
      <c r="BG313" s="188">
        <f t="shared" si="16"/>
        <v>0</v>
      </c>
      <c r="BH313" s="188">
        <f t="shared" si="17"/>
        <v>0</v>
      </c>
      <c r="BI313" s="188">
        <f t="shared" si="18"/>
        <v>0</v>
      </c>
      <c r="BJ313" s="15" t="s">
        <v>77</v>
      </c>
      <c r="BK313" s="188">
        <f t="shared" si="19"/>
        <v>0</v>
      </c>
      <c r="BL313" s="15" t="s">
        <v>270</v>
      </c>
      <c r="BM313" s="187" t="s">
        <v>744</v>
      </c>
    </row>
    <row r="314" spans="1:65" s="2" customFormat="1" ht="13.9" customHeight="1">
      <c r="A314" s="32"/>
      <c r="B314" s="33"/>
      <c r="C314" s="176" t="s">
        <v>745</v>
      </c>
      <c r="D314" s="176" t="s">
        <v>198</v>
      </c>
      <c r="E314" s="177" t="s">
        <v>746</v>
      </c>
      <c r="F314" s="178" t="s">
        <v>747</v>
      </c>
      <c r="G314" s="179" t="s">
        <v>310</v>
      </c>
      <c r="H314" s="180">
        <v>60</v>
      </c>
      <c r="I314" s="181"/>
      <c r="J314" s="182">
        <f t="shared" si="10"/>
        <v>0</v>
      </c>
      <c r="K314" s="178" t="s">
        <v>19</v>
      </c>
      <c r="L314" s="37"/>
      <c r="M314" s="183" t="s">
        <v>19</v>
      </c>
      <c r="N314" s="184" t="s">
        <v>41</v>
      </c>
      <c r="O314" s="62"/>
      <c r="P314" s="185">
        <f t="shared" si="11"/>
        <v>0</v>
      </c>
      <c r="Q314" s="185">
        <v>0</v>
      </c>
      <c r="R314" s="185">
        <f t="shared" si="12"/>
        <v>0</v>
      </c>
      <c r="S314" s="185">
        <v>0</v>
      </c>
      <c r="T314" s="186">
        <f t="shared" si="13"/>
        <v>0</v>
      </c>
      <c r="U314" s="32"/>
      <c r="V314" s="32"/>
      <c r="W314" s="32"/>
      <c r="X314" s="32"/>
      <c r="Y314" s="32"/>
      <c r="Z314" s="32"/>
      <c r="AA314" s="32"/>
      <c r="AB314" s="32"/>
      <c r="AC314" s="32"/>
      <c r="AD314" s="32"/>
      <c r="AE314" s="32"/>
      <c r="AR314" s="187" t="s">
        <v>270</v>
      </c>
      <c r="AT314" s="187" t="s">
        <v>198</v>
      </c>
      <c r="AU314" s="187" t="s">
        <v>79</v>
      </c>
      <c r="AY314" s="15" t="s">
        <v>196</v>
      </c>
      <c r="BE314" s="188">
        <f t="shared" si="14"/>
        <v>0</v>
      </c>
      <c r="BF314" s="188">
        <f t="shared" si="15"/>
        <v>0</v>
      </c>
      <c r="BG314" s="188">
        <f t="shared" si="16"/>
        <v>0</v>
      </c>
      <c r="BH314" s="188">
        <f t="shared" si="17"/>
        <v>0</v>
      </c>
      <c r="BI314" s="188">
        <f t="shared" si="18"/>
        <v>0</v>
      </c>
      <c r="BJ314" s="15" t="s">
        <v>77</v>
      </c>
      <c r="BK314" s="188">
        <f t="shared" si="19"/>
        <v>0</v>
      </c>
      <c r="BL314" s="15" t="s">
        <v>270</v>
      </c>
      <c r="BM314" s="187" t="s">
        <v>748</v>
      </c>
    </row>
    <row r="315" spans="1:65" s="2" customFormat="1" ht="13.9" customHeight="1">
      <c r="A315" s="32"/>
      <c r="B315" s="33"/>
      <c r="C315" s="176" t="s">
        <v>749</v>
      </c>
      <c r="D315" s="176" t="s">
        <v>198</v>
      </c>
      <c r="E315" s="177" t="s">
        <v>750</v>
      </c>
      <c r="F315" s="178" t="s">
        <v>751</v>
      </c>
      <c r="G315" s="179" t="s">
        <v>310</v>
      </c>
      <c r="H315" s="180">
        <v>30</v>
      </c>
      <c r="I315" s="181"/>
      <c r="J315" s="182">
        <f t="shared" si="10"/>
        <v>0</v>
      </c>
      <c r="K315" s="178" t="s">
        <v>19</v>
      </c>
      <c r="L315" s="37"/>
      <c r="M315" s="183" t="s">
        <v>19</v>
      </c>
      <c r="N315" s="184" t="s">
        <v>41</v>
      </c>
      <c r="O315" s="62"/>
      <c r="P315" s="185">
        <f t="shared" si="11"/>
        <v>0</v>
      </c>
      <c r="Q315" s="185">
        <v>0</v>
      </c>
      <c r="R315" s="185">
        <f t="shared" si="12"/>
        <v>0</v>
      </c>
      <c r="S315" s="185">
        <v>0</v>
      </c>
      <c r="T315" s="186">
        <f t="shared" si="13"/>
        <v>0</v>
      </c>
      <c r="U315" s="32"/>
      <c r="V315" s="32"/>
      <c r="W315" s="32"/>
      <c r="X315" s="32"/>
      <c r="Y315" s="32"/>
      <c r="Z315" s="32"/>
      <c r="AA315" s="32"/>
      <c r="AB315" s="32"/>
      <c r="AC315" s="32"/>
      <c r="AD315" s="32"/>
      <c r="AE315" s="32"/>
      <c r="AR315" s="187" t="s">
        <v>270</v>
      </c>
      <c r="AT315" s="187" t="s">
        <v>198</v>
      </c>
      <c r="AU315" s="187" t="s">
        <v>79</v>
      </c>
      <c r="AY315" s="15" t="s">
        <v>196</v>
      </c>
      <c r="BE315" s="188">
        <f t="shared" si="14"/>
        <v>0</v>
      </c>
      <c r="BF315" s="188">
        <f t="shared" si="15"/>
        <v>0</v>
      </c>
      <c r="BG315" s="188">
        <f t="shared" si="16"/>
        <v>0</v>
      </c>
      <c r="BH315" s="188">
        <f t="shared" si="17"/>
        <v>0</v>
      </c>
      <c r="BI315" s="188">
        <f t="shared" si="18"/>
        <v>0</v>
      </c>
      <c r="BJ315" s="15" t="s">
        <v>77</v>
      </c>
      <c r="BK315" s="188">
        <f t="shared" si="19"/>
        <v>0</v>
      </c>
      <c r="BL315" s="15" t="s">
        <v>270</v>
      </c>
      <c r="BM315" s="187" t="s">
        <v>752</v>
      </c>
    </row>
    <row r="316" spans="1:65" s="2" customFormat="1" ht="13.9" customHeight="1">
      <c r="A316" s="32"/>
      <c r="B316" s="33"/>
      <c r="C316" s="176" t="s">
        <v>753</v>
      </c>
      <c r="D316" s="176" t="s">
        <v>198</v>
      </c>
      <c r="E316" s="177" t="s">
        <v>754</v>
      </c>
      <c r="F316" s="178" t="s">
        <v>755</v>
      </c>
      <c r="G316" s="179" t="s">
        <v>310</v>
      </c>
      <c r="H316" s="180">
        <v>70</v>
      </c>
      <c r="I316" s="181"/>
      <c r="J316" s="182">
        <f t="shared" si="10"/>
        <v>0</v>
      </c>
      <c r="K316" s="178" t="s">
        <v>19</v>
      </c>
      <c r="L316" s="37"/>
      <c r="M316" s="183" t="s">
        <v>19</v>
      </c>
      <c r="N316" s="184" t="s">
        <v>41</v>
      </c>
      <c r="O316" s="62"/>
      <c r="P316" s="185">
        <f t="shared" si="11"/>
        <v>0</v>
      </c>
      <c r="Q316" s="185">
        <v>0</v>
      </c>
      <c r="R316" s="185">
        <f t="shared" si="12"/>
        <v>0</v>
      </c>
      <c r="S316" s="185">
        <v>0</v>
      </c>
      <c r="T316" s="186">
        <f t="shared" si="13"/>
        <v>0</v>
      </c>
      <c r="U316" s="32"/>
      <c r="V316" s="32"/>
      <c r="W316" s="32"/>
      <c r="X316" s="32"/>
      <c r="Y316" s="32"/>
      <c r="Z316" s="32"/>
      <c r="AA316" s="32"/>
      <c r="AB316" s="32"/>
      <c r="AC316" s="32"/>
      <c r="AD316" s="32"/>
      <c r="AE316" s="32"/>
      <c r="AR316" s="187" t="s">
        <v>270</v>
      </c>
      <c r="AT316" s="187" t="s">
        <v>198</v>
      </c>
      <c r="AU316" s="187" t="s">
        <v>79</v>
      </c>
      <c r="AY316" s="15" t="s">
        <v>196</v>
      </c>
      <c r="BE316" s="188">
        <f t="shared" si="14"/>
        <v>0</v>
      </c>
      <c r="BF316" s="188">
        <f t="shared" si="15"/>
        <v>0</v>
      </c>
      <c r="BG316" s="188">
        <f t="shared" si="16"/>
        <v>0</v>
      </c>
      <c r="BH316" s="188">
        <f t="shared" si="17"/>
        <v>0</v>
      </c>
      <c r="BI316" s="188">
        <f t="shared" si="18"/>
        <v>0</v>
      </c>
      <c r="BJ316" s="15" t="s">
        <v>77</v>
      </c>
      <c r="BK316" s="188">
        <f t="shared" si="19"/>
        <v>0</v>
      </c>
      <c r="BL316" s="15" t="s">
        <v>270</v>
      </c>
      <c r="BM316" s="187" t="s">
        <v>756</v>
      </c>
    </row>
    <row r="317" spans="2:63" s="12" customFormat="1" ht="22.9" customHeight="1">
      <c r="B317" s="160"/>
      <c r="C317" s="161"/>
      <c r="D317" s="162" t="s">
        <v>69</v>
      </c>
      <c r="E317" s="174" t="s">
        <v>757</v>
      </c>
      <c r="F317" s="174" t="s">
        <v>758</v>
      </c>
      <c r="G317" s="161"/>
      <c r="H317" s="161"/>
      <c r="I317" s="164"/>
      <c r="J317" s="175">
        <f>BK317</f>
        <v>0</v>
      </c>
      <c r="K317" s="161"/>
      <c r="L317" s="166"/>
      <c r="M317" s="167"/>
      <c r="N317" s="168"/>
      <c r="O317" s="168"/>
      <c r="P317" s="169">
        <f>SUM(P318:P319)</f>
        <v>0</v>
      </c>
      <c r="Q317" s="168"/>
      <c r="R317" s="169">
        <f>SUM(R318:R319)</f>
        <v>0</v>
      </c>
      <c r="S317" s="168"/>
      <c r="T317" s="170">
        <f>SUM(T318:T319)</f>
        <v>0</v>
      </c>
      <c r="AR317" s="171" t="s">
        <v>79</v>
      </c>
      <c r="AT317" s="172" t="s">
        <v>69</v>
      </c>
      <c r="AU317" s="172" t="s">
        <v>77</v>
      </c>
      <c r="AY317" s="171" t="s">
        <v>196</v>
      </c>
      <c r="BK317" s="173">
        <f>SUM(BK318:BK319)</f>
        <v>0</v>
      </c>
    </row>
    <row r="318" spans="1:65" s="2" customFormat="1" ht="22.15" customHeight="1">
      <c r="A318" s="32"/>
      <c r="B318" s="33"/>
      <c r="C318" s="176" t="s">
        <v>759</v>
      </c>
      <c r="D318" s="176" t="s">
        <v>198</v>
      </c>
      <c r="E318" s="177" t="s">
        <v>760</v>
      </c>
      <c r="F318" s="178" t="s">
        <v>761</v>
      </c>
      <c r="G318" s="179" t="s">
        <v>729</v>
      </c>
      <c r="H318" s="180">
        <v>8</v>
      </c>
      <c r="I318" s="181"/>
      <c r="J318" s="182">
        <f>ROUND(I318*H318,2)</f>
        <v>0</v>
      </c>
      <c r="K318" s="178" t="s">
        <v>19</v>
      </c>
      <c r="L318" s="37"/>
      <c r="M318" s="183" t="s">
        <v>19</v>
      </c>
      <c r="N318" s="184" t="s">
        <v>41</v>
      </c>
      <c r="O318" s="62"/>
      <c r="P318" s="185">
        <f>O318*H318</f>
        <v>0</v>
      </c>
      <c r="Q318" s="185">
        <v>0</v>
      </c>
      <c r="R318" s="185">
        <f>Q318*H318</f>
        <v>0</v>
      </c>
      <c r="S318" s="185">
        <v>0</v>
      </c>
      <c r="T318" s="186">
        <f>S318*H318</f>
        <v>0</v>
      </c>
      <c r="U318" s="32"/>
      <c r="V318" s="32"/>
      <c r="W318" s="32"/>
      <c r="X318" s="32"/>
      <c r="Y318" s="32"/>
      <c r="Z318" s="32"/>
      <c r="AA318" s="32"/>
      <c r="AB318" s="32"/>
      <c r="AC318" s="32"/>
      <c r="AD318" s="32"/>
      <c r="AE318" s="32"/>
      <c r="AR318" s="187" t="s">
        <v>270</v>
      </c>
      <c r="AT318" s="187" t="s">
        <v>198</v>
      </c>
      <c r="AU318" s="187" t="s">
        <v>79</v>
      </c>
      <c r="AY318" s="15" t="s">
        <v>196</v>
      </c>
      <c r="BE318" s="188">
        <f>IF(N318="základní",J318,0)</f>
        <v>0</v>
      </c>
      <c r="BF318" s="188">
        <f>IF(N318="snížená",J318,0)</f>
        <v>0</v>
      </c>
      <c r="BG318" s="188">
        <f>IF(N318="zákl. přenesená",J318,0)</f>
        <v>0</v>
      </c>
      <c r="BH318" s="188">
        <f>IF(N318="sníž. přenesená",J318,0)</f>
        <v>0</v>
      </c>
      <c r="BI318" s="188">
        <f>IF(N318="nulová",J318,0)</f>
        <v>0</v>
      </c>
      <c r="BJ318" s="15" t="s">
        <v>77</v>
      </c>
      <c r="BK318" s="188">
        <f>ROUND(I318*H318,2)</f>
        <v>0</v>
      </c>
      <c r="BL318" s="15" t="s">
        <v>270</v>
      </c>
      <c r="BM318" s="187" t="s">
        <v>762</v>
      </c>
    </row>
    <row r="319" spans="1:65" s="2" customFormat="1" ht="22.15" customHeight="1">
      <c r="A319" s="32"/>
      <c r="B319" s="33"/>
      <c r="C319" s="176" t="s">
        <v>763</v>
      </c>
      <c r="D319" s="176" t="s">
        <v>198</v>
      </c>
      <c r="E319" s="177" t="s">
        <v>764</v>
      </c>
      <c r="F319" s="178" t="s">
        <v>765</v>
      </c>
      <c r="G319" s="179" t="s">
        <v>729</v>
      </c>
      <c r="H319" s="180">
        <v>8</v>
      </c>
      <c r="I319" s="181"/>
      <c r="J319" s="182">
        <f>ROUND(I319*H319,2)</f>
        <v>0</v>
      </c>
      <c r="K319" s="178" t="s">
        <v>19</v>
      </c>
      <c r="L319" s="37"/>
      <c r="M319" s="183" t="s">
        <v>19</v>
      </c>
      <c r="N319" s="184" t="s">
        <v>41</v>
      </c>
      <c r="O319" s="62"/>
      <c r="P319" s="185">
        <f>O319*H319</f>
        <v>0</v>
      </c>
      <c r="Q319" s="185">
        <v>0</v>
      </c>
      <c r="R319" s="185">
        <f>Q319*H319</f>
        <v>0</v>
      </c>
      <c r="S319" s="185">
        <v>0</v>
      </c>
      <c r="T319" s="186">
        <f>S319*H319</f>
        <v>0</v>
      </c>
      <c r="U319" s="32"/>
      <c r="V319" s="32"/>
      <c r="W319" s="32"/>
      <c r="X319" s="32"/>
      <c r="Y319" s="32"/>
      <c r="Z319" s="32"/>
      <c r="AA319" s="32"/>
      <c r="AB319" s="32"/>
      <c r="AC319" s="32"/>
      <c r="AD319" s="32"/>
      <c r="AE319" s="32"/>
      <c r="AR319" s="187" t="s">
        <v>270</v>
      </c>
      <c r="AT319" s="187" t="s">
        <v>198</v>
      </c>
      <c r="AU319" s="187" t="s">
        <v>79</v>
      </c>
      <c r="AY319" s="15" t="s">
        <v>196</v>
      </c>
      <c r="BE319" s="188">
        <f>IF(N319="základní",J319,0)</f>
        <v>0</v>
      </c>
      <c r="BF319" s="188">
        <f>IF(N319="snížená",J319,0)</f>
        <v>0</v>
      </c>
      <c r="BG319" s="188">
        <f>IF(N319="zákl. přenesená",J319,0)</f>
        <v>0</v>
      </c>
      <c r="BH319" s="188">
        <f>IF(N319="sníž. přenesená",J319,0)</f>
        <v>0</v>
      </c>
      <c r="BI319" s="188">
        <f>IF(N319="nulová",J319,0)</f>
        <v>0</v>
      </c>
      <c r="BJ319" s="15" t="s">
        <v>77</v>
      </c>
      <c r="BK319" s="188">
        <f>ROUND(I319*H319,2)</f>
        <v>0</v>
      </c>
      <c r="BL319" s="15" t="s">
        <v>270</v>
      </c>
      <c r="BM319" s="187" t="s">
        <v>766</v>
      </c>
    </row>
    <row r="320" spans="2:63" s="12" customFormat="1" ht="22.9" customHeight="1">
      <c r="B320" s="160"/>
      <c r="C320" s="161"/>
      <c r="D320" s="162" t="s">
        <v>69</v>
      </c>
      <c r="E320" s="174" t="s">
        <v>767</v>
      </c>
      <c r="F320" s="174" t="s">
        <v>768</v>
      </c>
      <c r="G320" s="161"/>
      <c r="H320" s="161"/>
      <c r="I320" s="164"/>
      <c r="J320" s="175">
        <f>BK320</f>
        <v>0</v>
      </c>
      <c r="K320" s="161"/>
      <c r="L320" s="166"/>
      <c r="M320" s="167"/>
      <c r="N320" s="168"/>
      <c r="O320" s="168"/>
      <c r="P320" s="169">
        <f>SUM(P321:P366)</f>
        <v>0</v>
      </c>
      <c r="Q320" s="168"/>
      <c r="R320" s="169">
        <f>SUM(R321:R366)</f>
        <v>1.5654877599999997</v>
      </c>
      <c r="S320" s="168"/>
      <c r="T320" s="170">
        <f>SUM(T321:T366)</f>
        <v>1.4503989999999998</v>
      </c>
      <c r="AR320" s="171" t="s">
        <v>79</v>
      </c>
      <c r="AT320" s="172" t="s">
        <v>69</v>
      </c>
      <c r="AU320" s="172" t="s">
        <v>77</v>
      </c>
      <c r="AY320" s="171" t="s">
        <v>196</v>
      </c>
      <c r="BK320" s="173">
        <f>SUM(BK321:BK366)</f>
        <v>0</v>
      </c>
    </row>
    <row r="321" spans="1:65" s="2" customFormat="1" ht="22.15" customHeight="1">
      <c r="A321" s="32"/>
      <c r="B321" s="33"/>
      <c r="C321" s="176" t="s">
        <v>769</v>
      </c>
      <c r="D321" s="176" t="s">
        <v>198</v>
      </c>
      <c r="E321" s="177" t="s">
        <v>770</v>
      </c>
      <c r="F321" s="178" t="s">
        <v>771</v>
      </c>
      <c r="G321" s="179" t="s">
        <v>253</v>
      </c>
      <c r="H321" s="180">
        <v>4.532</v>
      </c>
      <c r="I321" s="181"/>
      <c r="J321" s="182">
        <f>ROUND(I321*H321,2)</f>
        <v>0</v>
      </c>
      <c r="K321" s="178" t="s">
        <v>202</v>
      </c>
      <c r="L321" s="37"/>
      <c r="M321" s="183" t="s">
        <v>19</v>
      </c>
      <c r="N321" s="184" t="s">
        <v>41</v>
      </c>
      <c r="O321" s="62"/>
      <c r="P321" s="185">
        <f>O321*H321</f>
        <v>0</v>
      </c>
      <c r="Q321" s="185">
        <v>0</v>
      </c>
      <c r="R321" s="185">
        <f>Q321*H321</f>
        <v>0</v>
      </c>
      <c r="S321" s="185">
        <v>0.03175</v>
      </c>
      <c r="T321" s="186">
        <f>S321*H321</f>
        <v>0.143891</v>
      </c>
      <c r="U321" s="32"/>
      <c r="V321" s="32"/>
      <c r="W321" s="32"/>
      <c r="X321" s="32"/>
      <c r="Y321" s="32"/>
      <c r="Z321" s="32"/>
      <c r="AA321" s="32"/>
      <c r="AB321" s="32"/>
      <c r="AC321" s="32"/>
      <c r="AD321" s="32"/>
      <c r="AE321" s="32"/>
      <c r="AR321" s="187" t="s">
        <v>270</v>
      </c>
      <c r="AT321" s="187" t="s">
        <v>198</v>
      </c>
      <c r="AU321" s="187" t="s">
        <v>79</v>
      </c>
      <c r="AY321" s="15" t="s">
        <v>196</v>
      </c>
      <c r="BE321" s="188">
        <f>IF(N321="základní",J321,0)</f>
        <v>0</v>
      </c>
      <c r="BF321" s="188">
        <f>IF(N321="snížená",J321,0)</f>
        <v>0</v>
      </c>
      <c r="BG321" s="188">
        <f>IF(N321="zákl. přenesená",J321,0)</f>
        <v>0</v>
      </c>
      <c r="BH321" s="188">
        <f>IF(N321="sníž. přenesená",J321,0)</f>
        <v>0</v>
      </c>
      <c r="BI321" s="188">
        <f>IF(N321="nulová",J321,0)</f>
        <v>0</v>
      </c>
      <c r="BJ321" s="15" t="s">
        <v>77</v>
      </c>
      <c r="BK321" s="188">
        <f>ROUND(I321*H321,2)</f>
        <v>0</v>
      </c>
      <c r="BL321" s="15" t="s">
        <v>270</v>
      </c>
      <c r="BM321" s="187" t="s">
        <v>772</v>
      </c>
    </row>
    <row r="322" spans="1:47" s="2" customFormat="1" ht="39">
      <c r="A322" s="32"/>
      <c r="B322" s="33"/>
      <c r="C322" s="34"/>
      <c r="D322" s="189" t="s">
        <v>208</v>
      </c>
      <c r="E322" s="34"/>
      <c r="F322" s="190" t="s">
        <v>773</v>
      </c>
      <c r="G322" s="34"/>
      <c r="H322" s="34"/>
      <c r="I322" s="191"/>
      <c r="J322" s="34"/>
      <c r="K322" s="34"/>
      <c r="L322" s="37"/>
      <c r="M322" s="192"/>
      <c r="N322" s="193"/>
      <c r="O322" s="62"/>
      <c r="P322" s="62"/>
      <c r="Q322" s="62"/>
      <c r="R322" s="62"/>
      <c r="S322" s="62"/>
      <c r="T322" s="63"/>
      <c r="U322" s="32"/>
      <c r="V322" s="32"/>
      <c r="W322" s="32"/>
      <c r="X322" s="32"/>
      <c r="Y322" s="32"/>
      <c r="Z322" s="32"/>
      <c r="AA322" s="32"/>
      <c r="AB322" s="32"/>
      <c r="AC322" s="32"/>
      <c r="AD322" s="32"/>
      <c r="AE322" s="32"/>
      <c r="AT322" s="15" t="s">
        <v>208</v>
      </c>
      <c r="AU322" s="15" t="s">
        <v>79</v>
      </c>
    </row>
    <row r="323" spans="1:65" s="2" customFormat="1" ht="22.15" customHeight="1">
      <c r="A323" s="32"/>
      <c r="B323" s="33"/>
      <c r="C323" s="176" t="s">
        <v>774</v>
      </c>
      <c r="D323" s="176" t="s">
        <v>198</v>
      </c>
      <c r="E323" s="177" t="s">
        <v>775</v>
      </c>
      <c r="F323" s="178" t="s">
        <v>776</v>
      </c>
      <c r="G323" s="179" t="s">
        <v>253</v>
      </c>
      <c r="H323" s="180">
        <v>14.5</v>
      </c>
      <c r="I323" s="181"/>
      <c r="J323" s="182">
        <f>ROUND(I323*H323,2)</f>
        <v>0</v>
      </c>
      <c r="K323" s="178" t="s">
        <v>202</v>
      </c>
      <c r="L323" s="37"/>
      <c r="M323" s="183" t="s">
        <v>19</v>
      </c>
      <c r="N323" s="184" t="s">
        <v>41</v>
      </c>
      <c r="O323" s="62"/>
      <c r="P323" s="185">
        <f>O323*H323</f>
        <v>0</v>
      </c>
      <c r="Q323" s="185">
        <v>0</v>
      </c>
      <c r="R323" s="185">
        <f>Q323*H323</f>
        <v>0</v>
      </c>
      <c r="S323" s="185">
        <v>0.01834</v>
      </c>
      <c r="T323" s="186">
        <f>S323*H323</f>
        <v>0.26593</v>
      </c>
      <c r="U323" s="32"/>
      <c r="V323" s="32"/>
      <c r="W323" s="32"/>
      <c r="X323" s="32"/>
      <c r="Y323" s="32"/>
      <c r="Z323" s="32"/>
      <c r="AA323" s="32"/>
      <c r="AB323" s="32"/>
      <c r="AC323" s="32"/>
      <c r="AD323" s="32"/>
      <c r="AE323" s="32"/>
      <c r="AR323" s="187" t="s">
        <v>270</v>
      </c>
      <c r="AT323" s="187" t="s">
        <v>198</v>
      </c>
      <c r="AU323" s="187" t="s">
        <v>79</v>
      </c>
      <c r="AY323" s="15" t="s">
        <v>196</v>
      </c>
      <c r="BE323" s="188">
        <f>IF(N323="základní",J323,0)</f>
        <v>0</v>
      </c>
      <c r="BF323" s="188">
        <f>IF(N323="snížená",J323,0)</f>
        <v>0</v>
      </c>
      <c r="BG323" s="188">
        <f>IF(N323="zákl. přenesená",J323,0)</f>
        <v>0</v>
      </c>
      <c r="BH323" s="188">
        <f>IF(N323="sníž. přenesená",J323,0)</f>
        <v>0</v>
      </c>
      <c r="BI323" s="188">
        <f>IF(N323="nulová",J323,0)</f>
        <v>0</v>
      </c>
      <c r="BJ323" s="15" t="s">
        <v>77</v>
      </c>
      <c r="BK323" s="188">
        <f>ROUND(I323*H323,2)</f>
        <v>0</v>
      </c>
      <c r="BL323" s="15" t="s">
        <v>270</v>
      </c>
      <c r="BM323" s="187" t="s">
        <v>777</v>
      </c>
    </row>
    <row r="324" spans="1:47" s="2" customFormat="1" ht="29.25">
      <c r="A324" s="32"/>
      <c r="B324" s="33"/>
      <c r="C324" s="34"/>
      <c r="D324" s="189" t="s">
        <v>208</v>
      </c>
      <c r="E324" s="34"/>
      <c r="F324" s="190" t="s">
        <v>778</v>
      </c>
      <c r="G324" s="34"/>
      <c r="H324" s="34"/>
      <c r="I324" s="191"/>
      <c r="J324" s="34"/>
      <c r="K324" s="34"/>
      <c r="L324" s="37"/>
      <c r="M324" s="192"/>
      <c r="N324" s="193"/>
      <c r="O324" s="62"/>
      <c r="P324" s="62"/>
      <c r="Q324" s="62"/>
      <c r="R324" s="62"/>
      <c r="S324" s="62"/>
      <c r="T324" s="63"/>
      <c r="U324" s="32"/>
      <c r="V324" s="32"/>
      <c r="W324" s="32"/>
      <c r="X324" s="32"/>
      <c r="Y324" s="32"/>
      <c r="Z324" s="32"/>
      <c r="AA324" s="32"/>
      <c r="AB324" s="32"/>
      <c r="AC324" s="32"/>
      <c r="AD324" s="32"/>
      <c r="AE324" s="32"/>
      <c r="AT324" s="15" t="s">
        <v>208</v>
      </c>
      <c r="AU324" s="15" t="s">
        <v>79</v>
      </c>
    </row>
    <row r="325" spans="1:65" s="2" customFormat="1" ht="22.15" customHeight="1">
      <c r="A325" s="32"/>
      <c r="B325" s="33"/>
      <c r="C325" s="176" t="s">
        <v>779</v>
      </c>
      <c r="D325" s="176" t="s">
        <v>198</v>
      </c>
      <c r="E325" s="177" t="s">
        <v>780</v>
      </c>
      <c r="F325" s="178" t="s">
        <v>781</v>
      </c>
      <c r="G325" s="179" t="s">
        <v>253</v>
      </c>
      <c r="H325" s="180">
        <v>27.4</v>
      </c>
      <c r="I325" s="181"/>
      <c r="J325" s="182">
        <f>ROUND(I325*H325,2)</f>
        <v>0</v>
      </c>
      <c r="K325" s="178" t="s">
        <v>202</v>
      </c>
      <c r="L325" s="37"/>
      <c r="M325" s="183" t="s">
        <v>19</v>
      </c>
      <c r="N325" s="184" t="s">
        <v>41</v>
      </c>
      <c r="O325" s="62"/>
      <c r="P325" s="185">
        <f>O325*H325</f>
        <v>0</v>
      </c>
      <c r="Q325" s="185">
        <v>0.01223</v>
      </c>
      <c r="R325" s="185">
        <f>Q325*H325</f>
        <v>0.33510199999999996</v>
      </c>
      <c r="S325" s="185">
        <v>0</v>
      </c>
      <c r="T325" s="186">
        <f>S325*H325</f>
        <v>0</v>
      </c>
      <c r="U325" s="32"/>
      <c r="V325" s="32"/>
      <c r="W325" s="32"/>
      <c r="X325" s="32"/>
      <c r="Y325" s="32"/>
      <c r="Z325" s="32"/>
      <c r="AA325" s="32"/>
      <c r="AB325" s="32"/>
      <c r="AC325" s="32"/>
      <c r="AD325" s="32"/>
      <c r="AE325" s="32"/>
      <c r="AR325" s="187" t="s">
        <v>270</v>
      </c>
      <c r="AT325" s="187" t="s">
        <v>198</v>
      </c>
      <c r="AU325" s="187" t="s">
        <v>79</v>
      </c>
      <c r="AY325" s="15" t="s">
        <v>196</v>
      </c>
      <c r="BE325" s="188">
        <f>IF(N325="základní",J325,0)</f>
        <v>0</v>
      </c>
      <c r="BF325" s="188">
        <f>IF(N325="snížená",J325,0)</f>
        <v>0</v>
      </c>
      <c r="BG325" s="188">
        <f>IF(N325="zákl. přenesená",J325,0)</f>
        <v>0</v>
      </c>
      <c r="BH325" s="188">
        <f>IF(N325="sníž. přenesená",J325,0)</f>
        <v>0</v>
      </c>
      <c r="BI325" s="188">
        <f>IF(N325="nulová",J325,0)</f>
        <v>0</v>
      </c>
      <c r="BJ325" s="15" t="s">
        <v>77</v>
      </c>
      <c r="BK325" s="188">
        <f>ROUND(I325*H325,2)</f>
        <v>0</v>
      </c>
      <c r="BL325" s="15" t="s">
        <v>270</v>
      </c>
      <c r="BM325" s="187" t="s">
        <v>782</v>
      </c>
    </row>
    <row r="326" spans="1:47" s="2" customFormat="1" ht="97.5">
      <c r="A326" s="32"/>
      <c r="B326" s="33"/>
      <c r="C326" s="34"/>
      <c r="D326" s="189" t="s">
        <v>208</v>
      </c>
      <c r="E326" s="34"/>
      <c r="F326" s="190" t="s">
        <v>783</v>
      </c>
      <c r="G326" s="34"/>
      <c r="H326" s="34"/>
      <c r="I326" s="191"/>
      <c r="J326" s="34"/>
      <c r="K326" s="34"/>
      <c r="L326" s="37"/>
      <c r="M326" s="192"/>
      <c r="N326" s="193"/>
      <c r="O326" s="62"/>
      <c r="P326" s="62"/>
      <c r="Q326" s="62"/>
      <c r="R326" s="62"/>
      <c r="S326" s="62"/>
      <c r="T326" s="63"/>
      <c r="U326" s="32"/>
      <c r="V326" s="32"/>
      <c r="W326" s="32"/>
      <c r="X326" s="32"/>
      <c r="Y326" s="32"/>
      <c r="Z326" s="32"/>
      <c r="AA326" s="32"/>
      <c r="AB326" s="32"/>
      <c r="AC326" s="32"/>
      <c r="AD326" s="32"/>
      <c r="AE326" s="32"/>
      <c r="AT326" s="15" t="s">
        <v>208</v>
      </c>
      <c r="AU326" s="15" t="s">
        <v>79</v>
      </c>
    </row>
    <row r="327" spans="1:65" s="2" customFormat="1" ht="22.15" customHeight="1">
      <c r="A327" s="32"/>
      <c r="B327" s="33"/>
      <c r="C327" s="176" t="s">
        <v>784</v>
      </c>
      <c r="D327" s="176" t="s">
        <v>198</v>
      </c>
      <c r="E327" s="177" t="s">
        <v>785</v>
      </c>
      <c r="F327" s="178" t="s">
        <v>786</v>
      </c>
      <c r="G327" s="179" t="s">
        <v>253</v>
      </c>
      <c r="H327" s="180">
        <v>48.3</v>
      </c>
      <c r="I327" s="181"/>
      <c r="J327" s="182">
        <f>ROUND(I327*H327,2)</f>
        <v>0</v>
      </c>
      <c r="K327" s="178" t="s">
        <v>202</v>
      </c>
      <c r="L327" s="37"/>
      <c r="M327" s="183" t="s">
        <v>19</v>
      </c>
      <c r="N327" s="184" t="s">
        <v>41</v>
      </c>
      <c r="O327" s="62"/>
      <c r="P327" s="185">
        <f>O327*H327</f>
        <v>0</v>
      </c>
      <c r="Q327" s="185">
        <v>0.01254</v>
      </c>
      <c r="R327" s="185">
        <f>Q327*H327</f>
        <v>0.605682</v>
      </c>
      <c r="S327" s="185">
        <v>0</v>
      </c>
      <c r="T327" s="186">
        <f>S327*H327</f>
        <v>0</v>
      </c>
      <c r="U327" s="32"/>
      <c r="V327" s="32"/>
      <c r="W327" s="32"/>
      <c r="X327" s="32"/>
      <c r="Y327" s="32"/>
      <c r="Z327" s="32"/>
      <c r="AA327" s="32"/>
      <c r="AB327" s="32"/>
      <c r="AC327" s="32"/>
      <c r="AD327" s="32"/>
      <c r="AE327" s="32"/>
      <c r="AR327" s="187" t="s">
        <v>270</v>
      </c>
      <c r="AT327" s="187" t="s">
        <v>198</v>
      </c>
      <c r="AU327" s="187" t="s">
        <v>79</v>
      </c>
      <c r="AY327" s="15" t="s">
        <v>196</v>
      </c>
      <c r="BE327" s="188">
        <f>IF(N327="základní",J327,0)</f>
        <v>0</v>
      </c>
      <c r="BF327" s="188">
        <f>IF(N327="snížená",J327,0)</f>
        <v>0</v>
      </c>
      <c r="BG327" s="188">
        <f>IF(N327="zákl. přenesená",J327,0)</f>
        <v>0</v>
      </c>
      <c r="BH327" s="188">
        <f>IF(N327="sníž. přenesená",J327,0)</f>
        <v>0</v>
      </c>
      <c r="BI327" s="188">
        <f>IF(N327="nulová",J327,0)</f>
        <v>0</v>
      </c>
      <c r="BJ327" s="15" t="s">
        <v>77</v>
      </c>
      <c r="BK327" s="188">
        <f>ROUND(I327*H327,2)</f>
        <v>0</v>
      </c>
      <c r="BL327" s="15" t="s">
        <v>270</v>
      </c>
      <c r="BM327" s="187" t="s">
        <v>787</v>
      </c>
    </row>
    <row r="328" spans="1:47" s="2" customFormat="1" ht="97.5">
      <c r="A328" s="32"/>
      <c r="B328" s="33"/>
      <c r="C328" s="34"/>
      <c r="D328" s="189" t="s">
        <v>208</v>
      </c>
      <c r="E328" s="34"/>
      <c r="F328" s="190" t="s">
        <v>783</v>
      </c>
      <c r="G328" s="34"/>
      <c r="H328" s="34"/>
      <c r="I328" s="191"/>
      <c r="J328" s="34"/>
      <c r="K328" s="34"/>
      <c r="L328" s="37"/>
      <c r="M328" s="192"/>
      <c r="N328" s="193"/>
      <c r="O328" s="62"/>
      <c r="P328" s="62"/>
      <c r="Q328" s="62"/>
      <c r="R328" s="62"/>
      <c r="S328" s="62"/>
      <c r="T328" s="63"/>
      <c r="U328" s="32"/>
      <c r="V328" s="32"/>
      <c r="W328" s="32"/>
      <c r="X328" s="32"/>
      <c r="Y328" s="32"/>
      <c r="Z328" s="32"/>
      <c r="AA328" s="32"/>
      <c r="AB328" s="32"/>
      <c r="AC328" s="32"/>
      <c r="AD328" s="32"/>
      <c r="AE328" s="32"/>
      <c r="AT328" s="15" t="s">
        <v>208</v>
      </c>
      <c r="AU328" s="15" t="s">
        <v>79</v>
      </c>
    </row>
    <row r="329" spans="1:65" s="2" customFormat="1" ht="22.15" customHeight="1">
      <c r="A329" s="32"/>
      <c r="B329" s="33"/>
      <c r="C329" s="176" t="s">
        <v>788</v>
      </c>
      <c r="D329" s="176" t="s">
        <v>198</v>
      </c>
      <c r="E329" s="177" t="s">
        <v>789</v>
      </c>
      <c r="F329" s="178" t="s">
        <v>790</v>
      </c>
      <c r="G329" s="179" t="s">
        <v>253</v>
      </c>
      <c r="H329" s="180">
        <v>6.5</v>
      </c>
      <c r="I329" s="181"/>
      <c r="J329" s="182">
        <f>ROUND(I329*H329,2)</f>
        <v>0</v>
      </c>
      <c r="K329" s="178" t="s">
        <v>202</v>
      </c>
      <c r="L329" s="37"/>
      <c r="M329" s="183" t="s">
        <v>19</v>
      </c>
      <c r="N329" s="184" t="s">
        <v>41</v>
      </c>
      <c r="O329" s="62"/>
      <c r="P329" s="185">
        <f>O329*H329</f>
        <v>0</v>
      </c>
      <c r="Q329" s="185">
        <v>0.01379</v>
      </c>
      <c r="R329" s="185">
        <f>Q329*H329</f>
        <v>0.089635</v>
      </c>
      <c r="S329" s="185">
        <v>0</v>
      </c>
      <c r="T329" s="186">
        <f>S329*H329</f>
        <v>0</v>
      </c>
      <c r="U329" s="32"/>
      <c r="V329" s="32"/>
      <c r="W329" s="32"/>
      <c r="X329" s="32"/>
      <c r="Y329" s="32"/>
      <c r="Z329" s="32"/>
      <c r="AA329" s="32"/>
      <c r="AB329" s="32"/>
      <c r="AC329" s="32"/>
      <c r="AD329" s="32"/>
      <c r="AE329" s="32"/>
      <c r="AR329" s="187" t="s">
        <v>270</v>
      </c>
      <c r="AT329" s="187" t="s">
        <v>198</v>
      </c>
      <c r="AU329" s="187" t="s">
        <v>79</v>
      </c>
      <c r="AY329" s="15" t="s">
        <v>196</v>
      </c>
      <c r="BE329" s="188">
        <f>IF(N329="základní",J329,0)</f>
        <v>0</v>
      </c>
      <c r="BF329" s="188">
        <f>IF(N329="snížená",J329,0)</f>
        <v>0</v>
      </c>
      <c r="BG329" s="188">
        <f>IF(N329="zákl. přenesená",J329,0)</f>
        <v>0</v>
      </c>
      <c r="BH329" s="188">
        <f>IF(N329="sníž. přenesená",J329,0)</f>
        <v>0</v>
      </c>
      <c r="BI329" s="188">
        <f>IF(N329="nulová",J329,0)</f>
        <v>0</v>
      </c>
      <c r="BJ329" s="15" t="s">
        <v>77</v>
      </c>
      <c r="BK329" s="188">
        <f>ROUND(I329*H329,2)</f>
        <v>0</v>
      </c>
      <c r="BL329" s="15" t="s">
        <v>270</v>
      </c>
      <c r="BM329" s="187" t="s">
        <v>791</v>
      </c>
    </row>
    <row r="330" spans="1:47" s="2" customFormat="1" ht="97.5">
      <c r="A330" s="32"/>
      <c r="B330" s="33"/>
      <c r="C330" s="34"/>
      <c r="D330" s="189" t="s">
        <v>208</v>
      </c>
      <c r="E330" s="34"/>
      <c r="F330" s="190" t="s">
        <v>783</v>
      </c>
      <c r="G330" s="34"/>
      <c r="H330" s="34"/>
      <c r="I330" s="191"/>
      <c r="J330" s="34"/>
      <c r="K330" s="34"/>
      <c r="L330" s="37"/>
      <c r="M330" s="192"/>
      <c r="N330" s="193"/>
      <c r="O330" s="62"/>
      <c r="P330" s="62"/>
      <c r="Q330" s="62"/>
      <c r="R330" s="62"/>
      <c r="S330" s="62"/>
      <c r="T330" s="63"/>
      <c r="U330" s="32"/>
      <c r="V330" s="32"/>
      <c r="W330" s="32"/>
      <c r="X330" s="32"/>
      <c r="Y330" s="32"/>
      <c r="Z330" s="32"/>
      <c r="AA330" s="32"/>
      <c r="AB330" s="32"/>
      <c r="AC330" s="32"/>
      <c r="AD330" s="32"/>
      <c r="AE330" s="32"/>
      <c r="AT330" s="15" t="s">
        <v>208</v>
      </c>
      <c r="AU330" s="15" t="s">
        <v>79</v>
      </c>
    </row>
    <row r="331" spans="1:65" s="2" customFormat="1" ht="22.15" customHeight="1">
      <c r="A331" s="32"/>
      <c r="B331" s="33"/>
      <c r="C331" s="176" t="s">
        <v>792</v>
      </c>
      <c r="D331" s="176" t="s">
        <v>198</v>
      </c>
      <c r="E331" s="177" t="s">
        <v>793</v>
      </c>
      <c r="F331" s="178" t="s">
        <v>794</v>
      </c>
      <c r="G331" s="179" t="s">
        <v>310</v>
      </c>
      <c r="H331" s="180">
        <v>59.328</v>
      </c>
      <c r="I331" s="181"/>
      <c r="J331" s="182">
        <f>ROUND(I331*H331,2)</f>
        <v>0</v>
      </c>
      <c r="K331" s="178" t="s">
        <v>202</v>
      </c>
      <c r="L331" s="37"/>
      <c r="M331" s="183" t="s">
        <v>19</v>
      </c>
      <c r="N331" s="184" t="s">
        <v>41</v>
      </c>
      <c r="O331" s="62"/>
      <c r="P331" s="185">
        <f>O331*H331</f>
        <v>0</v>
      </c>
      <c r="Q331" s="185">
        <v>0.00026</v>
      </c>
      <c r="R331" s="185">
        <f>Q331*H331</f>
        <v>0.01542528</v>
      </c>
      <c r="S331" s="185">
        <v>0</v>
      </c>
      <c r="T331" s="186">
        <f>S331*H331</f>
        <v>0</v>
      </c>
      <c r="U331" s="32"/>
      <c r="V331" s="32"/>
      <c r="W331" s="32"/>
      <c r="X331" s="32"/>
      <c r="Y331" s="32"/>
      <c r="Z331" s="32"/>
      <c r="AA331" s="32"/>
      <c r="AB331" s="32"/>
      <c r="AC331" s="32"/>
      <c r="AD331" s="32"/>
      <c r="AE331" s="32"/>
      <c r="AR331" s="187" t="s">
        <v>270</v>
      </c>
      <c r="AT331" s="187" t="s">
        <v>198</v>
      </c>
      <c r="AU331" s="187" t="s">
        <v>79</v>
      </c>
      <c r="AY331" s="15" t="s">
        <v>196</v>
      </c>
      <c r="BE331" s="188">
        <f>IF(N331="základní",J331,0)</f>
        <v>0</v>
      </c>
      <c r="BF331" s="188">
        <f>IF(N331="snížená",J331,0)</f>
        <v>0</v>
      </c>
      <c r="BG331" s="188">
        <f>IF(N331="zákl. přenesená",J331,0)</f>
        <v>0</v>
      </c>
      <c r="BH331" s="188">
        <f>IF(N331="sníž. přenesená",J331,0)</f>
        <v>0</v>
      </c>
      <c r="BI331" s="188">
        <f>IF(N331="nulová",J331,0)</f>
        <v>0</v>
      </c>
      <c r="BJ331" s="15" t="s">
        <v>77</v>
      </c>
      <c r="BK331" s="188">
        <f>ROUND(I331*H331,2)</f>
        <v>0</v>
      </c>
      <c r="BL331" s="15" t="s">
        <v>270</v>
      </c>
      <c r="BM331" s="187" t="s">
        <v>795</v>
      </c>
    </row>
    <row r="332" spans="1:47" s="2" customFormat="1" ht="97.5">
      <c r="A332" s="32"/>
      <c r="B332" s="33"/>
      <c r="C332" s="34"/>
      <c r="D332" s="189" t="s">
        <v>208</v>
      </c>
      <c r="E332" s="34"/>
      <c r="F332" s="190" t="s">
        <v>783</v>
      </c>
      <c r="G332" s="34"/>
      <c r="H332" s="34"/>
      <c r="I332" s="191"/>
      <c r="J332" s="34"/>
      <c r="K332" s="34"/>
      <c r="L332" s="37"/>
      <c r="M332" s="192"/>
      <c r="N332" s="193"/>
      <c r="O332" s="62"/>
      <c r="P332" s="62"/>
      <c r="Q332" s="62"/>
      <c r="R332" s="62"/>
      <c r="S332" s="62"/>
      <c r="T332" s="63"/>
      <c r="U332" s="32"/>
      <c r="V332" s="32"/>
      <c r="W332" s="32"/>
      <c r="X332" s="32"/>
      <c r="Y332" s="32"/>
      <c r="Z332" s="32"/>
      <c r="AA332" s="32"/>
      <c r="AB332" s="32"/>
      <c r="AC332" s="32"/>
      <c r="AD332" s="32"/>
      <c r="AE332" s="32"/>
      <c r="AT332" s="15" t="s">
        <v>208</v>
      </c>
      <c r="AU332" s="15" t="s">
        <v>79</v>
      </c>
    </row>
    <row r="333" spans="1:65" s="2" customFormat="1" ht="22.15" customHeight="1">
      <c r="A333" s="32"/>
      <c r="B333" s="33"/>
      <c r="C333" s="176" t="s">
        <v>796</v>
      </c>
      <c r="D333" s="176" t="s">
        <v>198</v>
      </c>
      <c r="E333" s="177" t="s">
        <v>797</v>
      </c>
      <c r="F333" s="178" t="s">
        <v>798</v>
      </c>
      <c r="G333" s="179" t="s">
        <v>310</v>
      </c>
      <c r="H333" s="180">
        <v>25</v>
      </c>
      <c r="I333" s="181"/>
      <c r="J333" s="182">
        <f>ROUND(I333*H333,2)</f>
        <v>0</v>
      </c>
      <c r="K333" s="178" t="s">
        <v>202</v>
      </c>
      <c r="L333" s="37"/>
      <c r="M333" s="183" t="s">
        <v>19</v>
      </c>
      <c r="N333" s="184" t="s">
        <v>41</v>
      </c>
      <c r="O333" s="62"/>
      <c r="P333" s="185">
        <f>O333*H333</f>
        <v>0</v>
      </c>
      <c r="Q333" s="185">
        <v>0.00026</v>
      </c>
      <c r="R333" s="185">
        <f>Q333*H333</f>
        <v>0.0065</v>
      </c>
      <c r="S333" s="185">
        <v>0</v>
      </c>
      <c r="T333" s="186">
        <f>S333*H333</f>
        <v>0</v>
      </c>
      <c r="U333" s="32"/>
      <c r="V333" s="32"/>
      <c r="W333" s="32"/>
      <c r="X333" s="32"/>
      <c r="Y333" s="32"/>
      <c r="Z333" s="32"/>
      <c r="AA333" s="32"/>
      <c r="AB333" s="32"/>
      <c r="AC333" s="32"/>
      <c r="AD333" s="32"/>
      <c r="AE333" s="32"/>
      <c r="AR333" s="187" t="s">
        <v>270</v>
      </c>
      <c r="AT333" s="187" t="s">
        <v>198</v>
      </c>
      <c r="AU333" s="187" t="s">
        <v>79</v>
      </c>
      <c r="AY333" s="15" t="s">
        <v>196</v>
      </c>
      <c r="BE333" s="188">
        <f>IF(N333="základní",J333,0)</f>
        <v>0</v>
      </c>
      <c r="BF333" s="188">
        <f>IF(N333="snížená",J333,0)</f>
        <v>0</v>
      </c>
      <c r="BG333" s="188">
        <f>IF(N333="zákl. přenesená",J333,0)</f>
        <v>0</v>
      </c>
      <c r="BH333" s="188">
        <f>IF(N333="sníž. přenesená",J333,0)</f>
        <v>0</v>
      </c>
      <c r="BI333" s="188">
        <f>IF(N333="nulová",J333,0)</f>
        <v>0</v>
      </c>
      <c r="BJ333" s="15" t="s">
        <v>77</v>
      </c>
      <c r="BK333" s="188">
        <f>ROUND(I333*H333,2)</f>
        <v>0</v>
      </c>
      <c r="BL333" s="15" t="s">
        <v>270</v>
      </c>
      <c r="BM333" s="187" t="s">
        <v>799</v>
      </c>
    </row>
    <row r="334" spans="1:47" s="2" customFormat="1" ht="97.5">
      <c r="A334" s="32"/>
      <c r="B334" s="33"/>
      <c r="C334" s="34"/>
      <c r="D334" s="189" t="s">
        <v>208</v>
      </c>
      <c r="E334" s="34"/>
      <c r="F334" s="190" t="s">
        <v>783</v>
      </c>
      <c r="G334" s="34"/>
      <c r="H334" s="34"/>
      <c r="I334" s="191"/>
      <c r="J334" s="34"/>
      <c r="K334" s="34"/>
      <c r="L334" s="37"/>
      <c r="M334" s="192"/>
      <c r="N334" s="193"/>
      <c r="O334" s="62"/>
      <c r="P334" s="62"/>
      <c r="Q334" s="62"/>
      <c r="R334" s="62"/>
      <c r="S334" s="62"/>
      <c r="T334" s="63"/>
      <c r="U334" s="32"/>
      <c r="V334" s="32"/>
      <c r="W334" s="32"/>
      <c r="X334" s="32"/>
      <c r="Y334" s="32"/>
      <c r="Z334" s="32"/>
      <c r="AA334" s="32"/>
      <c r="AB334" s="32"/>
      <c r="AC334" s="32"/>
      <c r="AD334" s="32"/>
      <c r="AE334" s="32"/>
      <c r="AT334" s="15" t="s">
        <v>208</v>
      </c>
      <c r="AU334" s="15" t="s">
        <v>79</v>
      </c>
    </row>
    <row r="335" spans="1:65" s="2" customFormat="1" ht="22.15" customHeight="1">
      <c r="A335" s="32"/>
      <c r="B335" s="33"/>
      <c r="C335" s="176" t="s">
        <v>800</v>
      </c>
      <c r="D335" s="176" t="s">
        <v>198</v>
      </c>
      <c r="E335" s="177" t="s">
        <v>801</v>
      </c>
      <c r="F335" s="178" t="s">
        <v>802</v>
      </c>
      <c r="G335" s="179" t="s">
        <v>253</v>
      </c>
      <c r="H335" s="180">
        <v>101.9</v>
      </c>
      <c r="I335" s="181"/>
      <c r="J335" s="182">
        <f>ROUND(I335*H335,2)</f>
        <v>0</v>
      </c>
      <c r="K335" s="178" t="s">
        <v>202</v>
      </c>
      <c r="L335" s="37"/>
      <c r="M335" s="183" t="s">
        <v>19</v>
      </c>
      <c r="N335" s="184" t="s">
        <v>41</v>
      </c>
      <c r="O335" s="62"/>
      <c r="P335" s="185">
        <f>O335*H335</f>
        <v>0</v>
      </c>
      <c r="Q335" s="185">
        <v>0.0001</v>
      </c>
      <c r="R335" s="185">
        <f>Q335*H335</f>
        <v>0.010190000000000001</v>
      </c>
      <c r="S335" s="185">
        <v>0</v>
      </c>
      <c r="T335" s="186">
        <f>S335*H335</f>
        <v>0</v>
      </c>
      <c r="U335" s="32"/>
      <c r="V335" s="32"/>
      <c r="W335" s="32"/>
      <c r="X335" s="32"/>
      <c r="Y335" s="32"/>
      <c r="Z335" s="32"/>
      <c r="AA335" s="32"/>
      <c r="AB335" s="32"/>
      <c r="AC335" s="32"/>
      <c r="AD335" s="32"/>
      <c r="AE335" s="32"/>
      <c r="AR335" s="187" t="s">
        <v>270</v>
      </c>
      <c r="AT335" s="187" t="s">
        <v>198</v>
      </c>
      <c r="AU335" s="187" t="s">
        <v>79</v>
      </c>
      <c r="AY335" s="15" t="s">
        <v>196</v>
      </c>
      <c r="BE335" s="188">
        <f>IF(N335="základní",J335,0)</f>
        <v>0</v>
      </c>
      <c r="BF335" s="188">
        <f>IF(N335="snížená",J335,0)</f>
        <v>0</v>
      </c>
      <c r="BG335" s="188">
        <f>IF(N335="zákl. přenesená",J335,0)</f>
        <v>0</v>
      </c>
      <c r="BH335" s="188">
        <f>IF(N335="sníž. přenesená",J335,0)</f>
        <v>0</v>
      </c>
      <c r="BI335" s="188">
        <f>IF(N335="nulová",J335,0)</f>
        <v>0</v>
      </c>
      <c r="BJ335" s="15" t="s">
        <v>77</v>
      </c>
      <c r="BK335" s="188">
        <f>ROUND(I335*H335,2)</f>
        <v>0</v>
      </c>
      <c r="BL335" s="15" t="s">
        <v>270</v>
      </c>
      <c r="BM335" s="187" t="s">
        <v>803</v>
      </c>
    </row>
    <row r="336" spans="1:47" s="2" customFormat="1" ht="97.5">
      <c r="A336" s="32"/>
      <c r="B336" s="33"/>
      <c r="C336" s="34"/>
      <c r="D336" s="189" t="s">
        <v>208</v>
      </c>
      <c r="E336" s="34"/>
      <c r="F336" s="190" t="s">
        <v>783</v>
      </c>
      <c r="G336" s="34"/>
      <c r="H336" s="34"/>
      <c r="I336" s="191"/>
      <c r="J336" s="34"/>
      <c r="K336" s="34"/>
      <c r="L336" s="37"/>
      <c r="M336" s="192"/>
      <c r="N336" s="193"/>
      <c r="O336" s="62"/>
      <c r="P336" s="62"/>
      <c r="Q336" s="62"/>
      <c r="R336" s="62"/>
      <c r="S336" s="62"/>
      <c r="T336" s="63"/>
      <c r="U336" s="32"/>
      <c r="V336" s="32"/>
      <c r="W336" s="32"/>
      <c r="X336" s="32"/>
      <c r="Y336" s="32"/>
      <c r="Z336" s="32"/>
      <c r="AA336" s="32"/>
      <c r="AB336" s="32"/>
      <c r="AC336" s="32"/>
      <c r="AD336" s="32"/>
      <c r="AE336" s="32"/>
      <c r="AT336" s="15" t="s">
        <v>208</v>
      </c>
      <c r="AU336" s="15" t="s">
        <v>79</v>
      </c>
    </row>
    <row r="337" spans="1:65" s="2" customFormat="1" ht="22.15" customHeight="1">
      <c r="A337" s="32"/>
      <c r="B337" s="33"/>
      <c r="C337" s="176" t="s">
        <v>804</v>
      </c>
      <c r="D337" s="176" t="s">
        <v>198</v>
      </c>
      <c r="E337" s="177" t="s">
        <v>805</v>
      </c>
      <c r="F337" s="178" t="s">
        <v>806</v>
      </c>
      <c r="G337" s="179" t="s">
        <v>310</v>
      </c>
      <c r="H337" s="180">
        <v>19.61</v>
      </c>
      <c r="I337" s="181"/>
      <c r="J337" s="182">
        <f>ROUND(I337*H337,2)</f>
        <v>0</v>
      </c>
      <c r="K337" s="178" t="s">
        <v>202</v>
      </c>
      <c r="L337" s="37"/>
      <c r="M337" s="183" t="s">
        <v>19</v>
      </c>
      <c r="N337" s="184" t="s">
        <v>41</v>
      </c>
      <c r="O337" s="62"/>
      <c r="P337" s="185">
        <f>O337*H337</f>
        <v>0</v>
      </c>
      <c r="Q337" s="185">
        <v>0.00438</v>
      </c>
      <c r="R337" s="185">
        <f>Q337*H337</f>
        <v>0.0858918</v>
      </c>
      <c r="S337" s="185">
        <v>0</v>
      </c>
      <c r="T337" s="186">
        <f>S337*H337</f>
        <v>0</v>
      </c>
      <c r="U337" s="32"/>
      <c r="V337" s="32"/>
      <c r="W337" s="32"/>
      <c r="X337" s="32"/>
      <c r="Y337" s="32"/>
      <c r="Z337" s="32"/>
      <c r="AA337" s="32"/>
      <c r="AB337" s="32"/>
      <c r="AC337" s="32"/>
      <c r="AD337" s="32"/>
      <c r="AE337" s="32"/>
      <c r="AR337" s="187" t="s">
        <v>270</v>
      </c>
      <c r="AT337" s="187" t="s">
        <v>198</v>
      </c>
      <c r="AU337" s="187" t="s">
        <v>79</v>
      </c>
      <c r="AY337" s="15" t="s">
        <v>196</v>
      </c>
      <c r="BE337" s="188">
        <f>IF(N337="základní",J337,0)</f>
        <v>0</v>
      </c>
      <c r="BF337" s="188">
        <f>IF(N337="snížená",J337,0)</f>
        <v>0</v>
      </c>
      <c r="BG337" s="188">
        <f>IF(N337="zákl. přenesená",J337,0)</f>
        <v>0</v>
      </c>
      <c r="BH337" s="188">
        <f>IF(N337="sníž. přenesená",J337,0)</f>
        <v>0</v>
      </c>
      <c r="BI337" s="188">
        <f>IF(N337="nulová",J337,0)</f>
        <v>0</v>
      </c>
      <c r="BJ337" s="15" t="s">
        <v>77</v>
      </c>
      <c r="BK337" s="188">
        <f>ROUND(I337*H337,2)</f>
        <v>0</v>
      </c>
      <c r="BL337" s="15" t="s">
        <v>270</v>
      </c>
      <c r="BM337" s="187" t="s">
        <v>807</v>
      </c>
    </row>
    <row r="338" spans="1:47" s="2" customFormat="1" ht="97.5">
      <c r="A338" s="32"/>
      <c r="B338" s="33"/>
      <c r="C338" s="34"/>
      <c r="D338" s="189" t="s">
        <v>208</v>
      </c>
      <c r="E338" s="34"/>
      <c r="F338" s="190" t="s">
        <v>783</v>
      </c>
      <c r="G338" s="34"/>
      <c r="H338" s="34"/>
      <c r="I338" s="191"/>
      <c r="J338" s="34"/>
      <c r="K338" s="34"/>
      <c r="L338" s="37"/>
      <c r="M338" s="192"/>
      <c r="N338" s="193"/>
      <c r="O338" s="62"/>
      <c r="P338" s="62"/>
      <c r="Q338" s="62"/>
      <c r="R338" s="62"/>
      <c r="S338" s="62"/>
      <c r="T338" s="63"/>
      <c r="U338" s="32"/>
      <c r="V338" s="32"/>
      <c r="W338" s="32"/>
      <c r="X338" s="32"/>
      <c r="Y338" s="32"/>
      <c r="Z338" s="32"/>
      <c r="AA338" s="32"/>
      <c r="AB338" s="32"/>
      <c r="AC338" s="32"/>
      <c r="AD338" s="32"/>
      <c r="AE338" s="32"/>
      <c r="AT338" s="15" t="s">
        <v>208</v>
      </c>
      <c r="AU338" s="15" t="s">
        <v>79</v>
      </c>
    </row>
    <row r="339" spans="1:65" s="2" customFormat="1" ht="22.15" customHeight="1">
      <c r="A339" s="32"/>
      <c r="B339" s="33"/>
      <c r="C339" s="176" t="s">
        <v>808</v>
      </c>
      <c r="D339" s="176" t="s">
        <v>198</v>
      </c>
      <c r="E339" s="177" t="s">
        <v>809</v>
      </c>
      <c r="F339" s="178" t="s">
        <v>810</v>
      </c>
      <c r="G339" s="179" t="s">
        <v>310</v>
      </c>
      <c r="H339" s="180">
        <v>34.336</v>
      </c>
      <c r="I339" s="181"/>
      <c r="J339" s="182">
        <f>ROUND(I339*H339,2)</f>
        <v>0</v>
      </c>
      <c r="K339" s="178" t="s">
        <v>202</v>
      </c>
      <c r="L339" s="37"/>
      <c r="M339" s="183" t="s">
        <v>19</v>
      </c>
      <c r="N339" s="184" t="s">
        <v>41</v>
      </c>
      <c r="O339" s="62"/>
      <c r="P339" s="185">
        <f>O339*H339</f>
        <v>0</v>
      </c>
      <c r="Q339" s="185">
        <v>0.00663</v>
      </c>
      <c r="R339" s="185">
        <f>Q339*H339</f>
        <v>0.22764767999999996</v>
      </c>
      <c r="S339" s="185">
        <v>0</v>
      </c>
      <c r="T339" s="186">
        <f>S339*H339</f>
        <v>0</v>
      </c>
      <c r="U339" s="32"/>
      <c r="V339" s="32"/>
      <c r="W339" s="32"/>
      <c r="X339" s="32"/>
      <c r="Y339" s="32"/>
      <c r="Z339" s="32"/>
      <c r="AA339" s="32"/>
      <c r="AB339" s="32"/>
      <c r="AC339" s="32"/>
      <c r="AD339" s="32"/>
      <c r="AE339" s="32"/>
      <c r="AR339" s="187" t="s">
        <v>270</v>
      </c>
      <c r="AT339" s="187" t="s">
        <v>198</v>
      </c>
      <c r="AU339" s="187" t="s">
        <v>79</v>
      </c>
      <c r="AY339" s="15" t="s">
        <v>196</v>
      </c>
      <c r="BE339" s="188">
        <f>IF(N339="základní",J339,0)</f>
        <v>0</v>
      </c>
      <c r="BF339" s="188">
        <f>IF(N339="snížená",J339,0)</f>
        <v>0</v>
      </c>
      <c r="BG339" s="188">
        <f>IF(N339="zákl. přenesená",J339,0)</f>
        <v>0</v>
      </c>
      <c r="BH339" s="188">
        <f>IF(N339="sníž. přenesená",J339,0)</f>
        <v>0</v>
      </c>
      <c r="BI339" s="188">
        <f>IF(N339="nulová",J339,0)</f>
        <v>0</v>
      </c>
      <c r="BJ339" s="15" t="s">
        <v>77</v>
      </c>
      <c r="BK339" s="188">
        <f>ROUND(I339*H339,2)</f>
        <v>0</v>
      </c>
      <c r="BL339" s="15" t="s">
        <v>270</v>
      </c>
      <c r="BM339" s="187" t="s">
        <v>811</v>
      </c>
    </row>
    <row r="340" spans="1:47" s="2" customFormat="1" ht="97.5">
      <c r="A340" s="32"/>
      <c r="B340" s="33"/>
      <c r="C340" s="34"/>
      <c r="D340" s="189" t="s">
        <v>208</v>
      </c>
      <c r="E340" s="34"/>
      <c r="F340" s="190" t="s">
        <v>783</v>
      </c>
      <c r="G340" s="34"/>
      <c r="H340" s="34"/>
      <c r="I340" s="191"/>
      <c r="J340" s="34"/>
      <c r="K340" s="34"/>
      <c r="L340" s="37"/>
      <c r="M340" s="192"/>
      <c r="N340" s="193"/>
      <c r="O340" s="62"/>
      <c r="P340" s="62"/>
      <c r="Q340" s="62"/>
      <c r="R340" s="62"/>
      <c r="S340" s="62"/>
      <c r="T340" s="63"/>
      <c r="U340" s="32"/>
      <c r="V340" s="32"/>
      <c r="W340" s="32"/>
      <c r="X340" s="32"/>
      <c r="Y340" s="32"/>
      <c r="Z340" s="32"/>
      <c r="AA340" s="32"/>
      <c r="AB340" s="32"/>
      <c r="AC340" s="32"/>
      <c r="AD340" s="32"/>
      <c r="AE340" s="32"/>
      <c r="AT340" s="15" t="s">
        <v>208</v>
      </c>
      <c r="AU340" s="15" t="s">
        <v>79</v>
      </c>
    </row>
    <row r="341" spans="1:65" s="2" customFormat="1" ht="13.9" customHeight="1">
      <c r="A341" s="32"/>
      <c r="B341" s="33"/>
      <c r="C341" s="176" t="s">
        <v>812</v>
      </c>
      <c r="D341" s="176" t="s">
        <v>198</v>
      </c>
      <c r="E341" s="177" t="s">
        <v>813</v>
      </c>
      <c r="F341" s="178" t="s">
        <v>814</v>
      </c>
      <c r="G341" s="179" t="s">
        <v>253</v>
      </c>
      <c r="H341" s="180">
        <v>33.8</v>
      </c>
      <c r="I341" s="181"/>
      <c r="J341" s="182">
        <f>ROUND(I341*H341,2)</f>
        <v>0</v>
      </c>
      <c r="K341" s="178" t="s">
        <v>202</v>
      </c>
      <c r="L341" s="37"/>
      <c r="M341" s="183" t="s">
        <v>19</v>
      </c>
      <c r="N341" s="184" t="s">
        <v>41</v>
      </c>
      <c r="O341" s="62"/>
      <c r="P341" s="185">
        <f>O341*H341</f>
        <v>0</v>
      </c>
      <c r="Q341" s="185">
        <v>0.0001</v>
      </c>
      <c r="R341" s="185">
        <f>Q341*H341</f>
        <v>0.0033799999999999998</v>
      </c>
      <c r="S341" s="185">
        <v>0</v>
      </c>
      <c r="T341" s="186">
        <f>S341*H341</f>
        <v>0</v>
      </c>
      <c r="U341" s="32"/>
      <c r="V341" s="32"/>
      <c r="W341" s="32"/>
      <c r="X341" s="32"/>
      <c r="Y341" s="32"/>
      <c r="Z341" s="32"/>
      <c r="AA341" s="32"/>
      <c r="AB341" s="32"/>
      <c r="AC341" s="32"/>
      <c r="AD341" s="32"/>
      <c r="AE341" s="32"/>
      <c r="AR341" s="187" t="s">
        <v>270</v>
      </c>
      <c r="AT341" s="187" t="s">
        <v>198</v>
      </c>
      <c r="AU341" s="187" t="s">
        <v>79</v>
      </c>
      <c r="AY341" s="15" t="s">
        <v>196</v>
      </c>
      <c r="BE341" s="188">
        <f>IF(N341="základní",J341,0)</f>
        <v>0</v>
      </c>
      <c r="BF341" s="188">
        <f>IF(N341="snížená",J341,0)</f>
        <v>0</v>
      </c>
      <c r="BG341" s="188">
        <f>IF(N341="zákl. přenesená",J341,0)</f>
        <v>0</v>
      </c>
      <c r="BH341" s="188">
        <f>IF(N341="sníž. přenesená",J341,0)</f>
        <v>0</v>
      </c>
      <c r="BI341" s="188">
        <f>IF(N341="nulová",J341,0)</f>
        <v>0</v>
      </c>
      <c r="BJ341" s="15" t="s">
        <v>77</v>
      </c>
      <c r="BK341" s="188">
        <f>ROUND(I341*H341,2)</f>
        <v>0</v>
      </c>
      <c r="BL341" s="15" t="s">
        <v>270</v>
      </c>
      <c r="BM341" s="187" t="s">
        <v>815</v>
      </c>
    </row>
    <row r="342" spans="1:47" s="2" customFormat="1" ht="97.5">
      <c r="A342" s="32"/>
      <c r="B342" s="33"/>
      <c r="C342" s="34"/>
      <c r="D342" s="189" t="s">
        <v>208</v>
      </c>
      <c r="E342" s="34"/>
      <c r="F342" s="190" t="s">
        <v>783</v>
      </c>
      <c r="G342" s="34"/>
      <c r="H342" s="34"/>
      <c r="I342" s="191"/>
      <c r="J342" s="34"/>
      <c r="K342" s="34"/>
      <c r="L342" s="37"/>
      <c r="M342" s="192"/>
      <c r="N342" s="193"/>
      <c r="O342" s="62"/>
      <c r="P342" s="62"/>
      <c r="Q342" s="62"/>
      <c r="R342" s="62"/>
      <c r="S342" s="62"/>
      <c r="T342" s="63"/>
      <c r="U342" s="32"/>
      <c r="V342" s="32"/>
      <c r="W342" s="32"/>
      <c r="X342" s="32"/>
      <c r="Y342" s="32"/>
      <c r="Z342" s="32"/>
      <c r="AA342" s="32"/>
      <c r="AB342" s="32"/>
      <c r="AC342" s="32"/>
      <c r="AD342" s="32"/>
      <c r="AE342" s="32"/>
      <c r="AT342" s="15" t="s">
        <v>208</v>
      </c>
      <c r="AU342" s="15" t="s">
        <v>79</v>
      </c>
    </row>
    <row r="343" spans="1:65" s="2" customFormat="1" ht="22.15" customHeight="1">
      <c r="A343" s="32"/>
      <c r="B343" s="33"/>
      <c r="C343" s="176" t="s">
        <v>816</v>
      </c>
      <c r="D343" s="176" t="s">
        <v>198</v>
      </c>
      <c r="E343" s="177" t="s">
        <v>817</v>
      </c>
      <c r="F343" s="178" t="s">
        <v>818</v>
      </c>
      <c r="G343" s="179" t="s">
        <v>253</v>
      </c>
      <c r="H343" s="180">
        <v>51.8</v>
      </c>
      <c r="I343" s="181"/>
      <c r="J343" s="182">
        <f>ROUND(I343*H343,2)</f>
        <v>0</v>
      </c>
      <c r="K343" s="178" t="s">
        <v>202</v>
      </c>
      <c r="L343" s="37"/>
      <c r="M343" s="183" t="s">
        <v>19</v>
      </c>
      <c r="N343" s="184" t="s">
        <v>41</v>
      </c>
      <c r="O343" s="62"/>
      <c r="P343" s="185">
        <f>O343*H343</f>
        <v>0</v>
      </c>
      <c r="Q343" s="185">
        <v>0</v>
      </c>
      <c r="R343" s="185">
        <f>Q343*H343</f>
        <v>0</v>
      </c>
      <c r="S343" s="185">
        <v>0.01721</v>
      </c>
      <c r="T343" s="186">
        <f>S343*H343</f>
        <v>0.8914779999999999</v>
      </c>
      <c r="U343" s="32"/>
      <c r="V343" s="32"/>
      <c r="W343" s="32"/>
      <c r="X343" s="32"/>
      <c r="Y343" s="32"/>
      <c r="Z343" s="32"/>
      <c r="AA343" s="32"/>
      <c r="AB343" s="32"/>
      <c r="AC343" s="32"/>
      <c r="AD343" s="32"/>
      <c r="AE343" s="32"/>
      <c r="AR343" s="187" t="s">
        <v>270</v>
      </c>
      <c r="AT343" s="187" t="s">
        <v>198</v>
      </c>
      <c r="AU343" s="187" t="s">
        <v>79</v>
      </c>
      <c r="AY343" s="15" t="s">
        <v>196</v>
      </c>
      <c r="BE343" s="188">
        <f>IF(N343="základní",J343,0)</f>
        <v>0</v>
      </c>
      <c r="BF343" s="188">
        <f>IF(N343="snížená",J343,0)</f>
        <v>0</v>
      </c>
      <c r="BG343" s="188">
        <f>IF(N343="zákl. přenesená",J343,0)</f>
        <v>0</v>
      </c>
      <c r="BH343" s="188">
        <f>IF(N343="sníž. přenesená",J343,0)</f>
        <v>0</v>
      </c>
      <c r="BI343" s="188">
        <f>IF(N343="nulová",J343,0)</f>
        <v>0</v>
      </c>
      <c r="BJ343" s="15" t="s">
        <v>77</v>
      </c>
      <c r="BK343" s="188">
        <f>ROUND(I343*H343,2)</f>
        <v>0</v>
      </c>
      <c r="BL343" s="15" t="s">
        <v>270</v>
      </c>
      <c r="BM343" s="187" t="s">
        <v>819</v>
      </c>
    </row>
    <row r="344" spans="1:47" s="2" customFormat="1" ht="48.75">
      <c r="A344" s="32"/>
      <c r="B344" s="33"/>
      <c r="C344" s="34"/>
      <c r="D344" s="189" t="s">
        <v>208</v>
      </c>
      <c r="E344" s="34"/>
      <c r="F344" s="190" t="s">
        <v>820</v>
      </c>
      <c r="G344" s="34"/>
      <c r="H344" s="34"/>
      <c r="I344" s="191"/>
      <c r="J344" s="34"/>
      <c r="K344" s="34"/>
      <c r="L344" s="37"/>
      <c r="M344" s="192"/>
      <c r="N344" s="193"/>
      <c r="O344" s="62"/>
      <c r="P344" s="62"/>
      <c r="Q344" s="62"/>
      <c r="R344" s="62"/>
      <c r="S344" s="62"/>
      <c r="T344" s="63"/>
      <c r="U344" s="32"/>
      <c r="V344" s="32"/>
      <c r="W344" s="32"/>
      <c r="X344" s="32"/>
      <c r="Y344" s="32"/>
      <c r="Z344" s="32"/>
      <c r="AA344" s="32"/>
      <c r="AB344" s="32"/>
      <c r="AC344" s="32"/>
      <c r="AD344" s="32"/>
      <c r="AE344" s="32"/>
      <c r="AT344" s="15" t="s">
        <v>208</v>
      </c>
      <c r="AU344" s="15" t="s">
        <v>79</v>
      </c>
    </row>
    <row r="345" spans="1:65" s="2" customFormat="1" ht="22.15" customHeight="1">
      <c r="A345" s="32"/>
      <c r="B345" s="33"/>
      <c r="C345" s="176" t="s">
        <v>821</v>
      </c>
      <c r="D345" s="176" t="s">
        <v>198</v>
      </c>
      <c r="E345" s="177" t="s">
        <v>822</v>
      </c>
      <c r="F345" s="178" t="s">
        <v>823</v>
      </c>
      <c r="G345" s="179" t="s">
        <v>253</v>
      </c>
      <c r="H345" s="180">
        <v>14.2</v>
      </c>
      <c r="I345" s="181"/>
      <c r="J345" s="182">
        <f>ROUND(I345*H345,2)</f>
        <v>0</v>
      </c>
      <c r="K345" s="178" t="s">
        <v>202</v>
      </c>
      <c r="L345" s="37"/>
      <c r="M345" s="183" t="s">
        <v>19</v>
      </c>
      <c r="N345" s="184" t="s">
        <v>41</v>
      </c>
      <c r="O345" s="62"/>
      <c r="P345" s="185">
        <f>O345*H345</f>
        <v>0</v>
      </c>
      <c r="Q345" s="185">
        <v>0.00276</v>
      </c>
      <c r="R345" s="185">
        <f>Q345*H345</f>
        <v>0.039192</v>
      </c>
      <c r="S345" s="185">
        <v>0</v>
      </c>
      <c r="T345" s="186">
        <f>S345*H345</f>
        <v>0</v>
      </c>
      <c r="U345" s="32"/>
      <c r="V345" s="32"/>
      <c r="W345" s="32"/>
      <c r="X345" s="32"/>
      <c r="Y345" s="32"/>
      <c r="Z345" s="32"/>
      <c r="AA345" s="32"/>
      <c r="AB345" s="32"/>
      <c r="AC345" s="32"/>
      <c r="AD345" s="32"/>
      <c r="AE345" s="32"/>
      <c r="AR345" s="187" t="s">
        <v>270</v>
      </c>
      <c r="AT345" s="187" t="s">
        <v>198</v>
      </c>
      <c r="AU345" s="187" t="s">
        <v>79</v>
      </c>
      <c r="AY345" s="15" t="s">
        <v>196</v>
      </c>
      <c r="BE345" s="188">
        <f>IF(N345="základní",J345,0)</f>
        <v>0</v>
      </c>
      <c r="BF345" s="188">
        <f>IF(N345="snížená",J345,0)</f>
        <v>0</v>
      </c>
      <c r="BG345" s="188">
        <f>IF(N345="zákl. přenesená",J345,0)</f>
        <v>0</v>
      </c>
      <c r="BH345" s="188">
        <f>IF(N345="sníž. přenesená",J345,0)</f>
        <v>0</v>
      </c>
      <c r="BI345" s="188">
        <f>IF(N345="nulová",J345,0)</f>
        <v>0</v>
      </c>
      <c r="BJ345" s="15" t="s">
        <v>77</v>
      </c>
      <c r="BK345" s="188">
        <f>ROUND(I345*H345,2)</f>
        <v>0</v>
      </c>
      <c r="BL345" s="15" t="s">
        <v>270</v>
      </c>
      <c r="BM345" s="187" t="s">
        <v>824</v>
      </c>
    </row>
    <row r="346" spans="1:47" s="2" customFormat="1" ht="48.75">
      <c r="A346" s="32"/>
      <c r="B346" s="33"/>
      <c r="C346" s="34"/>
      <c r="D346" s="189" t="s">
        <v>208</v>
      </c>
      <c r="E346" s="34"/>
      <c r="F346" s="190" t="s">
        <v>825</v>
      </c>
      <c r="G346" s="34"/>
      <c r="H346" s="34"/>
      <c r="I346" s="191"/>
      <c r="J346" s="34"/>
      <c r="K346" s="34"/>
      <c r="L346" s="37"/>
      <c r="M346" s="192"/>
      <c r="N346" s="193"/>
      <c r="O346" s="62"/>
      <c r="P346" s="62"/>
      <c r="Q346" s="62"/>
      <c r="R346" s="62"/>
      <c r="S346" s="62"/>
      <c r="T346" s="63"/>
      <c r="U346" s="32"/>
      <c r="V346" s="32"/>
      <c r="W346" s="32"/>
      <c r="X346" s="32"/>
      <c r="Y346" s="32"/>
      <c r="Z346" s="32"/>
      <c r="AA346" s="32"/>
      <c r="AB346" s="32"/>
      <c r="AC346" s="32"/>
      <c r="AD346" s="32"/>
      <c r="AE346" s="32"/>
      <c r="AT346" s="15" t="s">
        <v>208</v>
      </c>
      <c r="AU346" s="15" t="s">
        <v>79</v>
      </c>
    </row>
    <row r="347" spans="1:65" s="2" customFormat="1" ht="13.9" customHeight="1">
      <c r="A347" s="32"/>
      <c r="B347" s="33"/>
      <c r="C347" s="194" t="s">
        <v>826</v>
      </c>
      <c r="D347" s="194" t="s">
        <v>411</v>
      </c>
      <c r="E347" s="195" t="s">
        <v>827</v>
      </c>
      <c r="F347" s="196" t="s">
        <v>828</v>
      </c>
      <c r="G347" s="197" t="s">
        <v>253</v>
      </c>
      <c r="H347" s="198">
        <v>14.91</v>
      </c>
      <c r="I347" s="199"/>
      <c r="J347" s="200">
        <f>ROUND(I347*H347,2)</f>
        <v>0</v>
      </c>
      <c r="K347" s="196" t="s">
        <v>19</v>
      </c>
      <c r="L347" s="201"/>
      <c r="M347" s="202" t="s">
        <v>19</v>
      </c>
      <c r="N347" s="203" t="s">
        <v>41</v>
      </c>
      <c r="O347" s="62"/>
      <c r="P347" s="185">
        <f>O347*H347</f>
        <v>0</v>
      </c>
      <c r="Q347" s="185">
        <v>0.008</v>
      </c>
      <c r="R347" s="185">
        <f>Q347*H347</f>
        <v>0.11928</v>
      </c>
      <c r="S347" s="185">
        <v>0</v>
      </c>
      <c r="T347" s="186">
        <f>S347*H347</f>
        <v>0</v>
      </c>
      <c r="U347" s="32"/>
      <c r="V347" s="32"/>
      <c r="W347" s="32"/>
      <c r="X347" s="32"/>
      <c r="Y347" s="32"/>
      <c r="Z347" s="32"/>
      <c r="AA347" s="32"/>
      <c r="AB347" s="32"/>
      <c r="AC347" s="32"/>
      <c r="AD347" s="32"/>
      <c r="AE347" s="32"/>
      <c r="AR347" s="187" t="s">
        <v>340</v>
      </c>
      <c r="AT347" s="187" t="s">
        <v>411</v>
      </c>
      <c r="AU347" s="187" t="s">
        <v>79</v>
      </c>
      <c r="AY347" s="15" t="s">
        <v>196</v>
      </c>
      <c r="BE347" s="188">
        <f>IF(N347="základní",J347,0)</f>
        <v>0</v>
      </c>
      <c r="BF347" s="188">
        <f>IF(N347="snížená",J347,0)</f>
        <v>0</v>
      </c>
      <c r="BG347" s="188">
        <f>IF(N347="zákl. přenesená",J347,0)</f>
        <v>0</v>
      </c>
      <c r="BH347" s="188">
        <f>IF(N347="sníž. přenesená",J347,0)</f>
        <v>0</v>
      </c>
      <c r="BI347" s="188">
        <f>IF(N347="nulová",J347,0)</f>
        <v>0</v>
      </c>
      <c r="BJ347" s="15" t="s">
        <v>77</v>
      </c>
      <c r="BK347" s="188">
        <f>ROUND(I347*H347,2)</f>
        <v>0</v>
      </c>
      <c r="BL347" s="15" t="s">
        <v>270</v>
      </c>
      <c r="BM347" s="187" t="s">
        <v>829</v>
      </c>
    </row>
    <row r="348" spans="1:65" s="2" customFormat="1" ht="13.9" customHeight="1">
      <c r="A348" s="32"/>
      <c r="B348" s="33"/>
      <c r="C348" s="176" t="s">
        <v>830</v>
      </c>
      <c r="D348" s="176" t="s">
        <v>198</v>
      </c>
      <c r="E348" s="177" t="s">
        <v>831</v>
      </c>
      <c r="F348" s="178" t="s">
        <v>832</v>
      </c>
      <c r="G348" s="179" t="s">
        <v>253</v>
      </c>
      <c r="H348" s="180">
        <v>14</v>
      </c>
      <c r="I348" s="181"/>
      <c r="J348" s="182">
        <f>ROUND(I348*H348,2)</f>
        <v>0</v>
      </c>
      <c r="K348" s="178" t="s">
        <v>202</v>
      </c>
      <c r="L348" s="37"/>
      <c r="M348" s="183" t="s">
        <v>19</v>
      </c>
      <c r="N348" s="184" t="s">
        <v>41</v>
      </c>
      <c r="O348" s="62"/>
      <c r="P348" s="185">
        <f>O348*H348</f>
        <v>0</v>
      </c>
      <c r="Q348" s="185">
        <v>0</v>
      </c>
      <c r="R348" s="185">
        <f>Q348*H348</f>
        <v>0</v>
      </c>
      <c r="S348" s="185">
        <v>0.01065</v>
      </c>
      <c r="T348" s="186">
        <f>S348*H348</f>
        <v>0.1491</v>
      </c>
      <c r="U348" s="32"/>
      <c r="V348" s="32"/>
      <c r="W348" s="32"/>
      <c r="X348" s="32"/>
      <c r="Y348" s="32"/>
      <c r="Z348" s="32"/>
      <c r="AA348" s="32"/>
      <c r="AB348" s="32"/>
      <c r="AC348" s="32"/>
      <c r="AD348" s="32"/>
      <c r="AE348" s="32"/>
      <c r="AR348" s="187" t="s">
        <v>270</v>
      </c>
      <c r="AT348" s="187" t="s">
        <v>198</v>
      </c>
      <c r="AU348" s="187" t="s">
        <v>79</v>
      </c>
      <c r="AY348" s="15" t="s">
        <v>196</v>
      </c>
      <c r="BE348" s="188">
        <f>IF(N348="základní",J348,0)</f>
        <v>0</v>
      </c>
      <c r="BF348" s="188">
        <f>IF(N348="snížená",J348,0)</f>
        <v>0</v>
      </c>
      <c r="BG348" s="188">
        <f>IF(N348="zákl. přenesená",J348,0)</f>
        <v>0</v>
      </c>
      <c r="BH348" s="188">
        <f>IF(N348="sníž. přenesená",J348,0)</f>
        <v>0</v>
      </c>
      <c r="BI348" s="188">
        <f>IF(N348="nulová",J348,0)</f>
        <v>0</v>
      </c>
      <c r="BJ348" s="15" t="s">
        <v>77</v>
      </c>
      <c r="BK348" s="188">
        <f>ROUND(I348*H348,2)</f>
        <v>0</v>
      </c>
      <c r="BL348" s="15" t="s">
        <v>270</v>
      </c>
      <c r="BM348" s="187" t="s">
        <v>833</v>
      </c>
    </row>
    <row r="349" spans="1:47" s="2" customFormat="1" ht="29.25">
      <c r="A349" s="32"/>
      <c r="B349" s="33"/>
      <c r="C349" s="34"/>
      <c r="D349" s="189" t="s">
        <v>208</v>
      </c>
      <c r="E349" s="34"/>
      <c r="F349" s="190" t="s">
        <v>834</v>
      </c>
      <c r="G349" s="34"/>
      <c r="H349" s="34"/>
      <c r="I349" s="191"/>
      <c r="J349" s="34"/>
      <c r="K349" s="34"/>
      <c r="L349" s="37"/>
      <c r="M349" s="192"/>
      <c r="N349" s="193"/>
      <c r="O349" s="62"/>
      <c r="P349" s="62"/>
      <c r="Q349" s="62"/>
      <c r="R349" s="62"/>
      <c r="S349" s="62"/>
      <c r="T349" s="63"/>
      <c r="U349" s="32"/>
      <c r="V349" s="32"/>
      <c r="W349" s="32"/>
      <c r="X349" s="32"/>
      <c r="Y349" s="32"/>
      <c r="Z349" s="32"/>
      <c r="AA349" s="32"/>
      <c r="AB349" s="32"/>
      <c r="AC349" s="32"/>
      <c r="AD349" s="32"/>
      <c r="AE349" s="32"/>
      <c r="AT349" s="15" t="s">
        <v>208</v>
      </c>
      <c r="AU349" s="15" t="s">
        <v>79</v>
      </c>
    </row>
    <row r="350" spans="1:65" s="2" customFormat="1" ht="13.9" customHeight="1">
      <c r="A350" s="32"/>
      <c r="B350" s="33"/>
      <c r="C350" s="176" t="s">
        <v>835</v>
      </c>
      <c r="D350" s="176" t="s">
        <v>198</v>
      </c>
      <c r="E350" s="177" t="s">
        <v>836</v>
      </c>
      <c r="F350" s="178" t="s">
        <v>837</v>
      </c>
      <c r="G350" s="179" t="s">
        <v>258</v>
      </c>
      <c r="H350" s="180">
        <v>5</v>
      </c>
      <c r="I350" s="181"/>
      <c r="J350" s="182">
        <f>ROUND(I350*H350,2)</f>
        <v>0</v>
      </c>
      <c r="K350" s="178" t="s">
        <v>202</v>
      </c>
      <c r="L350" s="37"/>
      <c r="M350" s="183" t="s">
        <v>19</v>
      </c>
      <c r="N350" s="184" t="s">
        <v>41</v>
      </c>
      <c r="O350" s="62"/>
      <c r="P350" s="185">
        <f>O350*H350</f>
        <v>0</v>
      </c>
      <c r="Q350" s="185">
        <v>3E-05</v>
      </c>
      <c r="R350" s="185">
        <f>Q350*H350</f>
        <v>0.00015000000000000001</v>
      </c>
      <c r="S350" s="185">
        <v>0</v>
      </c>
      <c r="T350" s="186">
        <f>S350*H350</f>
        <v>0</v>
      </c>
      <c r="U350" s="32"/>
      <c r="V350" s="32"/>
      <c r="W350" s="32"/>
      <c r="X350" s="32"/>
      <c r="Y350" s="32"/>
      <c r="Z350" s="32"/>
      <c r="AA350" s="32"/>
      <c r="AB350" s="32"/>
      <c r="AC350" s="32"/>
      <c r="AD350" s="32"/>
      <c r="AE350" s="32"/>
      <c r="AR350" s="187" t="s">
        <v>270</v>
      </c>
      <c r="AT350" s="187" t="s">
        <v>198</v>
      </c>
      <c r="AU350" s="187" t="s">
        <v>79</v>
      </c>
      <c r="AY350" s="15" t="s">
        <v>196</v>
      </c>
      <c r="BE350" s="188">
        <f>IF(N350="základní",J350,0)</f>
        <v>0</v>
      </c>
      <c r="BF350" s="188">
        <f>IF(N350="snížená",J350,0)</f>
        <v>0</v>
      </c>
      <c r="BG350" s="188">
        <f>IF(N350="zákl. přenesená",J350,0)</f>
        <v>0</v>
      </c>
      <c r="BH350" s="188">
        <f>IF(N350="sníž. přenesená",J350,0)</f>
        <v>0</v>
      </c>
      <c r="BI350" s="188">
        <f>IF(N350="nulová",J350,0)</f>
        <v>0</v>
      </c>
      <c r="BJ350" s="15" t="s">
        <v>77</v>
      </c>
      <c r="BK350" s="188">
        <f>ROUND(I350*H350,2)</f>
        <v>0</v>
      </c>
      <c r="BL350" s="15" t="s">
        <v>270</v>
      </c>
      <c r="BM350" s="187" t="s">
        <v>838</v>
      </c>
    </row>
    <row r="351" spans="1:47" s="2" customFormat="1" ht="58.5">
      <c r="A351" s="32"/>
      <c r="B351" s="33"/>
      <c r="C351" s="34"/>
      <c r="D351" s="189" t="s">
        <v>208</v>
      </c>
      <c r="E351" s="34"/>
      <c r="F351" s="190" t="s">
        <v>839</v>
      </c>
      <c r="G351" s="34"/>
      <c r="H351" s="34"/>
      <c r="I351" s="191"/>
      <c r="J351" s="34"/>
      <c r="K351" s="34"/>
      <c r="L351" s="37"/>
      <c r="M351" s="192"/>
      <c r="N351" s="193"/>
      <c r="O351" s="62"/>
      <c r="P351" s="62"/>
      <c r="Q351" s="62"/>
      <c r="R351" s="62"/>
      <c r="S351" s="62"/>
      <c r="T351" s="63"/>
      <c r="U351" s="32"/>
      <c r="V351" s="32"/>
      <c r="W351" s="32"/>
      <c r="X351" s="32"/>
      <c r="Y351" s="32"/>
      <c r="Z351" s="32"/>
      <c r="AA351" s="32"/>
      <c r="AB351" s="32"/>
      <c r="AC351" s="32"/>
      <c r="AD351" s="32"/>
      <c r="AE351" s="32"/>
      <c r="AT351" s="15" t="s">
        <v>208</v>
      </c>
      <c r="AU351" s="15" t="s">
        <v>79</v>
      </c>
    </row>
    <row r="352" spans="1:65" s="2" customFormat="1" ht="13.9" customHeight="1">
      <c r="A352" s="32"/>
      <c r="B352" s="33"/>
      <c r="C352" s="194" t="s">
        <v>840</v>
      </c>
      <c r="D352" s="194" t="s">
        <v>411</v>
      </c>
      <c r="E352" s="195" t="s">
        <v>841</v>
      </c>
      <c r="F352" s="196" t="s">
        <v>842</v>
      </c>
      <c r="G352" s="197" t="s">
        <v>258</v>
      </c>
      <c r="H352" s="198">
        <v>5</v>
      </c>
      <c r="I352" s="199"/>
      <c r="J352" s="200">
        <f>ROUND(I352*H352,2)</f>
        <v>0</v>
      </c>
      <c r="K352" s="196" t="s">
        <v>202</v>
      </c>
      <c r="L352" s="201"/>
      <c r="M352" s="202" t="s">
        <v>19</v>
      </c>
      <c r="N352" s="203" t="s">
        <v>41</v>
      </c>
      <c r="O352" s="62"/>
      <c r="P352" s="185">
        <f>O352*H352</f>
        <v>0</v>
      </c>
      <c r="Q352" s="185">
        <v>0.00036</v>
      </c>
      <c r="R352" s="185">
        <f>Q352*H352</f>
        <v>0.0018000000000000002</v>
      </c>
      <c r="S352" s="185">
        <v>0</v>
      </c>
      <c r="T352" s="186">
        <f>S352*H352</f>
        <v>0</v>
      </c>
      <c r="U352" s="32"/>
      <c r="V352" s="32"/>
      <c r="W352" s="32"/>
      <c r="X352" s="32"/>
      <c r="Y352" s="32"/>
      <c r="Z352" s="32"/>
      <c r="AA352" s="32"/>
      <c r="AB352" s="32"/>
      <c r="AC352" s="32"/>
      <c r="AD352" s="32"/>
      <c r="AE352" s="32"/>
      <c r="AR352" s="187" t="s">
        <v>340</v>
      </c>
      <c r="AT352" s="187" t="s">
        <v>411</v>
      </c>
      <c r="AU352" s="187" t="s">
        <v>79</v>
      </c>
      <c r="AY352" s="15" t="s">
        <v>196</v>
      </c>
      <c r="BE352" s="188">
        <f>IF(N352="základní",J352,0)</f>
        <v>0</v>
      </c>
      <c r="BF352" s="188">
        <f>IF(N352="snížená",J352,0)</f>
        <v>0</v>
      </c>
      <c r="BG352" s="188">
        <f>IF(N352="zákl. přenesená",J352,0)</f>
        <v>0</v>
      </c>
      <c r="BH352" s="188">
        <f>IF(N352="sníž. přenesená",J352,0)</f>
        <v>0</v>
      </c>
      <c r="BI352" s="188">
        <f>IF(N352="nulová",J352,0)</f>
        <v>0</v>
      </c>
      <c r="BJ352" s="15" t="s">
        <v>77</v>
      </c>
      <c r="BK352" s="188">
        <f>ROUND(I352*H352,2)</f>
        <v>0</v>
      </c>
      <c r="BL352" s="15" t="s">
        <v>270</v>
      </c>
      <c r="BM352" s="187" t="s">
        <v>843</v>
      </c>
    </row>
    <row r="353" spans="1:65" s="2" customFormat="1" ht="13.9" customHeight="1">
      <c r="A353" s="32"/>
      <c r="B353" s="33"/>
      <c r="C353" s="176" t="s">
        <v>844</v>
      </c>
      <c r="D353" s="176" t="s">
        <v>198</v>
      </c>
      <c r="E353" s="177" t="s">
        <v>845</v>
      </c>
      <c r="F353" s="178" t="s">
        <v>846</v>
      </c>
      <c r="G353" s="179" t="s">
        <v>258</v>
      </c>
      <c r="H353" s="180">
        <v>5</v>
      </c>
      <c r="I353" s="181"/>
      <c r="J353" s="182">
        <f>ROUND(I353*H353,2)</f>
        <v>0</v>
      </c>
      <c r="K353" s="178" t="s">
        <v>202</v>
      </c>
      <c r="L353" s="37"/>
      <c r="M353" s="183" t="s">
        <v>19</v>
      </c>
      <c r="N353" s="184" t="s">
        <v>41</v>
      </c>
      <c r="O353" s="62"/>
      <c r="P353" s="185">
        <f>O353*H353</f>
        <v>0</v>
      </c>
      <c r="Q353" s="185">
        <v>8E-05</v>
      </c>
      <c r="R353" s="185">
        <f>Q353*H353</f>
        <v>0.0004</v>
      </c>
      <c r="S353" s="185">
        <v>0</v>
      </c>
      <c r="T353" s="186">
        <f>S353*H353</f>
        <v>0</v>
      </c>
      <c r="U353" s="32"/>
      <c r="V353" s="32"/>
      <c r="W353" s="32"/>
      <c r="X353" s="32"/>
      <c r="Y353" s="32"/>
      <c r="Z353" s="32"/>
      <c r="AA353" s="32"/>
      <c r="AB353" s="32"/>
      <c r="AC353" s="32"/>
      <c r="AD353" s="32"/>
      <c r="AE353" s="32"/>
      <c r="AR353" s="187" t="s">
        <v>270</v>
      </c>
      <c r="AT353" s="187" t="s">
        <v>198</v>
      </c>
      <c r="AU353" s="187" t="s">
        <v>79</v>
      </c>
      <c r="AY353" s="15" t="s">
        <v>196</v>
      </c>
      <c r="BE353" s="188">
        <f>IF(N353="základní",J353,0)</f>
        <v>0</v>
      </c>
      <c r="BF353" s="188">
        <f>IF(N353="snížená",J353,0)</f>
        <v>0</v>
      </c>
      <c r="BG353" s="188">
        <f>IF(N353="zákl. přenesená",J353,0)</f>
        <v>0</v>
      </c>
      <c r="BH353" s="188">
        <f>IF(N353="sníž. přenesená",J353,0)</f>
        <v>0</v>
      </c>
      <c r="BI353" s="188">
        <f>IF(N353="nulová",J353,0)</f>
        <v>0</v>
      </c>
      <c r="BJ353" s="15" t="s">
        <v>77</v>
      </c>
      <c r="BK353" s="188">
        <f>ROUND(I353*H353,2)</f>
        <v>0</v>
      </c>
      <c r="BL353" s="15" t="s">
        <v>270</v>
      </c>
      <c r="BM353" s="187" t="s">
        <v>847</v>
      </c>
    </row>
    <row r="354" spans="1:47" s="2" customFormat="1" ht="58.5">
      <c r="A354" s="32"/>
      <c r="B354" s="33"/>
      <c r="C354" s="34"/>
      <c r="D354" s="189" t="s">
        <v>208</v>
      </c>
      <c r="E354" s="34"/>
      <c r="F354" s="190" t="s">
        <v>839</v>
      </c>
      <c r="G354" s="34"/>
      <c r="H354" s="34"/>
      <c r="I354" s="191"/>
      <c r="J354" s="34"/>
      <c r="K354" s="34"/>
      <c r="L354" s="37"/>
      <c r="M354" s="192"/>
      <c r="N354" s="193"/>
      <c r="O354" s="62"/>
      <c r="P354" s="62"/>
      <c r="Q354" s="62"/>
      <c r="R354" s="62"/>
      <c r="S354" s="62"/>
      <c r="T354" s="63"/>
      <c r="U354" s="32"/>
      <c r="V354" s="32"/>
      <c r="W354" s="32"/>
      <c r="X354" s="32"/>
      <c r="Y354" s="32"/>
      <c r="Z354" s="32"/>
      <c r="AA354" s="32"/>
      <c r="AB354" s="32"/>
      <c r="AC354" s="32"/>
      <c r="AD354" s="32"/>
      <c r="AE354" s="32"/>
      <c r="AT354" s="15" t="s">
        <v>208</v>
      </c>
      <c r="AU354" s="15" t="s">
        <v>79</v>
      </c>
    </row>
    <row r="355" spans="1:65" s="2" customFormat="1" ht="13.9" customHeight="1">
      <c r="A355" s="32"/>
      <c r="B355" s="33"/>
      <c r="C355" s="194" t="s">
        <v>848</v>
      </c>
      <c r="D355" s="194" t="s">
        <v>411</v>
      </c>
      <c r="E355" s="195" t="s">
        <v>849</v>
      </c>
      <c r="F355" s="196" t="s">
        <v>850</v>
      </c>
      <c r="G355" s="197" t="s">
        <v>258</v>
      </c>
      <c r="H355" s="198">
        <v>5</v>
      </c>
      <c r="I355" s="199"/>
      <c r="J355" s="200">
        <f>ROUND(I355*H355,2)</f>
        <v>0</v>
      </c>
      <c r="K355" s="196" t="s">
        <v>202</v>
      </c>
      <c r="L355" s="201"/>
      <c r="M355" s="202" t="s">
        <v>19</v>
      </c>
      <c r="N355" s="203" t="s">
        <v>41</v>
      </c>
      <c r="O355" s="62"/>
      <c r="P355" s="185">
        <f>O355*H355</f>
        <v>0</v>
      </c>
      <c r="Q355" s="185">
        <v>0.00073</v>
      </c>
      <c r="R355" s="185">
        <f>Q355*H355</f>
        <v>0.0036499999999999996</v>
      </c>
      <c r="S355" s="185">
        <v>0</v>
      </c>
      <c r="T355" s="186">
        <f>S355*H355</f>
        <v>0</v>
      </c>
      <c r="U355" s="32"/>
      <c r="V355" s="32"/>
      <c r="W355" s="32"/>
      <c r="X355" s="32"/>
      <c r="Y355" s="32"/>
      <c r="Z355" s="32"/>
      <c r="AA355" s="32"/>
      <c r="AB355" s="32"/>
      <c r="AC355" s="32"/>
      <c r="AD355" s="32"/>
      <c r="AE355" s="32"/>
      <c r="AR355" s="187" t="s">
        <v>340</v>
      </c>
      <c r="AT355" s="187" t="s">
        <v>411</v>
      </c>
      <c r="AU355" s="187" t="s">
        <v>79</v>
      </c>
      <c r="AY355" s="15" t="s">
        <v>196</v>
      </c>
      <c r="BE355" s="188">
        <f>IF(N355="základní",J355,0)</f>
        <v>0</v>
      </c>
      <c r="BF355" s="188">
        <f>IF(N355="snížená",J355,0)</f>
        <v>0</v>
      </c>
      <c r="BG355" s="188">
        <f>IF(N355="zákl. přenesená",J355,0)</f>
        <v>0</v>
      </c>
      <c r="BH355" s="188">
        <f>IF(N355="sníž. přenesená",J355,0)</f>
        <v>0</v>
      </c>
      <c r="BI355" s="188">
        <f>IF(N355="nulová",J355,0)</f>
        <v>0</v>
      </c>
      <c r="BJ355" s="15" t="s">
        <v>77</v>
      </c>
      <c r="BK355" s="188">
        <f>ROUND(I355*H355,2)</f>
        <v>0</v>
      </c>
      <c r="BL355" s="15" t="s">
        <v>270</v>
      </c>
      <c r="BM355" s="187" t="s">
        <v>851</v>
      </c>
    </row>
    <row r="356" spans="1:65" s="2" customFormat="1" ht="13.9" customHeight="1">
      <c r="A356" s="32"/>
      <c r="B356" s="33"/>
      <c r="C356" s="176" t="s">
        <v>852</v>
      </c>
      <c r="D356" s="176" t="s">
        <v>198</v>
      </c>
      <c r="E356" s="177" t="s">
        <v>853</v>
      </c>
      <c r="F356" s="178" t="s">
        <v>854</v>
      </c>
      <c r="G356" s="179" t="s">
        <v>258</v>
      </c>
      <c r="H356" s="180">
        <v>10</v>
      </c>
      <c r="I356" s="181"/>
      <c r="J356" s="182">
        <f>ROUND(I356*H356,2)</f>
        <v>0</v>
      </c>
      <c r="K356" s="178" t="s">
        <v>202</v>
      </c>
      <c r="L356" s="37"/>
      <c r="M356" s="183" t="s">
        <v>19</v>
      </c>
      <c r="N356" s="184" t="s">
        <v>41</v>
      </c>
      <c r="O356" s="62"/>
      <c r="P356" s="185">
        <f>O356*H356</f>
        <v>0</v>
      </c>
      <c r="Q356" s="185">
        <v>8E-05</v>
      </c>
      <c r="R356" s="185">
        <f>Q356*H356</f>
        <v>0.0008</v>
      </c>
      <c r="S356" s="185">
        <v>0</v>
      </c>
      <c r="T356" s="186">
        <f>S356*H356</f>
        <v>0</v>
      </c>
      <c r="U356" s="32"/>
      <c r="V356" s="32"/>
      <c r="W356" s="32"/>
      <c r="X356" s="32"/>
      <c r="Y356" s="32"/>
      <c r="Z356" s="32"/>
      <c r="AA356" s="32"/>
      <c r="AB356" s="32"/>
      <c r="AC356" s="32"/>
      <c r="AD356" s="32"/>
      <c r="AE356" s="32"/>
      <c r="AR356" s="187" t="s">
        <v>270</v>
      </c>
      <c r="AT356" s="187" t="s">
        <v>198</v>
      </c>
      <c r="AU356" s="187" t="s">
        <v>79</v>
      </c>
      <c r="AY356" s="15" t="s">
        <v>196</v>
      </c>
      <c r="BE356" s="188">
        <f>IF(N356="základní",J356,0)</f>
        <v>0</v>
      </c>
      <c r="BF356" s="188">
        <f>IF(N356="snížená",J356,0)</f>
        <v>0</v>
      </c>
      <c r="BG356" s="188">
        <f>IF(N356="zákl. přenesená",J356,0)</f>
        <v>0</v>
      </c>
      <c r="BH356" s="188">
        <f>IF(N356="sníž. přenesená",J356,0)</f>
        <v>0</v>
      </c>
      <c r="BI356" s="188">
        <f>IF(N356="nulová",J356,0)</f>
        <v>0</v>
      </c>
      <c r="BJ356" s="15" t="s">
        <v>77</v>
      </c>
      <c r="BK356" s="188">
        <f>ROUND(I356*H356,2)</f>
        <v>0</v>
      </c>
      <c r="BL356" s="15" t="s">
        <v>270</v>
      </c>
      <c r="BM356" s="187" t="s">
        <v>855</v>
      </c>
    </row>
    <row r="357" spans="1:47" s="2" customFormat="1" ht="58.5">
      <c r="A357" s="32"/>
      <c r="B357" s="33"/>
      <c r="C357" s="34"/>
      <c r="D357" s="189" t="s">
        <v>208</v>
      </c>
      <c r="E357" s="34"/>
      <c r="F357" s="190" t="s">
        <v>839</v>
      </c>
      <c r="G357" s="34"/>
      <c r="H357" s="34"/>
      <c r="I357" s="191"/>
      <c r="J357" s="34"/>
      <c r="K357" s="34"/>
      <c r="L357" s="37"/>
      <c r="M357" s="192"/>
      <c r="N357" s="193"/>
      <c r="O357" s="62"/>
      <c r="P357" s="62"/>
      <c r="Q357" s="62"/>
      <c r="R357" s="62"/>
      <c r="S357" s="62"/>
      <c r="T357" s="63"/>
      <c r="U357" s="32"/>
      <c r="V357" s="32"/>
      <c r="W357" s="32"/>
      <c r="X357" s="32"/>
      <c r="Y357" s="32"/>
      <c r="Z357" s="32"/>
      <c r="AA357" s="32"/>
      <c r="AB357" s="32"/>
      <c r="AC357" s="32"/>
      <c r="AD357" s="32"/>
      <c r="AE357" s="32"/>
      <c r="AT357" s="15" t="s">
        <v>208</v>
      </c>
      <c r="AU357" s="15" t="s">
        <v>79</v>
      </c>
    </row>
    <row r="358" spans="1:65" s="2" customFormat="1" ht="13.9" customHeight="1">
      <c r="A358" s="32"/>
      <c r="B358" s="33"/>
      <c r="C358" s="194" t="s">
        <v>856</v>
      </c>
      <c r="D358" s="194" t="s">
        <v>411</v>
      </c>
      <c r="E358" s="195" t="s">
        <v>857</v>
      </c>
      <c r="F358" s="196" t="s">
        <v>858</v>
      </c>
      <c r="G358" s="197" t="s">
        <v>258</v>
      </c>
      <c r="H358" s="198">
        <v>10</v>
      </c>
      <c r="I358" s="199"/>
      <c r="J358" s="200">
        <f>ROUND(I358*H358,2)</f>
        <v>0</v>
      </c>
      <c r="K358" s="196" t="s">
        <v>202</v>
      </c>
      <c r="L358" s="201"/>
      <c r="M358" s="202" t="s">
        <v>19</v>
      </c>
      <c r="N358" s="203" t="s">
        <v>41</v>
      </c>
      <c r="O358" s="62"/>
      <c r="P358" s="185">
        <f>O358*H358</f>
        <v>0</v>
      </c>
      <c r="Q358" s="185">
        <v>0.0011</v>
      </c>
      <c r="R358" s="185">
        <f>Q358*H358</f>
        <v>0.011000000000000001</v>
      </c>
      <c r="S358" s="185">
        <v>0</v>
      </c>
      <c r="T358" s="186">
        <f>S358*H358</f>
        <v>0</v>
      </c>
      <c r="U358" s="32"/>
      <c r="V358" s="32"/>
      <c r="W358" s="32"/>
      <c r="X358" s="32"/>
      <c r="Y358" s="32"/>
      <c r="Z358" s="32"/>
      <c r="AA358" s="32"/>
      <c r="AB358" s="32"/>
      <c r="AC358" s="32"/>
      <c r="AD358" s="32"/>
      <c r="AE358" s="32"/>
      <c r="AR358" s="187" t="s">
        <v>340</v>
      </c>
      <c r="AT358" s="187" t="s">
        <v>411</v>
      </c>
      <c r="AU358" s="187" t="s">
        <v>79</v>
      </c>
      <c r="AY358" s="15" t="s">
        <v>196</v>
      </c>
      <c r="BE358" s="188">
        <f>IF(N358="základní",J358,0)</f>
        <v>0</v>
      </c>
      <c r="BF358" s="188">
        <f>IF(N358="snížená",J358,0)</f>
        <v>0</v>
      </c>
      <c r="BG358" s="188">
        <f>IF(N358="zákl. přenesená",J358,0)</f>
        <v>0</v>
      </c>
      <c r="BH358" s="188">
        <f>IF(N358="sníž. přenesená",J358,0)</f>
        <v>0</v>
      </c>
      <c r="BI358" s="188">
        <f>IF(N358="nulová",J358,0)</f>
        <v>0</v>
      </c>
      <c r="BJ358" s="15" t="s">
        <v>77</v>
      </c>
      <c r="BK358" s="188">
        <f>ROUND(I358*H358,2)</f>
        <v>0</v>
      </c>
      <c r="BL358" s="15" t="s">
        <v>270</v>
      </c>
      <c r="BM358" s="187" t="s">
        <v>859</v>
      </c>
    </row>
    <row r="359" spans="1:65" s="2" customFormat="1" ht="22.15" customHeight="1">
      <c r="A359" s="32"/>
      <c r="B359" s="33"/>
      <c r="C359" s="176" t="s">
        <v>860</v>
      </c>
      <c r="D359" s="176" t="s">
        <v>198</v>
      </c>
      <c r="E359" s="177" t="s">
        <v>861</v>
      </c>
      <c r="F359" s="178" t="s">
        <v>862</v>
      </c>
      <c r="G359" s="179" t="s">
        <v>253</v>
      </c>
      <c r="H359" s="180">
        <v>4</v>
      </c>
      <c r="I359" s="181"/>
      <c r="J359" s="182">
        <f>ROUND(I359*H359,2)</f>
        <v>0</v>
      </c>
      <c r="K359" s="178" t="s">
        <v>202</v>
      </c>
      <c r="L359" s="37"/>
      <c r="M359" s="183" t="s">
        <v>19</v>
      </c>
      <c r="N359" s="184" t="s">
        <v>41</v>
      </c>
      <c r="O359" s="62"/>
      <c r="P359" s="185">
        <f>O359*H359</f>
        <v>0</v>
      </c>
      <c r="Q359" s="185">
        <v>0.00117</v>
      </c>
      <c r="R359" s="185">
        <f>Q359*H359</f>
        <v>0.00468</v>
      </c>
      <c r="S359" s="185">
        <v>0</v>
      </c>
      <c r="T359" s="186">
        <f>S359*H359</f>
        <v>0</v>
      </c>
      <c r="U359" s="32"/>
      <c r="V359" s="32"/>
      <c r="W359" s="32"/>
      <c r="X359" s="32"/>
      <c r="Y359" s="32"/>
      <c r="Z359" s="32"/>
      <c r="AA359" s="32"/>
      <c r="AB359" s="32"/>
      <c r="AC359" s="32"/>
      <c r="AD359" s="32"/>
      <c r="AE359" s="32"/>
      <c r="AR359" s="187" t="s">
        <v>270</v>
      </c>
      <c r="AT359" s="187" t="s">
        <v>198</v>
      </c>
      <c r="AU359" s="187" t="s">
        <v>79</v>
      </c>
      <c r="AY359" s="15" t="s">
        <v>196</v>
      </c>
      <c r="BE359" s="188">
        <f>IF(N359="základní",J359,0)</f>
        <v>0</v>
      </c>
      <c r="BF359" s="188">
        <f>IF(N359="snížená",J359,0)</f>
        <v>0</v>
      </c>
      <c r="BG359" s="188">
        <f>IF(N359="zákl. přenesená",J359,0)</f>
        <v>0</v>
      </c>
      <c r="BH359" s="188">
        <f>IF(N359="sníž. přenesená",J359,0)</f>
        <v>0</v>
      </c>
      <c r="BI359" s="188">
        <f>IF(N359="nulová",J359,0)</f>
        <v>0</v>
      </c>
      <c r="BJ359" s="15" t="s">
        <v>77</v>
      </c>
      <c r="BK359" s="188">
        <f>ROUND(I359*H359,2)</f>
        <v>0</v>
      </c>
      <c r="BL359" s="15" t="s">
        <v>270</v>
      </c>
      <c r="BM359" s="187" t="s">
        <v>863</v>
      </c>
    </row>
    <row r="360" spans="1:47" s="2" customFormat="1" ht="48.75">
      <c r="A360" s="32"/>
      <c r="B360" s="33"/>
      <c r="C360" s="34"/>
      <c r="D360" s="189" t="s">
        <v>208</v>
      </c>
      <c r="E360" s="34"/>
      <c r="F360" s="190" t="s">
        <v>864</v>
      </c>
      <c r="G360" s="34"/>
      <c r="H360" s="34"/>
      <c r="I360" s="191"/>
      <c r="J360" s="34"/>
      <c r="K360" s="34"/>
      <c r="L360" s="37"/>
      <c r="M360" s="192"/>
      <c r="N360" s="193"/>
      <c r="O360" s="62"/>
      <c r="P360" s="62"/>
      <c r="Q360" s="62"/>
      <c r="R360" s="62"/>
      <c r="S360" s="62"/>
      <c r="T360" s="63"/>
      <c r="U360" s="32"/>
      <c r="V360" s="32"/>
      <c r="W360" s="32"/>
      <c r="X360" s="32"/>
      <c r="Y360" s="32"/>
      <c r="Z360" s="32"/>
      <c r="AA360" s="32"/>
      <c r="AB360" s="32"/>
      <c r="AC360" s="32"/>
      <c r="AD360" s="32"/>
      <c r="AE360" s="32"/>
      <c r="AT360" s="15" t="s">
        <v>208</v>
      </c>
      <c r="AU360" s="15" t="s">
        <v>79</v>
      </c>
    </row>
    <row r="361" spans="1:65" s="2" customFormat="1" ht="13.9" customHeight="1">
      <c r="A361" s="32"/>
      <c r="B361" s="33"/>
      <c r="C361" s="194" t="s">
        <v>865</v>
      </c>
      <c r="D361" s="194" t="s">
        <v>411</v>
      </c>
      <c r="E361" s="195" t="s">
        <v>866</v>
      </c>
      <c r="F361" s="196" t="s">
        <v>867</v>
      </c>
      <c r="G361" s="197" t="s">
        <v>253</v>
      </c>
      <c r="H361" s="198">
        <v>4.2</v>
      </c>
      <c r="I361" s="199"/>
      <c r="J361" s="200">
        <f>ROUND(I361*H361,2)</f>
        <v>0</v>
      </c>
      <c r="K361" s="196" t="s">
        <v>19</v>
      </c>
      <c r="L361" s="201"/>
      <c r="M361" s="202" t="s">
        <v>19</v>
      </c>
      <c r="N361" s="203" t="s">
        <v>41</v>
      </c>
      <c r="O361" s="62"/>
      <c r="P361" s="185">
        <f>O361*H361</f>
        <v>0</v>
      </c>
      <c r="Q361" s="185">
        <v>0.00121</v>
      </c>
      <c r="R361" s="185">
        <f>Q361*H361</f>
        <v>0.005082</v>
      </c>
      <c r="S361" s="185">
        <v>0</v>
      </c>
      <c r="T361" s="186">
        <f>S361*H361</f>
        <v>0</v>
      </c>
      <c r="U361" s="32"/>
      <c r="V361" s="32"/>
      <c r="W361" s="32"/>
      <c r="X361" s="32"/>
      <c r="Y361" s="32"/>
      <c r="Z361" s="32"/>
      <c r="AA361" s="32"/>
      <c r="AB361" s="32"/>
      <c r="AC361" s="32"/>
      <c r="AD361" s="32"/>
      <c r="AE361" s="32"/>
      <c r="AR361" s="187" t="s">
        <v>340</v>
      </c>
      <c r="AT361" s="187" t="s">
        <v>411</v>
      </c>
      <c r="AU361" s="187" t="s">
        <v>79</v>
      </c>
      <c r="AY361" s="15" t="s">
        <v>196</v>
      </c>
      <c r="BE361" s="188">
        <f>IF(N361="základní",J361,0)</f>
        <v>0</v>
      </c>
      <c r="BF361" s="188">
        <f>IF(N361="snížená",J361,0)</f>
        <v>0</v>
      </c>
      <c r="BG361" s="188">
        <f>IF(N361="zákl. přenesená",J361,0)</f>
        <v>0</v>
      </c>
      <c r="BH361" s="188">
        <f>IF(N361="sníž. přenesená",J361,0)</f>
        <v>0</v>
      </c>
      <c r="BI361" s="188">
        <f>IF(N361="nulová",J361,0)</f>
        <v>0</v>
      </c>
      <c r="BJ361" s="15" t="s">
        <v>77</v>
      </c>
      <c r="BK361" s="188">
        <f>ROUND(I361*H361,2)</f>
        <v>0</v>
      </c>
      <c r="BL361" s="15" t="s">
        <v>270</v>
      </c>
      <c r="BM361" s="187" t="s">
        <v>868</v>
      </c>
    </row>
    <row r="362" spans="1:65" s="2" customFormat="1" ht="13.9" customHeight="1">
      <c r="A362" s="32"/>
      <c r="B362" s="33"/>
      <c r="C362" s="176" t="s">
        <v>869</v>
      </c>
      <c r="D362" s="176" t="s">
        <v>198</v>
      </c>
      <c r="E362" s="177" t="s">
        <v>870</v>
      </c>
      <c r="F362" s="178" t="s">
        <v>871</v>
      </c>
      <c r="G362" s="179" t="s">
        <v>253</v>
      </c>
      <c r="H362" s="180">
        <v>3.75</v>
      </c>
      <c r="I362" s="181"/>
      <c r="J362" s="182">
        <f>ROUND(I362*H362,2)</f>
        <v>0</v>
      </c>
      <c r="K362" s="178" t="s">
        <v>19</v>
      </c>
      <c r="L362" s="37"/>
      <c r="M362" s="183" t="s">
        <v>19</v>
      </c>
      <c r="N362" s="184" t="s">
        <v>41</v>
      </c>
      <c r="O362" s="62"/>
      <c r="P362" s="185">
        <f>O362*H362</f>
        <v>0</v>
      </c>
      <c r="Q362" s="185">
        <v>0</v>
      </c>
      <c r="R362" s="185">
        <f>Q362*H362</f>
        <v>0</v>
      </c>
      <c r="S362" s="185">
        <v>0</v>
      </c>
      <c r="T362" s="186">
        <f>S362*H362</f>
        <v>0</v>
      </c>
      <c r="U362" s="32"/>
      <c r="V362" s="32"/>
      <c r="W362" s="32"/>
      <c r="X362" s="32"/>
      <c r="Y362" s="32"/>
      <c r="Z362" s="32"/>
      <c r="AA362" s="32"/>
      <c r="AB362" s="32"/>
      <c r="AC362" s="32"/>
      <c r="AD362" s="32"/>
      <c r="AE362" s="32"/>
      <c r="AR362" s="187" t="s">
        <v>270</v>
      </c>
      <c r="AT362" s="187" t="s">
        <v>198</v>
      </c>
      <c r="AU362" s="187" t="s">
        <v>79</v>
      </c>
      <c r="AY362" s="15" t="s">
        <v>196</v>
      </c>
      <c r="BE362" s="188">
        <f>IF(N362="základní",J362,0)</f>
        <v>0</v>
      </c>
      <c r="BF362" s="188">
        <f>IF(N362="snížená",J362,0)</f>
        <v>0</v>
      </c>
      <c r="BG362" s="188">
        <f>IF(N362="zákl. přenesená",J362,0)</f>
        <v>0</v>
      </c>
      <c r="BH362" s="188">
        <f>IF(N362="sníž. přenesená",J362,0)</f>
        <v>0</v>
      </c>
      <c r="BI362" s="188">
        <f>IF(N362="nulová",J362,0)</f>
        <v>0</v>
      </c>
      <c r="BJ362" s="15" t="s">
        <v>77</v>
      </c>
      <c r="BK362" s="188">
        <f>ROUND(I362*H362,2)</f>
        <v>0</v>
      </c>
      <c r="BL362" s="15" t="s">
        <v>270</v>
      </c>
      <c r="BM362" s="187" t="s">
        <v>872</v>
      </c>
    </row>
    <row r="363" spans="1:65" s="2" customFormat="1" ht="34.9" customHeight="1">
      <c r="A363" s="32"/>
      <c r="B363" s="33"/>
      <c r="C363" s="176" t="s">
        <v>873</v>
      </c>
      <c r="D363" s="176" t="s">
        <v>198</v>
      </c>
      <c r="E363" s="177" t="s">
        <v>874</v>
      </c>
      <c r="F363" s="178" t="s">
        <v>875</v>
      </c>
      <c r="G363" s="179" t="s">
        <v>242</v>
      </c>
      <c r="H363" s="180">
        <v>1.565</v>
      </c>
      <c r="I363" s="181"/>
      <c r="J363" s="182">
        <f>ROUND(I363*H363,2)</f>
        <v>0</v>
      </c>
      <c r="K363" s="178" t="s">
        <v>202</v>
      </c>
      <c r="L363" s="37"/>
      <c r="M363" s="183" t="s">
        <v>19</v>
      </c>
      <c r="N363" s="184" t="s">
        <v>41</v>
      </c>
      <c r="O363" s="62"/>
      <c r="P363" s="185">
        <f>O363*H363</f>
        <v>0</v>
      </c>
      <c r="Q363" s="185">
        <v>0</v>
      </c>
      <c r="R363" s="185">
        <f>Q363*H363</f>
        <v>0</v>
      </c>
      <c r="S363" s="185">
        <v>0</v>
      </c>
      <c r="T363" s="186">
        <f>S363*H363</f>
        <v>0</v>
      </c>
      <c r="U363" s="32"/>
      <c r="V363" s="32"/>
      <c r="W363" s="32"/>
      <c r="X363" s="32"/>
      <c r="Y363" s="32"/>
      <c r="Z363" s="32"/>
      <c r="AA363" s="32"/>
      <c r="AB363" s="32"/>
      <c r="AC363" s="32"/>
      <c r="AD363" s="32"/>
      <c r="AE363" s="32"/>
      <c r="AR363" s="187" t="s">
        <v>270</v>
      </c>
      <c r="AT363" s="187" t="s">
        <v>198</v>
      </c>
      <c r="AU363" s="187" t="s">
        <v>79</v>
      </c>
      <c r="AY363" s="15" t="s">
        <v>196</v>
      </c>
      <c r="BE363" s="188">
        <f>IF(N363="základní",J363,0)</f>
        <v>0</v>
      </c>
      <c r="BF363" s="188">
        <f>IF(N363="snížená",J363,0)</f>
        <v>0</v>
      </c>
      <c r="BG363" s="188">
        <f>IF(N363="zákl. přenesená",J363,0)</f>
        <v>0</v>
      </c>
      <c r="BH363" s="188">
        <f>IF(N363="sníž. přenesená",J363,0)</f>
        <v>0</v>
      </c>
      <c r="BI363" s="188">
        <f>IF(N363="nulová",J363,0)</f>
        <v>0</v>
      </c>
      <c r="BJ363" s="15" t="s">
        <v>77</v>
      </c>
      <c r="BK363" s="188">
        <f>ROUND(I363*H363,2)</f>
        <v>0</v>
      </c>
      <c r="BL363" s="15" t="s">
        <v>270</v>
      </c>
      <c r="BM363" s="187" t="s">
        <v>876</v>
      </c>
    </row>
    <row r="364" spans="1:47" s="2" customFormat="1" ht="78">
      <c r="A364" s="32"/>
      <c r="B364" s="33"/>
      <c r="C364" s="34"/>
      <c r="D364" s="189" t="s">
        <v>208</v>
      </c>
      <c r="E364" s="34"/>
      <c r="F364" s="190" t="s">
        <v>877</v>
      </c>
      <c r="G364" s="34"/>
      <c r="H364" s="34"/>
      <c r="I364" s="191"/>
      <c r="J364" s="34"/>
      <c r="K364" s="34"/>
      <c r="L364" s="37"/>
      <c r="M364" s="192"/>
      <c r="N364" s="193"/>
      <c r="O364" s="62"/>
      <c r="P364" s="62"/>
      <c r="Q364" s="62"/>
      <c r="R364" s="62"/>
      <c r="S364" s="62"/>
      <c r="T364" s="63"/>
      <c r="U364" s="32"/>
      <c r="V364" s="32"/>
      <c r="W364" s="32"/>
      <c r="X364" s="32"/>
      <c r="Y364" s="32"/>
      <c r="Z364" s="32"/>
      <c r="AA364" s="32"/>
      <c r="AB364" s="32"/>
      <c r="AC364" s="32"/>
      <c r="AD364" s="32"/>
      <c r="AE364" s="32"/>
      <c r="AT364" s="15" t="s">
        <v>208</v>
      </c>
      <c r="AU364" s="15" t="s">
        <v>79</v>
      </c>
    </row>
    <row r="365" spans="1:65" s="2" customFormat="1" ht="22.15" customHeight="1">
      <c r="A365" s="32"/>
      <c r="B365" s="33"/>
      <c r="C365" s="176" t="s">
        <v>878</v>
      </c>
      <c r="D365" s="176" t="s">
        <v>198</v>
      </c>
      <c r="E365" s="177" t="s">
        <v>879</v>
      </c>
      <c r="F365" s="178" t="s">
        <v>880</v>
      </c>
      <c r="G365" s="179" t="s">
        <v>242</v>
      </c>
      <c r="H365" s="180">
        <v>1.565</v>
      </c>
      <c r="I365" s="181"/>
      <c r="J365" s="182">
        <f>ROUND(I365*H365,2)</f>
        <v>0</v>
      </c>
      <c r="K365" s="178" t="s">
        <v>202</v>
      </c>
      <c r="L365" s="37"/>
      <c r="M365" s="183" t="s">
        <v>19</v>
      </c>
      <c r="N365" s="184" t="s">
        <v>41</v>
      </c>
      <c r="O365" s="62"/>
      <c r="P365" s="185">
        <f>O365*H365</f>
        <v>0</v>
      </c>
      <c r="Q365" s="185">
        <v>0</v>
      </c>
      <c r="R365" s="185">
        <f>Q365*H365</f>
        <v>0</v>
      </c>
      <c r="S365" s="185">
        <v>0</v>
      </c>
      <c r="T365" s="186">
        <f>S365*H365</f>
        <v>0</v>
      </c>
      <c r="U365" s="32"/>
      <c r="V365" s="32"/>
      <c r="W365" s="32"/>
      <c r="X365" s="32"/>
      <c r="Y365" s="32"/>
      <c r="Z365" s="32"/>
      <c r="AA365" s="32"/>
      <c r="AB365" s="32"/>
      <c r="AC365" s="32"/>
      <c r="AD365" s="32"/>
      <c r="AE365" s="32"/>
      <c r="AR365" s="187" t="s">
        <v>270</v>
      </c>
      <c r="AT365" s="187" t="s">
        <v>198</v>
      </c>
      <c r="AU365" s="187" t="s">
        <v>79</v>
      </c>
      <c r="AY365" s="15" t="s">
        <v>196</v>
      </c>
      <c r="BE365" s="188">
        <f>IF(N365="základní",J365,0)</f>
        <v>0</v>
      </c>
      <c r="BF365" s="188">
        <f>IF(N365="snížená",J365,0)</f>
        <v>0</v>
      </c>
      <c r="BG365" s="188">
        <f>IF(N365="zákl. přenesená",J365,0)</f>
        <v>0</v>
      </c>
      <c r="BH365" s="188">
        <f>IF(N365="sníž. přenesená",J365,0)</f>
        <v>0</v>
      </c>
      <c r="BI365" s="188">
        <f>IF(N365="nulová",J365,0)</f>
        <v>0</v>
      </c>
      <c r="BJ365" s="15" t="s">
        <v>77</v>
      </c>
      <c r="BK365" s="188">
        <f>ROUND(I365*H365,2)</f>
        <v>0</v>
      </c>
      <c r="BL365" s="15" t="s">
        <v>270</v>
      </c>
      <c r="BM365" s="187" t="s">
        <v>881</v>
      </c>
    </row>
    <row r="366" spans="1:47" s="2" customFormat="1" ht="78">
      <c r="A366" s="32"/>
      <c r="B366" s="33"/>
      <c r="C366" s="34"/>
      <c r="D366" s="189" t="s">
        <v>208</v>
      </c>
      <c r="E366" s="34"/>
      <c r="F366" s="190" t="s">
        <v>877</v>
      </c>
      <c r="G366" s="34"/>
      <c r="H366" s="34"/>
      <c r="I366" s="191"/>
      <c r="J366" s="34"/>
      <c r="K366" s="34"/>
      <c r="L366" s="37"/>
      <c r="M366" s="192"/>
      <c r="N366" s="193"/>
      <c r="O366" s="62"/>
      <c r="P366" s="62"/>
      <c r="Q366" s="62"/>
      <c r="R366" s="62"/>
      <c r="S366" s="62"/>
      <c r="T366" s="63"/>
      <c r="U366" s="32"/>
      <c r="V366" s="32"/>
      <c r="W366" s="32"/>
      <c r="X366" s="32"/>
      <c r="Y366" s="32"/>
      <c r="Z366" s="32"/>
      <c r="AA366" s="32"/>
      <c r="AB366" s="32"/>
      <c r="AC366" s="32"/>
      <c r="AD366" s="32"/>
      <c r="AE366" s="32"/>
      <c r="AT366" s="15" t="s">
        <v>208</v>
      </c>
      <c r="AU366" s="15" t="s">
        <v>79</v>
      </c>
    </row>
    <row r="367" spans="2:63" s="12" customFormat="1" ht="22.9" customHeight="1">
      <c r="B367" s="160"/>
      <c r="C367" s="161"/>
      <c r="D367" s="162" t="s">
        <v>69</v>
      </c>
      <c r="E367" s="174" t="s">
        <v>882</v>
      </c>
      <c r="F367" s="174" t="s">
        <v>883</v>
      </c>
      <c r="G367" s="161"/>
      <c r="H367" s="161"/>
      <c r="I367" s="164"/>
      <c r="J367" s="175">
        <f>BK367</f>
        <v>0</v>
      </c>
      <c r="K367" s="161"/>
      <c r="L367" s="166"/>
      <c r="M367" s="167"/>
      <c r="N367" s="168"/>
      <c r="O367" s="168"/>
      <c r="P367" s="169">
        <f>SUM(P368:P384)</f>
        <v>0</v>
      </c>
      <c r="Q367" s="168"/>
      <c r="R367" s="169">
        <f>SUM(R368:R384)</f>
        <v>0.40500000000000014</v>
      </c>
      <c r="S367" s="168"/>
      <c r="T367" s="170">
        <f>SUM(T368:T384)</f>
        <v>0.12</v>
      </c>
      <c r="AR367" s="171" t="s">
        <v>79</v>
      </c>
      <c r="AT367" s="172" t="s">
        <v>69</v>
      </c>
      <c r="AU367" s="172" t="s">
        <v>77</v>
      </c>
      <c r="AY367" s="171" t="s">
        <v>196</v>
      </c>
      <c r="BK367" s="173">
        <f>SUM(BK368:BK384)</f>
        <v>0</v>
      </c>
    </row>
    <row r="368" spans="1:65" s="2" customFormat="1" ht="13.9" customHeight="1">
      <c r="A368" s="32"/>
      <c r="B368" s="33"/>
      <c r="C368" s="176" t="s">
        <v>884</v>
      </c>
      <c r="D368" s="176" t="s">
        <v>198</v>
      </c>
      <c r="E368" s="177" t="s">
        <v>885</v>
      </c>
      <c r="F368" s="178" t="s">
        <v>886</v>
      </c>
      <c r="G368" s="179" t="s">
        <v>258</v>
      </c>
      <c r="H368" s="180">
        <v>5</v>
      </c>
      <c r="I368" s="181"/>
      <c r="J368" s="182">
        <f>ROUND(I368*H368,2)</f>
        <v>0</v>
      </c>
      <c r="K368" s="178" t="s">
        <v>19</v>
      </c>
      <c r="L368" s="37"/>
      <c r="M368" s="183" t="s">
        <v>19</v>
      </c>
      <c r="N368" s="184" t="s">
        <v>41</v>
      </c>
      <c r="O368" s="62"/>
      <c r="P368" s="185">
        <f>O368*H368</f>
        <v>0</v>
      </c>
      <c r="Q368" s="185">
        <v>0</v>
      </c>
      <c r="R368" s="185">
        <f>Q368*H368</f>
        <v>0</v>
      </c>
      <c r="S368" s="185">
        <v>0.024</v>
      </c>
      <c r="T368" s="186">
        <f>S368*H368</f>
        <v>0.12</v>
      </c>
      <c r="U368" s="32"/>
      <c r="V368" s="32"/>
      <c r="W368" s="32"/>
      <c r="X368" s="32"/>
      <c r="Y368" s="32"/>
      <c r="Z368" s="32"/>
      <c r="AA368" s="32"/>
      <c r="AB368" s="32"/>
      <c r="AC368" s="32"/>
      <c r="AD368" s="32"/>
      <c r="AE368" s="32"/>
      <c r="AR368" s="187" t="s">
        <v>270</v>
      </c>
      <c r="AT368" s="187" t="s">
        <v>198</v>
      </c>
      <c r="AU368" s="187" t="s">
        <v>79</v>
      </c>
      <c r="AY368" s="15" t="s">
        <v>196</v>
      </c>
      <c r="BE368" s="188">
        <f>IF(N368="základní",J368,0)</f>
        <v>0</v>
      </c>
      <c r="BF368" s="188">
        <f>IF(N368="snížená",J368,0)</f>
        <v>0</v>
      </c>
      <c r="BG368" s="188">
        <f>IF(N368="zákl. přenesená",J368,0)</f>
        <v>0</v>
      </c>
      <c r="BH368" s="188">
        <f>IF(N368="sníž. přenesená",J368,0)</f>
        <v>0</v>
      </c>
      <c r="BI368" s="188">
        <f>IF(N368="nulová",J368,0)</f>
        <v>0</v>
      </c>
      <c r="BJ368" s="15" t="s">
        <v>77</v>
      </c>
      <c r="BK368" s="188">
        <f>ROUND(I368*H368,2)</f>
        <v>0</v>
      </c>
      <c r="BL368" s="15" t="s">
        <v>270</v>
      </c>
      <c r="BM368" s="187" t="s">
        <v>887</v>
      </c>
    </row>
    <row r="369" spans="1:47" s="2" customFormat="1" ht="29.25">
      <c r="A369" s="32"/>
      <c r="B369" s="33"/>
      <c r="C369" s="34"/>
      <c r="D369" s="189" t="s">
        <v>208</v>
      </c>
      <c r="E369" s="34"/>
      <c r="F369" s="190" t="s">
        <v>888</v>
      </c>
      <c r="G369" s="34"/>
      <c r="H369" s="34"/>
      <c r="I369" s="191"/>
      <c r="J369" s="34"/>
      <c r="K369" s="34"/>
      <c r="L369" s="37"/>
      <c r="M369" s="192"/>
      <c r="N369" s="193"/>
      <c r="O369" s="62"/>
      <c r="P369" s="62"/>
      <c r="Q369" s="62"/>
      <c r="R369" s="62"/>
      <c r="S369" s="62"/>
      <c r="T369" s="63"/>
      <c r="U369" s="32"/>
      <c r="V369" s="32"/>
      <c r="W369" s="32"/>
      <c r="X369" s="32"/>
      <c r="Y369" s="32"/>
      <c r="Z369" s="32"/>
      <c r="AA369" s="32"/>
      <c r="AB369" s="32"/>
      <c r="AC369" s="32"/>
      <c r="AD369" s="32"/>
      <c r="AE369" s="32"/>
      <c r="AT369" s="15" t="s">
        <v>208</v>
      </c>
      <c r="AU369" s="15" t="s">
        <v>79</v>
      </c>
    </row>
    <row r="370" spans="1:65" s="2" customFormat="1" ht="22.15" customHeight="1">
      <c r="A370" s="32"/>
      <c r="B370" s="33"/>
      <c r="C370" s="176" t="s">
        <v>889</v>
      </c>
      <c r="D370" s="176" t="s">
        <v>198</v>
      </c>
      <c r="E370" s="177" t="s">
        <v>890</v>
      </c>
      <c r="F370" s="178" t="s">
        <v>891</v>
      </c>
      <c r="G370" s="179" t="s">
        <v>729</v>
      </c>
      <c r="H370" s="180">
        <v>16</v>
      </c>
      <c r="I370" s="181"/>
      <c r="J370" s="182">
        <f aca="true" t="shared" si="20" ref="J370:J381">ROUND(I370*H370,2)</f>
        <v>0</v>
      </c>
      <c r="K370" s="178" t="s">
        <v>19</v>
      </c>
      <c r="L370" s="37"/>
      <c r="M370" s="183" t="s">
        <v>19</v>
      </c>
      <c r="N370" s="184" t="s">
        <v>41</v>
      </c>
      <c r="O370" s="62"/>
      <c r="P370" s="185">
        <f aca="true" t="shared" si="21" ref="P370:P381">O370*H370</f>
        <v>0</v>
      </c>
      <c r="Q370" s="185">
        <v>0</v>
      </c>
      <c r="R370" s="185">
        <f aca="true" t="shared" si="22" ref="R370:R381">Q370*H370</f>
        <v>0</v>
      </c>
      <c r="S370" s="185">
        <v>0</v>
      </c>
      <c r="T370" s="186">
        <f aca="true" t="shared" si="23" ref="T370:T381">S370*H370</f>
        <v>0</v>
      </c>
      <c r="U370" s="32"/>
      <c r="V370" s="32"/>
      <c r="W370" s="32"/>
      <c r="X370" s="32"/>
      <c r="Y370" s="32"/>
      <c r="Z370" s="32"/>
      <c r="AA370" s="32"/>
      <c r="AB370" s="32"/>
      <c r="AC370" s="32"/>
      <c r="AD370" s="32"/>
      <c r="AE370" s="32"/>
      <c r="AR370" s="187" t="s">
        <v>270</v>
      </c>
      <c r="AT370" s="187" t="s">
        <v>198</v>
      </c>
      <c r="AU370" s="187" t="s">
        <v>79</v>
      </c>
      <c r="AY370" s="15" t="s">
        <v>196</v>
      </c>
      <c r="BE370" s="188">
        <f aca="true" t="shared" si="24" ref="BE370:BE381">IF(N370="základní",J370,0)</f>
        <v>0</v>
      </c>
      <c r="BF370" s="188">
        <f aca="true" t="shared" si="25" ref="BF370:BF381">IF(N370="snížená",J370,0)</f>
        <v>0</v>
      </c>
      <c r="BG370" s="188">
        <f aca="true" t="shared" si="26" ref="BG370:BG381">IF(N370="zákl. přenesená",J370,0)</f>
        <v>0</v>
      </c>
      <c r="BH370" s="188">
        <f aca="true" t="shared" si="27" ref="BH370:BH381">IF(N370="sníž. přenesená",J370,0)</f>
        <v>0</v>
      </c>
      <c r="BI370" s="188">
        <f aca="true" t="shared" si="28" ref="BI370:BI381">IF(N370="nulová",J370,0)</f>
        <v>0</v>
      </c>
      <c r="BJ370" s="15" t="s">
        <v>77</v>
      </c>
      <c r="BK370" s="188">
        <f aca="true" t="shared" si="29" ref="BK370:BK381">ROUND(I370*H370,2)</f>
        <v>0</v>
      </c>
      <c r="BL370" s="15" t="s">
        <v>270</v>
      </c>
      <c r="BM370" s="187" t="s">
        <v>892</v>
      </c>
    </row>
    <row r="371" spans="1:65" s="2" customFormat="1" ht="22.15" customHeight="1">
      <c r="A371" s="32"/>
      <c r="B371" s="33"/>
      <c r="C371" s="176" t="s">
        <v>893</v>
      </c>
      <c r="D371" s="176" t="s">
        <v>198</v>
      </c>
      <c r="E371" s="177" t="s">
        <v>894</v>
      </c>
      <c r="F371" s="178" t="s">
        <v>895</v>
      </c>
      <c r="G371" s="179" t="s">
        <v>258</v>
      </c>
      <c r="H371" s="180">
        <v>1</v>
      </c>
      <c r="I371" s="181"/>
      <c r="J371" s="182">
        <f t="shared" si="20"/>
        <v>0</v>
      </c>
      <c r="K371" s="178" t="s">
        <v>19</v>
      </c>
      <c r="L371" s="37"/>
      <c r="M371" s="183" t="s">
        <v>19</v>
      </c>
      <c r="N371" s="184" t="s">
        <v>41</v>
      </c>
      <c r="O371" s="62"/>
      <c r="P371" s="185">
        <f t="shared" si="21"/>
        <v>0</v>
      </c>
      <c r="Q371" s="185">
        <v>0.03</v>
      </c>
      <c r="R371" s="185">
        <f t="shared" si="22"/>
        <v>0.03</v>
      </c>
      <c r="S371" s="185">
        <v>0</v>
      </c>
      <c r="T371" s="186">
        <f t="shared" si="23"/>
        <v>0</v>
      </c>
      <c r="U371" s="32"/>
      <c r="V371" s="32"/>
      <c r="W371" s="32"/>
      <c r="X371" s="32"/>
      <c r="Y371" s="32"/>
      <c r="Z371" s="32"/>
      <c r="AA371" s="32"/>
      <c r="AB371" s="32"/>
      <c r="AC371" s="32"/>
      <c r="AD371" s="32"/>
      <c r="AE371" s="32"/>
      <c r="AR371" s="187" t="s">
        <v>270</v>
      </c>
      <c r="AT371" s="187" t="s">
        <v>198</v>
      </c>
      <c r="AU371" s="187" t="s">
        <v>79</v>
      </c>
      <c r="AY371" s="15" t="s">
        <v>196</v>
      </c>
      <c r="BE371" s="188">
        <f t="shared" si="24"/>
        <v>0</v>
      </c>
      <c r="BF371" s="188">
        <f t="shared" si="25"/>
        <v>0</v>
      </c>
      <c r="BG371" s="188">
        <f t="shared" si="26"/>
        <v>0</v>
      </c>
      <c r="BH371" s="188">
        <f t="shared" si="27"/>
        <v>0</v>
      </c>
      <c r="BI371" s="188">
        <f t="shared" si="28"/>
        <v>0</v>
      </c>
      <c r="BJ371" s="15" t="s">
        <v>77</v>
      </c>
      <c r="BK371" s="188">
        <f t="shared" si="29"/>
        <v>0</v>
      </c>
      <c r="BL371" s="15" t="s">
        <v>270</v>
      </c>
      <c r="BM371" s="187" t="s">
        <v>896</v>
      </c>
    </row>
    <row r="372" spans="1:65" s="2" customFormat="1" ht="22.15" customHeight="1">
      <c r="A372" s="32"/>
      <c r="B372" s="33"/>
      <c r="C372" s="176" t="s">
        <v>897</v>
      </c>
      <c r="D372" s="176" t="s">
        <v>198</v>
      </c>
      <c r="E372" s="177" t="s">
        <v>898</v>
      </c>
      <c r="F372" s="178" t="s">
        <v>899</v>
      </c>
      <c r="G372" s="179" t="s">
        <v>258</v>
      </c>
      <c r="H372" s="180">
        <v>4</v>
      </c>
      <c r="I372" s="181"/>
      <c r="J372" s="182">
        <f t="shared" si="20"/>
        <v>0</v>
      </c>
      <c r="K372" s="178" t="s">
        <v>19</v>
      </c>
      <c r="L372" s="37"/>
      <c r="M372" s="183" t="s">
        <v>19</v>
      </c>
      <c r="N372" s="184" t="s">
        <v>41</v>
      </c>
      <c r="O372" s="62"/>
      <c r="P372" s="185">
        <f t="shared" si="21"/>
        <v>0</v>
      </c>
      <c r="Q372" s="185">
        <v>0.03</v>
      </c>
      <c r="R372" s="185">
        <f t="shared" si="22"/>
        <v>0.12</v>
      </c>
      <c r="S372" s="185">
        <v>0</v>
      </c>
      <c r="T372" s="186">
        <f t="shared" si="23"/>
        <v>0</v>
      </c>
      <c r="U372" s="32"/>
      <c r="V372" s="32"/>
      <c r="W372" s="32"/>
      <c r="X372" s="32"/>
      <c r="Y372" s="32"/>
      <c r="Z372" s="32"/>
      <c r="AA372" s="32"/>
      <c r="AB372" s="32"/>
      <c r="AC372" s="32"/>
      <c r="AD372" s="32"/>
      <c r="AE372" s="32"/>
      <c r="AR372" s="187" t="s">
        <v>270</v>
      </c>
      <c r="AT372" s="187" t="s">
        <v>198</v>
      </c>
      <c r="AU372" s="187" t="s">
        <v>79</v>
      </c>
      <c r="AY372" s="15" t="s">
        <v>196</v>
      </c>
      <c r="BE372" s="188">
        <f t="shared" si="24"/>
        <v>0</v>
      </c>
      <c r="BF372" s="188">
        <f t="shared" si="25"/>
        <v>0</v>
      </c>
      <c r="BG372" s="188">
        <f t="shared" si="26"/>
        <v>0</v>
      </c>
      <c r="BH372" s="188">
        <f t="shared" si="27"/>
        <v>0</v>
      </c>
      <c r="BI372" s="188">
        <f t="shared" si="28"/>
        <v>0</v>
      </c>
      <c r="BJ372" s="15" t="s">
        <v>77</v>
      </c>
      <c r="BK372" s="188">
        <f t="shared" si="29"/>
        <v>0</v>
      </c>
      <c r="BL372" s="15" t="s">
        <v>270</v>
      </c>
      <c r="BM372" s="187" t="s">
        <v>900</v>
      </c>
    </row>
    <row r="373" spans="1:65" s="2" customFormat="1" ht="13.9" customHeight="1">
      <c r="A373" s="32"/>
      <c r="B373" s="33"/>
      <c r="C373" s="176" t="s">
        <v>901</v>
      </c>
      <c r="D373" s="176" t="s">
        <v>198</v>
      </c>
      <c r="E373" s="177" t="s">
        <v>902</v>
      </c>
      <c r="F373" s="178" t="s">
        <v>903</v>
      </c>
      <c r="G373" s="179" t="s">
        <v>258</v>
      </c>
      <c r="H373" s="180">
        <v>3</v>
      </c>
      <c r="I373" s="181"/>
      <c r="J373" s="182">
        <f t="shared" si="20"/>
        <v>0</v>
      </c>
      <c r="K373" s="178" t="s">
        <v>19</v>
      </c>
      <c r="L373" s="37"/>
      <c r="M373" s="183" t="s">
        <v>19</v>
      </c>
      <c r="N373" s="184" t="s">
        <v>41</v>
      </c>
      <c r="O373" s="62"/>
      <c r="P373" s="185">
        <f t="shared" si="21"/>
        <v>0</v>
      </c>
      <c r="Q373" s="185">
        <v>0.03</v>
      </c>
      <c r="R373" s="185">
        <f t="shared" si="22"/>
        <v>0.09</v>
      </c>
      <c r="S373" s="185">
        <v>0</v>
      </c>
      <c r="T373" s="186">
        <f t="shared" si="23"/>
        <v>0</v>
      </c>
      <c r="U373" s="32"/>
      <c r="V373" s="32"/>
      <c r="W373" s="32"/>
      <c r="X373" s="32"/>
      <c r="Y373" s="32"/>
      <c r="Z373" s="32"/>
      <c r="AA373" s="32"/>
      <c r="AB373" s="32"/>
      <c r="AC373" s="32"/>
      <c r="AD373" s="32"/>
      <c r="AE373" s="32"/>
      <c r="AR373" s="187" t="s">
        <v>270</v>
      </c>
      <c r="AT373" s="187" t="s">
        <v>198</v>
      </c>
      <c r="AU373" s="187" t="s">
        <v>79</v>
      </c>
      <c r="AY373" s="15" t="s">
        <v>196</v>
      </c>
      <c r="BE373" s="188">
        <f t="shared" si="24"/>
        <v>0</v>
      </c>
      <c r="BF373" s="188">
        <f t="shared" si="25"/>
        <v>0</v>
      </c>
      <c r="BG373" s="188">
        <f t="shared" si="26"/>
        <v>0</v>
      </c>
      <c r="BH373" s="188">
        <f t="shared" si="27"/>
        <v>0</v>
      </c>
      <c r="BI373" s="188">
        <f t="shared" si="28"/>
        <v>0</v>
      </c>
      <c r="BJ373" s="15" t="s">
        <v>77</v>
      </c>
      <c r="BK373" s="188">
        <f t="shared" si="29"/>
        <v>0</v>
      </c>
      <c r="BL373" s="15" t="s">
        <v>270</v>
      </c>
      <c r="BM373" s="187" t="s">
        <v>904</v>
      </c>
    </row>
    <row r="374" spans="1:65" s="2" customFormat="1" ht="13.9" customHeight="1">
      <c r="A374" s="32"/>
      <c r="B374" s="33"/>
      <c r="C374" s="176" t="s">
        <v>905</v>
      </c>
      <c r="D374" s="176" t="s">
        <v>198</v>
      </c>
      <c r="E374" s="177" t="s">
        <v>906</v>
      </c>
      <c r="F374" s="178" t="s">
        <v>907</v>
      </c>
      <c r="G374" s="179" t="s">
        <v>258</v>
      </c>
      <c r="H374" s="180">
        <v>1</v>
      </c>
      <c r="I374" s="181"/>
      <c r="J374" s="182">
        <f t="shared" si="20"/>
        <v>0</v>
      </c>
      <c r="K374" s="178" t="s">
        <v>19</v>
      </c>
      <c r="L374" s="37"/>
      <c r="M374" s="183" t="s">
        <v>19</v>
      </c>
      <c r="N374" s="184" t="s">
        <v>41</v>
      </c>
      <c r="O374" s="62"/>
      <c r="P374" s="185">
        <f t="shared" si="21"/>
        <v>0</v>
      </c>
      <c r="Q374" s="185">
        <v>0.03</v>
      </c>
      <c r="R374" s="185">
        <f t="shared" si="22"/>
        <v>0.03</v>
      </c>
      <c r="S374" s="185">
        <v>0</v>
      </c>
      <c r="T374" s="186">
        <f t="shared" si="23"/>
        <v>0</v>
      </c>
      <c r="U374" s="32"/>
      <c r="V374" s="32"/>
      <c r="W374" s="32"/>
      <c r="X374" s="32"/>
      <c r="Y374" s="32"/>
      <c r="Z374" s="32"/>
      <c r="AA374" s="32"/>
      <c r="AB374" s="32"/>
      <c r="AC374" s="32"/>
      <c r="AD374" s="32"/>
      <c r="AE374" s="32"/>
      <c r="AR374" s="187" t="s">
        <v>270</v>
      </c>
      <c r="AT374" s="187" t="s">
        <v>198</v>
      </c>
      <c r="AU374" s="187" t="s">
        <v>79</v>
      </c>
      <c r="AY374" s="15" t="s">
        <v>196</v>
      </c>
      <c r="BE374" s="188">
        <f t="shared" si="24"/>
        <v>0</v>
      </c>
      <c r="BF374" s="188">
        <f t="shared" si="25"/>
        <v>0</v>
      </c>
      <c r="BG374" s="188">
        <f t="shared" si="26"/>
        <v>0</v>
      </c>
      <c r="BH374" s="188">
        <f t="shared" si="27"/>
        <v>0</v>
      </c>
      <c r="BI374" s="188">
        <f t="shared" si="28"/>
        <v>0</v>
      </c>
      <c r="BJ374" s="15" t="s">
        <v>77</v>
      </c>
      <c r="BK374" s="188">
        <f t="shared" si="29"/>
        <v>0</v>
      </c>
      <c r="BL374" s="15" t="s">
        <v>270</v>
      </c>
      <c r="BM374" s="187" t="s">
        <v>908</v>
      </c>
    </row>
    <row r="375" spans="1:65" s="2" customFormat="1" ht="13.9" customHeight="1">
      <c r="A375" s="32"/>
      <c r="B375" s="33"/>
      <c r="C375" s="176" t="s">
        <v>909</v>
      </c>
      <c r="D375" s="176" t="s">
        <v>198</v>
      </c>
      <c r="E375" s="177" t="s">
        <v>910</v>
      </c>
      <c r="F375" s="178" t="s">
        <v>911</v>
      </c>
      <c r="G375" s="179" t="s">
        <v>258</v>
      </c>
      <c r="H375" s="180">
        <v>1</v>
      </c>
      <c r="I375" s="181"/>
      <c r="J375" s="182">
        <f t="shared" si="20"/>
        <v>0</v>
      </c>
      <c r="K375" s="178" t="s">
        <v>19</v>
      </c>
      <c r="L375" s="37"/>
      <c r="M375" s="183" t="s">
        <v>19</v>
      </c>
      <c r="N375" s="184" t="s">
        <v>41</v>
      </c>
      <c r="O375" s="62"/>
      <c r="P375" s="185">
        <f t="shared" si="21"/>
        <v>0</v>
      </c>
      <c r="Q375" s="185">
        <v>0.03</v>
      </c>
      <c r="R375" s="185">
        <f t="shared" si="22"/>
        <v>0.03</v>
      </c>
      <c r="S375" s="185">
        <v>0</v>
      </c>
      <c r="T375" s="186">
        <f t="shared" si="23"/>
        <v>0</v>
      </c>
      <c r="U375" s="32"/>
      <c r="V375" s="32"/>
      <c r="W375" s="32"/>
      <c r="X375" s="32"/>
      <c r="Y375" s="32"/>
      <c r="Z375" s="32"/>
      <c r="AA375" s="32"/>
      <c r="AB375" s="32"/>
      <c r="AC375" s="32"/>
      <c r="AD375" s="32"/>
      <c r="AE375" s="32"/>
      <c r="AR375" s="187" t="s">
        <v>270</v>
      </c>
      <c r="AT375" s="187" t="s">
        <v>198</v>
      </c>
      <c r="AU375" s="187" t="s">
        <v>79</v>
      </c>
      <c r="AY375" s="15" t="s">
        <v>196</v>
      </c>
      <c r="BE375" s="188">
        <f t="shared" si="24"/>
        <v>0</v>
      </c>
      <c r="BF375" s="188">
        <f t="shared" si="25"/>
        <v>0</v>
      </c>
      <c r="BG375" s="188">
        <f t="shared" si="26"/>
        <v>0</v>
      </c>
      <c r="BH375" s="188">
        <f t="shared" si="27"/>
        <v>0</v>
      </c>
      <c r="BI375" s="188">
        <f t="shared" si="28"/>
        <v>0</v>
      </c>
      <c r="BJ375" s="15" t="s">
        <v>77</v>
      </c>
      <c r="BK375" s="188">
        <f t="shared" si="29"/>
        <v>0</v>
      </c>
      <c r="BL375" s="15" t="s">
        <v>270</v>
      </c>
      <c r="BM375" s="187" t="s">
        <v>912</v>
      </c>
    </row>
    <row r="376" spans="1:65" s="2" customFormat="1" ht="22.15" customHeight="1">
      <c r="A376" s="32"/>
      <c r="B376" s="33"/>
      <c r="C376" s="176" t="s">
        <v>913</v>
      </c>
      <c r="D376" s="176" t="s">
        <v>198</v>
      </c>
      <c r="E376" s="177" t="s">
        <v>914</v>
      </c>
      <c r="F376" s="178" t="s">
        <v>915</v>
      </c>
      <c r="G376" s="179" t="s">
        <v>258</v>
      </c>
      <c r="H376" s="180">
        <v>1</v>
      </c>
      <c r="I376" s="181"/>
      <c r="J376" s="182">
        <f t="shared" si="20"/>
        <v>0</v>
      </c>
      <c r="K376" s="178" t="s">
        <v>19</v>
      </c>
      <c r="L376" s="37"/>
      <c r="M376" s="183" t="s">
        <v>19</v>
      </c>
      <c r="N376" s="184" t="s">
        <v>41</v>
      </c>
      <c r="O376" s="62"/>
      <c r="P376" s="185">
        <f t="shared" si="21"/>
        <v>0</v>
      </c>
      <c r="Q376" s="185">
        <v>0.015</v>
      </c>
      <c r="R376" s="185">
        <f t="shared" si="22"/>
        <v>0.015</v>
      </c>
      <c r="S376" s="185">
        <v>0</v>
      </c>
      <c r="T376" s="186">
        <f t="shared" si="23"/>
        <v>0</v>
      </c>
      <c r="U376" s="32"/>
      <c r="V376" s="32"/>
      <c r="W376" s="32"/>
      <c r="X376" s="32"/>
      <c r="Y376" s="32"/>
      <c r="Z376" s="32"/>
      <c r="AA376" s="32"/>
      <c r="AB376" s="32"/>
      <c r="AC376" s="32"/>
      <c r="AD376" s="32"/>
      <c r="AE376" s="32"/>
      <c r="AR376" s="187" t="s">
        <v>270</v>
      </c>
      <c r="AT376" s="187" t="s">
        <v>198</v>
      </c>
      <c r="AU376" s="187" t="s">
        <v>79</v>
      </c>
      <c r="AY376" s="15" t="s">
        <v>196</v>
      </c>
      <c r="BE376" s="188">
        <f t="shared" si="24"/>
        <v>0</v>
      </c>
      <c r="BF376" s="188">
        <f t="shared" si="25"/>
        <v>0</v>
      </c>
      <c r="BG376" s="188">
        <f t="shared" si="26"/>
        <v>0</v>
      </c>
      <c r="BH376" s="188">
        <f t="shared" si="27"/>
        <v>0</v>
      </c>
      <c r="BI376" s="188">
        <f t="shared" si="28"/>
        <v>0</v>
      </c>
      <c r="BJ376" s="15" t="s">
        <v>77</v>
      </c>
      <c r="BK376" s="188">
        <f t="shared" si="29"/>
        <v>0</v>
      </c>
      <c r="BL376" s="15" t="s">
        <v>270</v>
      </c>
      <c r="BM376" s="187" t="s">
        <v>916</v>
      </c>
    </row>
    <row r="377" spans="1:65" s="2" customFormat="1" ht="22.15" customHeight="1">
      <c r="A377" s="32"/>
      <c r="B377" s="33"/>
      <c r="C377" s="176" t="s">
        <v>917</v>
      </c>
      <c r="D377" s="176" t="s">
        <v>198</v>
      </c>
      <c r="E377" s="177" t="s">
        <v>918</v>
      </c>
      <c r="F377" s="178" t="s">
        <v>919</v>
      </c>
      <c r="G377" s="179" t="s">
        <v>258</v>
      </c>
      <c r="H377" s="180">
        <v>2</v>
      </c>
      <c r="I377" s="181"/>
      <c r="J377" s="182">
        <f t="shared" si="20"/>
        <v>0</v>
      </c>
      <c r="K377" s="178" t="s">
        <v>19</v>
      </c>
      <c r="L377" s="37"/>
      <c r="M377" s="183" t="s">
        <v>19</v>
      </c>
      <c r="N377" s="184" t="s">
        <v>41</v>
      </c>
      <c r="O377" s="62"/>
      <c r="P377" s="185">
        <f t="shared" si="21"/>
        <v>0</v>
      </c>
      <c r="Q377" s="185">
        <v>0.015</v>
      </c>
      <c r="R377" s="185">
        <f t="shared" si="22"/>
        <v>0.03</v>
      </c>
      <c r="S377" s="185">
        <v>0</v>
      </c>
      <c r="T377" s="186">
        <f t="shared" si="23"/>
        <v>0</v>
      </c>
      <c r="U377" s="32"/>
      <c r="V377" s="32"/>
      <c r="W377" s="32"/>
      <c r="X377" s="32"/>
      <c r="Y377" s="32"/>
      <c r="Z377" s="32"/>
      <c r="AA377" s="32"/>
      <c r="AB377" s="32"/>
      <c r="AC377" s="32"/>
      <c r="AD377" s="32"/>
      <c r="AE377" s="32"/>
      <c r="AR377" s="187" t="s">
        <v>270</v>
      </c>
      <c r="AT377" s="187" t="s">
        <v>198</v>
      </c>
      <c r="AU377" s="187" t="s">
        <v>79</v>
      </c>
      <c r="AY377" s="15" t="s">
        <v>196</v>
      </c>
      <c r="BE377" s="188">
        <f t="shared" si="24"/>
        <v>0</v>
      </c>
      <c r="BF377" s="188">
        <f t="shared" si="25"/>
        <v>0</v>
      </c>
      <c r="BG377" s="188">
        <f t="shared" si="26"/>
        <v>0</v>
      </c>
      <c r="BH377" s="188">
        <f t="shared" si="27"/>
        <v>0</v>
      </c>
      <c r="BI377" s="188">
        <f t="shared" si="28"/>
        <v>0</v>
      </c>
      <c r="BJ377" s="15" t="s">
        <v>77</v>
      </c>
      <c r="BK377" s="188">
        <f t="shared" si="29"/>
        <v>0</v>
      </c>
      <c r="BL377" s="15" t="s">
        <v>270</v>
      </c>
      <c r="BM377" s="187" t="s">
        <v>920</v>
      </c>
    </row>
    <row r="378" spans="1:65" s="2" customFormat="1" ht="22.15" customHeight="1">
      <c r="A378" s="32"/>
      <c r="B378" s="33"/>
      <c r="C378" s="176" t="s">
        <v>921</v>
      </c>
      <c r="D378" s="176" t="s">
        <v>198</v>
      </c>
      <c r="E378" s="177" t="s">
        <v>922</v>
      </c>
      <c r="F378" s="178" t="s">
        <v>923</v>
      </c>
      <c r="G378" s="179" t="s">
        <v>258</v>
      </c>
      <c r="H378" s="180">
        <v>2</v>
      </c>
      <c r="I378" s="181"/>
      <c r="J378" s="182">
        <f t="shared" si="20"/>
        <v>0</v>
      </c>
      <c r="K378" s="178" t="s">
        <v>19</v>
      </c>
      <c r="L378" s="37"/>
      <c r="M378" s="183" t="s">
        <v>19</v>
      </c>
      <c r="N378" s="184" t="s">
        <v>41</v>
      </c>
      <c r="O378" s="62"/>
      <c r="P378" s="185">
        <f t="shared" si="21"/>
        <v>0</v>
      </c>
      <c r="Q378" s="185">
        <v>0.015</v>
      </c>
      <c r="R378" s="185">
        <f t="shared" si="22"/>
        <v>0.03</v>
      </c>
      <c r="S378" s="185">
        <v>0</v>
      </c>
      <c r="T378" s="186">
        <f t="shared" si="23"/>
        <v>0</v>
      </c>
      <c r="U378" s="32"/>
      <c r="V378" s="32"/>
      <c r="W378" s="32"/>
      <c r="X378" s="32"/>
      <c r="Y378" s="32"/>
      <c r="Z378" s="32"/>
      <c r="AA378" s="32"/>
      <c r="AB378" s="32"/>
      <c r="AC378" s="32"/>
      <c r="AD378" s="32"/>
      <c r="AE378" s="32"/>
      <c r="AR378" s="187" t="s">
        <v>270</v>
      </c>
      <c r="AT378" s="187" t="s">
        <v>198</v>
      </c>
      <c r="AU378" s="187" t="s">
        <v>79</v>
      </c>
      <c r="AY378" s="15" t="s">
        <v>196</v>
      </c>
      <c r="BE378" s="188">
        <f t="shared" si="24"/>
        <v>0</v>
      </c>
      <c r="BF378" s="188">
        <f t="shared" si="25"/>
        <v>0</v>
      </c>
      <c r="BG378" s="188">
        <f t="shared" si="26"/>
        <v>0</v>
      </c>
      <c r="BH378" s="188">
        <f t="shared" si="27"/>
        <v>0</v>
      </c>
      <c r="BI378" s="188">
        <f t="shared" si="28"/>
        <v>0</v>
      </c>
      <c r="BJ378" s="15" t="s">
        <v>77</v>
      </c>
      <c r="BK378" s="188">
        <f t="shared" si="29"/>
        <v>0</v>
      </c>
      <c r="BL378" s="15" t="s">
        <v>270</v>
      </c>
      <c r="BM378" s="187" t="s">
        <v>924</v>
      </c>
    </row>
    <row r="379" spans="1:65" s="2" customFormat="1" ht="22.15" customHeight="1">
      <c r="A379" s="32"/>
      <c r="B379" s="33"/>
      <c r="C379" s="176" t="s">
        <v>925</v>
      </c>
      <c r="D379" s="176" t="s">
        <v>198</v>
      </c>
      <c r="E379" s="177" t="s">
        <v>926</v>
      </c>
      <c r="F379" s="178" t="s">
        <v>927</v>
      </c>
      <c r="G379" s="179" t="s">
        <v>258</v>
      </c>
      <c r="H379" s="180">
        <v>1</v>
      </c>
      <c r="I379" s="181"/>
      <c r="J379" s="182">
        <f t="shared" si="20"/>
        <v>0</v>
      </c>
      <c r="K379" s="178" t="s">
        <v>19</v>
      </c>
      <c r="L379" s="37"/>
      <c r="M379" s="183" t="s">
        <v>19</v>
      </c>
      <c r="N379" s="184" t="s">
        <v>41</v>
      </c>
      <c r="O379" s="62"/>
      <c r="P379" s="185">
        <f t="shared" si="21"/>
        <v>0</v>
      </c>
      <c r="Q379" s="185">
        <v>0.03</v>
      </c>
      <c r="R379" s="185">
        <f t="shared" si="22"/>
        <v>0.03</v>
      </c>
      <c r="S379" s="185">
        <v>0</v>
      </c>
      <c r="T379" s="186">
        <f t="shared" si="23"/>
        <v>0</v>
      </c>
      <c r="U379" s="32"/>
      <c r="V379" s="32"/>
      <c r="W379" s="32"/>
      <c r="X379" s="32"/>
      <c r="Y379" s="32"/>
      <c r="Z379" s="32"/>
      <c r="AA379" s="32"/>
      <c r="AB379" s="32"/>
      <c r="AC379" s="32"/>
      <c r="AD379" s="32"/>
      <c r="AE379" s="32"/>
      <c r="AR379" s="187" t="s">
        <v>270</v>
      </c>
      <c r="AT379" s="187" t="s">
        <v>198</v>
      </c>
      <c r="AU379" s="187" t="s">
        <v>79</v>
      </c>
      <c r="AY379" s="15" t="s">
        <v>196</v>
      </c>
      <c r="BE379" s="188">
        <f t="shared" si="24"/>
        <v>0</v>
      </c>
      <c r="BF379" s="188">
        <f t="shared" si="25"/>
        <v>0</v>
      </c>
      <c r="BG379" s="188">
        <f t="shared" si="26"/>
        <v>0</v>
      </c>
      <c r="BH379" s="188">
        <f t="shared" si="27"/>
        <v>0</v>
      </c>
      <c r="BI379" s="188">
        <f t="shared" si="28"/>
        <v>0</v>
      </c>
      <c r="BJ379" s="15" t="s">
        <v>77</v>
      </c>
      <c r="BK379" s="188">
        <f t="shared" si="29"/>
        <v>0</v>
      </c>
      <c r="BL379" s="15" t="s">
        <v>270</v>
      </c>
      <c r="BM379" s="187" t="s">
        <v>928</v>
      </c>
    </row>
    <row r="380" spans="1:65" s="2" customFormat="1" ht="247.15" customHeight="1">
      <c r="A380" s="32"/>
      <c r="B380" s="33"/>
      <c r="C380" s="176" t="s">
        <v>929</v>
      </c>
      <c r="D380" s="176" t="s">
        <v>198</v>
      </c>
      <c r="E380" s="177" t="s">
        <v>930</v>
      </c>
      <c r="F380" s="178" t="s">
        <v>931</v>
      </c>
      <c r="G380" s="179" t="s">
        <v>258</v>
      </c>
      <c r="H380" s="180">
        <v>1</v>
      </c>
      <c r="I380" s="181"/>
      <c r="J380" s="182">
        <f t="shared" si="20"/>
        <v>0</v>
      </c>
      <c r="K380" s="178" t="s">
        <v>19</v>
      </c>
      <c r="L380" s="37"/>
      <c r="M380" s="183" t="s">
        <v>19</v>
      </c>
      <c r="N380" s="184" t="s">
        <v>41</v>
      </c>
      <c r="O380" s="62"/>
      <c r="P380" s="185">
        <f t="shared" si="21"/>
        <v>0</v>
      </c>
      <c r="Q380" s="185">
        <v>0</v>
      </c>
      <c r="R380" s="185">
        <f t="shared" si="22"/>
        <v>0</v>
      </c>
      <c r="S380" s="185">
        <v>0</v>
      </c>
      <c r="T380" s="186">
        <f t="shared" si="23"/>
        <v>0</v>
      </c>
      <c r="U380" s="32"/>
      <c r="V380" s="32"/>
      <c r="W380" s="32"/>
      <c r="X380" s="32"/>
      <c r="Y380" s="32"/>
      <c r="Z380" s="32"/>
      <c r="AA380" s="32"/>
      <c r="AB380" s="32"/>
      <c r="AC380" s="32"/>
      <c r="AD380" s="32"/>
      <c r="AE380" s="32"/>
      <c r="AR380" s="187" t="s">
        <v>270</v>
      </c>
      <c r="AT380" s="187" t="s">
        <v>198</v>
      </c>
      <c r="AU380" s="187" t="s">
        <v>79</v>
      </c>
      <c r="AY380" s="15" t="s">
        <v>196</v>
      </c>
      <c r="BE380" s="188">
        <f t="shared" si="24"/>
        <v>0</v>
      </c>
      <c r="BF380" s="188">
        <f t="shared" si="25"/>
        <v>0</v>
      </c>
      <c r="BG380" s="188">
        <f t="shared" si="26"/>
        <v>0</v>
      </c>
      <c r="BH380" s="188">
        <f t="shared" si="27"/>
        <v>0</v>
      </c>
      <c r="BI380" s="188">
        <f t="shared" si="28"/>
        <v>0</v>
      </c>
      <c r="BJ380" s="15" t="s">
        <v>77</v>
      </c>
      <c r="BK380" s="188">
        <f t="shared" si="29"/>
        <v>0</v>
      </c>
      <c r="BL380" s="15" t="s">
        <v>270</v>
      </c>
      <c r="BM380" s="187" t="s">
        <v>932</v>
      </c>
    </row>
    <row r="381" spans="1:65" s="2" customFormat="1" ht="22.15" customHeight="1">
      <c r="A381" s="32"/>
      <c r="B381" s="33"/>
      <c r="C381" s="176" t="s">
        <v>933</v>
      </c>
      <c r="D381" s="176" t="s">
        <v>198</v>
      </c>
      <c r="E381" s="177" t="s">
        <v>934</v>
      </c>
      <c r="F381" s="178" t="s">
        <v>935</v>
      </c>
      <c r="G381" s="179" t="s">
        <v>242</v>
      </c>
      <c r="H381" s="180">
        <v>0.405</v>
      </c>
      <c r="I381" s="181"/>
      <c r="J381" s="182">
        <f t="shared" si="20"/>
        <v>0</v>
      </c>
      <c r="K381" s="178" t="s">
        <v>202</v>
      </c>
      <c r="L381" s="37"/>
      <c r="M381" s="183" t="s">
        <v>19</v>
      </c>
      <c r="N381" s="184" t="s">
        <v>41</v>
      </c>
      <c r="O381" s="62"/>
      <c r="P381" s="185">
        <f t="shared" si="21"/>
        <v>0</v>
      </c>
      <c r="Q381" s="185">
        <v>0</v>
      </c>
      <c r="R381" s="185">
        <f t="shared" si="22"/>
        <v>0</v>
      </c>
      <c r="S381" s="185">
        <v>0</v>
      </c>
      <c r="T381" s="186">
        <f t="shared" si="23"/>
        <v>0</v>
      </c>
      <c r="U381" s="32"/>
      <c r="V381" s="32"/>
      <c r="W381" s="32"/>
      <c r="X381" s="32"/>
      <c r="Y381" s="32"/>
      <c r="Z381" s="32"/>
      <c r="AA381" s="32"/>
      <c r="AB381" s="32"/>
      <c r="AC381" s="32"/>
      <c r="AD381" s="32"/>
      <c r="AE381" s="32"/>
      <c r="AR381" s="187" t="s">
        <v>270</v>
      </c>
      <c r="AT381" s="187" t="s">
        <v>198</v>
      </c>
      <c r="AU381" s="187" t="s">
        <v>79</v>
      </c>
      <c r="AY381" s="15" t="s">
        <v>196</v>
      </c>
      <c r="BE381" s="188">
        <f t="shared" si="24"/>
        <v>0</v>
      </c>
      <c r="BF381" s="188">
        <f t="shared" si="25"/>
        <v>0</v>
      </c>
      <c r="BG381" s="188">
        <f t="shared" si="26"/>
        <v>0</v>
      </c>
      <c r="BH381" s="188">
        <f t="shared" si="27"/>
        <v>0</v>
      </c>
      <c r="BI381" s="188">
        <f t="shared" si="28"/>
        <v>0</v>
      </c>
      <c r="BJ381" s="15" t="s">
        <v>77</v>
      </c>
      <c r="BK381" s="188">
        <f t="shared" si="29"/>
        <v>0</v>
      </c>
      <c r="BL381" s="15" t="s">
        <v>270</v>
      </c>
      <c r="BM381" s="187" t="s">
        <v>936</v>
      </c>
    </row>
    <row r="382" spans="1:47" s="2" customFormat="1" ht="78">
      <c r="A382" s="32"/>
      <c r="B382" s="33"/>
      <c r="C382" s="34"/>
      <c r="D382" s="189" t="s">
        <v>208</v>
      </c>
      <c r="E382" s="34"/>
      <c r="F382" s="190" t="s">
        <v>937</v>
      </c>
      <c r="G382" s="34"/>
      <c r="H382" s="34"/>
      <c r="I382" s="191"/>
      <c r="J382" s="34"/>
      <c r="K382" s="34"/>
      <c r="L382" s="37"/>
      <c r="M382" s="192"/>
      <c r="N382" s="193"/>
      <c r="O382" s="62"/>
      <c r="P382" s="62"/>
      <c r="Q382" s="62"/>
      <c r="R382" s="62"/>
      <c r="S382" s="62"/>
      <c r="T382" s="63"/>
      <c r="U382" s="32"/>
      <c r="V382" s="32"/>
      <c r="W382" s="32"/>
      <c r="X382" s="32"/>
      <c r="Y382" s="32"/>
      <c r="Z382" s="32"/>
      <c r="AA382" s="32"/>
      <c r="AB382" s="32"/>
      <c r="AC382" s="32"/>
      <c r="AD382" s="32"/>
      <c r="AE382" s="32"/>
      <c r="AT382" s="15" t="s">
        <v>208</v>
      </c>
      <c r="AU382" s="15" t="s">
        <v>79</v>
      </c>
    </row>
    <row r="383" spans="1:65" s="2" customFormat="1" ht="22.15" customHeight="1">
      <c r="A383" s="32"/>
      <c r="B383" s="33"/>
      <c r="C383" s="176" t="s">
        <v>938</v>
      </c>
      <c r="D383" s="176" t="s">
        <v>198</v>
      </c>
      <c r="E383" s="177" t="s">
        <v>939</v>
      </c>
      <c r="F383" s="178" t="s">
        <v>940</v>
      </c>
      <c r="G383" s="179" t="s">
        <v>242</v>
      </c>
      <c r="H383" s="180">
        <v>0.405</v>
      </c>
      <c r="I383" s="181"/>
      <c r="J383" s="182">
        <f>ROUND(I383*H383,2)</f>
        <v>0</v>
      </c>
      <c r="K383" s="178" t="s">
        <v>202</v>
      </c>
      <c r="L383" s="37"/>
      <c r="M383" s="183" t="s">
        <v>19</v>
      </c>
      <c r="N383" s="184" t="s">
        <v>41</v>
      </c>
      <c r="O383" s="62"/>
      <c r="P383" s="185">
        <f>O383*H383</f>
        <v>0</v>
      </c>
      <c r="Q383" s="185">
        <v>0</v>
      </c>
      <c r="R383" s="185">
        <f>Q383*H383</f>
        <v>0</v>
      </c>
      <c r="S383" s="185">
        <v>0</v>
      </c>
      <c r="T383" s="186">
        <f>S383*H383</f>
        <v>0</v>
      </c>
      <c r="U383" s="32"/>
      <c r="V383" s="32"/>
      <c r="W383" s="32"/>
      <c r="X383" s="32"/>
      <c r="Y383" s="32"/>
      <c r="Z383" s="32"/>
      <c r="AA383" s="32"/>
      <c r="AB383" s="32"/>
      <c r="AC383" s="32"/>
      <c r="AD383" s="32"/>
      <c r="AE383" s="32"/>
      <c r="AR383" s="187" t="s">
        <v>270</v>
      </c>
      <c r="AT383" s="187" t="s">
        <v>198</v>
      </c>
      <c r="AU383" s="187" t="s">
        <v>79</v>
      </c>
      <c r="AY383" s="15" t="s">
        <v>196</v>
      </c>
      <c r="BE383" s="188">
        <f>IF(N383="základní",J383,0)</f>
        <v>0</v>
      </c>
      <c r="BF383" s="188">
        <f>IF(N383="snížená",J383,0)</f>
        <v>0</v>
      </c>
      <c r="BG383" s="188">
        <f>IF(N383="zákl. přenesená",J383,0)</f>
        <v>0</v>
      </c>
      <c r="BH383" s="188">
        <f>IF(N383="sníž. přenesená",J383,0)</f>
        <v>0</v>
      </c>
      <c r="BI383" s="188">
        <f>IF(N383="nulová",J383,0)</f>
        <v>0</v>
      </c>
      <c r="BJ383" s="15" t="s">
        <v>77</v>
      </c>
      <c r="BK383" s="188">
        <f>ROUND(I383*H383,2)</f>
        <v>0</v>
      </c>
      <c r="BL383" s="15" t="s">
        <v>270</v>
      </c>
      <c r="BM383" s="187" t="s">
        <v>941</v>
      </c>
    </row>
    <row r="384" spans="1:47" s="2" customFormat="1" ht="78">
      <c r="A384" s="32"/>
      <c r="B384" s="33"/>
      <c r="C384" s="34"/>
      <c r="D384" s="189" t="s">
        <v>208</v>
      </c>
      <c r="E384" s="34"/>
      <c r="F384" s="190" t="s">
        <v>937</v>
      </c>
      <c r="G384" s="34"/>
      <c r="H384" s="34"/>
      <c r="I384" s="191"/>
      <c r="J384" s="34"/>
      <c r="K384" s="34"/>
      <c r="L384" s="37"/>
      <c r="M384" s="192"/>
      <c r="N384" s="193"/>
      <c r="O384" s="62"/>
      <c r="P384" s="62"/>
      <c r="Q384" s="62"/>
      <c r="R384" s="62"/>
      <c r="S384" s="62"/>
      <c r="T384" s="63"/>
      <c r="U384" s="32"/>
      <c r="V384" s="32"/>
      <c r="W384" s="32"/>
      <c r="X384" s="32"/>
      <c r="Y384" s="32"/>
      <c r="Z384" s="32"/>
      <c r="AA384" s="32"/>
      <c r="AB384" s="32"/>
      <c r="AC384" s="32"/>
      <c r="AD384" s="32"/>
      <c r="AE384" s="32"/>
      <c r="AT384" s="15" t="s">
        <v>208</v>
      </c>
      <c r="AU384" s="15" t="s">
        <v>79</v>
      </c>
    </row>
    <row r="385" spans="2:63" s="12" customFormat="1" ht="22.9" customHeight="1">
      <c r="B385" s="160"/>
      <c r="C385" s="161"/>
      <c r="D385" s="162" t="s">
        <v>69</v>
      </c>
      <c r="E385" s="174" t="s">
        <v>942</v>
      </c>
      <c r="F385" s="174" t="s">
        <v>943</v>
      </c>
      <c r="G385" s="161"/>
      <c r="H385" s="161"/>
      <c r="I385" s="164"/>
      <c r="J385" s="175">
        <f>BK385</f>
        <v>0</v>
      </c>
      <c r="K385" s="161"/>
      <c r="L385" s="166"/>
      <c r="M385" s="167"/>
      <c r="N385" s="168"/>
      <c r="O385" s="168"/>
      <c r="P385" s="169">
        <f>SUM(P386:P401)</f>
        <v>0</v>
      </c>
      <c r="Q385" s="168"/>
      <c r="R385" s="169">
        <f>SUM(R386:R401)</f>
        <v>2.2659710000000004</v>
      </c>
      <c r="S385" s="168"/>
      <c r="T385" s="170">
        <f>SUM(T386:T401)</f>
        <v>0.7887</v>
      </c>
      <c r="AR385" s="171" t="s">
        <v>79</v>
      </c>
      <c r="AT385" s="172" t="s">
        <v>69</v>
      </c>
      <c r="AU385" s="172" t="s">
        <v>77</v>
      </c>
      <c r="AY385" s="171" t="s">
        <v>196</v>
      </c>
      <c r="BK385" s="173">
        <f>SUM(BK386:BK401)</f>
        <v>0</v>
      </c>
    </row>
    <row r="386" spans="1:65" s="2" customFormat="1" ht="13.9" customHeight="1">
      <c r="A386" s="32"/>
      <c r="B386" s="33"/>
      <c r="C386" s="176" t="s">
        <v>944</v>
      </c>
      <c r="D386" s="176" t="s">
        <v>198</v>
      </c>
      <c r="E386" s="177" t="s">
        <v>945</v>
      </c>
      <c r="F386" s="178" t="s">
        <v>946</v>
      </c>
      <c r="G386" s="179" t="s">
        <v>253</v>
      </c>
      <c r="H386" s="180">
        <v>23.9</v>
      </c>
      <c r="I386" s="181"/>
      <c r="J386" s="182">
        <f>ROUND(I386*H386,2)</f>
        <v>0</v>
      </c>
      <c r="K386" s="178" t="s">
        <v>202</v>
      </c>
      <c r="L386" s="37"/>
      <c r="M386" s="183" t="s">
        <v>19</v>
      </c>
      <c r="N386" s="184" t="s">
        <v>41</v>
      </c>
      <c r="O386" s="62"/>
      <c r="P386" s="185">
        <f>O386*H386</f>
        <v>0</v>
      </c>
      <c r="Q386" s="185">
        <v>0</v>
      </c>
      <c r="R386" s="185">
        <f>Q386*H386</f>
        <v>0</v>
      </c>
      <c r="S386" s="185">
        <v>0.033</v>
      </c>
      <c r="T386" s="186">
        <f>S386*H386</f>
        <v>0.7887</v>
      </c>
      <c r="U386" s="32"/>
      <c r="V386" s="32"/>
      <c r="W386" s="32"/>
      <c r="X386" s="32"/>
      <c r="Y386" s="32"/>
      <c r="Z386" s="32"/>
      <c r="AA386" s="32"/>
      <c r="AB386" s="32"/>
      <c r="AC386" s="32"/>
      <c r="AD386" s="32"/>
      <c r="AE386" s="32"/>
      <c r="AR386" s="187" t="s">
        <v>270</v>
      </c>
      <c r="AT386" s="187" t="s">
        <v>198</v>
      </c>
      <c r="AU386" s="187" t="s">
        <v>79</v>
      </c>
      <c r="AY386" s="15" t="s">
        <v>196</v>
      </c>
      <c r="BE386" s="188">
        <f>IF(N386="základní",J386,0)</f>
        <v>0</v>
      </c>
      <c r="BF386" s="188">
        <f>IF(N386="snížená",J386,0)</f>
        <v>0</v>
      </c>
      <c r="BG386" s="188">
        <f>IF(N386="zákl. přenesená",J386,0)</f>
        <v>0</v>
      </c>
      <c r="BH386" s="188">
        <f>IF(N386="sníž. přenesená",J386,0)</f>
        <v>0</v>
      </c>
      <c r="BI386" s="188">
        <f>IF(N386="nulová",J386,0)</f>
        <v>0</v>
      </c>
      <c r="BJ386" s="15" t="s">
        <v>77</v>
      </c>
      <c r="BK386" s="188">
        <f>ROUND(I386*H386,2)</f>
        <v>0</v>
      </c>
      <c r="BL386" s="15" t="s">
        <v>270</v>
      </c>
      <c r="BM386" s="187" t="s">
        <v>947</v>
      </c>
    </row>
    <row r="387" spans="1:65" s="2" customFormat="1" ht="13.9" customHeight="1">
      <c r="A387" s="32"/>
      <c r="B387" s="33"/>
      <c r="C387" s="176" t="s">
        <v>948</v>
      </c>
      <c r="D387" s="176" t="s">
        <v>198</v>
      </c>
      <c r="E387" s="177" t="s">
        <v>949</v>
      </c>
      <c r="F387" s="178" t="s">
        <v>950</v>
      </c>
      <c r="G387" s="179" t="s">
        <v>253</v>
      </c>
      <c r="H387" s="180">
        <v>0.7</v>
      </c>
      <c r="I387" s="181"/>
      <c r="J387" s="182">
        <f>ROUND(I387*H387,2)</f>
        <v>0</v>
      </c>
      <c r="K387" s="178" t="s">
        <v>202</v>
      </c>
      <c r="L387" s="37"/>
      <c r="M387" s="183" t="s">
        <v>19</v>
      </c>
      <c r="N387" s="184" t="s">
        <v>41</v>
      </c>
      <c r="O387" s="62"/>
      <c r="P387" s="185">
        <f>O387*H387</f>
        <v>0</v>
      </c>
      <c r="Q387" s="185">
        <v>0</v>
      </c>
      <c r="R387" s="185">
        <f>Q387*H387</f>
        <v>0</v>
      </c>
      <c r="S387" s="185">
        <v>0</v>
      </c>
      <c r="T387" s="186">
        <f>S387*H387</f>
        <v>0</v>
      </c>
      <c r="U387" s="32"/>
      <c r="V387" s="32"/>
      <c r="W387" s="32"/>
      <c r="X387" s="32"/>
      <c r="Y387" s="32"/>
      <c r="Z387" s="32"/>
      <c r="AA387" s="32"/>
      <c r="AB387" s="32"/>
      <c r="AC387" s="32"/>
      <c r="AD387" s="32"/>
      <c r="AE387" s="32"/>
      <c r="AR387" s="187" t="s">
        <v>270</v>
      </c>
      <c r="AT387" s="187" t="s">
        <v>198</v>
      </c>
      <c r="AU387" s="187" t="s">
        <v>79</v>
      </c>
      <c r="AY387" s="15" t="s">
        <v>196</v>
      </c>
      <c r="BE387" s="188">
        <f>IF(N387="základní",J387,0)</f>
        <v>0</v>
      </c>
      <c r="BF387" s="188">
        <f>IF(N387="snížená",J387,0)</f>
        <v>0</v>
      </c>
      <c r="BG387" s="188">
        <f>IF(N387="zákl. přenesená",J387,0)</f>
        <v>0</v>
      </c>
      <c r="BH387" s="188">
        <f>IF(N387="sníž. přenesená",J387,0)</f>
        <v>0</v>
      </c>
      <c r="BI387" s="188">
        <f>IF(N387="nulová",J387,0)</f>
        <v>0</v>
      </c>
      <c r="BJ387" s="15" t="s">
        <v>77</v>
      </c>
      <c r="BK387" s="188">
        <f>ROUND(I387*H387,2)</f>
        <v>0</v>
      </c>
      <c r="BL387" s="15" t="s">
        <v>270</v>
      </c>
      <c r="BM387" s="187" t="s">
        <v>951</v>
      </c>
    </row>
    <row r="388" spans="1:47" s="2" customFormat="1" ht="48.75">
      <c r="A388" s="32"/>
      <c r="B388" s="33"/>
      <c r="C388" s="34"/>
      <c r="D388" s="189" t="s">
        <v>208</v>
      </c>
      <c r="E388" s="34"/>
      <c r="F388" s="190" t="s">
        <v>952</v>
      </c>
      <c r="G388" s="34"/>
      <c r="H388" s="34"/>
      <c r="I388" s="191"/>
      <c r="J388" s="34"/>
      <c r="K388" s="34"/>
      <c r="L388" s="37"/>
      <c r="M388" s="192"/>
      <c r="N388" s="193"/>
      <c r="O388" s="62"/>
      <c r="P388" s="62"/>
      <c r="Q388" s="62"/>
      <c r="R388" s="62"/>
      <c r="S388" s="62"/>
      <c r="T388" s="63"/>
      <c r="U388" s="32"/>
      <c r="V388" s="32"/>
      <c r="W388" s="32"/>
      <c r="X388" s="32"/>
      <c r="Y388" s="32"/>
      <c r="Z388" s="32"/>
      <c r="AA388" s="32"/>
      <c r="AB388" s="32"/>
      <c r="AC388" s="32"/>
      <c r="AD388" s="32"/>
      <c r="AE388" s="32"/>
      <c r="AT388" s="15" t="s">
        <v>208</v>
      </c>
      <c r="AU388" s="15" t="s">
        <v>79</v>
      </c>
    </row>
    <row r="389" spans="1:65" s="2" customFormat="1" ht="13.9" customHeight="1">
      <c r="A389" s="32"/>
      <c r="B389" s="33"/>
      <c r="C389" s="194" t="s">
        <v>953</v>
      </c>
      <c r="D389" s="194" t="s">
        <v>411</v>
      </c>
      <c r="E389" s="195" t="s">
        <v>954</v>
      </c>
      <c r="F389" s="196" t="s">
        <v>955</v>
      </c>
      <c r="G389" s="197" t="s">
        <v>253</v>
      </c>
      <c r="H389" s="198">
        <v>0.7</v>
      </c>
      <c r="I389" s="199"/>
      <c r="J389" s="200">
        <f>ROUND(I389*H389,2)</f>
        <v>0</v>
      </c>
      <c r="K389" s="196" t="s">
        <v>202</v>
      </c>
      <c r="L389" s="201"/>
      <c r="M389" s="202" t="s">
        <v>19</v>
      </c>
      <c r="N389" s="203" t="s">
        <v>41</v>
      </c>
      <c r="O389" s="62"/>
      <c r="P389" s="185">
        <f>O389*H389</f>
        <v>0</v>
      </c>
      <c r="Q389" s="185">
        <v>0.018</v>
      </c>
      <c r="R389" s="185">
        <f>Q389*H389</f>
        <v>0.012599999999999998</v>
      </c>
      <c r="S389" s="185">
        <v>0</v>
      </c>
      <c r="T389" s="186">
        <f>S389*H389</f>
        <v>0</v>
      </c>
      <c r="U389" s="32"/>
      <c r="V389" s="32"/>
      <c r="W389" s="32"/>
      <c r="X389" s="32"/>
      <c r="Y389" s="32"/>
      <c r="Z389" s="32"/>
      <c r="AA389" s="32"/>
      <c r="AB389" s="32"/>
      <c r="AC389" s="32"/>
      <c r="AD389" s="32"/>
      <c r="AE389" s="32"/>
      <c r="AR389" s="187" t="s">
        <v>340</v>
      </c>
      <c r="AT389" s="187" t="s">
        <v>411</v>
      </c>
      <c r="AU389" s="187" t="s">
        <v>79</v>
      </c>
      <c r="AY389" s="15" t="s">
        <v>196</v>
      </c>
      <c r="BE389" s="188">
        <f>IF(N389="základní",J389,0)</f>
        <v>0</v>
      </c>
      <c r="BF389" s="188">
        <f>IF(N389="snížená",J389,0)</f>
        <v>0</v>
      </c>
      <c r="BG389" s="188">
        <f>IF(N389="zákl. přenesená",J389,0)</f>
        <v>0</v>
      </c>
      <c r="BH389" s="188">
        <f>IF(N389="sníž. přenesená",J389,0)</f>
        <v>0</v>
      </c>
      <c r="BI389" s="188">
        <f>IF(N389="nulová",J389,0)</f>
        <v>0</v>
      </c>
      <c r="BJ389" s="15" t="s">
        <v>77</v>
      </c>
      <c r="BK389" s="188">
        <f>ROUND(I389*H389,2)</f>
        <v>0</v>
      </c>
      <c r="BL389" s="15" t="s">
        <v>270</v>
      </c>
      <c r="BM389" s="187" t="s">
        <v>956</v>
      </c>
    </row>
    <row r="390" spans="1:65" s="2" customFormat="1" ht="13.9" customHeight="1">
      <c r="A390" s="32"/>
      <c r="B390" s="33"/>
      <c r="C390" s="176" t="s">
        <v>957</v>
      </c>
      <c r="D390" s="176" t="s">
        <v>198</v>
      </c>
      <c r="E390" s="177" t="s">
        <v>958</v>
      </c>
      <c r="F390" s="178" t="s">
        <v>959</v>
      </c>
      <c r="G390" s="179" t="s">
        <v>310</v>
      </c>
      <c r="H390" s="180">
        <v>3.6</v>
      </c>
      <c r="I390" s="181"/>
      <c r="J390" s="182">
        <f>ROUND(I390*H390,2)</f>
        <v>0</v>
      </c>
      <c r="K390" s="178" t="s">
        <v>202</v>
      </c>
      <c r="L390" s="37"/>
      <c r="M390" s="183" t="s">
        <v>19</v>
      </c>
      <c r="N390" s="184" t="s">
        <v>41</v>
      </c>
      <c r="O390" s="62"/>
      <c r="P390" s="185">
        <f>O390*H390</f>
        <v>0</v>
      </c>
      <c r="Q390" s="185">
        <v>0</v>
      </c>
      <c r="R390" s="185">
        <f>Q390*H390</f>
        <v>0</v>
      </c>
      <c r="S390" s="185">
        <v>0</v>
      </c>
      <c r="T390" s="186">
        <f>S390*H390</f>
        <v>0</v>
      </c>
      <c r="U390" s="32"/>
      <c r="V390" s="32"/>
      <c r="W390" s="32"/>
      <c r="X390" s="32"/>
      <c r="Y390" s="32"/>
      <c r="Z390" s="32"/>
      <c r="AA390" s="32"/>
      <c r="AB390" s="32"/>
      <c r="AC390" s="32"/>
      <c r="AD390" s="32"/>
      <c r="AE390" s="32"/>
      <c r="AR390" s="187" t="s">
        <v>270</v>
      </c>
      <c r="AT390" s="187" t="s">
        <v>198</v>
      </c>
      <c r="AU390" s="187" t="s">
        <v>79</v>
      </c>
      <c r="AY390" s="15" t="s">
        <v>196</v>
      </c>
      <c r="BE390" s="188">
        <f>IF(N390="základní",J390,0)</f>
        <v>0</v>
      </c>
      <c r="BF390" s="188">
        <f>IF(N390="snížená",J390,0)</f>
        <v>0</v>
      </c>
      <c r="BG390" s="188">
        <f>IF(N390="zákl. přenesená",J390,0)</f>
        <v>0</v>
      </c>
      <c r="BH390" s="188">
        <f>IF(N390="sníž. přenesená",J390,0)</f>
        <v>0</v>
      </c>
      <c r="BI390" s="188">
        <f>IF(N390="nulová",J390,0)</f>
        <v>0</v>
      </c>
      <c r="BJ390" s="15" t="s">
        <v>77</v>
      </c>
      <c r="BK390" s="188">
        <f>ROUND(I390*H390,2)</f>
        <v>0</v>
      </c>
      <c r="BL390" s="15" t="s">
        <v>270</v>
      </c>
      <c r="BM390" s="187" t="s">
        <v>960</v>
      </c>
    </row>
    <row r="391" spans="1:47" s="2" customFormat="1" ht="48.75">
      <c r="A391" s="32"/>
      <c r="B391" s="33"/>
      <c r="C391" s="34"/>
      <c r="D391" s="189" t="s">
        <v>208</v>
      </c>
      <c r="E391" s="34"/>
      <c r="F391" s="190" t="s">
        <v>952</v>
      </c>
      <c r="G391" s="34"/>
      <c r="H391" s="34"/>
      <c r="I391" s="191"/>
      <c r="J391" s="34"/>
      <c r="K391" s="34"/>
      <c r="L391" s="37"/>
      <c r="M391" s="192"/>
      <c r="N391" s="193"/>
      <c r="O391" s="62"/>
      <c r="P391" s="62"/>
      <c r="Q391" s="62"/>
      <c r="R391" s="62"/>
      <c r="S391" s="62"/>
      <c r="T391" s="63"/>
      <c r="U391" s="32"/>
      <c r="V391" s="32"/>
      <c r="W391" s="32"/>
      <c r="X391" s="32"/>
      <c r="Y391" s="32"/>
      <c r="Z391" s="32"/>
      <c r="AA391" s="32"/>
      <c r="AB391" s="32"/>
      <c r="AC391" s="32"/>
      <c r="AD391" s="32"/>
      <c r="AE391" s="32"/>
      <c r="AT391" s="15" t="s">
        <v>208</v>
      </c>
      <c r="AU391" s="15" t="s">
        <v>79</v>
      </c>
    </row>
    <row r="392" spans="1:65" s="2" customFormat="1" ht="13.9" customHeight="1">
      <c r="A392" s="32"/>
      <c r="B392" s="33"/>
      <c r="C392" s="194" t="s">
        <v>961</v>
      </c>
      <c r="D392" s="194" t="s">
        <v>411</v>
      </c>
      <c r="E392" s="195" t="s">
        <v>962</v>
      </c>
      <c r="F392" s="196" t="s">
        <v>963</v>
      </c>
      <c r="G392" s="197" t="s">
        <v>310</v>
      </c>
      <c r="H392" s="198">
        <v>3.6</v>
      </c>
      <c r="I392" s="199"/>
      <c r="J392" s="200">
        <f aca="true" t="shared" si="30" ref="J392:J398">ROUND(I392*H392,2)</f>
        <v>0</v>
      </c>
      <c r="K392" s="196" t="s">
        <v>202</v>
      </c>
      <c r="L392" s="201"/>
      <c r="M392" s="202" t="s">
        <v>19</v>
      </c>
      <c r="N392" s="203" t="s">
        <v>41</v>
      </c>
      <c r="O392" s="62"/>
      <c r="P392" s="185">
        <f aca="true" t="shared" si="31" ref="P392:P398">O392*H392</f>
        <v>0</v>
      </c>
      <c r="Q392" s="185">
        <v>0.0002</v>
      </c>
      <c r="R392" s="185">
        <f aca="true" t="shared" si="32" ref="R392:R398">Q392*H392</f>
        <v>0.00072</v>
      </c>
      <c r="S392" s="185">
        <v>0</v>
      </c>
      <c r="T392" s="186">
        <f aca="true" t="shared" si="33" ref="T392:T398">S392*H392</f>
        <v>0</v>
      </c>
      <c r="U392" s="32"/>
      <c r="V392" s="32"/>
      <c r="W392" s="32"/>
      <c r="X392" s="32"/>
      <c r="Y392" s="32"/>
      <c r="Z392" s="32"/>
      <c r="AA392" s="32"/>
      <c r="AB392" s="32"/>
      <c r="AC392" s="32"/>
      <c r="AD392" s="32"/>
      <c r="AE392" s="32"/>
      <c r="AR392" s="187" t="s">
        <v>340</v>
      </c>
      <c r="AT392" s="187" t="s">
        <v>411</v>
      </c>
      <c r="AU392" s="187" t="s">
        <v>79</v>
      </c>
      <c r="AY392" s="15" t="s">
        <v>196</v>
      </c>
      <c r="BE392" s="188">
        <f aca="true" t="shared" si="34" ref="BE392:BE398">IF(N392="základní",J392,0)</f>
        <v>0</v>
      </c>
      <c r="BF392" s="188">
        <f aca="true" t="shared" si="35" ref="BF392:BF398">IF(N392="snížená",J392,0)</f>
        <v>0</v>
      </c>
      <c r="BG392" s="188">
        <f aca="true" t="shared" si="36" ref="BG392:BG398">IF(N392="zákl. přenesená",J392,0)</f>
        <v>0</v>
      </c>
      <c r="BH392" s="188">
        <f aca="true" t="shared" si="37" ref="BH392:BH398">IF(N392="sníž. přenesená",J392,0)</f>
        <v>0</v>
      </c>
      <c r="BI392" s="188">
        <f aca="true" t="shared" si="38" ref="BI392:BI398">IF(N392="nulová",J392,0)</f>
        <v>0</v>
      </c>
      <c r="BJ392" s="15" t="s">
        <v>77</v>
      </c>
      <c r="BK392" s="188">
        <f aca="true" t="shared" si="39" ref="BK392:BK398">ROUND(I392*H392,2)</f>
        <v>0</v>
      </c>
      <c r="BL392" s="15" t="s">
        <v>270</v>
      </c>
      <c r="BM392" s="187" t="s">
        <v>964</v>
      </c>
    </row>
    <row r="393" spans="1:65" s="2" customFormat="1" ht="80.45" customHeight="1">
      <c r="A393" s="32"/>
      <c r="B393" s="33"/>
      <c r="C393" s="176" t="s">
        <v>965</v>
      </c>
      <c r="D393" s="176" t="s">
        <v>198</v>
      </c>
      <c r="E393" s="177" t="s">
        <v>966</v>
      </c>
      <c r="F393" s="178" t="s">
        <v>967</v>
      </c>
      <c r="G393" s="179" t="s">
        <v>258</v>
      </c>
      <c r="H393" s="180">
        <v>4</v>
      </c>
      <c r="I393" s="181"/>
      <c r="J393" s="182">
        <f t="shared" si="30"/>
        <v>0</v>
      </c>
      <c r="K393" s="178" t="s">
        <v>19</v>
      </c>
      <c r="L393" s="37"/>
      <c r="M393" s="183" t="s">
        <v>19</v>
      </c>
      <c r="N393" s="184" t="s">
        <v>41</v>
      </c>
      <c r="O393" s="62"/>
      <c r="P393" s="185">
        <f t="shared" si="31"/>
        <v>0</v>
      </c>
      <c r="Q393" s="185">
        <v>0.09</v>
      </c>
      <c r="R393" s="185">
        <f t="shared" si="32"/>
        <v>0.36</v>
      </c>
      <c r="S393" s="185">
        <v>0</v>
      </c>
      <c r="T393" s="186">
        <f t="shared" si="33"/>
        <v>0</v>
      </c>
      <c r="U393" s="32"/>
      <c r="V393" s="32"/>
      <c r="W393" s="32"/>
      <c r="X393" s="32"/>
      <c r="Y393" s="32"/>
      <c r="Z393" s="32"/>
      <c r="AA393" s="32"/>
      <c r="AB393" s="32"/>
      <c r="AC393" s="32"/>
      <c r="AD393" s="32"/>
      <c r="AE393" s="32"/>
      <c r="AR393" s="187" t="s">
        <v>270</v>
      </c>
      <c r="AT393" s="187" t="s">
        <v>198</v>
      </c>
      <c r="AU393" s="187" t="s">
        <v>79</v>
      </c>
      <c r="AY393" s="15" t="s">
        <v>196</v>
      </c>
      <c r="BE393" s="188">
        <f t="shared" si="34"/>
        <v>0</v>
      </c>
      <c r="BF393" s="188">
        <f t="shared" si="35"/>
        <v>0</v>
      </c>
      <c r="BG393" s="188">
        <f t="shared" si="36"/>
        <v>0</v>
      </c>
      <c r="BH393" s="188">
        <f t="shared" si="37"/>
        <v>0</v>
      </c>
      <c r="BI393" s="188">
        <f t="shared" si="38"/>
        <v>0</v>
      </c>
      <c r="BJ393" s="15" t="s">
        <v>77</v>
      </c>
      <c r="BK393" s="188">
        <f t="shared" si="39"/>
        <v>0</v>
      </c>
      <c r="BL393" s="15" t="s">
        <v>270</v>
      </c>
      <c r="BM393" s="187" t="s">
        <v>968</v>
      </c>
    </row>
    <row r="394" spans="1:65" s="2" customFormat="1" ht="22.15" customHeight="1">
      <c r="A394" s="32"/>
      <c r="B394" s="33"/>
      <c r="C394" s="176" t="s">
        <v>969</v>
      </c>
      <c r="D394" s="176" t="s">
        <v>198</v>
      </c>
      <c r="E394" s="177" t="s">
        <v>970</v>
      </c>
      <c r="F394" s="178" t="s">
        <v>971</v>
      </c>
      <c r="G394" s="179" t="s">
        <v>972</v>
      </c>
      <c r="H394" s="180">
        <v>702.678</v>
      </c>
      <c r="I394" s="181"/>
      <c r="J394" s="182">
        <f t="shared" si="30"/>
        <v>0</v>
      </c>
      <c r="K394" s="178" t="s">
        <v>19</v>
      </c>
      <c r="L394" s="37"/>
      <c r="M394" s="183" t="s">
        <v>19</v>
      </c>
      <c r="N394" s="184" t="s">
        <v>41</v>
      </c>
      <c r="O394" s="62"/>
      <c r="P394" s="185">
        <f t="shared" si="31"/>
        <v>0</v>
      </c>
      <c r="Q394" s="185">
        <v>0.001</v>
      </c>
      <c r="R394" s="185">
        <f t="shared" si="32"/>
        <v>0.702678</v>
      </c>
      <c r="S394" s="185">
        <v>0</v>
      </c>
      <c r="T394" s="186">
        <f t="shared" si="33"/>
        <v>0</v>
      </c>
      <c r="U394" s="32"/>
      <c r="V394" s="32"/>
      <c r="W394" s="32"/>
      <c r="X394" s="32"/>
      <c r="Y394" s="32"/>
      <c r="Z394" s="32"/>
      <c r="AA394" s="32"/>
      <c r="AB394" s="32"/>
      <c r="AC394" s="32"/>
      <c r="AD394" s="32"/>
      <c r="AE394" s="32"/>
      <c r="AR394" s="187" t="s">
        <v>270</v>
      </c>
      <c r="AT394" s="187" t="s">
        <v>198</v>
      </c>
      <c r="AU394" s="187" t="s">
        <v>79</v>
      </c>
      <c r="AY394" s="15" t="s">
        <v>196</v>
      </c>
      <c r="BE394" s="188">
        <f t="shared" si="34"/>
        <v>0</v>
      </c>
      <c r="BF394" s="188">
        <f t="shared" si="35"/>
        <v>0</v>
      </c>
      <c r="BG394" s="188">
        <f t="shared" si="36"/>
        <v>0</v>
      </c>
      <c r="BH394" s="188">
        <f t="shared" si="37"/>
        <v>0</v>
      </c>
      <c r="BI394" s="188">
        <f t="shared" si="38"/>
        <v>0</v>
      </c>
      <c r="BJ394" s="15" t="s">
        <v>77</v>
      </c>
      <c r="BK394" s="188">
        <f t="shared" si="39"/>
        <v>0</v>
      </c>
      <c r="BL394" s="15" t="s">
        <v>270</v>
      </c>
      <c r="BM394" s="187" t="s">
        <v>973</v>
      </c>
    </row>
    <row r="395" spans="1:65" s="2" customFormat="1" ht="13.9" customHeight="1">
      <c r="A395" s="32"/>
      <c r="B395" s="33"/>
      <c r="C395" s="176" t="s">
        <v>251</v>
      </c>
      <c r="D395" s="176" t="s">
        <v>198</v>
      </c>
      <c r="E395" s="177" t="s">
        <v>974</v>
      </c>
      <c r="F395" s="178" t="s">
        <v>975</v>
      </c>
      <c r="G395" s="179" t="s">
        <v>972</v>
      </c>
      <c r="H395" s="180">
        <v>269.973</v>
      </c>
      <c r="I395" s="181"/>
      <c r="J395" s="182">
        <f t="shared" si="30"/>
        <v>0</v>
      </c>
      <c r="K395" s="178" t="s">
        <v>19</v>
      </c>
      <c r="L395" s="37"/>
      <c r="M395" s="183" t="s">
        <v>19</v>
      </c>
      <c r="N395" s="184" t="s">
        <v>41</v>
      </c>
      <c r="O395" s="62"/>
      <c r="P395" s="185">
        <f t="shared" si="31"/>
        <v>0</v>
      </c>
      <c r="Q395" s="185">
        <v>0.001</v>
      </c>
      <c r="R395" s="185">
        <f t="shared" si="32"/>
        <v>0.269973</v>
      </c>
      <c r="S395" s="185">
        <v>0</v>
      </c>
      <c r="T395" s="186">
        <f t="shared" si="33"/>
        <v>0</v>
      </c>
      <c r="U395" s="32"/>
      <c r="V395" s="32"/>
      <c r="W395" s="32"/>
      <c r="X395" s="32"/>
      <c r="Y395" s="32"/>
      <c r="Z395" s="32"/>
      <c r="AA395" s="32"/>
      <c r="AB395" s="32"/>
      <c r="AC395" s="32"/>
      <c r="AD395" s="32"/>
      <c r="AE395" s="32"/>
      <c r="AR395" s="187" t="s">
        <v>270</v>
      </c>
      <c r="AT395" s="187" t="s">
        <v>198</v>
      </c>
      <c r="AU395" s="187" t="s">
        <v>79</v>
      </c>
      <c r="AY395" s="15" t="s">
        <v>196</v>
      </c>
      <c r="BE395" s="188">
        <f t="shared" si="34"/>
        <v>0</v>
      </c>
      <c r="BF395" s="188">
        <f t="shared" si="35"/>
        <v>0</v>
      </c>
      <c r="BG395" s="188">
        <f t="shared" si="36"/>
        <v>0</v>
      </c>
      <c r="BH395" s="188">
        <f t="shared" si="37"/>
        <v>0</v>
      </c>
      <c r="BI395" s="188">
        <f t="shared" si="38"/>
        <v>0</v>
      </c>
      <c r="BJ395" s="15" t="s">
        <v>77</v>
      </c>
      <c r="BK395" s="188">
        <f t="shared" si="39"/>
        <v>0</v>
      </c>
      <c r="BL395" s="15" t="s">
        <v>270</v>
      </c>
      <c r="BM395" s="187" t="s">
        <v>976</v>
      </c>
    </row>
    <row r="396" spans="1:65" s="2" customFormat="1" ht="80.45" customHeight="1">
      <c r="A396" s="32"/>
      <c r="B396" s="33"/>
      <c r="C396" s="176" t="s">
        <v>977</v>
      </c>
      <c r="D396" s="176" t="s">
        <v>198</v>
      </c>
      <c r="E396" s="177" t="s">
        <v>978</v>
      </c>
      <c r="F396" s="178" t="s">
        <v>979</v>
      </c>
      <c r="G396" s="179" t="s">
        <v>258</v>
      </c>
      <c r="H396" s="180">
        <v>8</v>
      </c>
      <c r="I396" s="181"/>
      <c r="J396" s="182">
        <f t="shared" si="30"/>
        <v>0</v>
      </c>
      <c r="K396" s="178" t="s">
        <v>19</v>
      </c>
      <c r="L396" s="37"/>
      <c r="M396" s="183" t="s">
        <v>19</v>
      </c>
      <c r="N396" s="184" t="s">
        <v>41</v>
      </c>
      <c r="O396" s="62"/>
      <c r="P396" s="185">
        <f t="shared" si="31"/>
        <v>0</v>
      </c>
      <c r="Q396" s="185">
        <v>0.09</v>
      </c>
      <c r="R396" s="185">
        <f t="shared" si="32"/>
        <v>0.72</v>
      </c>
      <c r="S396" s="185">
        <v>0</v>
      </c>
      <c r="T396" s="186">
        <f t="shared" si="33"/>
        <v>0</v>
      </c>
      <c r="U396" s="32"/>
      <c r="V396" s="32"/>
      <c r="W396" s="32"/>
      <c r="X396" s="32"/>
      <c r="Y396" s="32"/>
      <c r="Z396" s="32"/>
      <c r="AA396" s="32"/>
      <c r="AB396" s="32"/>
      <c r="AC396" s="32"/>
      <c r="AD396" s="32"/>
      <c r="AE396" s="32"/>
      <c r="AR396" s="187" t="s">
        <v>270</v>
      </c>
      <c r="AT396" s="187" t="s">
        <v>198</v>
      </c>
      <c r="AU396" s="187" t="s">
        <v>79</v>
      </c>
      <c r="AY396" s="15" t="s">
        <v>196</v>
      </c>
      <c r="BE396" s="188">
        <f t="shared" si="34"/>
        <v>0</v>
      </c>
      <c r="BF396" s="188">
        <f t="shared" si="35"/>
        <v>0</v>
      </c>
      <c r="BG396" s="188">
        <f t="shared" si="36"/>
        <v>0</v>
      </c>
      <c r="BH396" s="188">
        <f t="shared" si="37"/>
        <v>0</v>
      </c>
      <c r="BI396" s="188">
        <f t="shared" si="38"/>
        <v>0</v>
      </c>
      <c r="BJ396" s="15" t="s">
        <v>77</v>
      </c>
      <c r="BK396" s="188">
        <f t="shared" si="39"/>
        <v>0</v>
      </c>
      <c r="BL396" s="15" t="s">
        <v>270</v>
      </c>
      <c r="BM396" s="187" t="s">
        <v>980</v>
      </c>
    </row>
    <row r="397" spans="1:65" s="2" customFormat="1" ht="327.6" customHeight="1">
      <c r="A397" s="32"/>
      <c r="B397" s="33"/>
      <c r="C397" s="176" t="s">
        <v>981</v>
      </c>
      <c r="D397" s="176" t="s">
        <v>198</v>
      </c>
      <c r="E397" s="177" t="s">
        <v>982</v>
      </c>
      <c r="F397" s="178" t="s">
        <v>983</v>
      </c>
      <c r="G397" s="179" t="s">
        <v>258</v>
      </c>
      <c r="H397" s="180">
        <v>1</v>
      </c>
      <c r="I397" s="181"/>
      <c r="J397" s="182">
        <f t="shared" si="30"/>
        <v>0</v>
      </c>
      <c r="K397" s="178" t="s">
        <v>19</v>
      </c>
      <c r="L397" s="37"/>
      <c r="M397" s="183" t="s">
        <v>19</v>
      </c>
      <c r="N397" s="184" t="s">
        <v>41</v>
      </c>
      <c r="O397" s="62"/>
      <c r="P397" s="185">
        <f t="shared" si="31"/>
        <v>0</v>
      </c>
      <c r="Q397" s="185">
        <v>0.2</v>
      </c>
      <c r="R397" s="185">
        <f t="shared" si="32"/>
        <v>0.2</v>
      </c>
      <c r="S397" s="185">
        <v>0</v>
      </c>
      <c r="T397" s="186">
        <f t="shared" si="33"/>
        <v>0</v>
      </c>
      <c r="U397" s="32"/>
      <c r="V397" s="32"/>
      <c r="W397" s="32"/>
      <c r="X397" s="32"/>
      <c r="Y397" s="32"/>
      <c r="Z397" s="32"/>
      <c r="AA397" s="32"/>
      <c r="AB397" s="32"/>
      <c r="AC397" s="32"/>
      <c r="AD397" s="32"/>
      <c r="AE397" s="32"/>
      <c r="AR397" s="187" t="s">
        <v>270</v>
      </c>
      <c r="AT397" s="187" t="s">
        <v>198</v>
      </c>
      <c r="AU397" s="187" t="s">
        <v>79</v>
      </c>
      <c r="AY397" s="15" t="s">
        <v>196</v>
      </c>
      <c r="BE397" s="188">
        <f t="shared" si="34"/>
        <v>0</v>
      </c>
      <c r="BF397" s="188">
        <f t="shared" si="35"/>
        <v>0</v>
      </c>
      <c r="BG397" s="188">
        <f t="shared" si="36"/>
        <v>0</v>
      </c>
      <c r="BH397" s="188">
        <f t="shared" si="37"/>
        <v>0</v>
      </c>
      <c r="BI397" s="188">
        <f t="shared" si="38"/>
        <v>0</v>
      </c>
      <c r="BJ397" s="15" t="s">
        <v>77</v>
      </c>
      <c r="BK397" s="188">
        <f t="shared" si="39"/>
        <v>0</v>
      </c>
      <c r="BL397" s="15" t="s">
        <v>270</v>
      </c>
      <c r="BM397" s="187" t="s">
        <v>984</v>
      </c>
    </row>
    <row r="398" spans="1:65" s="2" customFormat="1" ht="22.15" customHeight="1">
      <c r="A398" s="32"/>
      <c r="B398" s="33"/>
      <c r="C398" s="176" t="s">
        <v>985</v>
      </c>
      <c r="D398" s="176" t="s">
        <v>198</v>
      </c>
      <c r="E398" s="177" t="s">
        <v>986</v>
      </c>
      <c r="F398" s="178" t="s">
        <v>987</v>
      </c>
      <c r="G398" s="179" t="s">
        <v>242</v>
      </c>
      <c r="H398" s="180">
        <v>2.266</v>
      </c>
      <c r="I398" s="181"/>
      <c r="J398" s="182">
        <f t="shared" si="30"/>
        <v>0</v>
      </c>
      <c r="K398" s="178" t="s">
        <v>202</v>
      </c>
      <c r="L398" s="37"/>
      <c r="M398" s="183" t="s">
        <v>19</v>
      </c>
      <c r="N398" s="184" t="s">
        <v>41</v>
      </c>
      <c r="O398" s="62"/>
      <c r="P398" s="185">
        <f t="shared" si="31"/>
        <v>0</v>
      </c>
      <c r="Q398" s="185">
        <v>0</v>
      </c>
      <c r="R398" s="185">
        <f t="shared" si="32"/>
        <v>0</v>
      </c>
      <c r="S398" s="185">
        <v>0</v>
      </c>
      <c r="T398" s="186">
        <f t="shared" si="33"/>
        <v>0</v>
      </c>
      <c r="U398" s="32"/>
      <c r="V398" s="32"/>
      <c r="W398" s="32"/>
      <c r="X398" s="32"/>
      <c r="Y398" s="32"/>
      <c r="Z398" s="32"/>
      <c r="AA398" s="32"/>
      <c r="AB398" s="32"/>
      <c r="AC398" s="32"/>
      <c r="AD398" s="32"/>
      <c r="AE398" s="32"/>
      <c r="AR398" s="187" t="s">
        <v>270</v>
      </c>
      <c r="AT398" s="187" t="s">
        <v>198</v>
      </c>
      <c r="AU398" s="187" t="s">
        <v>79</v>
      </c>
      <c r="AY398" s="15" t="s">
        <v>196</v>
      </c>
      <c r="BE398" s="188">
        <f t="shared" si="34"/>
        <v>0</v>
      </c>
      <c r="BF398" s="188">
        <f t="shared" si="35"/>
        <v>0</v>
      </c>
      <c r="BG398" s="188">
        <f t="shared" si="36"/>
        <v>0</v>
      </c>
      <c r="BH398" s="188">
        <f t="shared" si="37"/>
        <v>0</v>
      </c>
      <c r="BI398" s="188">
        <f t="shared" si="38"/>
        <v>0</v>
      </c>
      <c r="BJ398" s="15" t="s">
        <v>77</v>
      </c>
      <c r="BK398" s="188">
        <f t="shared" si="39"/>
        <v>0</v>
      </c>
      <c r="BL398" s="15" t="s">
        <v>270</v>
      </c>
      <c r="BM398" s="187" t="s">
        <v>988</v>
      </c>
    </row>
    <row r="399" spans="1:47" s="2" customFormat="1" ht="78">
      <c r="A399" s="32"/>
      <c r="B399" s="33"/>
      <c r="C399" s="34"/>
      <c r="D399" s="189" t="s">
        <v>208</v>
      </c>
      <c r="E399" s="34"/>
      <c r="F399" s="190" t="s">
        <v>989</v>
      </c>
      <c r="G399" s="34"/>
      <c r="H399" s="34"/>
      <c r="I399" s="191"/>
      <c r="J399" s="34"/>
      <c r="K399" s="34"/>
      <c r="L399" s="37"/>
      <c r="M399" s="192"/>
      <c r="N399" s="193"/>
      <c r="O399" s="62"/>
      <c r="P399" s="62"/>
      <c r="Q399" s="62"/>
      <c r="R399" s="62"/>
      <c r="S399" s="62"/>
      <c r="T399" s="63"/>
      <c r="U399" s="32"/>
      <c r="V399" s="32"/>
      <c r="W399" s="32"/>
      <c r="X399" s="32"/>
      <c r="Y399" s="32"/>
      <c r="Z399" s="32"/>
      <c r="AA399" s="32"/>
      <c r="AB399" s="32"/>
      <c r="AC399" s="32"/>
      <c r="AD399" s="32"/>
      <c r="AE399" s="32"/>
      <c r="AT399" s="15" t="s">
        <v>208</v>
      </c>
      <c r="AU399" s="15" t="s">
        <v>79</v>
      </c>
    </row>
    <row r="400" spans="1:65" s="2" customFormat="1" ht="22.15" customHeight="1">
      <c r="A400" s="32"/>
      <c r="B400" s="33"/>
      <c r="C400" s="176" t="s">
        <v>990</v>
      </c>
      <c r="D400" s="176" t="s">
        <v>198</v>
      </c>
      <c r="E400" s="177" t="s">
        <v>991</v>
      </c>
      <c r="F400" s="178" t="s">
        <v>992</v>
      </c>
      <c r="G400" s="179" t="s">
        <v>242</v>
      </c>
      <c r="H400" s="180">
        <v>2.266</v>
      </c>
      <c r="I400" s="181"/>
      <c r="J400" s="182">
        <f>ROUND(I400*H400,2)</f>
        <v>0</v>
      </c>
      <c r="K400" s="178" t="s">
        <v>202</v>
      </c>
      <c r="L400" s="37"/>
      <c r="M400" s="183" t="s">
        <v>19</v>
      </c>
      <c r="N400" s="184" t="s">
        <v>41</v>
      </c>
      <c r="O400" s="62"/>
      <c r="P400" s="185">
        <f>O400*H400</f>
        <v>0</v>
      </c>
      <c r="Q400" s="185">
        <v>0</v>
      </c>
      <c r="R400" s="185">
        <f>Q400*H400</f>
        <v>0</v>
      </c>
      <c r="S400" s="185">
        <v>0</v>
      </c>
      <c r="T400" s="186">
        <f>S400*H400</f>
        <v>0</v>
      </c>
      <c r="U400" s="32"/>
      <c r="V400" s="32"/>
      <c r="W400" s="32"/>
      <c r="X400" s="32"/>
      <c r="Y400" s="32"/>
      <c r="Z400" s="32"/>
      <c r="AA400" s="32"/>
      <c r="AB400" s="32"/>
      <c r="AC400" s="32"/>
      <c r="AD400" s="32"/>
      <c r="AE400" s="32"/>
      <c r="AR400" s="187" t="s">
        <v>270</v>
      </c>
      <c r="AT400" s="187" t="s">
        <v>198</v>
      </c>
      <c r="AU400" s="187" t="s">
        <v>79</v>
      </c>
      <c r="AY400" s="15" t="s">
        <v>196</v>
      </c>
      <c r="BE400" s="188">
        <f>IF(N400="základní",J400,0)</f>
        <v>0</v>
      </c>
      <c r="BF400" s="188">
        <f>IF(N400="snížená",J400,0)</f>
        <v>0</v>
      </c>
      <c r="BG400" s="188">
        <f>IF(N400="zákl. přenesená",J400,0)</f>
        <v>0</v>
      </c>
      <c r="BH400" s="188">
        <f>IF(N400="sníž. přenesená",J400,0)</f>
        <v>0</v>
      </c>
      <c r="BI400" s="188">
        <f>IF(N400="nulová",J400,0)</f>
        <v>0</v>
      </c>
      <c r="BJ400" s="15" t="s">
        <v>77</v>
      </c>
      <c r="BK400" s="188">
        <f>ROUND(I400*H400,2)</f>
        <v>0</v>
      </c>
      <c r="BL400" s="15" t="s">
        <v>270</v>
      </c>
      <c r="BM400" s="187" t="s">
        <v>993</v>
      </c>
    </row>
    <row r="401" spans="1:47" s="2" customFormat="1" ht="78">
      <c r="A401" s="32"/>
      <c r="B401" s="33"/>
      <c r="C401" s="34"/>
      <c r="D401" s="189" t="s">
        <v>208</v>
      </c>
      <c r="E401" s="34"/>
      <c r="F401" s="190" t="s">
        <v>989</v>
      </c>
      <c r="G401" s="34"/>
      <c r="H401" s="34"/>
      <c r="I401" s="191"/>
      <c r="J401" s="34"/>
      <c r="K401" s="34"/>
      <c r="L401" s="37"/>
      <c r="M401" s="192"/>
      <c r="N401" s="193"/>
      <c r="O401" s="62"/>
      <c r="P401" s="62"/>
      <c r="Q401" s="62"/>
      <c r="R401" s="62"/>
      <c r="S401" s="62"/>
      <c r="T401" s="63"/>
      <c r="U401" s="32"/>
      <c r="V401" s="32"/>
      <c r="W401" s="32"/>
      <c r="X401" s="32"/>
      <c r="Y401" s="32"/>
      <c r="Z401" s="32"/>
      <c r="AA401" s="32"/>
      <c r="AB401" s="32"/>
      <c r="AC401" s="32"/>
      <c r="AD401" s="32"/>
      <c r="AE401" s="32"/>
      <c r="AT401" s="15" t="s">
        <v>208</v>
      </c>
      <c r="AU401" s="15" t="s">
        <v>79</v>
      </c>
    </row>
    <row r="402" spans="2:63" s="12" customFormat="1" ht="22.9" customHeight="1">
      <c r="B402" s="160"/>
      <c r="C402" s="161"/>
      <c r="D402" s="162" t="s">
        <v>69</v>
      </c>
      <c r="E402" s="174" t="s">
        <v>994</v>
      </c>
      <c r="F402" s="174" t="s">
        <v>995</v>
      </c>
      <c r="G402" s="161"/>
      <c r="H402" s="161"/>
      <c r="I402" s="164"/>
      <c r="J402" s="175">
        <f>BK402</f>
        <v>0</v>
      </c>
      <c r="K402" s="161"/>
      <c r="L402" s="166"/>
      <c r="M402" s="167"/>
      <c r="N402" s="168"/>
      <c r="O402" s="168"/>
      <c r="P402" s="169">
        <f>SUM(P403:P443)</f>
        <v>0</v>
      </c>
      <c r="Q402" s="168"/>
      <c r="R402" s="169">
        <f>SUM(R403:R443)</f>
        <v>8.29024895</v>
      </c>
      <c r="S402" s="168"/>
      <c r="T402" s="170">
        <f>SUM(T403:T443)</f>
        <v>27.496002</v>
      </c>
      <c r="AR402" s="171" t="s">
        <v>79</v>
      </c>
      <c r="AT402" s="172" t="s">
        <v>69</v>
      </c>
      <c r="AU402" s="172" t="s">
        <v>77</v>
      </c>
      <c r="AY402" s="171" t="s">
        <v>196</v>
      </c>
      <c r="BK402" s="173">
        <f>SUM(BK403:BK443)</f>
        <v>0</v>
      </c>
    </row>
    <row r="403" spans="1:65" s="2" customFormat="1" ht="13.9" customHeight="1">
      <c r="A403" s="32"/>
      <c r="B403" s="33"/>
      <c r="C403" s="176" t="s">
        <v>996</v>
      </c>
      <c r="D403" s="176" t="s">
        <v>198</v>
      </c>
      <c r="E403" s="177" t="s">
        <v>997</v>
      </c>
      <c r="F403" s="178" t="s">
        <v>998</v>
      </c>
      <c r="G403" s="179" t="s">
        <v>253</v>
      </c>
      <c r="H403" s="180">
        <v>252.3</v>
      </c>
      <c r="I403" s="181"/>
      <c r="J403" s="182">
        <f>ROUND(I403*H403,2)</f>
        <v>0</v>
      </c>
      <c r="K403" s="178" t="s">
        <v>202</v>
      </c>
      <c r="L403" s="37"/>
      <c r="M403" s="183" t="s">
        <v>19</v>
      </c>
      <c r="N403" s="184" t="s">
        <v>41</v>
      </c>
      <c r="O403" s="62"/>
      <c r="P403" s="185">
        <f>O403*H403</f>
        <v>0</v>
      </c>
      <c r="Q403" s="185">
        <v>0</v>
      </c>
      <c r="R403" s="185">
        <f>Q403*H403</f>
        <v>0</v>
      </c>
      <c r="S403" s="185">
        <v>0</v>
      </c>
      <c r="T403" s="186">
        <f>S403*H403</f>
        <v>0</v>
      </c>
      <c r="U403" s="32"/>
      <c r="V403" s="32"/>
      <c r="W403" s="32"/>
      <c r="X403" s="32"/>
      <c r="Y403" s="32"/>
      <c r="Z403" s="32"/>
      <c r="AA403" s="32"/>
      <c r="AB403" s="32"/>
      <c r="AC403" s="32"/>
      <c r="AD403" s="32"/>
      <c r="AE403" s="32"/>
      <c r="AR403" s="187" t="s">
        <v>270</v>
      </c>
      <c r="AT403" s="187" t="s">
        <v>198</v>
      </c>
      <c r="AU403" s="187" t="s">
        <v>79</v>
      </c>
      <c r="AY403" s="15" t="s">
        <v>196</v>
      </c>
      <c r="BE403" s="188">
        <f>IF(N403="základní",J403,0)</f>
        <v>0</v>
      </c>
      <c r="BF403" s="188">
        <f>IF(N403="snížená",J403,0)</f>
        <v>0</v>
      </c>
      <c r="BG403" s="188">
        <f>IF(N403="zákl. přenesená",J403,0)</f>
        <v>0</v>
      </c>
      <c r="BH403" s="188">
        <f>IF(N403="sníž. přenesená",J403,0)</f>
        <v>0</v>
      </c>
      <c r="BI403" s="188">
        <f>IF(N403="nulová",J403,0)</f>
        <v>0</v>
      </c>
      <c r="BJ403" s="15" t="s">
        <v>77</v>
      </c>
      <c r="BK403" s="188">
        <f>ROUND(I403*H403,2)</f>
        <v>0</v>
      </c>
      <c r="BL403" s="15" t="s">
        <v>270</v>
      </c>
      <c r="BM403" s="187" t="s">
        <v>999</v>
      </c>
    </row>
    <row r="404" spans="1:47" s="2" customFormat="1" ht="48.75">
      <c r="A404" s="32"/>
      <c r="B404" s="33"/>
      <c r="C404" s="34"/>
      <c r="D404" s="189" t="s">
        <v>208</v>
      </c>
      <c r="E404" s="34"/>
      <c r="F404" s="190" t="s">
        <v>1000</v>
      </c>
      <c r="G404" s="34"/>
      <c r="H404" s="34"/>
      <c r="I404" s="191"/>
      <c r="J404" s="34"/>
      <c r="K404" s="34"/>
      <c r="L404" s="37"/>
      <c r="M404" s="192"/>
      <c r="N404" s="193"/>
      <c r="O404" s="62"/>
      <c r="P404" s="62"/>
      <c r="Q404" s="62"/>
      <c r="R404" s="62"/>
      <c r="S404" s="62"/>
      <c r="T404" s="63"/>
      <c r="U404" s="32"/>
      <c r="V404" s="32"/>
      <c r="W404" s="32"/>
      <c r="X404" s="32"/>
      <c r="Y404" s="32"/>
      <c r="Z404" s="32"/>
      <c r="AA404" s="32"/>
      <c r="AB404" s="32"/>
      <c r="AC404" s="32"/>
      <c r="AD404" s="32"/>
      <c r="AE404" s="32"/>
      <c r="AT404" s="15" t="s">
        <v>208</v>
      </c>
      <c r="AU404" s="15" t="s">
        <v>79</v>
      </c>
    </row>
    <row r="405" spans="1:65" s="2" customFormat="1" ht="13.9" customHeight="1">
      <c r="A405" s="32"/>
      <c r="B405" s="33"/>
      <c r="C405" s="176" t="s">
        <v>1001</v>
      </c>
      <c r="D405" s="176" t="s">
        <v>198</v>
      </c>
      <c r="E405" s="177" t="s">
        <v>1002</v>
      </c>
      <c r="F405" s="178" t="s">
        <v>1003</v>
      </c>
      <c r="G405" s="179" t="s">
        <v>253</v>
      </c>
      <c r="H405" s="180">
        <v>252.3</v>
      </c>
      <c r="I405" s="181"/>
      <c r="J405" s="182">
        <f>ROUND(I405*H405,2)</f>
        <v>0</v>
      </c>
      <c r="K405" s="178" t="s">
        <v>202</v>
      </c>
      <c r="L405" s="37"/>
      <c r="M405" s="183" t="s">
        <v>19</v>
      </c>
      <c r="N405" s="184" t="s">
        <v>41</v>
      </c>
      <c r="O405" s="62"/>
      <c r="P405" s="185">
        <f>O405*H405</f>
        <v>0</v>
      </c>
      <c r="Q405" s="185">
        <v>0.0003</v>
      </c>
      <c r="R405" s="185">
        <f>Q405*H405</f>
        <v>0.07569</v>
      </c>
      <c r="S405" s="185">
        <v>0</v>
      </c>
      <c r="T405" s="186">
        <f>S405*H405</f>
        <v>0</v>
      </c>
      <c r="U405" s="32"/>
      <c r="V405" s="32"/>
      <c r="W405" s="32"/>
      <c r="X405" s="32"/>
      <c r="Y405" s="32"/>
      <c r="Z405" s="32"/>
      <c r="AA405" s="32"/>
      <c r="AB405" s="32"/>
      <c r="AC405" s="32"/>
      <c r="AD405" s="32"/>
      <c r="AE405" s="32"/>
      <c r="AR405" s="187" t="s">
        <v>270</v>
      </c>
      <c r="AT405" s="187" t="s">
        <v>198</v>
      </c>
      <c r="AU405" s="187" t="s">
        <v>79</v>
      </c>
      <c r="AY405" s="15" t="s">
        <v>196</v>
      </c>
      <c r="BE405" s="188">
        <f>IF(N405="základní",J405,0)</f>
        <v>0</v>
      </c>
      <c r="BF405" s="188">
        <f>IF(N405="snížená",J405,0)</f>
        <v>0</v>
      </c>
      <c r="BG405" s="188">
        <f>IF(N405="zákl. přenesená",J405,0)</f>
        <v>0</v>
      </c>
      <c r="BH405" s="188">
        <f>IF(N405="sníž. přenesená",J405,0)</f>
        <v>0</v>
      </c>
      <c r="BI405" s="188">
        <f>IF(N405="nulová",J405,0)</f>
        <v>0</v>
      </c>
      <c r="BJ405" s="15" t="s">
        <v>77</v>
      </c>
      <c r="BK405" s="188">
        <f>ROUND(I405*H405,2)</f>
        <v>0</v>
      </c>
      <c r="BL405" s="15" t="s">
        <v>270</v>
      </c>
      <c r="BM405" s="187" t="s">
        <v>1004</v>
      </c>
    </row>
    <row r="406" spans="1:47" s="2" customFormat="1" ht="48.75">
      <c r="A406" s="32"/>
      <c r="B406" s="33"/>
      <c r="C406" s="34"/>
      <c r="D406" s="189" t="s">
        <v>208</v>
      </c>
      <c r="E406" s="34"/>
      <c r="F406" s="190" t="s">
        <v>1000</v>
      </c>
      <c r="G406" s="34"/>
      <c r="H406" s="34"/>
      <c r="I406" s="191"/>
      <c r="J406" s="34"/>
      <c r="K406" s="34"/>
      <c r="L406" s="37"/>
      <c r="M406" s="192"/>
      <c r="N406" s="193"/>
      <c r="O406" s="62"/>
      <c r="P406" s="62"/>
      <c r="Q406" s="62"/>
      <c r="R406" s="62"/>
      <c r="S406" s="62"/>
      <c r="T406" s="63"/>
      <c r="U406" s="32"/>
      <c r="V406" s="32"/>
      <c r="W406" s="32"/>
      <c r="X406" s="32"/>
      <c r="Y406" s="32"/>
      <c r="Z406" s="32"/>
      <c r="AA406" s="32"/>
      <c r="AB406" s="32"/>
      <c r="AC406" s="32"/>
      <c r="AD406" s="32"/>
      <c r="AE406" s="32"/>
      <c r="AT406" s="15" t="s">
        <v>208</v>
      </c>
      <c r="AU406" s="15" t="s">
        <v>79</v>
      </c>
    </row>
    <row r="407" spans="1:65" s="2" customFormat="1" ht="22.15" customHeight="1">
      <c r="A407" s="32"/>
      <c r="B407" s="33"/>
      <c r="C407" s="176" t="s">
        <v>1005</v>
      </c>
      <c r="D407" s="176" t="s">
        <v>198</v>
      </c>
      <c r="E407" s="177" t="s">
        <v>1006</v>
      </c>
      <c r="F407" s="178" t="s">
        <v>1007</v>
      </c>
      <c r="G407" s="179" t="s">
        <v>310</v>
      </c>
      <c r="H407" s="180">
        <v>27.7</v>
      </c>
      <c r="I407" s="181"/>
      <c r="J407" s="182">
        <f>ROUND(I407*H407,2)</f>
        <v>0</v>
      </c>
      <c r="K407" s="178" t="s">
        <v>202</v>
      </c>
      <c r="L407" s="37"/>
      <c r="M407" s="183" t="s">
        <v>19</v>
      </c>
      <c r="N407" s="184" t="s">
        <v>41</v>
      </c>
      <c r="O407" s="62"/>
      <c r="P407" s="185">
        <f>O407*H407</f>
        <v>0</v>
      </c>
      <c r="Q407" s="185">
        <v>0.0002</v>
      </c>
      <c r="R407" s="185">
        <f>Q407*H407</f>
        <v>0.00554</v>
      </c>
      <c r="S407" s="185">
        <v>0</v>
      </c>
      <c r="T407" s="186">
        <f>S407*H407</f>
        <v>0</v>
      </c>
      <c r="U407" s="32"/>
      <c r="V407" s="32"/>
      <c r="W407" s="32"/>
      <c r="X407" s="32"/>
      <c r="Y407" s="32"/>
      <c r="Z407" s="32"/>
      <c r="AA407" s="32"/>
      <c r="AB407" s="32"/>
      <c r="AC407" s="32"/>
      <c r="AD407" s="32"/>
      <c r="AE407" s="32"/>
      <c r="AR407" s="187" t="s">
        <v>270</v>
      </c>
      <c r="AT407" s="187" t="s">
        <v>198</v>
      </c>
      <c r="AU407" s="187" t="s">
        <v>79</v>
      </c>
      <c r="AY407" s="15" t="s">
        <v>196</v>
      </c>
      <c r="BE407" s="188">
        <f>IF(N407="základní",J407,0)</f>
        <v>0</v>
      </c>
      <c r="BF407" s="188">
        <f>IF(N407="snížená",J407,0)</f>
        <v>0</v>
      </c>
      <c r="BG407" s="188">
        <f>IF(N407="zákl. přenesená",J407,0)</f>
        <v>0</v>
      </c>
      <c r="BH407" s="188">
        <f>IF(N407="sníž. přenesená",J407,0)</f>
        <v>0</v>
      </c>
      <c r="BI407" s="188">
        <f>IF(N407="nulová",J407,0)</f>
        <v>0</v>
      </c>
      <c r="BJ407" s="15" t="s">
        <v>77</v>
      </c>
      <c r="BK407" s="188">
        <f>ROUND(I407*H407,2)</f>
        <v>0</v>
      </c>
      <c r="BL407" s="15" t="s">
        <v>270</v>
      </c>
      <c r="BM407" s="187" t="s">
        <v>1008</v>
      </c>
    </row>
    <row r="408" spans="1:47" s="2" customFormat="1" ht="48.75">
      <c r="A408" s="32"/>
      <c r="B408" s="33"/>
      <c r="C408" s="34"/>
      <c r="D408" s="189" t="s">
        <v>208</v>
      </c>
      <c r="E408" s="34"/>
      <c r="F408" s="190" t="s">
        <v>1000</v>
      </c>
      <c r="G408" s="34"/>
      <c r="H408" s="34"/>
      <c r="I408" s="191"/>
      <c r="J408" s="34"/>
      <c r="K408" s="34"/>
      <c r="L408" s="37"/>
      <c r="M408" s="192"/>
      <c r="N408" s="193"/>
      <c r="O408" s="62"/>
      <c r="P408" s="62"/>
      <c r="Q408" s="62"/>
      <c r="R408" s="62"/>
      <c r="S408" s="62"/>
      <c r="T408" s="63"/>
      <c r="U408" s="32"/>
      <c r="V408" s="32"/>
      <c r="W408" s="32"/>
      <c r="X408" s="32"/>
      <c r="Y408" s="32"/>
      <c r="Z408" s="32"/>
      <c r="AA408" s="32"/>
      <c r="AB408" s="32"/>
      <c r="AC408" s="32"/>
      <c r="AD408" s="32"/>
      <c r="AE408" s="32"/>
      <c r="AT408" s="15" t="s">
        <v>208</v>
      </c>
      <c r="AU408" s="15" t="s">
        <v>79</v>
      </c>
    </row>
    <row r="409" spans="1:65" s="2" customFormat="1" ht="13.9" customHeight="1">
      <c r="A409" s="32"/>
      <c r="B409" s="33"/>
      <c r="C409" s="194" t="s">
        <v>1009</v>
      </c>
      <c r="D409" s="194" t="s">
        <v>411</v>
      </c>
      <c r="E409" s="195" t="s">
        <v>1010</v>
      </c>
      <c r="F409" s="196" t="s">
        <v>1011</v>
      </c>
      <c r="G409" s="197" t="s">
        <v>310</v>
      </c>
      <c r="H409" s="198">
        <v>25.095</v>
      </c>
      <c r="I409" s="199"/>
      <c r="J409" s="200">
        <f>ROUND(I409*H409,2)</f>
        <v>0</v>
      </c>
      <c r="K409" s="196" t="s">
        <v>19</v>
      </c>
      <c r="L409" s="201"/>
      <c r="M409" s="202" t="s">
        <v>19</v>
      </c>
      <c r="N409" s="203" t="s">
        <v>41</v>
      </c>
      <c r="O409" s="62"/>
      <c r="P409" s="185">
        <f>O409*H409</f>
        <v>0</v>
      </c>
      <c r="Q409" s="185">
        <v>0.001</v>
      </c>
      <c r="R409" s="185">
        <f>Q409*H409</f>
        <v>0.025095</v>
      </c>
      <c r="S409" s="185">
        <v>0</v>
      </c>
      <c r="T409" s="186">
        <f>S409*H409</f>
        <v>0</v>
      </c>
      <c r="U409" s="32"/>
      <c r="V409" s="32"/>
      <c r="W409" s="32"/>
      <c r="X409" s="32"/>
      <c r="Y409" s="32"/>
      <c r="Z409" s="32"/>
      <c r="AA409" s="32"/>
      <c r="AB409" s="32"/>
      <c r="AC409" s="32"/>
      <c r="AD409" s="32"/>
      <c r="AE409" s="32"/>
      <c r="AR409" s="187" t="s">
        <v>340</v>
      </c>
      <c r="AT409" s="187" t="s">
        <v>411</v>
      </c>
      <c r="AU409" s="187" t="s">
        <v>79</v>
      </c>
      <c r="AY409" s="15" t="s">
        <v>196</v>
      </c>
      <c r="BE409" s="188">
        <f>IF(N409="základní",J409,0)</f>
        <v>0</v>
      </c>
      <c r="BF409" s="188">
        <f>IF(N409="snížená",J409,0)</f>
        <v>0</v>
      </c>
      <c r="BG409" s="188">
        <f>IF(N409="zákl. přenesená",J409,0)</f>
        <v>0</v>
      </c>
      <c r="BH409" s="188">
        <f>IF(N409="sníž. přenesená",J409,0)</f>
        <v>0</v>
      </c>
      <c r="BI409" s="188">
        <f>IF(N409="nulová",J409,0)</f>
        <v>0</v>
      </c>
      <c r="BJ409" s="15" t="s">
        <v>77</v>
      </c>
      <c r="BK409" s="188">
        <f>ROUND(I409*H409,2)</f>
        <v>0</v>
      </c>
      <c r="BL409" s="15" t="s">
        <v>270</v>
      </c>
      <c r="BM409" s="187" t="s">
        <v>1012</v>
      </c>
    </row>
    <row r="410" spans="1:65" s="2" customFormat="1" ht="13.9" customHeight="1">
      <c r="A410" s="32"/>
      <c r="B410" s="33"/>
      <c r="C410" s="194" t="s">
        <v>1013</v>
      </c>
      <c r="D410" s="194" t="s">
        <v>411</v>
      </c>
      <c r="E410" s="195" t="s">
        <v>1014</v>
      </c>
      <c r="F410" s="196" t="s">
        <v>1015</v>
      </c>
      <c r="G410" s="197" t="s">
        <v>310</v>
      </c>
      <c r="H410" s="198">
        <v>1.05</v>
      </c>
      <c r="I410" s="199"/>
      <c r="J410" s="200">
        <f>ROUND(I410*H410,2)</f>
        <v>0</v>
      </c>
      <c r="K410" s="196" t="s">
        <v>19</v>
      </c>
      <c r="L410" s="201"/>
      <c r="M410" s="202" t="s">
        <v>19</v>
      </c>
      <c r="N410" s="203" t="s">
        <v>41</v>
      </c>
      <c r="O410" s="62"/>
      <c r="P410" s="185">
        <f>O410*H410</f>
        <v>0</v>
      </c>
      <c r="Q410" s="185">
        <v>0.001</v>
      </c>
      <c r="R410" s="185">
        <f>Q410*H410</f>
        <v>0.0010500000000000002</v>
      </c>
      <c r="S410" s="185">
        <v>0</v>
      </c>
      <c r="T410" s="186">
        <f>S410*H410</f>
        <v>0</v>
      </c>
      <c r="U410" s="32"/>
      <c r="V410" s="32"/>
      <c r="W410" s="32"/>
      <c r="X410" s="32"/>
      <c r="Y410" s="32"/>
      <c r="Z410" s="32"/>
      <c r="AA410" s="32"/>
      <c r="AB410" s="32"/>
      <c r="AC410" s="32"/>
      <c r="AD410" s="32"/>
      <c r="AE410" s="32"/>
      <c r="AR410" s="187" t="s">
        <v>340</v>
      </c>
      <c r="AT410" s="187" t="s">
        <v>411</v>
      </c>
      <c r="AU410" s="187" t="s">
        <v>79</v>
      </c>
      <c r="AY410" s="15" t="s">
        <v>196</v>
      </c>
      <c r="BE410" s="188">
        <f>IF(N410="základní",J410,0)</f>
        <v>0</v>
      </c>
      <c r="BF410" s="188">
        <f>IF(N410="snížená",J410,0)</f>
        <v>0</v>
      </c>
      <c r="BG410" s="188">
        <f>IF(N410="zákl. přenesená",J410,0)</f>
        <v>0</v>
      </c>
      <c r="BH410" s="188">
        <f>IF(N410="sníž. přenesená",J410,0)</f>
        <v>0</v>
      </c>
      <c r="BI410" s="188">
        <f>IF(N410="nulová",J410,0)</f>
        <v>0</v>
      </c>
      <c r="BJ410" s="15" t="s">
        <v>77</v>
      </c>
      <c r="BK410" s="188">
        <f>ROUND(I410*H410,2)</f>
        <v>0</v>
      </c>
      <c r="BL410" s="15" t="s">
        <v>270</v>
      </c>
      <c r="BM410" s="187" t="s">
        <v>1016</v>
      </c>
    </row>
    <row r="411" spans="1:65" s="2" customFormat="1" ht="13.9" customHeight="1">
      <c r="A411" s="32"/>
      <c r="B411" s="33"/>
      <c r="C411" s="194" t="s">
        <v>1017</v>
      </c>
      <c r="D411" s="194" t="s">
        <v>411</v>
      </c>
      <c r="E411" s="195" t="s">
        <v>1018</v>
      </c>
      <c r="F411" s="196" t="s">
        <v>1019</v>
      </c>
      <c r="G411" s="197" t="s">
        <v>310</v>
      </c>
      <c r="H411" s="198">
        <v>2.94</v>
      </c>
      <c r="I411" s="199"/>
      <c r="J411" s="200">
        <f>ROUND(I411*H411,2)</f>
        <v>0</v>
      </c>
      <c r="K411" s="196" t="s">
        <v>19</v>
      </c>
      <c r="L411" s="201"/>
      <c r="M411" s="202" t="s">
        <v>19</v>
      </c>
      <c r="N411" s="203" t="s">
        <v>41</v>
      </c>
      <c r="O411" s="62"/>
      <c r="P411" s="185">
        <f>O411*H411</f>
        <v>0</v>
      </c>
      <c r="Q411" s="185">
        <v>0.001</v>
      </c>
      <c r="R411" s="185">
        <f>Q411*H411</f>
        <v>0.00294</v>
      </c>
      <c r="S411" s="185">
        <v>0</v>
      </c>
      <c r="T411" s="186">
        <f>S411*H411</f>
        <v>0</v>
      </c>
      <c r="U411" s="32"/>
      <c r="V411" s="32"/>
      <c r="W411" s="32"/>
      <c r="X411" s="32"/>
      <c r="Y411" s="32"/>
      <c r="Z411" s="32"/>
      <c r="AA411" s="32"/>
      <c r="AB411" s="32"/>
      <c r="AC411" s="32"/>
      <c r="AD411" s="32"/>
      <c r="AE411" s="32"/>
      <c r="AR411" s="187" t="s">
        <v>340</v>
      </c>
      <c r="AT411" s="187" t="s">
        <v>411</v>
      </c>
      <c r="AU411" s="187" t="s">
        <v>79</v>
      </c>
      <c r="AY411" s="15" t="s">
        <v>196</v>
      </c>
      <c r="BE411" s="188">
        <f>IF(N411="základní",J411,0)</f>
        <v>0</v>
      </c>
      <c r="BF411" s="188">
        <f>IF(N411="snížená",J411,0)</f>
        <v>0</v>
      </c>
      <c r="BG411" s="188">
        <f>IF(N411="zákl. přenesená",J411,0)</f>
        <v>0</v>
      </c>
      <c r="BH411" s="188">
        <f>IF(N411="sníž. přenesená",J411,0)</f>
        <v>0</v>
      </c>
      <c r="BI411" s="188">
        <f>IF(N411="nulová",J411,0)</f>
        <v>0</v>
      </c>
      <c r="BJ411" s="15" t="s">
        <v>77</v>
      </c>
      <c r="BK411" s="188">
        <f>ROUND(I411*H411,2)</f>
        <v>0</v>
      </c>
      <c r="BL411" s="15" t="s">
        <v>270</v>
      </c>
      <c r="BM411" s="187" t="s">
        <v>1020</v>
      </c>
    </row>
    <row r="412" spans="1:65" s="2" customFormat="1" ht="13.9" customHeight="1">
      <c r="A412" s="32"/>
      <c r="B412" s="33"/>
      <c r="C412" s="176" t="s">
        <v>1021</v>
      </c>
      <c r="D412" s="176" t="s">
        <v>198</v>
      </c>
      <c r="E412" s="177" t="s">
        <v>1022</v>
      </c>
      <c r="F412" s="178" t="s">
        <v>1023</v>
      </c>
      <c r="G412" s="179" t="s">
        <v>310</v>
      </c>
      <c r="H412" s="180">
        <v>9.3</v>
      </c>
      <c r="I412" s="181"/>
      <c r="J412" s="182">
        <f>ROUND(I412*H412,2)</f>
        <v>0</v>
      </c>
      <c r="K412" s="178" t="s">
        <v>19</v>
      </c>
      <c r="L412" s="37"/>
      <c r="M412" s="183" t="s">
        <v>19</v>
      </c>
      <c r="N412" s="184" t="s">
        <v>41</v>
      </c>
      <c r="O412" s="62"/>
      <c r="P412" s="185">
        <f>O412*H412</f>
        <v>0</v>
      </c>
      <c r="Q412" s="185">
        <v>0.00034</v>
      </c>
      <c r="R412" s="185">
        <f>Q412*H412</f>
        <v>0.0031620000000000003</v>
      </c>
      <c r="S412" s="185">
        <v>0</v>
      </c>
      <c r="T412" s="186">
        <f>S412*H412</f>
        <v>0</v>
      </c>
      <c r="U412" s="32"/>
      <c r="V412" s="32"/>
      <c r="W412" s="32"/>
      <c r="X412" s="32"/>
      <c r="Y412" s="32"/>
      <c r="Z412" s="32"/>
      <c r="AA412" s="32"/>
      <c r="AB412" s="32"/>
      <c r="AC412" s="32"/>
      <c r="AD412" s="32"/>
      <c r="AE412" s="32"/>
      <c r="AR412" s="187" t="s">
        <v>270</v>
      </c>
      <c r="AT412" s="187" t="s">
        <v>198</v>
      </c>
      <c r="AU412" s="187" t="s">
        <v>79</v>
      </c>
      <c r="AY412" s="15" t="s">
        <v>196</v>
      </c>
      <c r="BE412" s="188">
        <f>IF(N412="základní",J412,0)</f>
        <v>0</v>
      </c>
      <c r="BF412" s="188">
        <f>IF(N412="snížená",J412,0)</f>
        <v>0</v>
      </c>
      <c r="BG412" s="188">
        <f>IF(N412="zákl. přenesená",J412,0)</f>
        <v>0</v>
      </c>
      <c r="BH412" s="188">
        <f>IF(N412="sníž. přenesená",J412,0)</f>
        <v>0</v>
      </c>
      <c r="BI412" s="188">
        <f>IF(N412="nulová",J412,0)</f>
        <v>0</v>
      </c>
      <c r="BJ412" s="15" t="s">
        <v>77</v>
      </c>
      <c r="BK412" s="188">
        <f>ROUND(I412*H412,2)</f>
        <v>0</v>
      </c>
      <c r="BL412" s="15" t="s">
        <v>270</v>
      </c>
      <c r="BM412" s="187" t="s">
        <v>1024</v>
      </c>
    </row>
    <row r="413" spans="1:47" s="2" customFormat="1" ht="48.75">
      <c r="A413" s="32"/>
      <c r="B413" s="33"/>
      <c r="C413" s="34"/>
      <c r="D413" s="189" t="s">
        <v>208</v>
      </c>
      <c r="E413" s="34"/>
      <c r="F413" s="190" t="s">
        <v>1000</v>
      </c>
      <c r="G413" s="34"/>
      <c r="H413" s="34"/>
      <c r="I413" s="191"/>
      <c r="J413" s="34"/>
      <c r="K413" s="34"/>
      <c r="L413" s="37"/>
      <c r="M413" s="192"/>
      <c r="N413" s="193"/>
      <c r="O413" s="62"/>
      <c r="P413" s="62"/>
      <c r="Q413" s="62"/>
      <c r="R413" s="62"/>
      <c r="S413" s="62"/>
      <c r="T413" s="63"/>
      <c r="U413" s="32"/>
      <c r="V413" s="32"/>
      <c r="W413" s="32"/>
      <c r="X413" s="32"/>
      <c r="Y413" s="32"/>
      <c r="Z413" s="32"/>
      <c r="AA413" s="32"/>
      <c r="AB413" s="32"/>
      <c r="AC413" s="32"/>
      <c r="AD413" s="32"/>
      <c r="AE413" s="32"/>
      <c r="AT413" s="15" t="s">
        <v>208</v>
      </c>
      <c r="AU413" s="15" t="s">
        <v>79</v>
      </c>
    </row>
    <row r="414" spans="1:65" s="2" customFormat="1" ht="13.9" customHeight="1">
      <c r="A414" s="32"/>
      <c r="B414" s="33"/>
      <c r="C414" s="194" t="s">
        <v>1025</v>
      </c>
      <c r="D414" s="194" t="s">
        <v>411</v>
      </c>
      <c r="E414" s="195" t="s">
        <v>1026</v>
      </c>
      <c r="F414" s="196" t="s">
        <v>1027</v>
      </c>
      <c r="G414" s="197" t="s">
        <v>310</v>
      </c>
      <c r="H414" s="198">
        <v>9.765</v>
      </c>
      <c r="I414" s="199"/>
      <c r="J414" s="200">
        <f aca="true" t="shared" si="40" ref="J414:J423">ROUND(I414*H414,2)</f>
        <v>0</v>
      </c>
      <c r="K414" s="196" t="s">
        <v>19</v>
      </c>
      <c r="L414" s="201"/>
      <c r="M414" s="202" t="s">
        <v>19</v>
      </c>
      <c r="N414" s="203" t="s">
        <v>41</v>
      </c>
      <c r="O414" s="62"/>
      <c r="P414" s="185">
        <f aca="true" t="shared" si="41" ref="P414:P423">O414*H414</f>
        <v>0</v>
      </c>
      <c r="Q414" s="185">
        <v>0</v>
      </c>
      <c r="R414" s="185">
        <f aca="true" t="shared" si="42" ref="R414:R423">Q414*H414</f>
        <v>0</v>
      </c>
      <c r="S414" s="185">
        <v>0</v>
      </c>
      <c r="T414" s="186">
        <f aca="true" t="shared" si="43" ref="T414:T423">S414*H414</f>
        <v>0</v>
      </c>
      <c r="U414" s="32"/>
      <c r="V414" s="32"/>
      <c r="W414" s="32"/>
      <c r="X414" s="32"/>
      <c r="Y414" s="32"/>
      <c r="Z414" s="32"/>
      <c r="AA414" s="32"/>
      <c r="AB414" s="32"/>
      <c r="AC414" s="32"/>
      <c r="AD414" s="32"/>
      <c r="AE414" s="32"/>
      <c r="AR414" s="187" t="s">
        <v>340</v>
      </c>
      <c r="AT414" s="187" t="s">
        <v>411</v>
      </c>
      <c r="AU414" s="187" t="s">
        <v>79</v>
      </c>
      <c r="AY414" s="15" t="s">
        <v>196</v>
      </c>
      <c r="BE414" s="188">
        <f aca="true" t="shared" si="44" ref="BE414:BE423">IF(N414="základní",J414,0)</f>
        <v>0</v>
      </c>
      <c r="BF414" s="188">
        <f aca="true" t="shared" si="45" ref="BF414:BF423">IF(N414="snížená",J414,0)</f>
        <v>0</v>
      </c>
      <c r="BG414" s="188">
        <f aca="true" t="shared" si="46" ref="BG414:BG423">IF(N414="zákl. přenesená",J414,0)</f>
        <v>0</v>
      </c>
      <c r="BH414" s="188">
        <f aca="true" t="shared" si="47" ref="BH414:BH423">IF(N414="sníž. přenesená",J414,0)</f>
        <v>0</v>
      </c>
      <c r="BI414" s="188">
        <f aca="true" t="shared" si="48" ref="BI414:BI423">IF(N414="nulová",J414,0)</f>
        <v>0</v>
      </c>
      <c r="BJ414" s="15" t="s">
        <v>77</v>
      </c>
      <c r="BK414" s="188">
        <f aca="true" t="shared" si="49" ref="BK414:BK423">ROUND(I414*H414,2)</f>
        <v>0</v>
      </c>
      <c r="BL414" s="15" t="s">
        <v>270</v>
      </c>
      <c r="BM414" s="187" t="s">
        <v>1028</v>
      </c>
    </row>
    <row r="415" spans="1:65" s="2" customFormat="1" ht="13.9" customHeight="1">
      <c r="A415" s="32"/>
      <c r="B415" s="33"/>
      <c r="C415" s="176" t="s">
        <v>1029</v>
      </c>
      <c r="D415" s="176" t="s">
        <v>198</v>
      </c>
      <c r="E415" s="177" t="s">
        <v>1030</v>
      </c>
      <c r="F415" s="178" t="s">
        <v>1031</v>
      </c>
      <c r="G415" s="179" t="s">
        <v>310</v>
      </c>
      <c r="H415" s="180">
        <v>189.8</v>
      </c>
      <c r="I415" s="181"/>
      <c r="J415" s="182">
        <f t="shared" si="40"/>
        <v>0</v>
      </c>
      <c r="K415" s="178" t="s">
        <v>19</v>
      </c>
      <c r="L415" s="37"/>
      <c r="M415" s="183" t="s">
        <v>19</v>
      </c>
      <c r="N415" s="184" t="s">
        <v>41</v>
      </c>
      <c r="O415" s="62"/>
      <c r="P415" s="185">
        <f t="shared" si="41"/>
        <v>0</v>
      </c>
      <c r="Q415" s="185">
        <v>0.00043</v>
      </c>
      <c r="R415" s="185">
        <f t="shared" si="42"/>
        <v>0.081614</v>
      </c>
      <c r="S415" s="185">
        <v>0</v>
      </c>
      <c r="T415" s="186">
        <f t="shared" si="43"/>
        <v>0</v>
      </c>
      <c r="U415" s="32"/>
      <c r="V415" s="32"/>
      <c r="W415" s="32"/>
      <c r="X415" s="32"/>
      <c r="Y415" s="32"/>
      <c r="Z415" s="32"/>
      <c r="AA415" s="32"/>
      <c r="AB415" s="32"/>
      <c r="AC415" s="32"/>
      <c r="AD415" s="32"/>
      <c r="AE415" s="32"/>
      <c r="AR415" s="187" t="s">
        <v>270</v>
      </c>
      <c r="AT415" s="187" t="s">
        <v>198</v>
      </c>
      <c r="AU415" s="187" t="s">
        <v>79</v>
      </c>
      <c r="AY415" s="15" t="s">
        <v>196</v>
      </c>
      <c r="BE415" s="188">
        <f t="shared" si="44"/>
        <v>0</v>
      </c>
      <c r="BF415" s="188">
        <f t="shared" si="45"/>
        <v>0</v>
      </c>
      <c r="BG415" s="188">
        <f t="shared" si="46"/>
        <v>0</v>
      </c>
      <c r="BH415" s="188">
        <f t="shared" si="47"/>
        <v>0</v>
      </c>
      <c r="BI415" s="188">
        <f t="shared" si="48"/>
        <v>0</v>
      </c>
      <c r="BJ415" s="15" t="s">
        <v>77</v>
      </c>
      <c r="BK415" s="188">
        <f t="shared" si="49"/>
        <v>0</v>
      </c>
      <c r="BL415" s="15" t="s">
        <v>270</v>
      </c>
      <c r="BM415" s="187" t="s">
        <v>1032</v>
      </c>
    </row>
    <row r="416" spans="1:65" s="2" customFormat="1" ht="13.9" customHeight="1">
      <c r="A416" s="32"/>
      <c r="B416" s="33"/>
      <c r="C416" s="194" t="s">
        <v>1033</v>
      </c>
      <c r="D416" s="194" t="s">
        <v>411</v>
      </c>
      <c r="E416" s="195" t="s">
        <v>1034</v>
      </c>
      <c r="F416" s="196" t="s">
        <v>1035</v>
      </c>
      <c r="G416" s="197" t="s">
        <v>258</v>
      </c>
      <c r="H416" s="198">
        <v>148.608</v>
      </c>
      <c r="I416" s="199"/>
      <c r="J416" s="200">
        <f t="shared" si="40"/>
        <v>0</v>
      </c>
      <c r="K416" s="196" t="s">
        <v>19</v>
      </c>
      <c r="L416" s="201"/>
      <c r="M416" s="202" t="s">
        <v>19</v>
      </c>
      <c r="N416" s="203" t="s">
        <v>41</v>
      </c>
      <c r="O416" s="62"/>
      <c r="P416" s="185">
        <f t="shared" si="41"/>
        <v>0</v>
      </c>
      <c r="Q416" s="185">
        <v>0.00036</v>
      </c>
      <c r="R416" s="185">
        <f t="shared" si="42"/>
        <v>0.053498880000000006</v>
      </c>
      <c r="S416" s="185">
        <v>0</v>
      </c>
      <c r="T416" s="186">
        <f t="shared" si="43"/>
        <v>0</v>
      </c>
      <c r="U416" s="32"/>
      <c r="V416" s="32"/>
      <c r="W416" s="32"/>
      <c r="X416" s="32"/>
      <c r="Y416" s="32"/>
      <c r="Z416" s="32"/>
      <c r="AA416" s="32"/>
      <c r="AB416" s="32"/>
      <c r="AC416" s="32"/>
      <c r="AD416" s="32"/>
      <c r="AE416" s="32"/>
      <c r="AR416" s="187" t="s">
        <v>340</v>
      </c>
      <c r="AT416" s="187" t="s">
        <v>411</v>
      </c>
      <c r="AU416" s="187" t="s">
        <v>79</v>
      </c>
      <c r="AY416" s="15" t="s">
        <v>196</v>
      </c>
      <c r="BE416" s="188">
        <f t="shared" si="44"/>
        <v>0</v>
      </c>
      <c r="BF416" s="188">
        <f t="shared" si="45"/>
        <v>0</v>
      </c>
      <c r="BG416" s="188">
        <f t="shared" si="46"/>
        <v>0</v>
      </c>
      <c r="BH416" s="188">
        <f t="shared" si="47"/>
        <v>0</v>
      </c>
      <c r="BI416" s="188">
        <f t="shared" si="48"/>
        <v>0</v>
      </c>
      <c r="BJ416" s="15" t="s">
        <v>77</v>
      </c>
      <c r="BK416" s="188">
        <f t="shared" si="49"/>
        <v>0</v>
      </c>
      <c r="BL416" s="15" t="s">
        <v>270</v>
      </c>
      <c r="BM416" s="187" t="s">
        <v>1036</v>
      </c>
    </row>
    <row r="417" spans="1:65" s="2" customFormat="1" ht="13.9" customHeight="1">
      <c r="A417" s="32"/>
      <c r="B417" s="33"/>
      <c r="C417" s="194" t="s">
        <v>256</v>
      </c>
      <c r="D417" s="194" t="s">
        <v>411</v>
      </c>
      <c r="E417" s="195" t="s">
        <v>1037</v>
      </c>
      <c r="F417" s="196" t="s">
        <v>1038</v>
      </c>
      <c r="G417" s="197" t="s">
        <v>258</v>
      </c>
      <c r="H417" s="198">
        <v>15.552</v>
      </c>
      <c r="I417" s="199"/>
      <c r="J417" s="200">
        <f t="shared" si="40"/>
        <v>0</v>
      </c>
      <c r="K417" s="196" t="s">
        <v>19</v>
      </c>
      <c r="L417" s="201"/>
      <c r="M417" s="202" t="s">
        <v>19</v>
      </c>
      <c r="N417" s="203" t="s">
        <v>41</v>
      </c>
      <c r="O417" s="62"/>
      <c r="P417" s="185">
        <f t="shared" si="41"/>
        <v>0</v>
      </c>
      <c r="Q417" s="185">
        <v>0.00036</v>
      </c>
      <c r="R417" s="185">
        <f t="shared" si="42"/>
        <v>0.005598720000000001</v>
      </c>
      <c r="S417" s="185">
        <v>0</v>
      </c>
      <c r="T417" s="186">
        <f t="shared" si="43"/>
        <v>0</v>
      </c>
      <c r="U417" s="32"/>
      <c r="V417" s="32"/>
      <c r="W417" s="32"/>
      <c r="X417" s="32"/>
      <c r="Y417" s="32"/>
      <c r="Z417" s="32"/>
      <c r="AA417" s="32"/>
      <c r="AB417" s="32"/>
      <c r="AC417" s="32"/>
      <c r="AD417" s="32"/>
      <c r="AE417" s="32"/>
      <c r="AR417" s="187" t="s">
        <v>340</v>
      </c>
      <c r="AT417" s="187" t="s">
        <v>411</v>
      </c>
      <c r="AU417" s="187" t="s">
        <v>79</v>
      </c>
      <c r="AY417" s="15" t="s">
        <v>196</v>
      </c>
      <c r="BE417" s="188">
        <f t="shared" si="44"/>
        <v>0</v>
      </c>
      <c r="BF417" s="188">
        <f t="shared" si="45"/>
        <v>0</v>
      </c>
      <c r="BG417" s="188">
        <f t="shared" si="46"/>
        <v>0</v>
      </c>
      <c r="BH417" s="188">
        <f t="shared" si="47"/>
        <v>0</v>
      </c>
      <c r="BI417" s="188">
        <f t="shared" si="48"/>
        <v>0</v>
      </c>
      <c r="BJ417" s="15" t="s">
        <v>77</v>
      </c>
      <c r="BK417" s="188">
        <f t="shared" si="49"/>
        <v>0</v>
      </c>
      <c r="BL417" s="15" t="s">
        <v>270</v>
      </c>
      <c r="BM417" s="187" t="s">
        <v>1039</v>
      </c>
    </row>
    <row r="418" spans="1:65" s="2" customFormat="1" ht="13.9" customHeight="1">
      <c r="A418" s="32"/>
      <c r="B418" s="33"/>
      <c r="C418" s="194" t="s">
        <v>1040</v>
      </c>
      <c r="D418" s="194" t="s">
        <v>411</v>
      </c>
      <c r="E418" s="195" t="s">
        <v>1041</v>
      </c>
      <c r="F418" s="196" t="s">
        <v>1042</v>
      </c>
      <c r="G418" s="197" t="s">
        <v>258</v>
      </c>
      <c r="H418" s="198">
        <v>56.61</v>
      </c>
      <c r="I418" s="199"/>
      <c r="J418" s="200">
        <f t="shared" si="40"/>
        <v>0</v>
      </c>
      <c r="K418" s="196" t="s">
        <v>19</v>
      </c>
      <c r="L418" s="201"/>
      <c r="M418" s="202" t="s">
        <v>19</v>
      </c>
      <c r="N418" s="203" t="s">
        <v>41</v>
      </c>
      <c r="O418" s="62"/>
      <c r="P418" s="185">
        <f t="shared" si="41"/>
        <v>0</v>
      </c>
      <c r="Q418" s="185">
        <v>0.00045</v>
      </c>
      <c r="R418" s="185">
        <f t="shared" si="42"/>
        <v>0.0254745</v>
      </c>
      <c r="S418" s="185">
        <v>0</v>
      </c>
      <c r="T418" s="186">
        <f t="shared" si="43"/>
        <v>0</v>
      </c>
      <c r="U418" s="32"/>
      <c r="V418" s="32"/>
      <c r="W418" s="32"/>
      <c r="X418" s="32"/>
      <c r="Y418" s="32"/>
      <c r="Z418" s="32"/>
      <c r="AA418" s="32"/>
      <c r="AB418" s="32"/>
      <c r="AC418" s="32"/>
      <c r="AD418" s="32"/>
      <c r="AE418" s="32"/>
      <c r="AR418" s="187" t="s">
        <v>340</v>
      </c>
      <c r="AT418" s="187" t="s">
        <v>411</v>
      </c>
      <c r="AU418" s="187" t="s">
        <v>79</v>
      </c>
      <c r="AY418" s="15" t="s">
        <v>196</v>
      </c>
      <c r="BE418" s="188">
        <f t="shared" si="44"/>
        <v>0</v>
      </c>
      <c r="BF418" s="188">
        <f t="shared" si="45"/>
        <v>0</v>
      </c>
      <c r="BG418" s="188">
        <f t="shared" si="46"/>
        <v>0</v>
      </c>
      <c r="BH418" s="188">
        <f t="shared" si="47"/>
        <v>0</v>
      </c>
      <c r="BI418" s="188">
        <f t="shared" si="48"/>
        <v>0</v>
      </c>
      <c r="BJ418" s="15" t="s">
        <v>77</v>
      </c>
      <c r="BK418" s="188">
        <f t="shared" si="49"/>
        <v>0</v>
      </c>
      <c r="BL418" s="15" t="s">
        <v>270</v>
      </c>
      <c r="BM418" s="187" t="s">
        <v>1043</v>
      </c>
    </row>
    <row r="419" spans="1:65" s="2" customFormat="1" ht="13.9" customHeight="1">
      <c r="A419" s="32"/>
      <c r="B419" s="33"/>
      <c r="C419" s="194" t="s">
        <v>1044</v>
      </c>
      <c r="D419" s="194" t="s">
        <v>411</v>
      </c>
      <c r="E419" s="195" t="s">
        <v>1045</v>
      </c>
      <c r="F419" s="196" t="s">
        <v>1046</v>
      </c>
      <c r="G419" s="197" t="s">
        <v>258</v>
      </c>
      <c r="H419" s="198">
        <v>212.85</v>
      </c>
      <c r="I419" s="199"/>
      <c r="J419" s="200">
        <f t="shared" si="40"/>
        <v>0</v>
      </c>
      <c r="K419" s="196" t="s">
        <v>19</v>
      </c>
      <c r="L419" s="201"/>
      <c r="M419" s="202" t="s">
        <v>19</v>
      </c>
      <c r="N419" s="203" t="s">
        <v>41</v>
      </c>
      <c r="O419" s="62"/>
      <c r="P419" s="185">
        <f t="shared" si="41"/>
        <v>0</v>
      </c>
      <c r="Q419" s="185">
        <v>0.00045</v>
      </c>
      <c r="R419" s="185">
        <f t="shared" si="42"/>
        <v>0.09578249999999999</v>
      </c>
      <c r="S419" s="185">
        <v>0</v>
      </c>
      <c r="T419" s="186">
        <f t="shared" si="43"/>
        <v>0</v>
      </c>
      <c r="U419" s="32"/>
      <c r="V419" s="32"/>
      <c r="W419" s="32"/>
      <c r="X419" s="32"/>
      <c r="Y419" s="32"/>
      <c r="Z419" s="32"/>
      <c r="AA419" s="32"/>
      <c r="AB419" s="32"/>
      <c r="AC419" s="32"/>
      <c r="AD419" s="32"/>
      <c r="AE419" s="32"/>
      <c r="AR419" s="187" t="s">
        <v>340</v>
      </c>
      <c r="AT419" s="187" t="s">
        <v>411</v>
      </c>
      <c r="AU419" s="187" t="s">
        <v>79</v>
      </c>
      <c r="AY419" s="15" t="s">
        <v>196</v>
      </c>
      <c r="BE419" s="188">
        <f t="shared" si="44"/>
        <v>0</v>
      </c>
      <c r="BF419" s="188">
        <f t="shared" si="45"/>
        <v>0</v>
      </c>
      <c r="BG419" s="188">
        <f t="shared" si="46"/>
        <v>0</v>
      </c>
      <c r="BH419" s="188">
        <f t="shared" si="47"/>
        <v>0</v>
      </c>
      <c r="BI419" s="188">
        <f t="shared" si="48"/>
        <v>0</v>
      </c>
      <c r="BJ419" s="15" t="s">
        <v>77</v>
      </c>
      <c r="BK419" s="188">
        <f t="shared" si="49"/>
        <v>0</v>
      </c>
      <c r="BL419" s="15" t="s">
        <v>270</v>
      </c>
      <c r="BM419" s="187" t="s">
        <v>1047</v>
      </c>
    </row>
    <row r="420" spans="1:65" s="2" customFormat="1" ht="13.9" customHeight="1">
      <c r="A420" s="32"/>
      <c r="B420" s="33"/>
      <c r="C420" s="194" t="s">
        <v>1048</v>
      </c>
      <c r="D420" s="194" t="s">
        <v>411</v>
      </c>
      <c r="E420" s="195" t="s">
        <v>1049</v>
      </c>
      <c r="F420" s="196" t="s">
        <v>1050</v>
      </c>
      <c r="G420" s="197" t="s">
        <v>258</v>
      </c>
      <c r="H420" s="198">
        <v>163.9</v>
      </c>
      <c r="I420" s="199"/>
      <c r="J420" s="200">
        <f t="shared" si="40"/>
        <v>0</v>
      </c>
      <c r="K420" s="196" t="s">
        <v>19</v>
      </c>
      <c r="L420" s="201"/>
      <c r="M420" s="202" t="s">
        <v>19</v>
      </c>
      <c r="N420" s="203" t="s">
        <v>41</v>
      </c>
      <c r="O420" s="62"/>
      <c r="P420" s="185">
        <f t="shared" si="41"/>
        <v>0</v>
      </c>
      <c r="Q420" s="185">
        <v>0.00045</v>
      </c>
      <c r="R420" s="185">
        <f t="shared" si="42"/>
        <v>0.073755</v>
      </c>
      <c r="S420" s="185">
        <v>0</v>
      </c>
      <c r="T420" s="186">
        <f t="shared" si="43"/>
        <v>0</v>
      </c>
      <c r="U420" s="32"/>
      <c r="V420" s="32"/>
      <c r="W420" s="32"/>
      <c r="X420" s="32"/>
      <c r="Y420" s="32"/>
      <c r="Z420" s="32"/>
      <c r="AA420" s="32"/>
      <c r="AB420" s="32"/>
      <c r="AC420" s="32"/>
      <c r="AD420" s="32"/>
      <c r="AE420" s="32"/>
      <c r="AR420" s="187" t="s">
        <v>340</v>
      </c>
      <c r="AT420" s="187" t="s">
        <v>411</v>
      </c>
      <c r="AU420" s="187" t="s">
        <v>79</v>
      </c>
      <c r="AY420" s="15" t="s">
        <v>196</v>
      </c>
      <c r="BE420" s="188">
        <f t="shared" si="44"/>
        <v>0</v>
      </c>
      <c r="BF420" s="188">
        <f t="shared" si="45"/>
        <v>0</v>
      </c>
      <c r="BG420" s="188">
        <f t="shared" si="46"/>
        <v>0</v>
      </c>
      <c r="BH420" s="188">
        <f t="shared" si="47"/>
        <v>0</v>
      </c>
      <c r="BI420" s="188">
        <f t="shared" si="48"/>
        <v>0</v>
      </c>
      <c r="BJ420" s="15" t="s">
        <v>77</v>
      </c>
      <c r="BK420" s="188">
        <f t="shared" si="49"/>
        <v>0</v>
      </c>
      <c r="BL420" s="15" t="s">
        <v>270</v>
      </c>
      <c r="BM420" s="187" t="s">
        <v>1051</v>
      </c>
    </row>
    <row r="421" spans="1:65" s="2" customFormat="1" ht="13.9" customHeight="1">
      <c r="A421" s="32"/>
      <c r="B421" s="33"/>
      <c r="C421" s="194" t="s">
        <v>1052</v>
      </c>
      <c r="D421" s="194" t="s">
        <v>411</v>
      </c>
      <c r="E421" s="195" t="s">
        <v>1053</v>
      </c>
      <c r="F421" s="196" t="s">
        <v>1054</v>
      </c>
      <c r="G421" s="197" t="s">
        <v>258</v>
      </c>
      <c r="H421" s="198">
        <v>39.36</v>
      </c>
      <c r="I421" s="199"/>
      <c r="J421" s="200">
        <f t="shared" si="40"/>
        <v>0</v>
      </c>
      <c r="K421" s="196" t="s">
        <v>19</v>
      </c>
      <c r="L421" s="201"/>
      <c r="M421" s="202" t="s">
        <v>19</v>
      </c>
      <c r="N421" s="203" t="s">
        <v>41</v>
      </c>
      <c r="O421" s="62"/>
      <c r="P421" s="185">
        <f t="shared" si="41"/>
        <v>0</v>
      </c>
      <c r="Q421" s="185">
        <v>0.00036</v>
      </c>
      <c r="R421" s="185">
        <f t="shared" si="42"/>
        <v>0.014169600000000001</v>
      </c>
      <c r="S421" s="185">
        <v>0</v>
      </c>
      <c r="T421" s="186">
        <f t="shared" si="43"/>
        <v>0</v>
      </c>
      <c r="U421" s="32"/>
      <c r="V421" s="32"/>
      <c r="W421" s="32"/>
      <c r="X421" s="32"/>
      <c r="Y421" s="32"/>
      <c r="Z421" s="32"/>
      <c r="AA421" s="32"/>
      <c r="AB421" s="32"/>
      <c r="AC421" s="32"/>
      <c r="AD421" s="32"/>
      <c r="AE421" s="32"/>
      <c r="AR421" s="187" t="s">
        <v>340</v>
      </c>
      <c r="AT421" s="187" t="s">
        <v>411</v>
      </c>
      <c r="AU421" s="187" t="s">
        <v>79</v>
      </c>
      <c r="AY421" s="15" t="s">
        <v>196</v>
      </c>
      <c r="BE421" s="188">
        <f t="shared" si="44"/>
        <v>0</v>
      </c>
      <c r="BF421" s="188">
        <f t="shared" si="45"/>
        <v>0</v>
      </c>
      <c r="BG421" s="188">
        <f t="shared" si="46"/>
        <v>0</v>
      </c>
      <c r="BH421" s="188">
        <f t="shared" si="47"/>
        <v>0</v>
      </c>
      <c r="BI421" s="188">
        <f t="shared" si="48"/>
        <v>0</v>
      </c>
      <c r="BJ421" s="15" t="s">
        <v>77</v>
      </c>
      <c r="BK421" s="188">
        <f t="shared" si="49"/>
        <v>0</v>
      </c>
      <c r="BL421" s="15" t="s">
        <v>270</v>
      </c>
      <c r="BM421" s="187" t="s">
        <v>1055</v>
      </c>
    </row>
    <row r="422" spans="1:65" s="2" customFormat="1" ht="13.9" customHeight="1">
      <c r="A422" s="32"/>
      <c r="B422" s="33"/>
      <c r="C422" s="176" t="s">
        <v>1056</v>
      </c>
      <c r="D422" s="176" t="s">
        <v>198</v>
      </c>
      <c r="E422" s="177" t="s">
        <v>1057</v>
      </c>
      <c r="F422" s="178" t="s">
        <v>1058</v>
      </c>
      <c r="G422" s="179" t="s">
        <v>253</v>
      </c>
      <c r="H422" s="180">
        <v>330.6</v>
      </c>
      <c r="I422" s="181"/>
      <c r="J422" s="182">
        <f t="shared" si="40"/>
        <v>0</v>
      </c>
      <c r="K422" s="178" t="s">
        <v>202</v>
      </c>
      <c r="L422" s="37"/>
      <c r="M422" s="183" t="s">
        <v>19</v>
      </c>
      <c r="N422" s="184" t="s">
        <v>41</v>
      </c>
      <c r="O422" s="62"/>
      <c r="P422" s="185">
        <f t="shared" si="41"/>
        <v>0</v>
      </c>
      <c r="Q422" s="185">
        <v>0</v>
      </c>
      <c r="R422" s="185">
        <f t="shared" si="42"/>
        <v>0</v>
      </c>
      <c r="S422" s="185">
        <v>0.08317</v>
      </c>
      <c r="T422" s="186">
        <f t="shared" si="43"/>
        <v>27.496002</v>
      </c>
      <c r="U422" s="32"/>
      <c r="V422" s="32"/>
      <c r="W422" s="32"/>
      <c r="X422" s="32"/>
      <c r="Y422" s="32"/>
      <c r="Z422" s="32"/>
      <c r="AA422" s="32"/>
      <c r="AB422" s="32"/>
      <c r="AC422" s="32"/>
      <c r="AD422" s="32"/>
      <c r="AE422" s="32"/>
      <c r="AR422" s="187" t="s">
        <v>270</v>
      </c>
      <c r="AT422" s="187" t="s">
        <v>198</v>
      </c>
      <c r="AU422" s="187" t="s">
        <v>79</v>
      </c>
      <c r="AY422" s="15" t="s">
        <v>196</v>
      </c>
      <c r="BE422" s="188">
        <f t="shared" si="44"/>
        <v>0</v>
      </c>
      <c r="BF422" s="188">
        <f t="shared" si="45"/>
        <v>0</v>
      </c>
      <c r="BG422" s="188">
        <f t="shared" si="46"/>
        <v>0</v>
      </c>
      <c r="BH422" s="188">
        <f t="shared" si="47"/>
        <v>0</v>
      </c>
      <c r="BI422" s="188">
        <f t="shared" si="48"/>
        <v>0</v>
      </c>
      <c r="BJ422" s="15" t="s">
        <v>77</v>
      </c>
      <c r="BK422" s="188">
        <f t="shared" si="49"/>
        <v>0</v>
      </c>
      <c r="BL422" s="15" t="s">
        <v>270</v>
      </c>
      <c r="BM422" s="187" t="s">
        <v>1059</v>
      </c>
    </row>
    <row r="423" spans="1:65" s="2" customFormat="1" ht="22.15" customHeight="1">
      <c r="A423" s="32"/>
      <c r="B423" s="33"/>
      <c r="C423" s="176" t="s">
        <v>1060</v>
      </c>
      <c r="D423" s="176" t="s">
        <v>198</v>
      </c>
      <c r="E423" s="177" t="s">
        <v>1061</v>
      </c>
      <c r="F423" s="178" t="s">
        <v>1062</v>
      </c>
      <c r="G423" s="179" t="s">
        <v>253</v>
      </c>
      <c r="H423" s="180">
        <v>96.3</v>
      </c>
      <c r="I423" s="181"/>
      <c r="J423" s="182">
        <f t="shared" si="40"/>
        <v>0</v>
      </c>
      <c r="K423" s="178" t="s">
        <v>202</v>
      </c>
      <c r="L423" s="37"/>
      <c r="M423" s="183" t="s">
        <v>19</v>
      </c>
      <c r="N423" s="184" t="s">
        <v>41</v>
      </c>
      <c r="O423" s="62"/>
      <c r="P423" s="185">
        <f t="shared" si="41"/>
        <v>0</v>
      </c>
      <c r="Q423" s="185">
        <v>0.009</v>
      </c>
      <c r="R423" s="185">
        <f t="shared" si="42"/>
        <v>0.8666999999999999</v>
      </c>
      <c r="S423" s="185">
        <v>0</v>
      </c>
      <c r="T423" s="186">
        <f t="shared" si="43"/>
        <v>0</v>
      </c>
      <c r="U423" s="32"/>
      <c r="V423" s="32"/>
      <c r="W423" s="32"/>
      <c r="X423" s="32"/>
      <c r="Y423" s="32"/>
      <c r="Z423" s="32"/>
      <c r="AA423" s="32"/>
      <c r="AB423" s="32"/>
      <c r="AC423" s="32"/>
      <c r="AD423" s="32"/>
      <c r="AE423" s="32"/>
      <c r="AR423" s="187" t="s">
        <v>270</v>
      </c>
      <c r="AT423" s="187" t="s">
        <v>198</v>
      </c>
      <c r="AU423" s="187" t="s">
        <v>79</v>
      </c>
      <c r="AY423" s="15" t="s">
        <v>196</v>
      </c>
      <c r="BE423" s="188">
        <f t="shared" si="44"/>
        <v>0</v>
      </c>
      <c r="BF423" s="188">
        <f t="shared" si="45"/>
        <v>0</v>
      </c>
      <c r="BG423" s="188">
        <f t="shared" si="46"/>
        <v>0</v>
      </c>
      <c r="BH423" s="188">
        <f t="shared" si="47"/>
        <v>0</v>
      </c>
      <c r="BI423" s="188">
        <f t="shared" si="48"/>
        <v>0</v>
      </c>
      <c r="BJ423" s="15" t="s">
        <v>77</v>
      </c>
      <c r="BK423" s="188">
        <f t="shared" si="49"/>
        <v>0</v>
      </c>
      <c r="BL423" s="15" t="s">
        <v>270</v>
      </c>
      <c r="BM423" s="187" t="s">
        <v>1063</v>
      </c>
    </row>
    <row r="424" spans="1:47" s="2" customFormat="1" ht="29.25">
      <c r="A424" s="32"/>
      <c r="B424" s="33"/>
      <c r="C424" s="34"/>
      <c r="D424" s="189" t="s">
        <v>208</v>
      </c>
      <c r="E424" s="34"/>
      <c r="F424" s="190" t="s">
        <v>1064</v>
      </c>
      <c r="G424" s="34"/>
      <c r="H424" s="34"/>
      <c r="I424" s="191"/>
      <c r="J424" s="34"/>
      <c r="K424" s="34"/>
      <c r="L424" s="37"/>
      <c r="M424" s="192"/>
      <c r="N424" s="193"/>
      <c r="O424" s="62"/>
      <c r="P424" s="62"/>
      <c r="Q424" s="62"/>
      <c r="R424" s="62"/>
      <c r="S424" s="62"/>
      <c r="T424" s="63"/>
      <c r="U424" s="32"/>
      <c r="V424" s="32"/>
      <c r="W424" s="32"/>
      <c r="X424" s="32"/>
      <c r="Y424" s="32"/>
      <c r="Z424" s="32"/>
      <c r="AA424" s="32"/>
      <c r="AB424" s="32"/>
      <c r="AC424" s="32"/>
      <c r="AD424" s="32"/>
      <c r="AE424" s="32"/>
      <c r="AT424" s="15" t="s">
        <v>208</v>
      </c>
      <c r="AU424" s="15" t="s">
        <v>79</v>
      </c>
    </row>
    <row r="425" spans="1:65" s="2" customFormat="1" ht="330.6" customHeight="1">
      <c r="A425" s="32"/>
      <c r="B425" s="33"/>
      <c r="C425" s="194" t="s">
        <v>1065</v>
      </c>
      <c r="D425" s="194" t="s">
        <v>411</v>
      </c>
      <c r="E425" s="195" t="s">
        <v>1066</v>
      </c>
      <c r="F425" s="196" t="s">
        <v>1067</v>
      </c>
      <c r="G425" s="197" t="s">
        <v>253</v>
      </c>
      <c r="H425" s="198">
        <v>93.035</v>
      </c>
      <c r="I425" s="199"/>
      <c r="J425" s="200">
        <f>ROUND(I425*H425,2)</f>
        <v>0</v>
      </c>
      <c r="K425" s="196" t="s">
        <v>19</v>
      </c>
      <c r="L425" s="201"/>
      <c r="M425" s="202" t="s">
        <v>19</v>
      </c>
      <c r="N425" s="203" t="s">
        <v>41</v>
      </c>
      <c r="O425" s="62"/>
      <c r="P425" s="185">
        <f>O425*H425</f>
        <v>0</v>
      </c>
      <c r="Q425" s="185">
        <v>0.025</v>
      </c>
      <c r="R425" s="185">
        <f>Q425*H425</f>
        <v>2.325875</v>
      </c>
      <c r="S425" s="185">
        <v>0</v>
      </c>
      <c r="T425" s="186">
        <f>S425*H425</f>
        <v>0</v>
      </c>
      <c r="U425" s="32"/>
      <c r="V425" s="32"/>
      <c r="W425" s="32"/>
      <c r="X425" s="32"/>
      <c r="Y425" s="32"/>
      <c r="Z425" s="32"/>
      <c r="AA425" s="32"/>
      <c r="AB425" s="32"/>
      <c r="AC425" s="32"/>
      <c r="AD425" s="32"/>
      <c r="AE425" s="32"/>
      <c r="AR425" s="187" t="s">
        <v>340</v>
      </c>
      <c r="AT425" s="187" t="s">
        <v>411</v>
      </c>
      <c r="AU425" s="187" t="s">
        <v>79</v>
      </c>
      <c r="AY425" s="15" t="s">
        <v>196</v>
      </c>
      <c r="BE425" s="188">
        <f>IF(N425="základní",J425,0)</f>
        <v>0</v>
      </c>
      <c r="BF425" s="188">
        <f>IF(N425="snížená",J425,0)</f>
        <v>0</v>
      </c>
      <c r="BG425" s="188">
        <f>IF(N425="zákl. přenesená",J425,0)</f>
        <v>0</v>
      </c>
      <c r="BH425" s="188">
        <f>IF(N425="sníž. přenesená",J425,0)</f>
        <v>0</v>
      </c>
      <c r="BI425" s="188">
        <f>IF(N425="nulová",J425,0)</f>
        <v>0</v>
      </c>
      <c r="BJ425" s="15" t="s">
        <v>77</v>
      </c>
      <c r="BK425" s="188">
        <f>ROUND(I425*H425,2)</f>
        <v>0</v>
      </c>
      <c r="BL425" s="15" t="s">
        <v>270</v>
      </c>
      <c r="BM425" s="187" t="s">
        <v>1068</v>
      </c>
    </row>
    <row r="426" spans="1:65" s="2" customFormat="1" ht="305.45" customHeight="1">
      <c r="A426" s="32"/>
      <c r="B426" s="33"/>
      <c r="C426" s="194" t="s">
        <v>1069</v>
      </c>
      <c r="D426" s="194" t="s">
        <v>411</v>
      </c>
      <c r="E426" s="195" t="s">
        <v>1070</v>
      </c>
      <c r="F426" s="196" t="s">
        <v>1071</v>
      </c>
      <c r="G426" s="197" t="s">
        <v>253</v>
      </c>
      <c r="H426" s="198">
        <v>15.4</v>
      </c>
      <c r="I426" s="199"/>
      <c r="J426" s="200">
        <f>ROUND(I426*H426,2)</f>
        <v>0</v>
      </c>
      <c r="K426" s="196" t="s">
        <v>19</v>
      </c>
      <c r="L426" s="201"/>
      <c r="M426" s="202" t="s">
        <v>19</v>
      </c>
      <c r="N426" s="203" t="s">
        <v>41</v>
      </c>
      <c r="O426" s="62"/>
      <c r="P426" s="185">
        <f>O426*H426</f>
        <v>0</v>
      </c>
      <c r="Q426" s="185">
        <v>0.025</v>
      </c>
      <c r="R426" s="185">
        <f>Q426*H426</f>
        <v>0.385</v>
      </c>
      <c r="S426" s="185">
        <v>0</v>
      </c>
      <c r="T426" s="186">
        <f>S426*H426</f>
        <v>0</v>
      </c>
      <c r="U426" s="32"/>
      <c r="V426" s="32"/>
      <c r="W426" s="32"/>
      <c r="X426" s="32"/>
      <c r="Y426" s="32"/>
      <c r="Z426" s="32"/>
      <c r="AA426" s="32"/>
      <c r="AB426" s="32"/>
      <c r="AC426" s="32"/>
      <c r="AD426" s="32"/>
      <c r="AE426" s="32"/>
      <c r="AR426" s="187" t="s">
        <v>340</v>
      </c>
      <c r="AT426" s="187" t="s">
        <v>411</v>
      </c>
      <c r="AU426" s="187" t="s">
        <v>79</v>
      </c>
      <c r="AY426" s="15" t="s">
        <v>196</v>
      </c>
      <c r="BE426" s="188">
        <f>IF(N426="základní",J426,0)</f>
        <v>0</v>
      </c>
      <c r="BF426" s="188">
        <f>IF(N426="snížená",J426,0)</f>
        <v>0</v>
      </c>
      <c r="BG426" s="188">
        <f>IF(N426="zákl. přenesená",J426,0)</f>
        <v>0</v>
      </c>
      <c r="BH426" s="188">
        <f>IF(N426="sníž. přenesená",J426,0)</f>
        <v>0</v>
      </c>
      <c r="BI426" s="188">
        <f>IF(N426="nulová",J426,0)</f>
        <v>0</v>
      </c>
      <c r="BJ426" s="15" t="s">
        <v>77</v>
      </c>
      <c r="BK426" s="188">
        <f>ROUND(I426*H426,2)</f>
        <v>0</v>
      </c>
      <c r="BL426" s="15" t="s">
        <v>270</v>
      </c>
      <c r="BM426" s="187" t="s">
        <v>1072</v>
      </c>
    </row>
    <row r="427" spans="1:65" s="2" customFormat="1" ht="22.15" customHeight="1">
      <c r="A427" s="32"/>
      <c r="B427" s="33"/>
      <c r="C427" s="176" t="s">
        <v>1073</v>
      </c>
      <c r="D427" s="176" t="s">
        <v>198</v>
      </c>
      <c r="E427" s="177" t="s">
        <v>1074</v>
      </c>
      <c r="F427" s="178" t="s">
        <v>1075</v>
      </c>
      <c r="G427" s="179" t="s">
        <v>253</v>
      </c>
      <c r="H427" s="180">
        <v>12.1</v>
      </c>
      <c r="I427" s="181"/>
      <c r="J427" s="182">
        <f>ROUND(I427*H427,2)</f>
        <v>0</v>
      </c>
      <c r="K427" s="178" t="s">
        <v>202</v>
      </c>
      <c r="L427" s="37"/>
      <c r="M427" s="183" t="s">
        <v>19</v>
      </c>
      <c r="N427" s="184" t="s">
        <v>41</v>
      </c>
      <c r="O427" s="62"/>
      <c r="P427" s="185">
        <f>O427*H427</f>
        <v>0</v>
      </c>
      <c r="Q427" s="185">
        <v>0.00689</v>
      </c>
      <c r="R427" s="185">
        <f>Q427*H427</f>
        <v>0.083369</v>
      </c>
      <c r="S427" s="185">
        <v>0</v>
      </c>
      <c r="T427" s="186">
        <f>S427*H427</f>
        <v>0</v>
      </c>
      <c r="U427" s="32"/>
      <c r="V427" s="32"/>
      <c r="W427" s="32"/>
      <c r="X427" s="32"/>
      <c r="Y427" s="32"/>
      <c r="Z427" s="32"/>
      <c r="AA427" s="32"/>
      <c r="AB427" s="32"/>
      <c r="AC427" s="32"/>
      <c r="AD427" s="32"/>
      <c r="AE427" s="32"/>
      <c r="AR427" s="187" t="s">
        <v>270</v>
      </c>
      <c r="AT427" s="187" t="s">
        <v>198</v>
      </c>
      <c r="AU427" s="187" t="s">
        <v>79</v>
      </c>
      <c r="AY427" s="15" t="s">
        <v>196</v>
      </c>
      <c r="BE427" s="188">
        <f>IF(N427="základní",J427,0)</f>
        <v>0</v>
      </c>
      <c r="BF427" s="188">
        <f>IF(N427="snížená",J427,0)</f>
        <v>0</v>
      </c>
      <c r="BG427" s="188">
        <f>IF(N427="zákl. přenesená",J427,0)</f>
        <v>0</v>
      </c>
      <c r="BH427" s="188">
        <f>IF(N427="sníž. přenesená",J427,0)</f>
        <v>0</v>
      </c>
      <c r="BI427" s="188">
        <f>IF(N427="nulová",J427,0)</f>
        <v>0</v>
      </c>
      <c r="BJ427" s="15" t="s">
        <v>77</v>
      </c>
      <c r="BK427" s="188">
        <f>ROUND(I427*H427,2)</f>
        <v>0</v>
      </c>
      <c r="BL427" s="15" t="s">
        <v>270</v>
      </c>
      <c r="BM427" s="187" t="s">
        <v>1076</v>
      </c>
    </row>
    <row r="428" spans="1:47" s="2" customFormat="1" ht="29.25">
      <c r="A428" s="32"/>
      <c r="B428" s="33"/>
      <c r="C428" s="34"/>
      <c r="D428" s="189" t="s">
        <v>208</v>
      </c>
      <c r="E428" s="34"/>
      <c r="F428" s="190" t="s">
        <v>1064</v>
      </c>
      <c r="G428" s="34"/>
      <c r="H428" s="34"/>
      <c r="I428" s="191"/>
      <c r="J428" s="34"/>
      <c r="K428" s="34"/>
      <c r="L428" s="37"/>
      <c r="M428" s="192"/>
      <c r="N428" s="193"/>
      <c r="O428" s="62"/>
      <c r="P428" s="62"/>
      <c r="Q428" s="62"/>
      <c r="R428" s="62"/>
      <c r="S428" s="62"/>
      <c r="T428" s="63"/>
      <c r="U428" s="32"/>
      <c r="V428" s="32"/>
      <c r="W428" s="32"/>
      <c r="X428" s="32"/>
      <c r="Y428" s="32"/>
      <c r="Z428" s="32"/>
      <c r="AA428" s="32"/>
      <c r="AB428" s="32"/>
      <c r="AC428" s="32"/>
      <c r="AD428" s="32"/>
      <c r="AE428" s="32"/>
      <c r="AT428" s="15" t="s">
        <v>208</v>
      </c>
      <c r="AU428" s="15" t="s">
        <v>79</v>
      </c>
    </row>
    <row r="429" spans="1:65" s="2" customFormat="1" ht="330.6" customHeight="1">
      <c r="A429" s="32"/>
      <c r="B429" s="33"/>
      <c r="C429" s="194" t="s">
        <v>1077</v>
      </c>
      <c r="D429" s="194" t="s">
        <v>411</v>
      </c>
      <c r="E429" s="195" t="s">
        <v>1078</v>
      </c>
      <c r="F429" s="196" t="s">
        <v>1079</v>
      </c>
      <c r="G429" s="197" t="s">
        <v>253</v>
      </c>
      <c r="H429" s="198">
        <v>13.31</v>
      </c>
      <c r="I429" s="199"/>
      <c r="J429" s="200">
        <f>ROUND(I429*H429,2)</f>
        <v>0</v>
      </c>
      <c r="K429" s="196" t="s">
        <v>19</v>
      </c>
      <c r="L429" s="201"/>
      <c r="M429" s="202" t="s">
        <v>19</v>
      </c>
      <c r="N429" s="203" t="s">
        <v>41</v>
      </c>
      <c r="O429" s="62"/>
      <c r="P429" s="185">
        <f>O429*H429</f>
        <v>0</v>
      </c>
      <c r="Q429" s="185">
        <v>0.0192</v>
      </c>
      <c r="R429" s="185">
        <f>Q429*H429</f>
        <v>0.255552</v>
      </c>
      <c r="S429" s="185">
        <v>0</v>
      </c>
      <c r="T429" s="186">
        <f>S429*H429</f>
        <v>0</v>
      </c>
      <c r="U429" s="32"/>
      <c r="V429" s="32"/>
      <c r="W429" s="32"/>
      <c r="X429" s="32"/>
      <c r="Y429" s="32"/>
      <c r="Z429" s="32"/>
      <c r="AA429" s="32"/>
      <c r="AB429" s="32"/>
      <c r="AC429" s="32"/>
      <c r="AD429" s="32"/>
      <c r="AE429" s="32"/>
      <c r="AR429" s="187" t="s">
        <v>340</v>
      </c>
      <c r="AT429" s="187" t="s">
        <v>411</v>
      </c>
      <c r="AU429" s="187" t="s">
        <v>79</v>
      </c>
      <c r="AY429" s="15" t="s">
        <v>196</v>
      </c>
      <c r="BE429" s="188">
        <f>IF(N429="základní",J429,0)</f>
        <v>0</v>
      </c>
      <c r="BF429" s="188">
        <f>IF(N429="snížená",J429,0)</f>
        <v>0</v>
      </c>
      <c r="BG429" s="188">
        <f>IF(N429="zákl. přenesená",J429,0)</f>
        <v>0</v>
      </c>
      <c r="BH429" s="188">
        <f>IF(N429="sníž. přenesená",J429,0)</f>
        <v>0</v>
      </c>
      <c r="BI429" s="188">
        <f>IF(N429="nulová",J429,0)</f>
        <v>0</v>
      </c>
      <c r="BJ429" s="15" t="s">
        <v>77</v>
      </c>
      <c r="BK429" s="188">
        <f>ROUND(I429*H429,2)</f>
        <v>0</v>
      </c>
      <c r="BL429" s="15" t="s">
        <v>270</v>
      </c>
      <c r="BM429" s="187" t="s">
        <v>1080</v>
      </c>
    </row>
    <row r="430" spans="1:65" s="2" customFormat="1" ht="22.15" customHeight="1">
      <c r="A430" s="32"/>
      <c r="B430" s="33"/>
      <c r="C430" s="176" t="s">
        <v>1081</v>
      </c>
      <c r="D430" s="176" t="s">
        <v>198</v>
      </c>
      <c r="E430" s="177" t="s">
        <v>1082</v>
      </c>
      <c r="F430" s="178" t="s">
        <v>1083</v>
      </c>
      <c r="G430" s="179" t="s">
        <v>253</v>
      </c>
      <c r="H430" s="180">
        <v>143.9</v>
      </c>
      <c r="I430" s="181"/>
      <c r="J430" s="182">
        <f>ROUND(I430*H430,2)</f>
        <v>0</v>
      </c>
      <c r="K430" s="178" t="s">
        <v>202</v>
      </c>
      <c r="L430" s="37"/>
      <c r="M430" s="183" t="s">
        <v>19</v>
      </c>
      <c r="N430" s="184" t="s">
        <v>41</v>
      </c>
      <c r="O430" s="62"/>
      <c r="P430" s="185">
        <f>O430*H430</f>
        <v>0</v>
      </c>
      <c r="Q430" s="185">
        <v>0.00588</v>
      </c>
      <c r="R430" s="185">
        <f>Q430*H430</f>
        <v>0.846132</v>
      </c>
      <c r="S430" s="185">
        <v>0</v>
      </c>
      <c r="T430" s="186">
        <f>S430*H430</f>
        <v>0</v>
      </c>
      <c r="U430" s="32"/>
      <c r="V430" s="32"/>
      <c r="W430" s="32"/>
      <c r="X430" s="32"/>
      <c r="Y430" s="32"/>
      <c r="Z430" s="32"/>
      <c r="AA430" s="32"/>
      <c r="AB430" s="32"/>
      <c r="AC430" s="32"/>
      <c r="AD430" s="32"/>
      <c r="AE430" s="32"/>
      <c r="AR430" s="187" t="s">
        <v>270</v>
      </c>
      <c r="AT430" s="187" t="s">
        <v>198</v>
      </c>
      <c r="AU430" s="187" t="s">
        <v>79</v>
      </c>
      <c r="AY430" s="15" t="s">
        <v>196</v>
      </c>
      <c r="BE430" s="188">
        <f>IF(N430="základní",J430,0)</f>
        <v>0</v>
      </c>
      <c r="BF430" s="188">
        <f>IF(N430="snížená",J430,0)</f>
        <v>0</v>
      </c>
      <c r="BG430" s="188">
        <f>IF(N430="zákl. přenesená",J430,0)</f>
        <v>0</v>
      </c>
      <c r="BH430" s="188">
        <f>IF(N430="sníž. přenesená",J430,0)</f>
        <v>0</v>
      </c>
      <c r="BI430" s="188">
        <f>IF(N430="nulová",J430,0)</f>
        <v>0</v>
      </c>
      <c r="BJ430" s="15" t="s">
        <v>77</v>
      </c>
      <c r="BK430" s="188">
        <f>ROUND(I430*H430,2)</f>
        <v>0</v>
      </c>
      <c r="BL430" s="15" t="s">
        <v>270</v>
      </c>
      <c r="BM430" s="187" t="s">
        <v>1084</v>
      </c>
    </row>
    <row r="431" spans="1:47" s="2" customFormat="1" ht="29.25">
      <c r="A431" s="32"/>
      <c r="B431" s="33"/>
      <c r="C431" s="34"/>
      <c r="D431" s="189" t="s">
        <v>208</v>
      </c>
      <c r="E431" s="34"/>
      <c r="F431" s="190" t="s">
        <v>1064</v>
      </c>
      <c r="G431" s="34"/>
      <c r="H431" s="34"/>
      <c r="I431" s="191"/>
      <c r="J431" s="34"/>
      <c r="K431" s="34"/>
      <c r="L431" s="37"/>
      <c r="M431" s="192"/>
      <c r="N431" s="193"/>
      <c r="O431" s="62"/>
      <c r="P431" s="62"/>
      <c r="Q431" s="62"/>
      <c r="R431" s="62"/>
      <c r="S431" s="62"/>
      <c r="T431" s="63"/>
      <c r="U431" s="32"/>
      <c r="V431" s="32"/>
      <c r="W431" s="32"/>
      <c r="X431" s="32"/>
      <c r="Y431" s="32"/>
      <c r="Z431" s="32"/>
      <c r="AA431" s="32"/>
      <c r="AB431" s="32"/>
      <c r="AC431" s="32"/>
      <c r="AD431" s="32"/>
      <c r="AE431" s="32"/>
      <c r="AT431" s="15" t="s">
        <v>208</v>
      </c>
      <c r="AU431" s="15" t="s">
        <v>79</v>
      </c>
    </row>
    <row r="432" spans="1:65" s="2" customFormat="1" ht="340.9" customHeight="1">
      <c r="A432" s="32"/>
      <c r="B432" s="33"/>
      <c r="C432" s="194" t="s">
        <v>1085</v>
      </c>
      <c r="D432" s="194" t="s">
        <v>411</v>
      </c>
      <c r="E432" s="195" t="s">
        <v>1086</v>
      </c>
      <c r="F432" s="196" t="s">
        <v>1087</v>
      </c>
      <c r="G432" s="197" t="s">
        <v>253</v>
      </c>
      <c r="H432" s="198">
        <v>116.6</v>
      </c>
      <c r="I432" s="199"/>
      <c r="J432" s="200">
        <f>ROUND(I432*H432,2)</f>
        <v>0</v>
      </c>
      <c r="K432" s="196" t="s">
        <v>19</v>
      </c>
      <c r="L432" s="201"/>
      <c r="M432" s="202" t="s">
        <v>19</v>
      </c>
      <c r="N432" s="203" t="s">
        <v>41</v>
      </c>
      <c r="O432" s="62"/>
      <c r="P432" s="185">
        <f>O432*H432</f>
        <v>0</v>
      </c>
      <c r="Q432" s="185">
        <v>0.0192</v>
      </c>
      <c r="R432" s="185">
        <f>Q432*H432</f>
        <v>2.23872</v>
      </c>
      <c r="S432" s="185">
        <v>0</v>
      </c>
      <c r="T432" s="186">
        <f>S432*H432</f>
        <v>0</v>
      </c>
      <c r="U432" s="32"/>
      <c r="V432" s="32"/>
      <c r="W432" s="32"/>
      <c r="X432" s="32"/>
      <c r="Y432" s="32"/>
      <c r="Z432" s="32"/>
      <c r="AA432" s="32"/>
      <c r="AB432" s="32"/>
      <c r="AC432" s="32"/>
      <c r="AD432" s="32"/>
      <c r="AE432" s="32"/>
      <c r="AR432" s="187" t="s">
        <v>340</v>
      </c>
      <c r="AT432" s="187" t="s">
        <v>411</v>
      </c>
      <c r="AU432" s="187" t="s">
        <v>79</v>
      </c>
      <c r="AY432" s="15" t="s">
        <v>196</v>
      </c>
      <c r="BE432" s="188">
        <f>IF(N432="základní",J432,0)</f>
        <v>0</v>
      </c>
      <c r="BF432" s="188">
        <f>IF(N432="snížená",J432,0)</f>
        <v>0</v>
      </c>
      <c r="BG432" s="188">
        <f>IF(N432="zákl. přenesená",J432,0)</f>
        <v>0</v>
      </c>
      <c r="BH432" s="188">
        <f>IF(N432="sníž. přenesená",J432,0)</f>
        <v>0</v>
      </c>
      <c r="BI432" s="188">
        <f>IF(N432="nulová",J432,0)</f>
        <v>0</v>
      </c>
      <c r="BJ432" s="15" t="s">
        <v>77</v>
      </c>
      <c r="BK432" s="188">
        <f>ROUND(I432*H432,2)</f>
        <v>0</v>
      </c>
      <c r="BL432" s="15" t="s">
        <v>270</v>
      </c>
      <c r="BM432" s="187" t="s">
        <v>1088</v>
      </c>
    </row>
    <row r="433" spans="1:65" s="2" customFormat="1" ht="330.6" customHeight="1">
      <c r="A433" s="32"/>
      <c r="B433" s="33"/>
      <c r="C433" s="194" t="s">
        <v>1089</v>
      </c>
      <c r="D433" s="194" t="s">
        <v>411</v>
      </c>
      <c r="E433" s="195" t="s">
        <v>1090</v>
      </c>
      <c r="F433" s="196" t="s">
        <v>1091</v>
      </c>
      <c r="G433" s="197" t="s">
        <v>253</v>
      </c>
      <c r="H433" s="198">
        <v>37.4</v>
      </c>
      <c r="I433" s="199"/>
      <c r="J433" s="200">
        <f>ROUND(I433*H433,2)</f>
        <v>0</v>
      </c>
      <c r="K433" s="196" t="s">
        <v>19</v>
      </c>
      <c r="L433" s="201"/>
      <c r="M433" s="202" t="s">
        <v>19</v>
      </c>
      <c r="N433" s="203" t="s">
        <v>41</v>
      </c>
      <c r="O433" s="62"/>
      <c r="P433" s="185">
        <f>O433*H433</f>
        <v>0</v>
      </c>
      <c r="Q433" s="185">
        <v>0.0192</v>
      </c>
      <c r="R433" s="185">
        <f>Q433*H433</f>
        <v>0.7180799999999999</v>
      </c>
      <c r="S433" s="185">
        <v>0</v>
      </c>
      <c r="T433" s="186">
        <f>S433*H433</f>
        <v>0</v>
      </c>
      <c r="U433" s="32"/>
      <c r="V433" s="32"/>
      <c r="W433" s="32"/>
      <c r="X433" s="32"/>
      <c r="Y433" s="32"/>
      <c r="Z433" s="32"/>
      <c r="AA433" s="32"/>
      <c r="AB433" s="32"/>
      <c r="AC433" s="32"/>
      <c r="AD433" s="32"/>
      <c r="AE433" s="32"/>
      <c r="AR433" s="187" t="s">
        <v>340</v>
      </c>
      <c r="AT433" s="187" t="s">
        <v>411</v>
      </c>
      <c r="AU433" s="187" t="s">
        <v>79</v>
      </c>
      <c r="AY433" s="15" t="s">
        <v>196</v>
      </c>
      <c r="BE433" s="188">
        <f>IF(N433="základní",J433,0)</f>
        <v>0</v>
      </c>
      <c r="BF433" s="188">
        <f>IF(N433="snížená",J433,0)</f>
        <v>0</v>
      </c>
      <c r="BG433" s="188">
        <f>IF(N433="zákl. přenesená",J433,0)</f>
        <v>0</v>
      </c>
      <c r="BH433" s="188">
        <f>IF(N433="sníž. přenesená",J433,0)</f>
        <v>0</v>
      </c>
      <c r="BI433" s="188">
        <f>IF(N433="nulová",J433,0)</f>
        <v>0</v>
      </c>
      <c r="BJ433" s="15" t="s">
        <v>77</v>
      </c>
      <c r="BK433" s="188">
        <f>ROUND(I433*H433,2)</f>
        <v>0</v>
      </c>
      <c r="BL433" s="15" t="s">
        <v>270</v>
      </c>
      <c r="BM433" s="187" t="s">
        <v>1092</v>
      </c>
    </row>
    <row r="434" spans="1:65" s="2" customFormat="1" ht="330.6" customHeight="1">
      <c r="A434" s="32"/>
      <c r="B434" s="33"/>
      <c r="C434" s="194" t="s">
        <v>1093</v>
      </c>
      <c r="D434" s="194" t="s">
        <v>411</v>
      </c>
      <c r="E434" s="195" t="s">
        <v>1094</v>
      </c>
      <c r="F434" s="196" t="s">
        <v>1095</v>
      </c>
      <c r="G434" s="197" t="s">
        <v>253</v>
      </c>
      <c r="H434" s="198">
        <v>4.29</v>
      </c>
      <c r="I434" s="199"/>
      <c r="J434" s="200">
        <f>ROUND(I434*H434,2)</f>
        <v>0</v>
      </c>
      <c r="K434" s="196" t="s">
        <v>19</v>
      </c>
      <c r="L434" s="201"/>
      <c r="M434" s="202" t="s">
        <v>19</v>
      </c>
      <c r="N434" s="203" t="s">
        <v>41</v>
      </c>
      <c r="O434" s="62"/>
      <c r="P434" s="185">
        <f>O434*H434</f>
        <v>0</v>
      </c>
      <c r="Q434" s="185">
        <v>0.0192</v>
      </c>
      <c r="R434" s="185">
        <f>Q434*H434</f>
        <v>0.082368</v>
      </c>
      <c r="S434" s="185">
        <v>0</v>
      </c>
      <c r="T434" s="186">
        <f>S434*H434</f>
        <v>0</v>
      </c>
      <c r="U434" s="32"/>
      <c r="V434" s="32"/>
      <c r="W434" s="32"/>
      <c r="X434" s="32"/>
      <c r="Y434" s="32"/>
      <c r="Z434" s="32"/>
      <c r="AA434" s="32"/>
      <c r="AB434" s="32"/>
      <c r="AC434" s="32"/>
      <c r="AD434" s="32"/>
      <c r="AE434" s="32"/>
      <c r="AR434" s="187" t="s">
        <v>340</v>
      </c>
      <c r="AT434" s="187" t="s">
        <v>411</v>
      </c>
      <c r="AU434" s="187" t="s">
        <v>79</v>
      </c>
      <c r="AY434" s="15" t="s">
        <v>196</v>
      </c>
      <c r="BE434" s="188">
        <f>IF(N434="základní",J434,0)</f>
        <v>0</v>
      </c>
      <c r="BF434" s="188">
        <f>IF(N434="snížená",J434,0)</f>
        <v>0</v>
      </c>
      <c r="BG434" s="188">
        <f>IF(N434="zákl. přenesená",J434,0)</f>
        <v>0</v>
      </c>
      <c r="BH434" s="188">
        <f>IF(N434="sníž. přenesená",J434,0)</f>
        <v>0</v>
      </c>
      <c r="BI434" s="188">
        <f>IF(N434="nulová",J434,0)</f>
        <v>0</v>
      </c>
      <c r="BJ434" s="15" t="s">
        <v>77</v>
      </c>
      <c r="BK434" s="188">
        <f>ROUND(I434*H434,2)</f>
        <v>0</v>
      </c>
      <c r="BL434" s="15" t="s">
        <v>270</v>
      </c>
      <c r="BM434" s="187" t="s">
        <v>1096</v>
      </c>
    </row>
    <row r="435" spans="1:65" s="2" customFormat="1" ht="13.9" customHeight="1">
      <c r="A435" s="32"/>
      <c r="B435" s="33"/>
      <c r="C435" s="176" t="s">
        <v>1097</v>
      </c>
      <c r="D435" s="176" t="s">
        <v>198</v>
      </c>
      <c r="E435" s="177" t="s">
        <v>1098</v>
      </c>
      <c r="F435" s="178" t="s">
        <v>1099</v>
      </c>
      <c r="G435" s="179" t="s">
        <v>310</v>
      </c>
      <c r="H435" s="180">
        <v>379.6</v>
      </c>
      <c r="I435" s="181"/>
      <c r="J435" s="182">
        <f>ROUND(I435*H435,2)</f>
        <v>0</v>
      </c>
      <c r="K435" s="178" t="s">
        <v>202</v>
      </c>
      <c r="L435" s="37"/>
      <c r="M435" s="183" t="s">
        <v>19</v>
      </c>
      <c r="N435" s="184" t="s">
        <v>41</v>
      </c>
      <c r="O435" s="62"/>
      <c r="P435" s="185">
        <f>O435*H435</f>
        <v>0</v>
      </c>
      <c r="Q435" s="185">
        <v>3E-05</v>
      </c>
      <c r="R435" s="185">
        <f>Q435*H435</f>
        <v>0.011388</v>
      </c>
      <c r="S435" s="185">
        <v>0</v>
      </c>
      <c r="T435" s="186">
        <f>S435*H435</f>
        <v>0</v>
      </c>
      <c r="U435" s="32"/>
      <c r="V435" s="32"/>
      <c r="W435" s="32"/>
      <c r="X435" s="32"/>
      <c r="Y435" s="32"/>
      <c r="Z435" s="32"/>
      <c r="AA435" s="32"/>
      <c r="AB435" s="32"/>
      <c r="AC435" s="32"/>
      <c r="AD435" s="32"/>
      <c r="AE435" s="32"/>
      <c r="AR435" s="187" t="s">
        <v>270</v>
      </c>
      <c r="AT435" s="187" t="s">
        <v>198</v>
      </c>
      <c r="AU435" s="187" t="s">
        <v>79</v>
      </c>
      <c r="AY435" s="15" t="s">
        <v>196</v>
      </c>
      <c r="BE435" s="188">
        <f>IF(N435="základní",J435,0)</f>
        <v>0</v>
      </c>
      <c r="BF435" s="188">
        <f>IF(N435="snížená",J435,0)</f>
        <v>0</v>
      </c>
      <c r="BG435" s="188">
        <f>IF(N435="zákl. přenesená",J435,0)</f>
        <v>0</v>
      </c>
      <c r="BH435" s="188">
        <f>IF(N435="sníž. přenesená",J435,0)</f>
        <v>0</v>
      </c>
      <c r="BI435" s="188">
        <f>IF(N435="nulová",J435,0)</f>
        <v>0</v>
      </c>
      <c r="BJ435" s="15" t="s">
        <v>77</v>
      </c>
      <c r="BK435" s="188">
        <f>ROUND(I435*H435,2)</f>
        <v>0</v>
      </c>
      <c r="BL435" s="15" t="s">
        <v>270</v>
      </c>
      <c r="BM435" s="187" t="s">
        <v>1100</v>
      </c>
    </row>
    <row r="436" spans="1:47" s="2" customFormat="1" ht="48.75">
      <c r="A436" s="32"/>
      <c r="B436" s="33"/>
      <c r="C436" s="34"/>
      <c r="D436" s="189" t="s">
        <v>208</v>
      </c>
      <c r="E436" s="34"/>
      <c r="F436" s="190" t="s">
        <v>1101</v>
      </c>
      <c r="G436" s="34"/>
      <c r="H436" s="34"/>
      <c r="I436" s="191"/>
      <c r="J436" s="34"/>
      <c r="K436" s="34"/>
      <c r="L436" s="37"/>
      <c r="M436" s="192"/>
      <c r="N436" s="193"/>
      <c r="O436" s="62"/>
      <c r="P436" s="62"/>
      <c r="Q436" s="62"/>
      <c r="R436" s="62"/>
      <c r="S436" s="62"/>
      <c r="T436" s="63"/>
      <c r="U436" s="32"/>
      <c r="V436" s="32"/>
      <c r="W436" s="32"/>
      <c r="X436" s="32"/>
      <c r="Y436" s="32"/>
      <c r="Z436" s="32"/>
      <c r="AA436" s="32"/>
      <c r="AB436" s="32"/>
      <c r="AC436" s="32"/>
      <c r="AD436" s="32"/>
      <c r="AE436" s="32"/>
      <c r="AT436" s="15" t="s">
        <v>208</v>
      </c>
      <c r="AU436" s="15" t="s">
        <v>79</v>
      </c>
    </row>
    <row r="437" spans="1:65" s="2" customFormat="1" ht="13.9" customHeight="1">
      <c r="A437" s="32"/>
      <c r="B437" s="33"/>
      <c r="C437" s="176" t="s">
        <v>1102</v>
      </c>
      <c r="D437" s="176" t="s">
        <v>198</v>
      </c>
      <c r="E437" s="177" t="s">
        <v>1103</v>
      </c>
      <c r="F437" s="178" t="s">
        <v>1104</v>
      </c>
      <c r="G437" s="179" t="s">
        <v>258</v>
      </c>
      <c r="H437" s="180">
        <v>545</v>
      </c>
      <c r="I437" s="181"/>
      <c r="J437" s="182">
        <f>ROUND(I437*H437,2)</f>
        <v>0</v>
      </c>
      <c r="K437" s="178" t="s">
        <v>202</v>
      </c>
      <c r="L437" s="37"/>
      <c r="M437" s="183" t="s">
        <v>19</v>
      </c>
      <c r="N437" s="184" t="s">
        <v>41</v>
      </c>
      <c r="O437" s="62"/>
      <c r="P437" s="185">
        <f>O437*H437</f>
        <v>0</v>
      </c>
      <c r="Q437" s="185">
        <v>0</v>
      </c>
      <c r="R437" s="185">
        <f>Q437*H437</f>
        <v>0</v>
      </c>
      <c r="S437" s="185">
        <v>0</v>
      </c>
      <c r="T437" s="186">
        <f>S437*H437</f>
        <v>0</v>
      </c>
      <c r="U437" s="32"/>
      <c r="V437" s="32"/>
      <c r="W437" s="32"/>
      <c r="X437" s="32"/>
      <c r="Y437" s="32"/>
      <c r="Z437" s="32"/>
      <c r="AA437" s="32"/>
      <c r="AB437" s="32"/>
      <c r="AC437" s="32"/>
      <c r="AD437" s="32"/>
      <c r="AE437" s="32"/>
      <c r="AR437" s="187" t="s">
        <v>270</v>
      </c>
      <c r="AT437" s="187" t="s">
        <v>198</v>
      </c>
      <c r="AU437" s="187" t="s">
        <v>79</v>
      </c>
      <c r="AY437" s="15" t="s">
        <v>196</v>
      </c>
      <c r="BE437" s="188">
        <f>IF(N437="základní",J437,0)</f>
        <v>0</v>
      </c>
      <c r="BF437" s="188">
        <f>IF(N437="snížená",J437,0)</f>
        <v>0</v>
      </c>
      <c r="BG437" s="188">
        <f>IF(N437="zákl. přenesená",J437,0)</f>
        <v>0</v>
      </c>
      <c r="BH437" s="188">
        <f>IF(N437="sníž. přenesená",J437,0)</f>
        <v>0</v>
      </c>
      <c r="BI437" s="188">
        <f>IF(N437="nulová",J437,0)</f>
        <v>0</v>
      </c>
      <c r="BJ437" s="15" t="s">
        <v>77</v>
      </c>
      <c r="BK437" s="188">
        <f>ROUND(I437*H437,2)</f>
        <v>0</v>
      </c>
      <c r="BL437" s="15" t="s">
        <v>270</v>
      </c>
      <c r="BM437" s="187" t="s">
        <v>1105</v>
      </c>
    </row>
    <row r="438" spans="1:47" s="2" customFormat="1" ht="48.75">
      <c r="A438" s="32"/>
      <c r="B438" s="33"/>
      <c r="C438" s="34"/>
      <c r="D438" s="189" t="s">
        <v>208</v>
      </c>
      <c r="E438" s="34"/>
      <c r="F438" s="190" t="s">
        <v>1101</v>
      </c>
      <c r="G438" s="34"/>
      <c r="H438" s="34"/>
      <c r="I438" s="191"/>
      <c r="J438" s="34"/>
      <c r="K438" s="34"/>
      <c r="L438" s="37"/>
      <c r="M438" s="192"/>
      <c r="N438" s="193"/>
      <c r="O438" s="62"/>
      <c r="P438" s="62"/>
      <c r="Q438" s="62"/>
      <c r="R438" s="62"/>
      <c r="S438" s="62"/>
      <c r="T438" s="63"/>
      <c r="U438" s="32"/>
      <c r="V438" s="32"/>
      <c r="W438" s="32"/>
      <c r="X438" s="32"/>
      <c r="Y438" s="32"/>
      <c r="Z438" s="32"/>
      <c r="AA438" s="32"/>
      <c r="AB438" s="32"/>
      <c r="AC438" s="32"/>
      <c r="AD438" s="32"/>
      <c r="AE438" s="32"/>
      <c r="AT438" s="15" t="s">
        <v>208</v>
      </c>
      <c r="AU438" s="15" t="s">
        <v>79</v>
      </c>
    </row>
    <row r="439" spans="1:65" s="2" customFormat="1" ht="13.9" customHeight="1">
      <c r="A439" s="32"/>
      <c r="B439" s="33"/>
      <c r="C439" s="176" t="s">
        <v>1106</v>
      </c>
      <c r="D439" s="176" t="s">
        <v>198</v>
      </c>
      <c r="E439" s="177" t="s">
        <v>1107</v>
      </c>
      <c r="F439" s="178" t="s">
        <v>1108</v>
      </c>
      <c r="G439" s="179" t="s">
        <v>253</v>
      </c>
      <c r="H439" s="180">
        <v>273.895</v>
      </c>
      <c r="I439" s="181"/>
      <c r="J439" s="182">
        <f>ROUND(I439*H439,2)</f>
        <v>0</v>
      </c>
      <c r="K439" s="178" t="s">
        <v>202</v>
      </c>
      <c r="L439" s="37"/>
      <c r="M439" s="183" t="s">
        <v>19</v>
      </c>
      <c r="N439" s="184" t="s">
        <v>41</v>
      </c>
      <c r="O439" s="62"/>
      <c r="P439" s="185">
        <f>O439*H439</f>
        <v>0</v>
      </c>
      <c r="Q439" s="185">
        <v>5E-05</v>
      </c>
      <c r="R439" s="185">
        <f>Q439*H439</f>
        <v>0.01369475</v>
      </c>
      <c r="S439" s="185">
        <v>0</v>
      </c>
      <c r="T439" s="186">
        <f>S439*H439</f>
        <v>0</v>
      </c>
      <c r="U439" s="32"/>
      <c r="V439" s="32"/>
      <c r="W439" s="32"/>
      <c r="X439" s="32"/>
      <c r="Y439" s="32"/>
      <c r="Z439" s="32"/>
      <c r="AA439" s="32"/>
      <c r="AB439" s="32"/>
      <c r="AC439" s="32"/>
      <c r="AD439" s="32"/>
      <c r="AE439" s="32"/>
      <c r="AR439" s="187" t="s">
        <v>270</v>
      </c>
      <c r="AT439" s="187" t="s">
        <v>198</v>
      </c>
      <c r="AU439" s="187" t="s">
        <v>79</v>
      </c>
      <c r="AY439" s="15" t="s">
        <v>196</v>
      </c>
      <c r="BE439" s="188">
        <f>IF(N439="základní",J439,0)</f>
        <v>0</v>
      </c>
      <c r="BF439" s="188">
        <f>IF(N439="snížená",J439,0)</f>
        <v>0</v>
      </c>
      <c r="BG439" s="188">
        <f>IF(N439="zákl. přenesená",J439,0)</f>
        <v>0</v>
      </c>
      <c r="BH439" s="188">
        <f>IF(N439="sníž. přenesená",J439,0)</f>
        <v>0</v>
      </c>
      <c r="BI439" s="188">
        <f>IF(N439="nulová",J439,0)</f>
        <v>0</v>
      </c>
      <c r="BJ439" s="15" t="s">
        <v>77</v>
      </c>
      <c r="BK439" s="188">
        <f>ROUND(I439*H439,2)</f>
        <v>0</v>
      </c>
      <c r="BL439" s="15" t="s">
        <v>270</v>
      </c>
      <c r="BM439" s="187" t="s">
        <v>1109</v>
      </c>
    </row>
    <row r="440" spans="1:65" s="2" customFormat="1" ht="22.15" customHeight="1">
      <c r="A440" s="32"/>
      <c r="B440" s="33"/>
      <c r="C440" s="176" t="s">
        <v>1110</v>
      </c>
      <c r="D440" s="176" t="s">
        <v>198</v>
      </c>
      <c r="E440" s="177" t="s">
        <v>1111</v>
      </c>
      <c r="F440" s="178" t="s">
        <v>1112</v>
      </c>
      <c r="G440" s="179" t="s">
        <v>242</v>
      </c>
      <c r="H440" s="180">
        <v>8.29</v>
      </c>
      <c r="I440" s="181"/>
      <c r="J440" s="182">
        <f>ROUND(I440*H440,2)</f>
        <v>0</v>
      </c>
      <c r="K440" s="178" t="s">
        <v>202</v>
      </c>
      <c r="L440" s="37"/>
      <c r="M440" s="183" t="s">
        <v>19</v>
      </c>
      <c r="N440" s="184" t="s">
        <v>41</v>
      </c>
      <c r="O440" s="62"/>
      <c r="P440" s="185">
        <f>O440*H440</f>
        <v>0</v>
      </c>
      <c r="Q440" s="185">
        <v>0</v>
      </c>
      <c r="R440" s="185">
        <f>Q440*H440</f>
        <v>0</v>
      </c>
      <c r="S440" s="185">
        <v>0</v>
      </c>
      <c r="T440" s="186">
        <f>S440*H440</f>
        <v>0</v>
      </c>
      <c r="U440" s="32"/>
      <c r="V440" s="32"/>
      <c r="W440" s="32"/>
      <c r="X440" s="32"/>
      <c r="Y440" s="32"/>
      <c r="Z440" s="32"/>
      <c r="AA440" s="32"/>
      <c r="AB440" s="32"/>
      <c r="AC440" s="32"/>
      <c r="AD440" s="32"/>
      <c r="AE440" s="32"/>
      <c r="AR440" s="187" t="s">
        <v>270</v>
      </c>
      <c r="AT440" s="187" t="s">
        <v>198</v>
      </c>
      <c r="AU440" s="187" t="s">
        <v>79</v>
      </c>
      <c r="AY440" s="15" t="s">
        <v>196</v>
      </c>
      <c r="BE440" s="188">
        <f>IF(N440="základní",J440,0)</f>
        <v>0</v>
      </c>
      <c r="BF440" s="188">
        <f>IF(N440="snížená",J440,0)</f>
        <v>0</v>
      </c>
      <c r="BG440" s="188">
        <f>IF(N440="zákl. přenesená",J440,0)</f>
        <v>0</v>
      </c>
      <c r="BH440" s="188">
        <f>IF(N440="sníž. přenesená",J440,0)</f>
        <v>0</v>
      </c>
      <c r="BI440" s="188">
        <f>IF(N440="nulová",J440,0)</f>
        <v>0</v>
      </c>
      <c r="BJ440" s="15" t="s">
        <v>77</v>
      </c>
      <c r="BK440" s="188">
        <f>ROUND(I440*H440,2)</f>
        <v>0</v>
      </c>
      <c r="BL440" s="15" t="s">
        <v>270</v>
      </c>
      <c r="BM440" s="187" t="s">
        <v>1113</v>
      </c>
    </row>
    <row r="441" spans="1:47" s="2" customFormat="1" ht="78">
      <c r="A441" s="32"/>
      <c r="B441" s="33"/>
      <c r="C441" s="34"/>
      <c r="D441" s="189" t="s">
        <v>208</v>
      </c>
      <c r="E441" s="34"/>
      <c r="F441" s="190" t="s">
        <v>719</v>
      </c>
      <c r="G441" s="34"/>
      <c r="H441" s="34"/>
      <c r="I441" s="191"/>
      <c r="J441" s="34"/>
      <c r="K441" s="34"/>
      <c r="L441" s="37"/>
      <c r="M441" s="192"/>
      <c r="N441" s="193"/>
      <c r="O441" s="62"/>
      <c r="P441" s="62"/>
      <c r="Q441" s="62"/>
      <c r="R441" s="62"/>
      <c r="S441" s="62"/>
      <c r="T441" s="63"/>
      <c r="U441" s="32"/>
      <c r="V441" s="32"/>
      <c r="W441" s="32"/>
      <c r="X441" s="32"/>
      <c r="Y441" s="32"/>
      <c r="Z441" s="32"/>
      <c r="AA441" s="32"/>
      <c r="AB441" s="32"/>
      <c r="AC441" s="32"/>
      <c r="AD441" s="32"/>
      <c r="AE441" s="32"/>
      <c r="AT441" s="15" t="s">
        <v>208</v>
      </c>
      <c r="AU441" s="15" t="s">
        <v>79</v>
      </c>
    </row>
    <row r="442" spans="1:65" s="2" customFormat="1" ht="22.15" customHeight="1">
      <c r="A442" s="32"/>
      <c r="B442" s="33"/>
      <c r="C442" s="176" t="s">
        <v>1114</v>
      </c>
      <c r="D442" s="176" t="s">
        <v>198</v>
      </c>
      <c r="E442" s="177" t="s">
        <v>1115</v>
      </c>
      <c r="F442" s="178" t="s">
        <v>1116</v>
      </c>
      <c r="G442" s="179" t="s">
        <v>242</v>
      </c>
      <c r="H442" s="180">
        <v>8.29</v>
      </c>
      <c r="I442" s="181"/>
      <c r="J442" s="182">
        <f>ROUND(I442*H442,2)</f>
        <v>0</v>
      </c>
      <c r="K442" s="178" t="s">
        <v>202</v>
      </c>
      <c r="L442" s="37"/>
      <c r="M442" s="183" t="s">
        <v>19</v>
      </c>
      <c r="N442" s="184" t="s">
        <v>41</v>
      </c>
      <c r="O442" s="62"/>
      <c r="P442" s="185">
        <f>O442*H442</f>
        <v>0</v>
      </c>
      <c r="Q442" s="185">
        <v>0</v>
      </c>
      <c r="R442" s="185">
        <f>Q442*H442</f>
        <v>0</v>
      </c>
      <c r="S442" s="185">
        <v>0</v>
      </c>
      <c r="T442" s="186">
        <f>S442*H442</f>
        <v>0</v>
      </c>
      <c r="U442" s="32"/>
      <c r="V442" s="32"/>
      <c r="W442" s="32"/>
      <c r="X442" s="32"/>
      <c r="Y442" s="32"/>
      <c r="Z442" s="32"/>
      <c r="AA442" s="32"/>
      <c r="AB442" s="32"/>
      <c r="AC442" s="32"/>
      <c r="AD442" s="32"/>
      <c r="AE442" s="32"/>
      <c r="AR442" s="187" t="s">
        <v>270</v>
      </c>
      <c r="AT442" s="187" t="s">
        <v>198</v>
      </c>
      <c r="AU442" s="187" t="s">
        <v>79</v>
      </c>
      <c r="AY442" s="15" t="s">
        <v>196</v>
      </c>
      <c r="BE442" s="188">
        <f>IF(N442="základní",J442,0)</f>
        <v>0</v>
      </c>
      <c r="BF442" s="188">
        <f>IF(N442="snížená",J442,0)</f>
        <v>0</v>
      </c>
      <c r="BG442" s="188">
        <f>IF(N442="zákl. přenesená",J442,0)</f>
        <v>0</v>
      </c>
      <c r="BH442" s="188">
        <f>IF(N442="sníž. přenesená",J442,0)</f>
        <v>0</v>
      </c>
      <c r="BI442" s="188">
        <f>IF(N442="nulová",J442,0)</f>
        <v>0</v>
      </c>
      <c r="BJ442" s="15" t="s">
        <v>77</v>
      </c>
      <c r="BK442" s="188">
        <f>ROUND(I442*H442,2)</f>
        <v>0</v>
      </c>
      <c r="BL442" s="15" t="s">
        <v>270</v>
      </c>
      <c r="BM442" s="187" t="s">
        <v>1117</v>
      </c>
    </row>
    <row r="443" spans="1:47" s="2" customFormat="1" ht="78">
      <c r="A443" s="32"/>
      <c r="B443" s="33"/>
      <c r="C443" s="34"/>
      <c r="D443" s="189" t="s">
        <v>208</v>
      </c>
      <c r="E443" s="34"/>
      <c r="F443" s="190" t="s">
        <v>719</v>
      </c>
      <c r="G443" s="34"/>
      <c r="H443" s="34"/>
      <c r="I443" s="191"/>
      <c r="J443" s="34"/>
      <c r="K443" s="34"/>
      <c r="L443" s="37"/>
      <c r="M443" s="192"/>
      <c r="N443" s="193"/>
      <c r="O443" s="62"/>
      <c r="P443" s="62"/>
      <c r="Q443" s="62"/>
      <c r="R443" s="62"/>
      <c r="S443" s="62"/>
      <c r="T443" s="63"/>
      <c r="U443" s="32"/>
      <c r="V443" s="32"/>
      <c r="W443" s="32"/>
      <c r="X443" s="32"/>
      <c r="Y443" s="32"/>
      <c r="Z443" s="32"/>
      <c r="AA443" s="32"/>
      <c r="AB443" s="32"/>
      <c r="AC443" s="32"/>
      <c r="AD443" s="32"/>
      <c r="AE443" s="32"/>
      <c r="AT443" s="15" t="s">
        <v>208</v>
      </c>
      <c r="AU443" s="15" t="s">
        <v>79</v>
      </c>
    </row>
    <row r="444" spans="2:63" s="12" customFormat="1" ht="22.9" customHeight="1">
      <c r="B444" s="160"/>
      <c r="C444" s="161"/>
      <c r="D444" s="162" t="s">
        <v>69</v>
      </c>
      <c r="E444" s="174" t="s">
        <v>1118</v>
      </c>
      <c r="F444" s="174" t="s">
        <v>1119</v>
      </c>
      <c r="G444" s="161"/>
      <c r="H444" s="161"/>
      <c r="I444" s="164"/>
      <c r="J444" s="175">
        <f>BK444</f>
        <v>0</v>
      </c>
      <c r="K444" s="161"/>
      <c r="L444" s="166"/>
      <c r="M444" s="167"/>
      <c r="N444" s="168"/>
      <c r="O444" s="168"/>
      <c r="P444" s="169">
        <f>SUM(P445:P450)</f>
        <v>0</v>
      </c>
      <c r="Q444" s="168"/>
      <c r="R444" s="169">
        <f>SUM(R445:R450)</f>
        <v>1.0743900000000002</v>
      </c>
      <c r="S444" s="168"/>
      <c r="T444" s="170">
        <f>SUM(T445:T450)</f>
        <v>0</v>
      </c>
      <c r="AR444" s="171" t="s">
        <v>79</v>
      </c>
      <c r="AT444" s="172" t="s">
        <v>69</v>
      </c>
      <c r="AU444" s="172" t="s">
        <v>77</v>
      </c>
      <c r="AY444" s="171" t="s">
        <v>196</v>
      </c>
      <c r="BK444" s="173">
        <f>SUM(BK445:BK450)</f>
        <v>0</v>
      </c>
    </row>
    <row r="445" spans="1:65" s="2" customFormat="1" ht="128.45" customHeight="1">
      <c r="A445" s="32"/>
      <c r="B445" s="33"/>
      <c r="C445" s="176" t="s">
        <v>1120</v>
      </c>
      <c r="D445" s="176" t="s">
        <v>198</v>
      </c>
      <c r="E445" s="177" t="s">
        <v>1121</v>
      </c>
      <c r="F445" s="178" t="s">
        <v>1122</v>
      </c>
      <c r="G445" s="179" t="s">
        <v>253</v>
      </c>
      <c r="H445" s="180">
        <v>17.7</v>
      </c>
      <c r="I445" s="181"/>
      <c r="J445" s="182">
        <f>ROUND(I445*H445,2)</f>
        <v>0</v>
      </c>
      <c r="K445" s="178" t="s">
        <v>19</v>
      </c>
      <c r="L445" s="37"/>
      <c r="M445" s="183" t="s">
        <v>19</v>
      </c>
      <c r="N445" s="184" t="s">
        <v>41</v>
      </c>
      <c r="O445" s="62"/>
      <c r="P445" s="185">
        <f>O445*H445</f>
        <v>0</v>
      </c>
      <c r="Q445" s="185">
        <v>0.0166</v>
      </c>
      <c r="R445" s="185">
        <f>Q445*H445</f>
        <v>0.29381999999999997</v>
      </c>
      <c r="S445" s="185">
        <v>0</v>
      </c>
      <c r="T445" s="186">
        <f>S445*H445</f>
        <v>0</v>
      </c>
      <c r="U445" s="32"/>
      <c r="V445" s="32"/>
      <c r="W445" s="32"/>
      <c r="X445" s="32"/>
      <c r="Y445" s="32"/>
      <c r="Z445" s="32"/>
      <c r="AA445" s="32"/>
      <c r="AB445" s="32"/>
      <c r="AC445" s="32"/>
      <c r="AD445" s="32"/>
      <c r="AE445" s="32"/>
      <c r="AR445" s="187" t="s">
        <v>270</v>
      </c>
      <c r="AT445" s="187" t="s">
        <v>198</v>
      </c>
      <c r="AU445" s="187" t="s">
        <v>79</v>
      </c>
      <c r="AY445" s="15" t="s">
        <v>196</v>
      </c>
      <c r="BE445" s="188">
        <f>IF(N445="základní",J445,0)</f>
        <v>0</v>
      </c>
      <c r="BF445" s="188">
        <f>IF(N445="snížená",J445,0)</f>
        <v>0</v>
      </c>
      <c r="BG445" s="188">
        <f>IF(N445="zákl. přenesená",J445,0)</f>
        <v>0</v>
      </c>
      <c r="BH445" s="188">
        <f>IF(N445="sníž. přenesená",J445,0)</f>
        <v>0</v>
      </c>
      <c r="BI445" s="188">
        <f>IF(N445="nulová",J445,0)</f>
        <v>0</v>
      </c>
      <c r="BJ445" s="15" t="s">
        <v>77</v>
      </c>
      <c r="BK445" s="188">
        <f>ROUND(I445*H445,2)</f>
        <v>0</v>
      </c>
      <c r="BL445" s="15" t="s">
        <v>270</v>
      </c>
      <c r="BM445" s="187" t="s">
        <v>1123</v>
      </c>
    </row>
    <row r="446" spans="1:65" s="2" customFormat="1" ht="13.9" customHeight="1">
      <c r="A446" s="32"/>
      <c r="B446" s="33"/>
      <c r="C446" s="194" t="s">
        <v>1124</v>
      </c>
      <c r="D446" s="194" t="s">
        <v>411</v>
      </c>
      <c r="E446" s="195" t="s">
        <v>1125</v>
      </c>
      <c r="F446" s="196" t="s">
        <v>1126</v>
      </c>
      <c r="G446" s="197" t="s">
        <v>253</v>
      </c>
      <c r="H446" s="198">
        <v>18.585</v>
      </c>
      <c r="I446" s="199"/>
      <c r="J446" s="200">
        <f>ROUND(I446*H446,2)</f>
        <v>0</v>
      </c>
      <c r="K446" s="196" t="s">
        <v>19</v>
      </c>
      <c r="L446" s="201"/>
      <c r="M446" s="202" t="s">
        <v>19</v>
      </c>
      <c r="N446" s="203" t="s">
        <v>41</v>
      </c>
      <c r="O446" s="62"/>
      <c r="P446" s="185">
        <f>O446*H446</f>
        <v>0</v>
      </c>
      <c r="Q446" s="185">
        <v>0.042</v>
      </c>
      <c r="R446" s="185">
        <f>Q446*H446</f>
        <v>0.7805700000000001</v>
      </c>
      <c r="S446" s="185">
        <v>0</v>
      </c>
      <c r="T446" s="186">
        <f>S446*H446</f>
        <v>0</v>
      </c>
      <c r="U446" s="32"/>
      <c r="V446" s="32"/>
      <c r="W446" s="32"/>
      <c r="X446" s="32"/>
      <c r="Y446" s="32"/>
      <c r="Z446" s="32"/>
      <c r="AA446" s="32"/>
      <c r="AB446" s="32"/>
      <c r="AC446" s="32"/>
      <c r="AD446" s="32"/>
      <c r="AE446" s="32"/>
      <c r="AR446" s="187" t="s">
        <v>340</v>
      </c>
      <c r="AT446" s="187" t="s">
        <v>411</v>
      </c>
      <c r="AU446" s="187" t="s">
        <v>79</v>
      </c>
      <c r="AY446" s="15" t="s">
        <v>196</v>
      </c>
      <c r="BE446" s="188">
        <f>IF(N446="základní",J446,0)</f>
        <v>0</v>
      </c>
      <c r="BF446" s="188">
        <f>IF(N446="snížená",J446,0)</f>
        <v>0</v>
      </c>
      <c r="BG446" s="188">
        <f>IF(N446="zákl. přenesená",J446,0)</f>
        <v>0</v>
      </c>
      <c r="BH446" s="188">
        <f>IF(N446="sníž. přenesená",J446,0)</f>
        <v>0</v>
      </c>
      <c r="BI446" s="188">
        <f>IF(N446="nulová",J446,0)</f>
        <v>0</v>
      </c>
      <c r="BJ446" s="15" t="s">
        <v>77</v>
      </c>
      <c r="BK446" s="188">
        <f>ROUND(I446*H446,2)</f>
        <v>0</v>
      </c>
      <c r="BL446" s="15" t="s">
        <v>270</v>
      </c>
      <c r="BM446" s="187" t="s">
        <v>1127</v>
      </c>
    </row>
    <row r="447" spans="1:65" s="2" customFormat="1" ht="22.15" customHeight="1">
      <c r="A447" s="32"/>
      <c r="B447" s="33"/>
      <c r="C447" s="176" t="s">
        <v>1128</v>
      </c>
      <c r="D447" s="176" t="s">
        <v>198</v>
      </c>
      <c r="E447" s="177" t="s">
        <v>1129</v>
      </c>
      <c r="F447" s="178" t="s">
        <v>1130</v>
      </c>
      <c r="G447" s="179" t="s">
        <v>242</v>
      </c>
      <c r="H447" s="180">
        <v>1.074</v>
      </c>
      <c r="I447" s="181"/>
      <c r="J447" s="182">
        <f>ROUND(I447*H447,2)</f>
        <v>0</v>
      </c>
      <c r="K447" s="178" t="s">
        <v>202</v>
      </c>
      <c r="L447" s="37"/>
      <c r="M447" s="183" t="s">
        <v>19</v>
      </c>
      <c r="N447" s="184" t="s">
        <v>41</v>
      </c>
      <c r="O447" s="62"/>
      <c r="P447" s="185">
        <f>O447*H447</f>
        <v>0</v>
      </c>
      <c r="Q447" s="185">
        <v>0</v>
      </c>
      <c r="R447" s="185">
        <f>Q447*H447</f>
        <v>0</v>
      </c>
      <c r="S447" s="185">
        <v>0</v>
      </c>
      <c r="T447" s="186">
        <f>S447*H447</f>
        <v>0</v>
      </c>
      <c r="U447" s="32"/>
      <c r="V447" s="32"/>
      <c r="W447" s="32"/>
      <c r="X447" s="32"/>
      <c r="Y447" s="32"/>
      <c r="Z447" s="32"/>
      <c r="AA447" s="32"/>
      <c r="AB447" s="32"/>
      <c r="AC447" s="32"/>
      <c r="AD447" s="32"/>
      <c r="AE447" s="32"/>
      <c r="AR447" s="187" t="s">
        <v>270</v>
      </c>
      <c r="AT447" s="187" t="s">
        <v>198</v>
      </c>
      <c r="AU447" s="187" t="s">
        <v>79</v>
      </c>
      <c r="AY447" s="15" t="s">
        <v>196</v>
      </c>
      <c r="BE447" s="188">
        <f>IF(N447="základní",J447,0)</f>
        <v>0</v>
      </c>
      <c r="BF447" s="188">
        <f>IF(N447="snížená",J447,0)</f>
        <v>0</v>
      </c>
      <c r="BG447" s="188">
        <f>IF(N447="zákl. přenesená",J447,0)</f>
        <v>0</v>
      </c>
      <c r="BH447" s="188">
        <f>IF(N447="sníž. přenesená",J447,0)</f>
        <v>0</v>
      </c>
      <c r="BI447" s="188">
        <f>IF(N447="nulová",J447,0)</f>
        <v>0</v>
      </c>
      <c r="BJ447" s="15" t="s">
        <v>77</v>
      </c>
      <c r="BK447" s="188">
        <f>ROUND(I447*H447,2)</f>
        <v>0</v>
      </c>
      <c r="BL447" s="15" t="s">
        <v>270</v>
      </c>
      <c r="BM447" s="187" t="s">
        <v>1131</v>
      </c>
    </row>
    <row r="448" spans="1:47" s="2" customFormat="1" ht="78">
      <c r="A448" s="32"/>
      <c r="B448" s="33"/>
      <c r="C448" s="34"/>
      <c r="D448" s="189" t="s">
        <v>208</v>
      </c>
      <c r="E448" s="34"/>
      <c r="F448" s="190" t="s">
        <v>1132</v>
      </c>
      <c r="G448" s="34"/>
      <c r="H448" s="34"/>
      <c r="I448" s="191"/>
      <c r="J448" s="34"/>
      <c r="K448" s="34"/>
      <c r="L448" s="37"/>
      <c r="M448" s="192"/>
      <c r="N448" s="193"/>
      <c r="O448" s="62"/>
      <c r="P448" s="62"/>
      <c r="Q448" s="62"/>
      <c r="R448" s="62"/>
      <c r="S448" s="62"/>
      <c r="T448" s="63"/>
      <c r="U448" s="32"/>
      <c r="V448" s="32"/>
      <c r="W448" s="32"/>
      <c r="X448" s="32"/>
      <c r="Y448" s="32"/>
      <c r="Z448" s="32"/>
      <c r="AA448" s="32"/>
      <c r="AB448" s="32"/>
      <c r="AC448" s="32"/>
      <c r="AD448" s="32"/>
      <c r="AE448" s="32"/>
      <c r="AT448" s="15" t="s">
        <v>208</v>
      </c>
      <c r="AU448" s="15" t="s">
        <v>79</v>
      </c>
    </row>
    <row r="449" spans="1:65" s="2" customFormat="1" ht="22.15" customHeight="1">
      <c r="A449" s="32"/>
      <c r="B449" s="33"/>
      <c r="C449" s="176" t="s">
        <v>1133</v>
      </c>
      <c r="D449" s="176" t="s">
        <v>198</v>
      </c>
      <c r="E449" s="177" t="s">
        <v>1134</v>
      </c>
      <c r="F449" s="178" t="s">
        <v>1135</v>
      </c>
      <c r="G449" s="179" t="s">
        <v>242</v>
      </c>
      <c r="H449" s="180">
        <v>1.074</v>
      </c>
      <c r="I449" s="181"/>
      <c r="J449" s="182">
        <f>ROUND(I449*H449,2)</f>
        <v>0</v>
      </c>
      <c r="K449" s="178" t="s">
        <v>202</v>
      </c>
      <c r="L449" s="37"/>
      <c r="M449" s="183" t="s">
        <v>19</v>
      </c>
      <c r="N449" s="184" t="s">
        <v>41</v>
      </c>
      <c r="O449" s="62"/>
      <c r="P449" s="185">
        <f>O449*H449</f>
        <v>0</v>
      </c>
      <c r="Q449" s="185">
        <v>0</v>
      </c>
      <c r="R449" s="185">
        <f>Q449*H449</f>
        <v>0</v>
      </c>
      <c r="S449" s="185">
        <v>0</v>
      </c>
      <c r="T449" s="186">
        <f>S449*H449</f>
        <v>0</v>
      </c>
      <c r="U449" s="32"/>
      <c r="V449" s="32"/>
      <c r="W449" s="32"/>
      <c r="X449" s="32"/>
      <c r="Y449" s="32"/>
      <c r="Z449" s="32"/>
      <c r="AA449" s="32"/>
      <c r="AB449" s="32"/>
      <c r="AC449" s="32"/>
      <c r="AD449" s="32"/>
      <c r="AE449" s="32"/>
      <c r="AR449" s="187" t="s">
        <v>270</v>
      </c>
      <c r="AT449" s="187" t="s">
        <v>198</v>
      </c>
      <c r="AU449" s="187" t="s">
        <v>79</v>
      </c>
      <c r="AY449" s="15" t="s">
        <v>196</v>
      </c>
      <c r="BE449" s="188">
        <f>IF(N449="základní",J449,0)</f>
        <v>0</v>
      </c>
      <c r="BF449" s="188">
        <f>IF(N449="snížená",J449,0)</f>
        <v>0</v>
      </c>
      <c r="BG449" s="188">
        <f>IF(N449="zákl. přenesená",J449,0)</f>
        <v>0</v>
      </c>
      <c r="BH449" s="188">
        <f>IF(N449="sníž. přenesená",J449,0)</f>
        <v>0</v>
      </c>
      <c r="BI449" s="188">
        <f>IF(N449="nulová",J449,0)</f>
        <v>0</v>
      </c>
      <c r="BJ449" s="15" t="s">
        <v>77</v>
      </c>
      <c r="BK449" s="188">
        <f>ROUND(I449*H449,2)</f>
        <v>0</v>
      </c>
      <c r="BL449" s="15" t="s">
        <v>270</v>
      </c>
      <c r="BM449" s="187" t="s">
        <v>1136</v>
      </c>
    </row>
    <row r="450" spans="1:47" s="2" customFormat="1" ht="78">
      <c r="A450" s="32"/>
      <c r="B450" s="33"/>
      <c r="C450" s="34"/>
      <c r="D450" s="189" t="s">
        <v>208</v>
      </c>
      <c r="E450" s="34"/>
      <c r="F450" s="190" t="s">
        <v>1132</v>
      </c>
      <c r="G450" s="34"/>
      <c r="H450" s="34"/>
      <c r="I450" s="191"/>
      <c r="J450" s="34"/>
      <c r="K450" s="34"/>
      <c r="L450" s="37"/>
      <c r="M450" s="192"/>
      <c r="N450" s="193"/>
      <c r="O450" s="62"/>
      <c r="P450" s="62"/>
      <c r="Q450" s="62"/>
      <c r="R450" s="62"/>
      <c r="S450" s="62"/>
      <c r="T450" s="63"/>
      <c r="U450" s="32"/>
      <c r="V450" s="32"/>
      <c r="W450" s="32"/>
      <c r="X450" s="32"/>
      <c r="Y450" s="32"/>
      <c r="Z450" s="32"/>
      <c r="AA450" s="32"/>
      <c r="AB450" s="32"/>
      <c r="AC450" s="32"/>
      <c r="AD450" s="32"/>
      <c r="AE450" s="32"/>
      <c r="AT450" s="15" t="s">
        <v>208</v>
      </c>
      <c r="AU450" s="15" t="s">
        <v>79</v>
      </c>
    </row>
    <row r="451" spans="2:63" s="12" customFormat="1" ht="22.9" customHeight="1">
      <c r="B451" s="160"/>
      <c r="C451" s="161"/>
      <c r="D451" s="162" t="s">
        <v>69</v>
      </c>
      <c r="E451" s="174" t="s">
        <v>1137</v>
      </c>
      <c r="F451" s="174" t="s">
        <v>1138</v>
      </c>
      <c r="G451" s="161"/>
      <c r="H451" s="161"/>
      <c r="I451" s="164"/>
      <c r="J451" s="175">
        <f>BK451</f>
        <v>0</v>
      </c>
      <c r="K451" s="161"/>
      <c r="L451" s="166"/>
      <c r="M451" s="167"/>
      <c r="N451" s="168"/>
      <c r="O451" s="168"/>
      <c r="P451" s="169">
        <f>SUM(P452:P472)</f>
        <v>0</v>
      </c>
      <c r="Q451" s="168"/>
      <c r="R451" s="169">
        <f>SUM(R452:R472)</f>
        <v>0.1187204</v>
      </c>
      <c r="S451" s="168"/>
      <c r="T451" s="170">
        <f>SUM(T452:T472)</f>
        <v>0</v>
      </c>
      <c r="AR451" s="171" t="s">
        <v>79</v>
      </c>
      <c r="AT451" s="172" t="s">
        <v>69</v>
      </c>
      <c r="AU451" s="172" t="s">
        <v>77</v>
      </c>
      <c r="AY451" s="171" t="s">
        <v>196</v>
      </c>
      <c r="BK451" s="173">
        <f>SUM(BK452:BK472)</f>
        <v>0</v>
      </c>
    </row>
    <row r="452" spans="1:65" s="2" customFormat="1" ht="13.9" customHeight="1">
      <c r="A452" s="32"/>
      <c r="B452" s="33"/>
      <c r="C452" s="176" t="s">
        <v>1139</v>
      </c>
      <c r="D452" s="176" t="s">
        <v>198</v>
      </c>
      <c r="E452" s="177" t="s">
        <v>1140</v>
      </c>
      <c r="F452" s="178" t="s">
        <v>1141</v>
      </c>
      <c r="G452" s="179" t="s">
        <v>253</v>
      </c>
      <c r="H452" s="180">
        <v>28.5</v>
      </c>
      <c r="I452" s="181"/>
      <c r="J452" s="182">
        <f>ROUND(I452*H452,2)</f>
        <v>0</v>
      </c>
      <c r="K452" s="178" t="s">
        <v>202</v>
      </c>
      <c r="L452" s="37"/>
      <c r="M452" s="183" t="s">
        <v>19</v>
      </c>
      <c r="N452" s="184" t="s">
        <v>41</v>
      </c>
      <c r="O452" s="62"/>
      <c r="P452" s="185">
        <f>O452*H452</f>
        <v>0</v>
      </c>
      <c r="Q452" s="185">
        <v>0</v>
      </c>
      <c r="R452" s="185">
        <f>Q452*H452</f>
        <v>0</v>
      </c>
      <c r="S452" s="185">
        <v>0</v>
      </c>
      <c r="T452" s="186">
        <f>S452*H452</f>
        <v>0</v>
      </c>
      <c r="U452" s="32"/>
      <c r="V452" s="32"/>
      <c r="W452" s="32"/>
      <c r="X452" s="32"/>
      <c r="Y452" s="32"/>
      <c r="Z452" s="32"/>
      <c r="AA452" s="32"/>
      <c r="AB452" s="32"/>
      <c r="AC452" s="32"/>
      <c r="AD452" s="32"/>
      <c r="AE452" s="32"/>
      <c r="AR452" s="187" t="s">
        <v>270</v>
      </c>
      <c r="AT452" s="187" t="s">
        <v>198</v>
      </c>
      <c r="AU452" s="187" t="s">
        <v>79</v>
      </c>
      <c r="AY452" s="15" t="s">
        <v>196</v>
      </c>
      <c r="BE452" s="188">
        <f>IF(N452="základní",J452,0)</f>
        <v>0</v>
      </c>
      <c r="BF452" s="188">
        <f>IF(N452="snížená",J452,0)</f>
        <v>0</v>
      </c>
      <c r="BG452" s="188">
        <f>IF(N452="zákl. přenesená",J452,0)</f>
        <v>0</v>
      </c>
      <c r="BH452" s="188">
        <f>IF(N452="sníž. přenesená",J452,0)</f>
        <v>0</v>
      </c>
      <c r="BI452" s="188">
        <f>IF(N452="nulová",J452,0)</f>
        <v>0</v>
      </c>
      <c r="BJ452" s="15" t="s">
        <v>77</v>
      </c>
      <c r="BK452" s="188">
        <f>ROUND(I452*H452,2)</f>
        <v>0</v>
      </c>
      <c r="BL452" s="15" t="s">
        <v>270</v>
      </c>
      <c r="BM452" s="187" t="s">
        <v>1142</v>
      </c>
    </row>
    <row r="453" spans="1:47" s="2" customFormat="1" ht="48.75">
      <c r="A453" s="32"/>
      <c r="B453" s="33"/>
      <c r="C453" s="34"/>
      <c r="D453" s="189" t="s">
        <v>208</v>
      </c>
      <c r="E453" s="34"/>
      <c r="F453" s="190" t="s">
        <v>1143</v>
      </c>
      <c r="G453" s="34"/>
      <c r="H453" s="34"/>
      <c r="I453" s="191"/>
      <c r="J453" s="34"/>
      <c r="K453" s="34"/>
      <c r="L453" s="37"/>
      <c r="M453" s="192"/>
      <c r="N453" s="193"/>
      <c r="O453" s="62"/>
      <c r="P453" s="62"/>
      <c r="Q453" s="62"/>
      <c r="R453" s="62"/>
      <c r="S453" s="62"/>
      <c r="T453" s="63"/>
      <c r="U453" s="32"/>
      <c r="V453" s="32"/>
      <c r="W453" s="32"/>
      <c r="X453" s="32"/>
      <c r="Y453" s="32"/>
      <c r="Z453" s="32"/>
      <c r="AA453" s="32"/>
      <c r="AB453" s="32"/>
      <c r="AC453" s="32"/>
      <c r="AD453" s="32"/>
      <c r="AE453" s="32"/>
      <c r="AT453" s="15" t="s">
        <v>208</v>
      </c>
      <c r="AU453" s="15" t="s">
        <v>79</v>
      </c>
    </row>
    <row r="454" spans="1:65" s="2" customFormat="1" ht="13.9" customHeight="1">
      <c r="A454" s="32"/>
      <c r="B454" s="33"/>
      <c r="C454" s="176" t="s">
        <v>1144</v>
      </c>
      <c r="D454" s="176" t="s">
        <v>198</v>
      </c>
      <c r="E454" s="177" t="s">
        <v>1145</v>
      </c>
      <c r="F454" s="178" t="s">
        <v>1146</v>
      </c>
      <c r="G454" s="179" t="s">
        <v>253</v>
      </c>
      <c r="H454" s="180">
        <v>28.5</v>
      </c>
      <c r="I454" s="181"/>
      <c r="J454" s="182">
        <f>ROUND(I454*H454,2)</f>
        <v>0</v>
      </c>
      <c r="K454" s="178" t="s">
        <v>202</v>
      </c>
      <c r="L454" s="37"/>
      <c r="M454" s="183" t="s">
        <v>19</v>
      </c>
      <c r="N454" s="184" t="s">
        <v>41</v>
      </c>
      <c r="O454" s="62"/>
      <c r="P454" s="185">
        <f>O454*H454</f>
        <v>0</v>
      </c>
      <c r="Q454" s="185">
        <v>0</v>
      </c>
      <c r="R454" s="185">
        <f>Q454*H454</f>
        <v>0</v>
      </c>
      <c r="S454" s="185">
        <v>0</v>
      </c>
      <c r="T454" s="186">
        <f>S454*H454</f>
        <v>0</v>
      </c>
      <c r="U454" s="32"/>
      <c r="V454" s="32"/>
      <c r="W454" s="32"/>
      <c r="X454" s="32"/>
      <c r="Y454" s="32"/>
      <c r="Z454" s="32"/>
      <c r="AA454" s="32"/>
      <c r="AB454" s="32"/>
      <c r="AC454" s="32"/>
      <c r="AD454" s="32"/>
      <c r="AE454" s="32"/>
      <c r="AR454" s="187" t="s">
        <v>270</v>
      </c>
      <c r="AT454" s="187" t="s">
        <v>198</v>
      </c>
      <c r="AU454" s="187" t="s">
        <v>79</v>
      </c>
      <c r="AY454" s="15" t="s">
        <v>196</v>
      </c>
      <c r="BE454" s="188">
        <f>IF(N454="základní",J454,0)</f>
        <v>0</v>
      </c>
      <c r="BF454" s="188">
        <f>IF(N454="snížená",J454,0)</f>
        <v>0</v>
      </c>
      <c r="BG454" s="188">
        <f>IF(N454="zákl. přenesená",J454,0)</f>
        <v>0</v>
      </c>
      <c r="BH454" s="188">
        <f>IF(N454="sníž. přenesená",J454,0)</f>
        <v>0</v>
      </c>
      <c r="BI454" s="188">
        <f>IF(N454="nulová",J454,0)</f>
        <v>0</v>
      </c>
      <c r="BJ454" s="15" t="s">
        <v>77</v>
      </c>
      <c r="BK454" s="188">
        <f>ROUND(I454*H454,2)</f>
        <v>0</v>
      </c>
      <c r="BL454" s="15" t="s">
        <v>270</v>
      </c>
      <c r="BM454" s="187" t="s">
        <v>1147</v>
      </c>
    </row>
    <row r="455" spans="1:47" s="2" customFormat="1" ht="48.75">
      <c r="A455" s="32"/>
      <c r="B455" s="33"/>
      <c r="C455" s="34"/>
      <c r="D455" s="189" t="s">
        <v>208</v>
      </c>
      <c r="E455" s="34"/>
      <c r="F455" s="190" t="s">
        <v>1143</v>
      </c>
      <c r="G455" s="34"/>
      <c r="H455" s="34"/>
      <c r="I455" s="191"/>
      <c r="J455" s="34"/>
      <c r="K455" s="34"/>
      <c r="L455" s="37"/>
      <c r="M455" s="192"/>
      <c r="N455" s="193"/>
      <c r="O455" s="62"/>
      <c r="P455" s="62"/>
      <c r="Q455" s="62"/>
      <c r="R455" s="62"/>
      <c r="S455" s="62"/>
      <c r="T455" s="63"/>
      <c r="U455" s="32"/>
      <c r="V455" s="32"/>
      <c r="W455" s="32"/>
      <c r="X455" s="32"/>
      <c r="Y455" s="32"/>
      <c r="Z455" s="32"/>
      <c r="AA455" s="32"/>
      <c r="AB455" s="32"/>
      <c r="AC455" s="32"/>
      <c r="AD455" s="32"/>
      <c r="AE455" s="32"/>
      <c r="AT455" s="15" t="s">
        <v>208</v>
      </c>
      <c r="AU455" s="15" t="s">
        <v>79</v>
      </c>
    </row>
    <row r="456" spans="1:65" s="2" customFormat="1" ht="13.9" customHeight="1">
      <c r="A456" s="32"/>
      <c r="B456" s="33"/>
      <c r="C456" s="176" t="s">
        <v>1148</v>
      </c>
      <c r="D456" s="176" t="s">
        <v>198</v>
      </c>
      <c r="E456" s="177" t="s">
        <v>1149</v>
      </c>
      <c r="F456" s="178" t="s">
        <v>1150</v>
      </c>
      <c r="G456" s="179" t="s">
        <v>253</v>
      </c>
      <c r="H456" s="180">
        <v>28.5</v>
      </c>
      <c r="I456" s="181"/>
      <c r="J456" s="182">
        <f>ROUND(I456*H456,2)</f>
        <v>0</v>
      </c>
      <c r="K456" s="178" t="s">
        <v>202</v>
      </c>
      <c r="L456" s="37"/>
      <c r="M456" s="183" t="s">
        <v>19</v>
      </c>
      <c r="N456" s="184" t="s">
        <v>41</v>
      </c>
      <c r="O456" s="62"/>
      <c r="P456" s="185">
        <f>O456*H456</f>
        <v>0</v>
      </c>
      <c r="Q456" s="185">
        <v>7E-05</v>
      </c>
      <c r="R456" s="185">
        <f>Q456*H456</f>
        <v>0.001995</v>
      </c>
      <c r="S456" s="185">
        <v>0</v>
      </c>
      <c r="T456" s="186">
        <f>S456*H456</f>
        <v>0</v>
      </c>
      <c r="U456" s="32"/>
      <c r="V456" s="32"/>
      <c r="W456" s="32"/>
      <c r="X456" s="32"/>
      <c r="Y456" s="32"/>
      <c r="Z456" s="32"/>
      <c r="AA456" s="32"/>
      <c r="AB456" s="32"/>
      <c r="AC456" s="32"/>
      <c r="AD456" s="32"/>
      <c r="AE456" s="32"/>
      <c r="AR456" s="187" t="s">
        <v>270</v>
      </c>
      <c r="AT456" s="187" t="s">
        <v>198</v>
      </c>
      <c r="AU456" s="187" t="s">
        <v>79</v>
      </c>
      <c r="AY456" s="15" t="s">
        <v>196</v>
      </c>
      <c r="BE456" s="188">
        <f>IF(N456="základní",J456,0)</f>
        <v>0</v>
      </c>
      <c r="BF456" s="188">
        <f>IF(N456="snížená",J456,0)</f>
        <v>0</v>
      </c>
      <c r="BG456" s="188">
        <f>IF(N456="zákl. přenesená",J456,0)</f>
        <v>0</v>
      </c>
      <c r="BH456" s="188">
        <f>IF(N456="sníž. přenesená",J456,0)</f>
        <v>0</v>
      </c>
      <c r="BI456" s="188">
        <f>IF(N456="nulová",J456,0)</f>
        <v>0</v>
      </c>
      <c r="BJ456" s="15" t="s">
        <v>77</v>
      </c>
      <c r="BK456" s="188">
        <f>ROUND(I456*H456,2)</f>
        <v>0</v>
      </c>
      <c r="BL456" s="15" t="s">
        <v>270</v>
      </c>
      <c r="BM456" s="187" t="s">
        <v>1151</v>
      </c>
    </row>
    <row r="457" spans="1:47" s="2" customFormat="1" ht="48.75">
      <c r="A457" s="32"/>
      <c r="B457" s="33"/>
      <c r="C457" s="34"/>
      <c r="D457" s="189" t="s">
        <v>208</v>
      </c>
      <c r="E457" s="34"/>
      <c r="F457" s="190" t="s">
        <v>1143</v>
      </c>
      <c r="G457" s="34"/>
      <c r="H457" s="34"/>
      <c r="I457" s="191"/>
      <c r="J457" s="34"/>
      <c r="K457" s="34"/>
      <c r="L457" s="37"/>
      <c r="M457" s="192"/>
      <c r="N457" s="193"/>
      <c r="O457" s="62"/>
      <c r="P457" s="62"/>
      <c r="Q457" s="62"/>
      <c r="R457" s="62"/>
      <c r="S457" s="62"/>
      <c r="T457" s="63"/>
      <c r="U457" s="32"/>
      <c r="V457" s="32"/>
      <c r="W457" s="32"/>
      <c r="X457" s="32"/>
      <c r="Y457" s="32"/>
      <c r="Z457" s="32"/>
      <c r="AA457" s="32"/>
      <c r="AB457" s="32"/>
      <c r="AC457" s="32"/>
      <c r="AD457" s="32"/>
      <c r="AE457" s="32"/>
      <c r="AT457" s="15" t="s">
        <v>208</v>
      </c>
      <c r="AU457" s="15" t="s">
        <v>79</v>
      </c>
    </row>
    <row r="458" spans="1:65" s="2" customFormat="1" ht="13.9" customHeight="1">
      <c r="A458" s="32"/>
      <c r="B458" s="33"/>
      <c r="C458" s="176" t="s">
        <v>1152</v>
      </c>
      <c r="D458" s="176" t="s">
        <v>198</v>
      </c>
      <c r="E458" s="177" t="s">
        <v>1153</v>
      </c>
      <c r="F458" s="178" t="s">
        <v>1154</v>
      </c>
      <c r="G458" s="179" t="s">
        <v>253</v>
      </c>
      <c r="H458" s="180">
        <v>28.5</v>
      </c>
      <c r="I458" s="181"/>
      <c r="J458" s="182">
        <f aca="true" t="shared" si="50" ref="J458:J463">ROUND(I458*H458,2)</f>
        <v>0</v>
      </c>
      <c r="K458" s="178" t="s">
        <v>202</v>
      </c>
      <c r="L458" s="37"/>
      <c r="M458" s="183" t="s">
        <v>19</v>
      </c>
      <c r="N458" s="184" t="s">
        <v>41</v>
      </c>
      <c r="O458" s="62"/>
      <c r="P458" s="185">
        <f aca="true" t="shared" si="51" ref="P458:P463">O458*H458</f>
        <v>0</v>
      </c>
      <c r="Q458" s="185">
        <v>0.0004</v>
      </c>
      <c r="R458" s="185">
        <f aca="true" t="shared" si="52" ref="R458:R463">Q458*H458</f>
        <v>0.0114</v>
      </c>
      <c r="S458" s="185">
        <v>0</v>
      </c>
      <c r="T458" s="186">
        <f aca="true" t="shared" si="53" ref="T458:T463">S458*H458</f>
        <v>0</v>
      </c>
      <c r="U458" s="32"/>
      <c r="V458" s="32"/>
      <c r="W458" s="32"/>
      <c r="X458" s="32"/>
      <c r="Y458" s="32"/>
      <c r="Z458" s="32"/>
      <c r="AA458" s="32"/>
      <c r="AB458" s="32"/>
      <c r="AC458" s="32"/>
      <c r="AD458" s="32"/>
      <c r="AE458" s="32"/>
      <c r="AR458" s="187" t="s">
        <v>270</v>
      </c>
      <c r="AT458" s="187" t="s">
        <v>198</v>
      </c>
      <c r="AU458" s="187" t="s">
        <v>79</v>
      </c>
      <c r="AY458" s="15" t="s">
        <v>196</v>
      </c>
      <c r="BE458" s="188">
        <f aca="true" t="shared" si="54" ref="BE458:BE463">IF(N458="základní",J458,0)</f>
        <v>0</v>
      </c>
      <c r="BF458" s="188">
        <f aca="true" t="shared" si="55" ref="BF458:BF463">IF(N458="snížená",J458,0)</f>
        <v>0</v>
      </c>
      <c r="BG458" s="188">
        <f aca="true" t="shared" si="56" ref="BG458:BG463">IF(N458="zákl. přenesená",J458,0)</f>
        <v>0</v>
      </c>
      <c r="BH458" s="188">
        <f aca="true" t="shared" si="57" ref="BH458:BH463">IF(N458="sníž. přenesená",J458,0)</f>
        <v>0</v>
      </c>
      <c r="BI458" s="188">
        <f aca="true" t="shared" si="58" ref="BI458:BI463">IF(N458="nulová",J458,0)</f>
        <v>0</v>
      </c>
      <c r="BJ458" s="15" t="s">
        <v>77</v>
      </c>
      <c r="BK458" s="188">
        <f aca="true" t="shared" si="59" ref="BK458:BK463">ROUND(I458*H458,2)</f>
        <v>0</v>
      </c>
      <c r="BL458" s="15" t="s">
        <v>270</v>
      </c>
      <c r="BM458" s="187" t="s">
        <v>1155</v>
      </c>
    </row>
    <row r="459" spans="1:65" s="2" customFormat="1" ht="318" customHeight="1">
      <c r="A459" s="32"/>
      <c r="B459" s="33"/>
      <c r="C459" s="194" t="s">
        <v>1156</v>
      </c>
      <c r="D459" s="194" t="s">
        <v>411</v>
      </c>
      <c r="E459" s="195" t="s">
        <v>1157</v>
      </c>
      <c r="F459" s="196" t="s">
        <v>1158</v>
      </c>
      <c r="G459" s="197" t="s">
        <v>253</v>
      </c>
      <c r="H459" s="198">
        <v>31.35</v>
      </c>
      <c r="I459" s="199"/>
      <c r="J459" s="200">
        <f t="shared" si="50"/>
        <v>0</v>
      </c>
      <c r="K459" s="196" t="s">
        <v>19</v>
      </c>
      <c r="L459" s="201"/>
      <c r="M459" s="202" t="s">
        <v>19</v>
      </c>
      <c r="N459" s="203" t="s">
        <v>41</v>
      </c>
      <c r="O459" s="62"/>
      <c r="P459" s="185">
        <f t="shared" si="51"/>
        <v>0</v>
      </c>
      <c r="Q459" s="185">
        <v>0.0032</v>
      </c>
      <c r="R459" s="185">
        <f t="shared" si="52"/>
        <v>0.10032</v>
      </c>
      <c r="S459" s="185">
        <v>0</v>
      </c>
      <c r="T459" s="186">
        <f t="shared" si="53"/>
        <v>0</v>
      </c>
      <c r="U459" s="32"/>
      <c r="V459" s="32"/>
      <c r="W459" s="32"/>
      <c r="X459" s="32"/>
      <c r="Y459" s="32"/>
      <c r="Z459" s="32"/>
      <c r="AA459" s="32"/>
      <c r="AB459" s="32"/>
      <c r="AC459" s="32"/>
      <c r="AD459" s="32"/>
      <c r="AE459" s="32"/>
      <c r="AR459" s="187" t="s">
        <v>340</v>
      </c>
      <c r="AT459" s="187" t="s">
        <v>411</v>
      </c>
      <c r="AU459" s="187" t="s">
        <v>79</v>
      </c>
      <c r="AY459" s="15" t="s">
        <v>196</v>
      </c>
      <c r="BE459" s="188">
        <f t="shared" si="54"/>
        <v>0</v>
      </c>
      <c r="BF459" s="188">
        <f t="shared" si="55"/>
        <v>0</v>
      </c>
      <c r="BG459" s="188">
        <f t="shared" si="56"/>
        <v>0</v>
      </c>
      <c r="BH459" s="188">
        <f t="shared" si="57"/>
        <v>0</v>
      </c>
      <c r="BI459" s="188">
        <f t="shared" si="58"/>
        <v>0</v>
      </c>
      <c r="BJ459" s="15" t="s">
        <v>77</v>
      </c>
      <c r="BK459" s="188">
        <f t="shared" si="59"/>
        <v>0</v>
      </c>
      <c r="BL459" s="15" t="s">
        <v>270</v>
      </c>
      <c r="BM459" s="187" t="s">
        <v>1159</v>
      </c>
    </row>
    <row r="460" spans="1:65" s="2" customFormat="1" ht="13.9" customHeight="1">
      <c r="A460" s="32"/>
      <c r="B460" s="33"/>
      <c r="C460" s="176" t="s">
        <v>1160</v>
      </c>
      <c r="D460" s="176" t="s">
        <v>198</v>
      </c>
      <c r="E460" s="177" t="s">
        <v>1161</v>
      </c>
      <c r="F460" s="178" t="s">
        <v>1162</v>
      </c>
      <c r="G460" s="179" t="s">
        <v>310</v>
      </c>
      <c r="H460" s="180">
        <v>20</v>
      </c>
      <c r="I460" s="181"/>
      <c r="J460" s="182">
        <f t="shared" si="50"/>
        <v>0</v>
      </c>
      <c r="K460" s="178" t="s">
        <v>202</v>
      </c>
      <c r="L460" s="37"/>
      <c r="M460" s="183" t="s">
        <v>19</v>
      </c>
      <c r="N460" s="184" t="s">
        <v>41</v>
      </c>
      <c r="O460" s="62"/>
      <c r="P460" s="185">
        <f t="shared" si="51"/>
        <v>0</v>
      </c>
      <c r="Q460" s="185">
        <v>2E-05</v>
      </c>
      <c r="R460" s="185">
        <f t="shared" si="52"/>
        <v>0.0004</v>
      </c>
      <c r="S460" s="185">
        <v>0</v>
      </c>
      <c r="T460" s="186">
        <f t="shared" si="53"/>
        <v>0</v>
      </c>
      <c r="U460" s="32"/>
      <c r="V460" s="32"/>
      <c r="W460" s="32"/>
      <c r="X460" s="32"/>
      <c r="Y460" s="32"/>
      <c r="Z460" s="32"/>
      <c r="AA460" s="32"/>
      <c r="AB460" s="32"/>
      <c r="AC460" s="32"/>
      <c r="AD460" s="32"/>
      <c r="AE460" s="32"/>
      <c r="AR460" s="187" t="s">
        <v>270</v>
      </c>
      <c r="AT460" s="187" t="s">
        <v>198</v>
      </c>
      <c r="AU460" s="187" t="s">
        <v>79</v>
      </c>
      <c r="AY460" s="15" t="s">
        <v>196</v>
      </c>
      <c r="BE460" s="188">
        <f t="shared" si="54"/>
        <v>0</v>
      </c>
      <c r="BF460" s="188">
        <f t="shared" si="55"/>
        <v>0</v>
      </c>
      <c r="BG460" s="188">
        <f t="shared" si="56"/>
        <v>0</v>
      </c>
      <c r="BH460" s="188">
        <f t="shared" si="57"/>
        <v>0</v>
      </c>
      <c r="BI460" s="188">
        <f t="shared" si="58"/>
        <v>0</v>
      </c>
      <c r="BJ460" s="15" t="s">
        <v>77</v>
      </c>
      <c r="BK460" s="188">
        <f t="shared" si="59"/>
        <v>0</v>
      </c>
      <c r="BL460" s="15" t="s">
        <v>270</v>
      </c>
      <c r="BM460" s="187" t="s">
        <v>1163</v>
      </c>
    </row>
    <row r="461" spans="1:65" s="2" customFormat="1" ht="13.9" customHeight="1">
      <c r="A461" s="32"/>
      <c r="B461" s="33"/>
      <c r="C461" s="176" t="s">
        <v>1164</v>
      </c>
      <c r="D461" s="176" t="s">
        <v>198</v>
      </c>
      <c r="E461" s="177" t="s">
        <v>1165</v>
      </c>
      <c r="F461" s="178" t="s">
        <v>1166</v>
      </c>
      <c r="G461" s="179" t="s">
        <v>310</v>
      </c>
      <c r="H461" s="180">
        <v>93.76</v>
      </c>
      <c r="I461" s="181"/>
      <c r="J461" s="182">
        <f t="shared" si="50"/>
        <v>0</v>
      </c>
      <c r="K461" s="178" t="s">
        <v>202</v>
      </c>
      <c r="L461" s="37"/>
      <c r="M461" s="183" t="s">
        <v>19</v>
      </c>
      <c r="N461" s="184" t="s">
        <v>41</v>
      </c>
      <c r="O461" s="62"/>
      <c r="P461" s="185">
        <f t="shared" si="51"/>
        <v>0</v>
      </c>
      <c r="Q461" s="185">
        <v>1E-05</v>
      </c>
      <c r="R461" s="185">
        <f t="shared" si="52"/>
        <v>0.0009376000000000001</v>
      </c>
      <c r="S461" s="185">
        <v>0</v>
      </c>
      <c r="T461" s="186">
        <f t="shared" si="53"/>
        <v>0</v>
      </c>
      <c r="U461" s="32"/>
      <c r="V461" s="32"/>
      <c r="W461" s="32"/>
      <c r="X461" s="32"/>
      <c r="Y461" s="32"/>
      <c r="Z461" s="32"/>
      <c r="AA461" s="32"/>
      <c r="AB461" s="32"/>
      <c r="AC461" s="32"/>
      <c r="AD461" s="32"/>
      <c r="AE461" s="32"/>
      <c r="AR461" s="187" t="s">
        <v>270</v>
      </c>
      <c r="AT461" s="187" t="s">
        <v>198</v>
      </c>
      <c r="AU461" s="187" t="s">
        <v>79</v>
      </c>
      <c r="AY461" s="15" t="s">
        <v>196</v>
      </c>
      <c r="BE461" s="188">
        <f t="shared" si="54"/>
        <v>0</v>
      </c>
      <c r="BF461" s="188">
        <f t="shared" si="55"/>
        <v>0</v>
      </c>
      <c r="BG461" s="188">
        <f t="shared" si="56"/>
        <v>0</v>
      </c>
      <c r="BH461" s="188">
        <f t="shared" si="57"/>
        <v>0</v>
      </c>
      <c r="BI461" s="188">
        <f t="shared" si="58"/>
        <v>0</v>
      </c>
      <c r="BJ461" s="15" t="s">
        <v>77</v>
      </c>
      <c r="BK461" s="188">
        <f t="shared" si="59"/>
        <v>0</v>
      </c>
      <c r="BL461" s="15" t="s">
        <v>270</v>
      </c>
      <c r="BM461" s="187" t="s">
        <v>1167</v>
      </c>
    </row>
    <row r="462" spans="1:65" s="2" customFormat="1" ht="13.9" customHeight="1">
      <c r="A462" s="32"/>
      <c r="B462" s="33"/>
      <c r="C462" s="194" t="s">
        <v>1168</v>
      </c>
      <c r="D462" s="194" t="s">
        <v>411</v>
      </c>
      <c r="E462" s="195" t="s">
        <v>1169</v>
      </c>
      <c r="F462" s="196" t="s">
        <v>1170</v>
      </c>
      <c r="G462" s="197" t="s">
        <v>310</v>
      </c>
      <c r="H462" s="198">
        <v>103.136</v>
      </c>
      <c r="I462" s="199"/>
      <c r="J462" s="200">
        <f t="shared" si="50"/>
        <v>0</v>
      </c>
      <c r="K462" s="196" t="s">
        <v>19</v>
      </c>
      <c r="L462" s="201"/>
      <c r="M462" s="202" t="s">
        <v>19</v>
      </c>
      <c r="N462" s="203" t="s">
        <v>41</v>
      </c>
      <c r="O462" s="62"/>
      <c r="P462" s="185">
        <f t="shared" si="51"/>
        <v>0</v>
      </c>
      <c r="Q462" s="185">
        <v>0</v>
      </c>
      <c r="R462" s="185">
        <f t="shared" si="52"/>
        <v>0</v>
      </c>
      <c r="S462" s="185">
        <v>0</v>
      </c>
      <c r="T462" s="186">
        <f t="shared" si="53"/>
        <v>0</v>
      </c>
      <c r="U462" s="32"/>
      <c r="V462" s="32"/>
      <c r="W462" s="32"/>
      <c r="X462" s="32"/>
      <c r="Y462" s="32"/>
      <c r="Z462" s="32"/>
      <c r="AA462" s="32"/>
      <c r="AB462" s="32"/>
      <c r="AC462" s="32"/>
      <c r="AD462" s="32"/>
      <c r="AE462" s="32"/>
      <c r="AR462" s="187" t="s">
        <v>340</v>
      </c>
      <c r="AT462" s="187" t="s">
        <v>411</v>
      </c>
      <c r="AU462" s="187" t="s">
        <v>79</v>
      </c>
      <c r="AY462" s="15" t="s">
        <v>196</v>
      </c>
      <c r="BE462" s="188">
        <f t="shared" si="54"/>
        <v>0</v>
      </c>
      <c r="BF462" s="188">
        <f t="shared" si="55"/>
        <v>0</v>
      </c>
      <c r="BG462" s="188">
        <f t="shared" si="56"/>
        <v>0</v>
      </c>
      <c r="BH462" s="188">
        <f t="shared" si="57"/>
        <v>0</v>
      </c>
      <c r="BI462" s="188">
        <f t="shared" si="58"/>
        <v>0</v>
      </c>
      <c r="BJ462" s="15" t="s">
        <v>77</v>
      </c>
      <c r="BK462" s="188">
        <f t="shared" si="59"/>
        <v>0</v>
      </c>
      <c r="BL462" s="15" t="s">
        <v>270</v>
      </c>
      <c r="BM462" s="187" t="s">
        <v>1171</v>
      </c>
    </row>
    <row r="463" spans="1:65" s="2" customFormat="1" ht="13.9" customHeight="1">
      <c r="A463" s="32"/>
      <c r="B463" s="33"/>
      <c r="C463" s="176" t="s">
        <v>1172</v>
      </c>
      <c r="D463" s="176" t="s">
        <v>198</v>
      </c>
      <c r="E463" s="177" t="s">
        <v>1173</v>
      </c>
      <c r="F463" s="178" t="s">
        <v>1174</v>
      </c>
      <c r="G463" s="179" t="s">
        <v>310</v>
      </c>
      <c r="H463" s="180">
        <v>93.76</v>
      </c>
      <c r="I463" s="181"/>
      <c r="J463" s="182">
        <f t="shared" si="50"/>
        <v>0</v>
      </c>
      <c r="K463" s="178" t="s">
        <v>202</v>
      </c>
      <c r="L463" s="37"/>
      <c r="M463" s="183" t="s">
        <v>19</v>
      </c>
      <c r="N463" s="184" t="s">
        <v>41</v>
      </c>
      <c r="O463" s="62"/>
      <c r="P463" s="185">
        <f t="shared" si="51"/>
        <v>0</v>
      </c>
      <c r="Q463" s="185">
        <v>3E-05</v>
      </c>
      <c r="R463" s="185">
        <f t="shared" si="52"/>
        <v>0.0028128000000000003</v>
      </c>
      <c r="S463" s="185">
        <v>0</v>
      </c>
      <c r="T463" s="186">
        <f t="shared" si="53"/>
        <v>0</v>
      </c>
      <c r="U463" s="32"/>
      <c r="V463" s="32"/>
      <c r="W463" s="32"/>
      <c r="X463" s="32"/>
      <c r="Y463" s="32"/>
      <c r="Z463" s="32"/>
      <c r="AA463" s="32"/>
      <c r="AB463" s="32"/>
      <c r="AC463" s="32"/>
      <c r="AD463" s="32"/>
      <c r="AE463" s="32"/>
      <c r="AR463" s="187" t="s">
        <v>270</v>
      </c>
      <c r="AT463" s="187" t="s">
        <v>198</v>
      </c>
      <c r="AU463" s="187" t="s">
        <v>79</v>
      </c>
      <c r="AY463" s="15" t="s">
        <v>196</v>
      </c>
      <c r="BE463" s="188">
        <f t="shared" si="54"/>
        <v>0</v>
      </c>
      <c r="BF463" s="188">
        <f t="shared" si="55"/>
        <v>0</v>
      </c>
      <c r="BG463" s="188">
        <f t="shared" si="56"/>
        <v>0</v>
      </c>
      <c r="BH463" s="188">
        <f t="shared" si="57"/>
        <v>0</v>
      </c>
      <c r="BI463" s="188">
        <f t="shared" si="58"/>
        <v>0</v>
      </c>
      <c r="BJ463" s="15" t="s">
        <v>77</v>
      </c>
      <c r="BK463" s="188">
        <f t="shared" si="59"/>
        <v>0</v>
      </c>
      <c r="BL463" s="15" t="s">
        <v>270</v>
      </c>
      <c r="BM463" s="187" t="s">
        <v>1175</v>
      </c>
    </row>
    <row r="464" spans="1:47" s="2" customFormat="1" ht="39">
      <c r="A464" s="32"/>
      <c r="B464" s="33"/>
      <c r="C464" s="34"/>
      <c r="D464" s="189" t="s">
        <v>208</v>
      </c>
      <c r="E464" s="34"/>
      <c r="F464" s="190" t="s">
        <v>1176</v>
      </c>
      <c r="G464" s="34"/>
      <c r="H464" s="34"/>
      <c r="I464" s="191"/>
      <c r="J464" s="34"/>
      <c r="K464" s="34"/>
      <c r="L464" s="37"/>
      <c r="M464" s="192"/>
      <c r="N464" s="193"/>
      <c r="O464" s="62"/>
      <c r="P464" s="62"/>
      <c r="Q464" s="62"/>
      <c r="R464" s="62"/>
      <c r="S464" s="62"/>
      <c r="T464" s="63"/>
      <c r="U464" s="32"/>
      <c r="V464" s="32"/>
      <c r="W464" s="32"/>
      <c r="X464" s="32"/>
      <c r="Y464" s="32"/>
      <c r="Z464" s="32"/>
      <c r="AA464" s="32"/>
      <c r="AB464" s="32"/>
      <c r="AC464" s="32"/>
      <c r="AD464" s="32"/>
      <c r="AE464" s="32"/>
      <c r="AT464" s="15" t="s">
        <v>208</v>
      </c>
      <c r="AU464" s="15" t="s">
        <v>79</v>
      </c>
    </row>
    <row r="465" spans="1:65" s="2" customFormat="1" ht="13.9" customHeight="1">
      <c r="A465" s="32"/>
      <c r="B465" s="33"/>
      <c r="C465" s="176" t="s">
        <v>1177</v>
      </c>
      <c r="D465" s="176" t="s">
        <v>198</v>
      </c>
      <c r="E465" s="177" t="s">
        <v>1178</v>
      </c>
      <c r="F465" s="178" t="s">
        <v>1179</v>
      </c>
      <c r="G465" s="179" t="s">
        <v>253</v>
      </c>
      <c r="H465" s="180">
        <v>28.5</v>
      </c>
      <c r="I465" s="181"/>
      <c r="J465" s="182">
        <f>ROUND(I465*H465,2)</f>
        <v>0</v>
      </c>
      <c r="K465" s="178" t="s">
        <v>202</v>
      </c>
      <c r="L465" s="37"/>
      <c r="M465" s="183" t="s">
        <v>19</v>
      </c>
      <c r="N465" s="184" t="s">
        <v>41</v>
      </c>
      <c r="O465" s="62"/>
      <c r="P465" s="185">
        <f>O465*H465</f>
        <v>0</v>
      </c>
      <c r="Q465" s="185">
        <v>0</v>
      </c>
      <c r="R465" s="185">
        <f>Q465*H465</f>
        <v>0</v>
      </c>
      <c r="S465" s="185">
        <v>0</v>
      </c>
      <c r="T465" s="186">
        <f>S465*H465</f>
        <v>0</v>
      </c>
      <c r="U465" s="32"/>
      <c r="V465" s="32"/>
      <c r="W465" s="32"/>
      <c r="X465" s="32"/>
      <c r="Y465" s="32"/>
      <c r="Z465" s="32"/>
      <c r="AA465" s="32"/>
      <c r="AB465" s="32"/>
      <c r="AC465" s="32"/>
      <c r="AD465" s="32"/>
      <c r="AE465" s="32"/>
      <c r="AR465" s="187" t="s">
        <v>270</v>
      </c>
      <c r="AT465" s="187" t="s">
        <v>198</v>
      </c>
      <c r="AU465" s="187" t="s">
        <v>79</v>
      </c>
      <c r="AY465" s="15" t="s">
        <v>196</v>
      </c>
      <c r="BE465" s="188">
        <f>IF(N465="základní",J465,0)</f>
        <v>0</v>
      </c>
      <c r="BF465" s="188">
        <f>IF(N465="snížená",J465,0)</f>
        <v>0</v>
      </c>
      <c r="BG465" s="188">
        <f>IF(N465="zákl. přenesená",J465,0)</f>
        <v>0</v>
      </c>
      <c r="BH465" s="188">
        <f>IF(N465="sníž. přenesená",J465,0)</f>
        <v>0</v>
      </c>
      <c r="BI465" s="188">
        <f>IF(N465="nulová",J465,0)</f>
        <v>0</v>
      </c>
      <c r="BJ465" s="15" t="s">
        <v>77</v>
      </c>
      <c r="BK465" s="188">
        <f>ROUND(I465*H465,2)</f>
        <v>0</v>
      </c>
      <c r="BL465" s="15" t="s">
        <v>270</v>
      </c>
      <c r="BM465" s="187" t="s">
        <v>1180</v>
      </c>
    </row>
    <row r="466" spans="1:47" s="2" customFormat="1" ht="39">
      <c r="A466" s="32"/>
      <c r="B466" s="33"/>
      <c r="C466" s="34"/>
      <c r="D466" s="189" t="s">
        <v>208</v>
      </c>
      <c r="E466" s="34"/>
      <c r="F466" s="190" t="s">
        <v>1176</v>
      </c>
      <c r="G466" s="34"/>
      <c r="H466" s="34"/>
      <c r="I466" s="191"/>
      <c r="J466" s="34"/>
      <c r="K466" s="34"/>
      <c r="L466" s="37"/>
      <c r="M466" s="192"/>
      <c r="N466" s="193"/>
      <c r="O466" s="62"/>
      <c r="P466" s="62"/>
      <c r="Q466" s="62"/>
      <c r="R466" s="62"/>
      <c r="S466" s="62"/>
      <c r="T466" s="63"/>
      <c r="U466" s="32"/>
      <c r="V466" s="32"/>
      <c r="W466" s="32"/>
      <c r="X466" s="32"/>
      <c r="Y466" s="32"/>
      <c r="Z466" s="32"/>
      <c r="AA466" s="32"/>
      <c r="AB466" s="32"/>
      <c r="AC466" s="32"/>
      <c r="AD466" s="32"/>
      <c r="AE466" s="32"/>
      <c r="AT466" s="15" t="s">
        <v>208</v>
      </c>
      <c r="AU466" s="15" t="s">
        <v>79</v>
      </c>
    </row>
    <row r="467" spans="1:65" s="2" customFormat="1" ht="13.9" customHeight="1">
      <c r="A467" s="32"/>
      <c r="B467" s="33"/>
      <c r="C467" s="176" t="s">
        <v>1181</v>
      </c>
      <c r="D467" s="176" t="s">
        <v>198</v>
      </c>
      <c r="E467" s="177" t="s">
        <v>1182</v>
      </c>
      <c r="F467" s="178" t="s">
        <v>1183</v>
      </c>
      <c r="G467" s="179" t="s">
        <v>253</v>
      </c>
      <c r="H467" s="180">
        <v>28.5</v>
      </c>
      <c r="I467" s="181"/>
      <c r="J467" s="182">
        <f>ROUND(I467*H467,2)</f>
        <v>0</v>
      </c>
      <c r="K467" s="178" t="s">
        <v>202</v>
      </c>
      <c r="L467" s="37"/>
      <c r="M467" s="183" t="s">
        <v>19</v>
      </c>
      <c r="N467" s="184" t="s">
        <v>41</v>
      </c>
      <c r="O467" s="62"/>
      <c r="P467" s="185">
        <f>O467*H467</f>
        <v>0</v>
      </c>
      <c r="Q467" s="185">
        <v>3E-05</v>
      </c>
      <c r="R467" s="185">
        <f>Q467*H467</f>
        <v>0.0008550000000000001</v>
      </c>
      <c r="S467" s="185">
        <v>0</v>
      </c>
      <c r="T467" s="186">
        <f>S467*H467</f>
        <v>0</v>
      </c>
      <c r="U467" s="32"/>
      <c r="V467" s="32"/>
      <c r="W467" s="32"/>
      <c r="X467" s="32"/>
      <c r="Y467" s="32"/>
      <c r="Z467" s="32"/>
      <c r="AA467" s="32"/>
      <c r="AB467" s="32"/>
      <c r="AC467" s="32"/>
      <c r="AD467" s="32"/>
      <c r="AE467" s="32"/>
      <c r="AR467" s="187" t="s">
        <v>270</v>
      </c>
      <c r="AT467" s="187" t="s">
        <v>198</v>
      </c>
      <c r="AU467" s="187" t="s">
        <v>79</v>
      </c>
      <c r="AY467" s="15" t="s">
        <v>196</v>
      </c>
      <c r="BE467" s="188">
        <f>IF(N467="základní",J467,0)</f>
        <v>0</v>
      </c>
      <c r="BF467" s="188">
        <f>IF(N467="snížená",J467,0)</f>
        <v>0</v>
      </c>
      <c r="BG467" s="188">
        <f>IF(N467="zákl. přenesená",J467,0)</f>
        <v>0</v>
      </c>
      <c r="BH467" s="188">
        <f>IF(N467="sníž. přenesená",J467,0)</f>
        <v>0</v>
      </c>
      <c r="BI467" s="188">
        <f>IF(N467="nulová",J467,0)</f>
        <v>0</v>
      </c>
      <c r="BJ467" s="15" t="s">
        <v>77</v>
      </c>
      <c r="BK467" s="188">
        <f>ROUND(I467*H467,2)</f>
        <v>0</v>
      </c>
      <c r="BL467" s="15" t="s">
        <v>270</v>
      </c>
      <c r="BM467" s="187" t="s">
        <v>1184</v>
      </c>
    </row>
    <row r="468" spans="1:47" s="2" customFormat="1" ht="39">
      <c r="A468" s="32"/>
      <c r="B468" s="33"/>
      <c r="C468" s="34"/>
      <c r="D468" s="189" t="s">
        <v>208</v>
      </c>
      <c r="E468" s="34"/>
      <c r="F468" s="190" t="s">
        <v>1176</v>
      </c>
      <c r="G468" s="34"/>
      <c r="H468" s="34"/>
      <c r="I468" s="191"/>
      <c r="J468" s="34"/>
      <c r="K468" s="34"/>
      <c r="L468" s="37"/>
      <c r="M468" s="192"/>
      <c r="N468" s="193"/>
      <c r="O468" s="62"/>
      <c r="P468" s="62"/>
      <c r="Q468" s="62"/>
      <c r="R468" s="62"/>
      <c r="S468" s="62"/>
      <c r="T468" s="63"/>
      <c r="U468" s="32"/>
      <c r="V468" s="32"/>
      <c r="W468" s="32"/>
      <c r="X468" s="32"/>
      <c r="Y468" s="32"/>
      <c r="Z468" s="32"/>
      <c r="AA468" s="32"/>
      <c r="AB468" s="32"/>
      <c r="AC468" s="32"/>
      <c r="AD468" s="32"/>
      <c r="AE468" s="32"/>
      <c r="AT468" s="15" t="s">
        <v>208</v>
      </c>
      <c r="AU468" s="15" t="s">
        <v>79</v>
      </c>
    </row>
    <row r="469" spans="1:65" s="2" customFormat="1" ht="22.15" customHeight="1">
      <c r="A469" s="32"/>
      <c r="B469" s="33"/>
      <c r="C469" s="176" t="s">
        <v>1185</v>
      </c>
      <c r="D469" s="176" t="s">
        <v>198</v>
      </c>
      <c r="E469" s="177" t="s">
        <v>1186</v>
      </c>
      <c r="F469" s="178" t="s">
        <v>1187</v>
      </c>
      <c r="G469" s="179" t="s">
        <v>242</v>
      </c>
      <c r="H469" s="180">
        <v>0.119</v>
      </c>
      <c r="I469" s="181"/>
      <c r="J469" s="182">
        <f>ROUND(I469*H469,2)</f>
        <v>0</v>
      </c>
      <c r="K469" s="178" t="s">
        <v>202</v>
      </c>
      <c r="L469" s="37"/>
      <c r="M469" s="183" t="s">
        <v>19</v>
      </c>
      <c r="N469" s="184" t="s">
        <v>41</v>
      </c>
      <c r="O469" s="62"/>
      <c r="P469" s="185">
        <f>O469*H469</f>
        <v>0</v>
      </c>
      <c r="Q469" s="185">
        <v>0</v>
      </c>
      <c r="R469" s="185">
        <f>Q469*H469</f>
        <v>0</v>
      </c>
      <c r="S469" s="185">
        <v>0</v>
      </c>
      <c r="T469" s="186">
        <f>S469*H469</f>
        <v>0</v>
      </c>
      <c r="U469" s="32"/>
      <c r="V469" s="32"/>
      <c r="W469" s="32"/>
      <c r="X469" s="32"/>
      <c r="Y469" s="32"/>
      <c r="Z469" s="32"/>
      <c r="AA469" s="32"/>
      <c r="AB469" s="32"/>
      <c r="AC469" s="32"/>
      <c r="AD469" s="32"/>
      <c r="AE469" s="32"/>
      <c r="AR469" s="187" t="s">
        <v>270</v>
      </c>
      <c r="AT469" s="187" t="s">
        <v>198</v>
      </c>
      <c r="AU469" s="187" t="s">
        <v>79</v>
      </c>
      <c r="AY469" s="15" t="s">
        <v>196</v>
      </c>
      <c r="BE469" s="188">
        <f>IF(N469="základní",J469,0)</f>
        <v>0</v>
      </c>
      <c r="BF469" s="188">
        <f>IF(N469="snížená",J469,0)</f>
        <v>0</v>
      </c>
      <c r="BG469" s="188">
        <f>IF(N469="zákl. přenesená",J469,0)</f>
        <v>0</v>
      </c>
      <c r="BH469" s="188">
        <f>IF(N469="sníž. přenesená",J469,0)</f>
        <v>0</v>
      </c>
      <c r="BI469" s="188">
        <f>IF(N469="nulová",J469,0)</f>
        <v>0</v>
      </c>
      <c r="BJ469" s="15" t="s">
        <v>77</v>
      </c>
      <c r="BK469" s="188">
        <f>ROUND(I469*H469,2)</f>
        <v>0</v>
      </c>
      <c r="BL469" s="15" t="s">
        <v>270</v>
      </c>
      <c r="BM469" s="187" t="s">
        <v>1188</v>
      </c>
    </row>
    <row r="470" spans="1:47" s="2" customFormat="1" ht="78">
      <c r="A470" s="32"/>
      <c r="B470" s="33"/>
      <c r="C470" s="34"/>
      <c r="D470" s="189" t="s">
        <v>208</v>
      </c>
      <c r="E470" s="34"/>
      <c r="F470" s="190" t="s">
        <v>937</v>
      </c>
      <c r="G470" s="34"/>
      <c r="H470" s="34"/>
      <c r="I470" s="191"/>
      <c r="J470" s="34"/>
      <c r="K470" s="34"/>
      <c r="L470" s="37"/>
      <c r="M470" s="192"/>
      <c r="N470" s="193"/>
      <c r="O470" s="62"/>
      <c r="P470" s="62"/>
      <c r="Q470" s="62"/>
      <c r="R470" s="62"/>
      <c r="S470" s="62"/>
      <c r="T470" s="63"/>
      <c r="U470" s="32"/>
      <c r="V470" s="32"/>
      <c r="W470" s="32"/>
      <c r="X470" s="32"/>
      <c r="Y470" s="32"/>
      <c r="Z470" s="32"/>
      <c r="AA470" s="32"/>
      <c r="AB470" s="32"/>
      <c r="AC470" s="32"/>
      <c r="AD470" s="32"/>
      <c r="AE470" s="32"/>
      <c r="AT470" s="15" t="s">
        <v>208</v>
      </c>
      <c r="AU470" s="15" t="s">
        <v>79</v>
      </c>
    </row>
    <row r="471" spans="1:65" s="2" customFormat="1" ht="22.15" customHeight="1">
      <c r="A471" s="32"/>
      <c r="B471" s="33"/>
      <c r="C471" s="176" t="s">
        <v>1189</v>
      </c>
      <c r="D471" s="176" t="s">
        <v>198</v>
      </c>
      <c r="E471" s="177" t="s">
        <v>1190</v>
      </c>
      <c r="F471" s="178" t="s">
        <v>1191</v>
      </c>
      <c r="G471" s="179" t="s">
        <v>242</v>
      </c>
      <c r="H471" s="180">
        <v>0.119</v>
      </c>
      <c r="I471" s="181"/>
      <c r="J471" s="182">
        <f>ROUND(I471*H471,2)</f>
        <v>0</v>
      </c>
      <c r="K471" s="178" t="s">
        <v>202</v>
      </c>
      <c r="L471" s="37"/>
      <c r="M471" s="183" t="s">
        <v>19</v>
      </c>
      <c r="N471" s="184" t="s">
        <v>41</v>
      </c>
      <c r="O471" s="62"/>
      <c r="P471" s="185">
        <f>O471*H471</f>
        <v>0</v>
      </c>
      <c r="Q471" s="185">
        <v>0</v>
      </c>
      <c r="R471" s="185">
        <f>Q471*H471</f>
        <v>0</v>
      </c>
      <c r="S471" s="185">
        <v>0</v>
      </c>
      <c r="T471" s="186">
        <f>S471*H471</f>
        <v>0</v>
      </c>
      <c r="U471" s="32"/>
      <c r="V471" s="32"/>
      <c r="W471" s="32"/>
      <c r="X471" s="32"/>
      <c r="Y471" s="32"/>
      <c r="Z471" s="32"/>
      <c r="AA471" s="32"/>
      <c r="AB471" s="32"/>
      <c r="AC471" s="32"/>
      <c r="AD471" s="32"/>
      <c r="AE471" s="32"/>
      <c r="AR471" s="187" t="s">
        <v>270</v>
      </c>
      <c r="AT471" s="187" t="s">
        <v>198</v>
      </c>
      <c r="AU471" s="187" t="s">
        <v>79</v>
      </c>
      <c r="AY471" s="15" t="s">
        <v>196</v>
      </c>
      <c r="BE471" s="188">
        <f>IF(N471="základní",J471,0)</f>
        <v>0</v>
      </c>
      <c r="BF471" s="188">
        <f>IF(N471="snížená",J471,0)</f>
        <v>0</v>
      </c>
      <c r="BG471" s="188">
        <f>IF(N471="zákl. přenesená",J471,0)</f>
        <v>0</v>
      </c>
      <c r="BH471" s="188">
        <f>IF(N471="sníž. přenesená",J471,0)</f>
        <v>0</v>
      </c>
      <c r="BI471" s="188">
        <f>IF(N471="nulová",J471,0)</f>
        <v>0</v>
      </c>
      <c r="BJ471" s="15" t="s">
        <v>77</v>
      </c>
      <c r="BK471" s="188">
        <f>ROUND(I471*H471,2)</f>
        <v>0</v>
      </c>
      <c r="BL471" s="15" t="s">
        <v>270</v>
      </c>
      <c r="BM471" s="187" t="s">
        <v>1192</v>
      </c>
    </row>
    <row r="472" spans="1:47" s="2" customFormat="1" ht="78">
      <c r="A472" s="32"/>
      <c r="B472" s="33"/>
      <c r="C472" s="34"/>
      <c r="D472" s="189" t="s">
        <v>208</v>
      </c>
      <c r="E472" s="34"/>
      <c r="F472" s="190" t="s">
        <v>937</v>
      </c>
      <c r="G472" s="34"/>
      <c r="H472" s="34"/>
      <c r="I472" s="191"/>
      <c r="J472" s="34"/>
      <c r="K472" s="34"/>
      <c r="L472" s="37"/>
      <c r="M472" s="192"/>
      <c r="N472" s="193"/>
      <c r="O472" s="62"/>
      <c r="P472" s="62"/>
      <c r="Q472" s="62"/>
      <c r="R472" s="62"/>
      <c r="S472" s="62"/>
      <c r="T472" s="63"/>
      <c r="U472" s="32"/>
      <c r="V472" s="32"/>
      <c r="W472" s="32"/>
      <c r="X472" s="32"/>
      <c r="Y472" s="32"/>
      <c r="Z472" s="32"/>
      <c r="AA472" s="32"/>
      <c r="AB472" s="32"/>
      <c r="AC472" s="32"/>
      <c r="AD472" s="32"/>
      <c r="AE472" s="32"/>
      <c r="AT472" s="15" t="s">
        <v>208</v>
      </c>
      <c r="AU472" s="15" t="s">
        <v>79</v>
      </c>
    </row>
    <row r="473" spans="2:63" s="12" customFormat="1" ht="22.9" customHeight="1">
      <c r="B473" s="160"/>
      <c r="C473" s="161"/>
      <c r="D473" s="162" t="s">
        <v>69</v>
      </c>
      <c r="E473" s="174" t="s">
        <v>1193</v>
      </c>
      <c r="F473" s="174" t="s">
        <v>1194</v>
      </c>
      <c r="G473" s="161"/>
      <c r="H473" s="161"/>
      <c r="I473" s="164"/>
      <c r="J473" s="175">
        <f>BK473</f>
        <v>0</v>
      </c>
      <c r="K473" s="161"/>
      <c r="L473" s="166"/>
      <c r="M473" s="167"/>
      <c r="N473" s="168"/>
      <c r="O473" s="168"/>
      <c r="P473" s="169">
        <f>SUM(P474:P500)</f>
        <v>0</v>
      </c>
      <c r="Q473" s="168"/>
      <c r="R473" s="169">
        <f>SUM(R474:R500)</f>
        <v>4.7586668</v>
      </c>
      <c r="S473" s="168"/>
      <c r="T473" s="170">
        <f>SUM(T474:T500)</f>
        <v>21.73605</v>
      </c>
      <c r="AR473" s="171" t="s">
        <v>79</v>
      </c>
      <c r="AT473" s="172" t="s">
        <v>69</v>
      </c>
      <c r="AU473" s="172" t="s">
        <v>77</v>
      </c>
      <c r="AY473" s="171" t="s">
        <v>196</v>
      </c>
      <c r="BK473" s="173">
        <f>SUM(BK474:BK500)</f>
        <v>0</v>
      </c>
    </row>
    <row r="474" spans="1:65" s="2" customFormat="1" ht="13.9" customHeight="1">
      <c r="A474" s="32"/>
      <c r="B474" s="33"/>
      <c r="C474" s="176" t="s">
        <v>1195</v>
      </c>
      <c r="D474" s="176" t="s">
        <v>198</v>
      </c>
      <c r="E474" s="177" t="s">
        <v>1196</v>
      </c>
      <c r="F474" s="178" t="s">
        <v>1197</v>
      </c>
      <c r="G474" s="179" t="s">
        <v>253</v>
      </c>
      <c r="H474" s="180">
        <v>229.5</v>
      </c>
      <c r="I474" s="181"/>
      <c r="J474" s="182">
        <f>ROUND(I474*H474,2)</f>
        <v>0</v>
      </c>
      <c r="K474" s="178" t="s">
        <v>202</v>
      </c>
      <c r="L474" s="37"/>
      <c r="M474" s="183" t="s">
        <v>19</v>
      </c>
      <c r="N474" s="184" t="s">
        <v>41</v>
      </c>
      <c r="O474" s="62"/>
      <c r="P474" s="185">
        <f>O474*H474</f>
        <v>0</v>
      </c>
      <c r="Q474" s="185">
        <v>0</v>
      </c>
      <c r="R474" s="185">
        <f>Q474*H474</f>
        <v>0</v>
      </c>
      <c r="S474" s="185">
        <v>0</v>
      </c>
      <c r="T474" s="186">
        <f>S474*H474</f>
        <v>0</v>
      </c>
      <c r="U474" s="32"/>
      <c r="V474" s="32"/>
      <c r="W474" s="32"/>
      <c r="X474" s="32"/>
      <c r="Y474" s="32"/>
      <c r="Z474" s="32"/>
      <c r="AA474" s="32"/>
      <c r="AB474" s="32"/>
      <c r="AC474" s="32"/>
      <c r="AD474" s="32"/>
      <c r="AE474" s="32"/>
      <c r="AR474" s="187" t="s">
        <v>270</v>
      </c>
      <c r="AT474" s="187" t="s">
        <v>198</v>
      </c>
      <c r="AU474" s="187" t="s">
        <v>79</v>
      </c>
      <c r="AY474" s="15" t="s">
        <v>196</v>
      </c>
      <c r="BE474" s="188">
        <f>IF(N474="základní",J474,0)</f>
        <v>0</v>
      </c>
      <c r="BF474" s="188">
        <f>IF(N474="snížená",J474,0)</f>
        <v>0</v>
      </c>
      <c r="BG474" s="188">
        <f>IF(N474="zákl. přenesená",J474,0)</f>
        <v>0</v>
      </c>
      <c r="BH474" s="188">
        <f>IF(N474="sníž. přenesená",J474,0)</f>
        <v>0</v>
      </c>
      <c r="BI474" s="188">
        <f>IF(N474="nulová",J474,0)</f>
        <v>0</v>
      </c>
      <c r="BJ474" s="15" t="s">
        <v>77</v>
      </c>
      <c r="BK474" s="188">
        <f>ROUND(I474*H474,2)</f>
        <v>0</v>
      </c>
      <c r="BL474" s="15" t="s">
        <v>270</v>
      </c>
      <c r="BM474" s="187" t="s">
        <v>1198</v>
      </c>
    </row>
    <row r="475" spans="1:47" s="2" customFormat="1" ht="68.25">
      <c r="A475" s="32"/>
      <c r="B475" s="33"/>
      <c r="C475" s="34"/>
      <c r="D475" s="189" t="s">
        <v>208</v>
      </c>
      <c r="E475" s="34"/>
      <c r="F475" s="190" t="s">
        <v>1199</v>
      </c>
      <c r="G475" s="34"/>
      <c r="H475" s="34"/>
      <c r="I475" s="191"/>
      <c r="J475" s="34"/>
      <c r="K475" s="34"/>
      <c r="L475" s="37"/>
      <c r="M475" s="192"/>
      <c r="N475" s="193"/>
      <c r="O475" s="62"/>
      <c r="P475" s="62"/>
      <c r="Q475" s="62"/>
      <c r="R475" s="62"/>
      <c r="S475" s="62"/>
      <c r="T475" s="63"/>
      <c r="U475" s="32"/>
      <c r="V475" s="32"/>
      <c r="W475" s="32"/>
      <c r="X475" s="32"/>
      <c r="Y475" s="32"/>
      <c r="Z475" s="32"/>
      <c r="AA475" s="32"/>
      <c r="AB475" s="32"/>
      <c r="AC475" s="32"/>
      <c r="AD475" s="32"/>
      <c r="AE475" s="32"/>
      <c r="AT475" s="15" t="s">
        <v>208</v>
      </c>
      <c r="AU475" s="15" t="s">
        <v>79</v>
      </c>
    </row>
    <row r="476" spans="1:65" s="2" customFormat="1" ht="13.9" customHeight="1">
      <c r="A476" s="32"/>
      <c r="B476" s="33"/>
      <c r="C476" s="176" t="s">
        <v>1200</v>
      </c>
      <c r="D476" s="176" t="s">
        <v>198</v>
      </c>
      <c r="E476" s="177" t="s">
        <v>1201</v>
      </c>
      <c r="F476" s="178" t="s">
        <v>1202</v>
      </c>
      <c r="G476" s="179" t="s">
        <v>253</v>
      </c>
      <c r="H476" s="180">
        <v>229.5</v>
      </c>
      <c r="I476" s="181"/>
      <c r="J476" s="182">
        <f>ROUND(I476*H476,2)</f>
        <v>0</v>
      </c>
      <c r="K476" s="178" t="s">
        <v>202</v>
      </c>
      <c r="L476" s="37"/>
      <c r="M476" s="183" t="s">
        <v>19</v>
      </c>
      <c r="N476" s="184" t="s">
        <v>41</v>
      </c>
      <c r="O476" s="62"/>
      <c r="P476" s="185">
        <f>O476*H476</f>
        <v>0</v>
      </c>
      <c r="Q476" s="185">
        <v>0.0003</v>
      </c>
      <c r="R476" s="185">
        <f>Q476*H476</f>
        <v>0.06885</v>
      </c>
      <c r="S476" s="185">
        <v>0</v>
      </c>
      <c r="T476" s="186">
        <f>S476*H476</f>
        <v>0</v>
      </c>
      <c r="U476" s="32"/>
      <c r="V476" s="32"/>
      <c r="W476" s="32"/>
      <c r="X476" s="32"/>
      <c r="Y476" s="32"/>
      <c r="Z476" s="32"/>
      <c r="AA476" s="32"/>
      <c r="AB476" s="32"/>
      <c r="AC476" s="32"/>
      <c r="AD476" s="32"/>
      <c r="AE476" s="32"/>
      <c r="AR476" s="187" t="s">
        <v>270</v>
      </c>
      <c r="AT476" s="187" t="s">
        <v>198</v>
      </c>
      <c r="AU476" s="187" t="s">
        <v>79</v>
      </c>
      <c r="AY476" s="15" t="s">
        <v>196</v>
      </c>
      <c r="BE476" s="188">
        <f>IF(N476="základní",J476,0)</f>
        <v>0</v>
      </c>
      <c r="BF476" s="188">
        <f>IF(N476="snížená",J476,0)</f>
        <v>0</v>
      </c>
      <c r="BG476" s="188">
        <f>IF(N476="zákl. přenesená",J476,0)</f>
        <v>0</v>
      </c>
      <c r="BH476" s="188">
        <f>IF(N476="sníž. přenesená",J476,0)</f>
        <v>0</v>
      </c>
      <c r="BI476" s="188">
        <f>IF(N476="nulová",J476,0)</f>
        <v>0</v>
      </c>
      <c r="BJ476" s="15" t="s">
        <v>77</v>
      </c>
      <c r="BK476" s="188">
        <f>ROUND(I476*H476,2)</f>
        <v>0</v>
      </c>
      <c r="BL476" s="15" t="s">
        <v>270</v>
      </c>
      <c r="BM476" s="187" t="s">
        <v>1203</v>
      </c>
    </row>
    <row r="477" spans="1:47" s="2" customFormat="1" ht="68.25">
      <c r="A477" s="32"/>
      <c r="B477" s="33"/>
      <c r="C477" s="34"/>
      <c r="D477" s="189" t="s">
        <v>208</v>
      </c>
      <c r="E477" s="34"/>
      <c r="F477" s="190" t="s">
        <v>1199</v>
      </c>
      <c r="G477" s="34"/>
      <c r="H477" s="34"/>
      <c r="I477" s="191"/>
      <c r="J477" s="34"/>
      <c r="K477" s="34"/>
      <c r="L477" s="37"/>
      <c r="M477" s="192"/>
      <c r="N477" s="193"/>
      <c r="O477" s="62"/>
      <c r="P477" s="62"/>
      <c r="Q477" s="62"/>
      <c r="R477" s="62"/>
      <c r="S477" s="62"/>
      <c r="T477" s="63"/>
      <c r="U477" s="32"/>
      <c r="V477" s="32"/>
      <c r="W477" s="32"/>
      <c r="X477" s="32"/>
      <c r="Y477" s="32"/>
      <c r="Z477" s="32"/>
      <c r="AA477" s="32"/>
      <c r="AB477" s="32"/>
      <c r="AC477" s="32"/>
      <c r="AD477" s="32"/>
      <c r="AE477" s="32"/>
      <c r="AT477" s="15" t="s">
        <v>208</v>
      </c>
      <c r="AU477" s="15" t="s">
        <v>79</v>
      </c>
    </row>
    <row r="478" spans="1:65" s="2" customFormat="1" ht="13.9" customHeight="1">
      <c r="A478" s="32"/>
      <c r="B478" s="33"/>
      <c r="C478" s="176" t="s">
        <v>1204</v>
      </c>
      <c r="D478" s="176" t="s">
        <v>198</v>
      </c>
      <c r="E478" s="177" t="s">
        <v>1205</v>
      </c>
      <c r="F478" s="178" t="s">
        <v>1206</v>
      </c>
      <c r="G478" s="179" t="s">
        <v>310</v>
      </c>
      <c r="H478" s="180">
        <v>282</v>
      </c>
      <c r="I478" s="181"/>
      <c r="J478" s="182">
        <f>ROUND(I478*H478,2)</f>
        <v>0</v>
      </c>
      <c r="K478" s="178" t="s">
        <v>202</v>
      </c>
      <c r="L478" s="37"/>
      <c r="M478" s="183" t="s">
        <v>19</v>
      </c>
      <c r="N478" s="184" t="s">
        <v>41</v>
      </c>
      <c r="O478" s="62"/>
      <c r="P478" s="185">
        <f>O478*H478</f>
        <v>0</v>
      </c>
      <c r="Q478" s="185">
        <v>0.0002</v>
      </c>
      <c r="R478" s="185">
        <f>Q478*H478</f>
        <v>0.056400000000000006</v>
      </c>
      <c r="S478" s="185">
        <v>0</v>
      </c>
      <c r="T478" s="186">
        <f>S478*H478</f>
        <v>0</v>
      </c>
      <c r="U478" s="32"/>
      <c r="V478" s="32"/>
      <c r="W478" s="32"/>
      <c r="X478" s="32"/>
      <c r="Y478" s="32"/>
      <c r="Z478" s="32"/>
      <c r="AA478" s="32"/>
      <c r="AB478" s="32"/>
      <c r="AC478" s="32"/>
      <c r="AD478" s="32"/>
      <c r="AE478" s="32"/>
      <c r="AR478" s="187" t="s">
        <v>270</v>
      </c>
      <c r="AT478" s="187" t="s">
        <v>198</v>
      </c>
      <c r="AU478" s="187" t="s">
        <v>79</v>
      </c>
      <c r="AY478" s="15" t="s">
        <v>196</v>
      </c>
      <c r="BE478" s="188">
        <f>IF(N478="základní",J478,0)</f>
        <v>0</v>
      </c>
      <c r="BF478" s="188">
        <f>IF(N478="snížená",J478,0)</f>
        <v>0</v>
      </c>
      <c r="BG478" s="188">
        <f>IF(N478="zákl. přenesená",J478,0)</f>
        <v>0</v>
      </c>
      <c r="BH478" s="188">
        <f>IF(N478="sníž. přenesená",J478,0)</f>
        <v>0</v>
      </c>
      <c r="BI478" s="188">
        <f>IF(N478="nulová",J478,0)</f>
        <v>0</v>
      </c>
      <c r="BJ478" s="15" t="s">
        <v>77</v>
      </c>
      <c r="BK478" s="188">
        <f>ROUND(I478*H478,2)</f>
        <v>0</v>
      </c>
      <c r="BL478" s="15" t="s">
        <v>270</v>
      </c>
      <c r="BM478" s="187" t="s">
        <v>1207</v>
      </c>
    </row>
    <row r="479" spans="1:47" s="2" customFormat="1" ht="68.25">
      <c r="A479" s="32"/>
      <c r="B479" s="33"/>
      <c r="C479" s="34"/>
      <c r="D479" s="189" t="s">
        <v>208</v>
      </c>
      <c r="E479" s="34"/>
      <c r="F479" s="190" t="s">
        <v>1199</v>
      </c>
      <c r="G479" s="34"/>
      <c r="H479" s="34"/>
      <c r="I479" s="191"/>
      <c r="J479" s="34"/>
      <c r="K479" s="34"/>
      <c r="L479" s="37"/>
      <c r="M479" s="192"/>
      <c r="N479" s="193"/>
      <c r="O479" s="62"/>
      <c r="P479" s="62"/>
      <c r="Q479" s="62"/>
      <c r="R479" s="62"/>
      <c r="S479" s="62"/>
      <c r="T479" s="63"/>
      <c r="U479" s="32"/>
      <c r="V479" s="32"/>
      <c r="W479" s="32"/>
      <c r="X479" s="32"/>
      <c r="Y479" s="32"/>
      <c r="Z479" s="32"/>
      <c r="AA479" s="32"/>
      <c r="AB479" s="32"/>
      <c r="AC479" s="32"/>
      <c r="AD479" s="32"/>
      <c r="AE479" s="32"/>
      <c r="AT479" s="15" t="s">
        <v>208</v>
      </c>
      <c r="AU479" s="15" t="s">
        <v>79</v>
      </c>
    </row>
    <row r="480" spans="1:65" s="2" customFormat="1" ht="13.9" customHeight="1">
      <c r="A480" s="32"/>
      <c r="B480" s="33"/>
      <c r="C480" s="194" t="s">
        <v>1208</v>
      </c>
      <c r="D480" s="194" t="s">
        <v>411</v>
      </c>
      <c r="E480" s="195" t="s">
        <v>1209</v>
      </c>
      <c r="F480" s="196" t="s">
        <v>1210</v>
      </c>
      <c r="G480" s="197" t="s">
        <v>310</v>
      </c>
      <c r="H480" s="198">
        <v>287.64</v>
      </c>
      <c r="I480" s="199"/>
      <c r="J480" s="200">
        <f>ROUND(I480*H480,2)</f>
        <v>0</v>
      </c>
      <c r="K480" s="196" t="s">
        <v>19</v>
      </c>
      <c r="L480" s="201"/>
      <c r="M480" s="202" t="s">
        <v>19</v>
      </c>
      <c r="N480" s="203" t="s">
        <v>41</v>
      </c>
      <c r="O480" s="62"/>
      <c r="P480" s="185">
        <f>O480*H480</f>
        <v>0</v>
      </c>
      <c r="Q480" s="185">
        <v>0</v>
      </c>
      <c r="R480" s="185">
        <f>Q480*H480</f>
        <v>0</v>
      </c>
      <c r="S480" s="185">
        <v>0</v>
      </c>
      <c r="T480" s="186">
        <f>S480*H480</f>
        <v>0</v>
      </c>
      <c r="U480" s="32"/>
      <c r="V480" s="32"/>
      <c r="W480" s="32"/>
      <c r="X480" s="32"/>
      <c r="Y480" s="32"/>
      <c r="Z480" s="32"/>
      <c r="AA480" s="32"/>
      <c r="AB480" s="32"/>
      <c r="AC480" s="32"/>
      <c r="AD480" s="32"/>
      <c r="AE480" s="32"/>
      <c r="AR480" s="187" t="s">
        <v>340</v>
      </c>
      <c r="AT480" s="187" t="s">
        <v>411</v>
      </c>
      <c r="AU480" s="187" t="s">
        <v>79</v>
      </c>
      <c r="AY480" s="15" t="s">
        <v>196</v>
      </c>
      <c r="BE480" s="188">
        <f>IF(N480="základní",J480,0)</f>
        <v>0</v>
      </c>
      <c r="BF480" s="188">
        <f>IF(N480="snížená",J480,0)</f>
        <v>0</v>
      </c>
      <c r="BG480" s="188">
        <f>IF(N480="zákl. přenesená",J480,0)</f>
        <v>0</v>
      </c>
      <c r="BH480" s="188">
        <f>IF(N480="sníž. přenesená",J480,0)</f>
        <v>0</v>
      </c>
      <c r="BI480" s="188">
        <f>IF(N480="nulová",J480,0)</f>
        <v>0</v>
      </c>
      <c r="BJ480" s="15" t="s">
        <v>77</v>
      </c>
      <c r="BK480" s="188">
        <f>ROUND(I480*H480,2)</f>
        <v>0</v>
      </c>
      <c r="BL480" s="15" t="s">
        <v>270</v>
      </c>
      <c r="BM480" s="187" t="s">
        <v>1211</v>
      </c>
    </row>
    <row r="481" spans="1:65" s="2" customFormat="1" ht="13.9" customHeight="1">
      <c r="A481" s="32"/>
      <c r="B481" s="33"/>
      <c r="C481" s="176" t="s">
        <v>1212</v>
      </c>
      <c r="D481" s="176" t="s">
        <v>198</v>
      </c>
      <c r="E481" s="177" t="s">
        <v>1213</v>
      </c>
      <c r="F481" s="178" t="s">
        <v>1214</v>
      </c>
      <c r="G481" s="179" t="s">
        <v>253</v>
      </c>
      <c r="H481" s="180">
        <v>266.7</v>
      </c>
      <c r="I481" s="181"/>
      <c r="J481" s="182">
        <f>ROUND(I481*H481,2)</f>
        <v>0</v>
      </c>
      <c r="K481" s="178" t="s">
        <v>202</v>
      </c>
      <c r="L481" s="37"/>
      <c r="M481" s="183" t="s">
        <v>19</v>
      </c>
      <c r="N481" s="184" t="s">
        <v>41</v>
      </c>
      <c r="O481" s="62"/>
      <c r="P481" s="185">
        <f>O481*H481</f>
        <v>0</v>
      </c>
      <c r="Q481" s="185">
        <v>0</v>
      </c>
      <c r="R481" s="185">
        <f>Q481*H481</f>
        <v>0</v>
      </c>
      <c r="S481" s="185">
        <v>0.0815</v>
      </c>
      <c r="T481" s="186">
        <f>S481*H481</f>
        <v>21.73605</v>
      </c>
      <c r="U481" s="32"/>
      <c r="V481" s="32"/>
      <c r="W481" s="32"/>
      <c r="X481" s="32"/>
      <c r="Y481" s="32"/>
      <c r="Z481" s="32"/>
      <c r="AA481" s="32"/>
      <c r="AB481" s="32"/>
      <c r="AC481" s="32"/>
      <c r="AD481" s="32"/>
      <c r="AE481" s="32"/>
      <c r="AR481" s="187" t="s">
        <v>270</v>
      </c>
      <c r="AT481" s="187" t="s">
        <v>198</v>
      </c>
      <c r="AU481" s="187" t="s">
        <v>79</v>
      </c>
      <c r="AY481" s="15" t="s">
        <v>196</v>
      </c>
      <c r="BE481" s="188">
        <f>IF(N481="základní",J481,0)</f>
        <v>0</v>
      </c>
      <c r="BF481" s="188">
        <f>IF(N481="snížená",J481,0)</f>
        <v>0</v>
      </c>
      <c r="BG481" s="188">
        <f>IF(N481="zákl. přenesená",J481,0)</f>
        <v>0</v>
      </c>
      <c r="BH481" s="188">
        <f>IF(N481="sníž. přenesená",J481,0)</f>
        <v>0</v>
      </c>
      <c r="BI481" s="188">
        <f>IF(N481="nulová",J481,0)</f>
        <v>0</v>
      </c>
      <c r="BJ481" s="15" t="s">
        <v>77</v>
      </c>
      <c r="BK481" s="188">
        <f>ROUND(I481*H481,2)</f>
        <v>0</v>
      </c>
      <c r="BL481" s="15" t="s">
        <v>270</v>
      </c>
      <c r="BM481" s="187" t="s">
        <v>1215</v>
      </c>
    </row>
    <row r="482" spans="1:65" s="2" customFormat="1" ht="22.15" customHeight="1">
      <c r="A482" s="32"/>
      <c r="B482" s="33"/>
      <c r="C482" s="176" t="s">
        <v>1216</v>
      </c>
      <c r="D482" s="176" t="s">
        <v>198</v>
      </c>
      <c r="E482" s="177" t="s">
        <v>1217</v>
      </c>
      <c r="F482" s="178" t="s">
        <v>1218</v>
      </c>
      <c r="G482" s="179" t="s">
        <v>253</v>
      </c>
      <c r="H482" s="180">
        <v>188</v>
      </c>
      <c r="I482" s="181"/>
      <c r="J482" s="182">
        <f>ROUND(I482*H482,2)</f>
        <v>0</v>
      </c>
      <c r="K482" s="178" t="s">
        <v>202</v>
      </c>
      <c r="L482" s="37"/>
      <c r="M482" s="183" t="s">
        <v>19</v>
      </c>
      <c r="N482" s="184" t="s">
        <v>41</v>
      </c>
      <c r="O482" s="62"/>
      <c r="P482" s="185">
        <f>O482*H482</f>
        <v>0</v>
      </c>
      <c r="Q482" s="185">
        <v>0.0052</v>
      </c>
      <c r="R482" s="185">
        <f>Q482*H482</f>
        <v>0.9775999999999999</v>
      </c>
      <c r="S482" s="185">
        <v>0</v>
      </c>
      <c r="T482" s="186">
        <f>S482*H482</f>
        <v>0</v>
      </c>
      <c r="U482" s="32"/>
      <c r="V482" s="32"/>
      <c r="W482" s="32"/>
      <c r="X482" s="32"/>
      <c r="Y482" s="32"/>
      <c r="Z482" s="32"/>
      <c r="AA482" s="32"/>
      <c r="AB482" s="32"/>
      <c r="AC482" s="32"/>
      <c r="AD482" s="32"/>
      <c r="AE482" s="32"/>
      <c r="AR482" s="187" t="s">
        <v>270</v>
      </c>
      <c r="AT482" s="187" t="s">
        <v>198</v>
      </c>
      <c r="AU482" s="187" t="s">
        <v>79</v>
      </c>
      <c r="AY482" s="15" t="s">
        <v>196</v>
      </c>
      <c r="BE482" s="188">
        <f>IF(N482="základní",J482,0)</f>
        <v>0</v>
      </c>
      <c r="BF482" s="188">
        <f>IF(N482="snížená",J482,0)</f>
        <v>0</v>
      </c>
      <c r="BG482" s="188">
        <f>IF(N482="zákl. přenesená",J482,0)</f>
        <v>0</v>
      </c>
      <c r="BH482" s="188">
        <f>IF(N482="sníž. přenesená",J482,0)</f>
        <v>0</v>
      </c>
      <c r="BI482" s="188">
        <f>IF(N482="nulová",J482,0)</f>
        <v>0</v>
      </c>
      <c r="BJ482" s="15" t="s">
        <v>77</v>
      </c>
      <c r="BK482" s="188">
        <f>ROUND(I482*H482,2)</f>
        <v>0</v>
      </c>
      <c r="BL482" s="15" t="s">
        <v>270</v>
      </c>
      <c r="BM482" s="187" t="s">
        <v>1219</v>
      </c>
    </row>
    <row r="483" spans="1:47" s="2" customFormat="1" ht="29.25">
      <c r="A483" s="32"/>
      <c r="B483" s="33"/>
      <c r="C483" s="34"/>
      <c r="D483" s="189" t="s">
        <v>208</v>
      </c>
      <c r="E483" s="34"/>
      <c r="F483" s="190" t="s">
        <v>1220</v>
      </c>
      <c r="G483" s="34"/>
      <c r="H483" s="34"/>
      <c r="I483" s="191"/>
      <c r="J483" s="34"/>
      <c r="K483" s="34"/>
      <c r="L483" s="37"/>
      <c r="M483" s="192"/>
      <c r="N483" s="193"/>
      <c r="O483" s="62"/>
      <c r="P483" s="62"/>
      <c r="Q483" s="62"/>
      <c r="R483" s="62"/>
      <c r="S483" s="62"/>
      <c r="T483" s="63"/>
      <c r="U483" s="32"/>
      <c r="V483" s="32"/>
      <c r="W483" s="32"/>
      <c r="X483" s="32"/>
      <c r="Y483" s="32"/>
      <c r="Z483" s="32"/>
      <c r="AA483" s="32"/>
      <c r="AB483" s="32"/>
      <c r="AC483" s="32"/>
      <c r="AD483" s="32"/>
      <c r="AE483" s="32"/>
      <c r="AT483" s="15" t="s">
        <v>208</v>
      </c>
      <c r="AU483" s="15" t="s">
        <v>79</v>
      </c>
    </row>
    <row r="484" spans="1:65" s="2" customFormat="1" ht="292.9" customHeight="1">
      <c r="A484" s="32"/>
      <c r="B484" s="33"/>
      <c r="C484" s="194" t="s">
        <v>1221</v>
      </c>
      <c r="D484" s="194" t="s">
        <v>411</v>
      </c>
      <c r="E484" s="195" t="s">
        <v>1222</v>
      </c>
      <c r="F484" s="196" t="s">
        <v>1223</v>
      </c>
      <c r="G484" s="197" t="s">
        <v>253</v>
      </c>
      <c r="H484" s="198">
        <v>127.6</v>
      </c>
      <c r="I484" s="199"/>
      <c r="J484" s="200">
        <f>ROUND(I484*H484,2)</f>
        <v>0</v>
      </c>
      <c r="K484" s="196" t="s">
        <v>19</v>
      </c>
      <c r="L484" s="201"/>
      <c r="M484" s="202" t="s">
        <v>19</v>
      </c>
      <c r="N484" s="203" t="s">
        <v>41</v>
      </c>
      <c r="O484" s="62"/>
      <c r="P484" s="185">
        <f>O484*H484</f>
        <v>0</v>
      </c>
      <c r="Q484" s="185">
        <v>0.0126</v>
      </c>
      <c r="R484" s="185">
        <f>Q484*H484</f>
        <v>1.6077599999999999</v>
      </c>
      <c r="S484" s="185">
        <v>0</v>
      </c>
      <c r="T484" s="186">
        <f>S484*H484</f>
        <v>0</v>
      </c>
      <c r="U484" s="32"/>
      <c r="V484" s="32"/>
      <c r="W484" s="32"/>
      <c r="X484" s="32"/>
      <c r="Y484" s="32"/>
      <c r="Z484" s="32"/>
      <c r="AA484" s="32"/>
      <c r="AB484" s="32"/>
      <c r="AC484" s="32"/>
      <c r="AD484" s="32"/>
      <c r="AE484" s="32"/>
      <c r="AR484" s="187" t="s">
        <v>340</v>
      </c>
      <c r="AT484" s="187" t="s">
        <v>411</v>
      </c>
      <c r="AU484" s="187" t="s">
        <v>79</v>
      </c>
      <c r="AY484" s="15" t="s">
        <v>196</v>
      </c>
      <c r="BE484" s="188">
        <f>IF(N484="základní",J484,0)</f>
        <v>0</v>
      </c>
      <c r="BF484" s="188">
        <f>IF(N484="snížená",J484,0)</f>
        <v>0</v>
      </c>
      <c r="BG484" s="188">
        <f>IF(N484="zákl. přenesená",J484,0)</f>
        <v>0</v>
      </c>
      <c r="BH484" s="188">
        <f>IF(N484="sníž. přenesená",J484,0)</f>
        <v>0</v>
      </c>
      <c r="BI484" s="188">
        <f>IF(N484="nulová",J484,0)</f>
        <v>0</v>
      </c>
      <c r="BJ484" s="15" t="s">
        <v>77</v>
      </c>
      <c r="BK484" s="188">
        <f>ROUND(I484*H484,2)</f>
        <v>0</v>
      </c>
      <c r="BL484" s="15" t="s">
        <v>270</v>
      </c>
      <c r="BM484" s="187" t="s">
        <v>1224</v>
      </c>
    </row>
    <row r="485" spans="1:65" s="2" customFormat="1" ht="305.45" customHeight="1">
      <c r="A485" s="32"/>
      <c r="B485" s="33"/>
      <c r="C485" s="194" t="s">
        <v>1225</v>
      </c>
      <c r="D485" s="194" t="s">
        <v>411</v>
      </c>
      <c r="E485" s="195" t="s">
        <v>1226</v>
      </c>
      <c r="F485" s="196" t="s">
        <v>1227</v>
      </c>
      <c r="G485" s="197" t="s">
        <v>253</v>
      </c>
      <c r="H485" s="198">
        <v>56.32</v>
      </c>
      <c r="I485" s="199"/>
      <c r="J485" s="200">
        <f>ROUND(I485*H485,2)</f>
        <v>0</v>
      </c>
      <c r="K485" s="196" t="s">
        <v>19</v>
      </c>
      <c r="L485" s="201"/>
      <c r="M485" s="202" t="s">
        <v>19</v>
      </c>
      <c r="N485" s="203" t="s">
        <v>41</v>
      </c>
      <c r="O485" s="62"/>
      <c r="P485" s="185">
        <f>O485*H485</f>
        <v>0</v>
      </c>
      <c r="Q485" s="185">
        <v>0.0126</v>
      </c>
      <c r="R485" s="185">
        <f>Q485*H485</f>
        <v>0.709632</v>
      </c>
      <c r="S485" s="185">
        <v>0</v>
      </c>
      <c r="T485" s="186">
        <f>S485*H485</f>
        <v>0</v>
      </c>
      <c r="U485" s="32"/>
      <c r="V485" s="32"/>
      <c r="W485" s="32"/>
      <c r="X485" s="32"/>
      <c r="Y485" s="32"/>
      <c r="Z485" s="32"/>
      <c r="AA485" s="32"/>
      <c r="AB485" s="32"/>
      <c r="AC485" s="32"/>
      <c r="AD485" s="32"/>
      <c r="AE485" s="32"/>
      <c r="AR485" s="187" t="s">
        <v>340</v>
      </c>
      <c r="AT485" s="187" t="s">
        <v>411</v>
      </c>
      <c r="AU485" s="187" t="s">
        <v>79</v>
      </c>
      <c r="AY485" s="15" t="s">
        <v>196</v>
      </c>
      <c r="BE485" s="188">
        <f>IF(N485="základní",J485,0)</f>
        <v>0</v>
      </c>
      <c r="BF485" s="188">
        <f>IF(N485="snížená",J485,0)</f>
        <v>0</v>
      </c>
      <c r="BG485" s="188">
        <f>IF(N485="zákl. přenesená",J485,0)</f>
        <v>0</v>
      </c>
      <c r="BH485" s="188">
        <f>IF(N485="sníž. přenesená",J485,0)</f>
        <v>0</v>
      </c>
      <c r="BI485" s="188">
        <f>IF(N485="nulová",J485,0)</f>
        <v>0</v>
      </c>
      <c r="BJ485" s="15" t="s">
        <v>77</v>
      </c>
      <c r="BK485" s="188">
        <f>ROUND(I485*H485,2)</f>
        <v>0</v>
      </c>
      <c r="BL485" s="15" t="s">
        <v>270</v>
      </c>
      <c r="BM485" s="187" t="s">
        <v>1228</v>
      </c>
    </row>
    <row r="486" spans="1:65" s="2" customFormat="1" ht="305.45" customHeight="1">
      <c r="A486" s="32"/>
      <c r="B486" s="33"/>
      <c r="C486" s="194" t="s">
        <v>1229</v>
      </c>
      <c r="D486" s="194" t="s">
        <v>411</v>
      </c>
      <c r="E486" s="195" t="s">
        <v>1230</v>
      </c>
      <c r="F486" s="196" t="s">
        <v>1231</v>
      </c>
      <c r="G486" s="197" t="s">
        <v>253</v>
      </c>
      <c r="H486" s="198">
        <v>22.88</v>
      </c>
      <c r="I486" s="199"/>
      <c r="J486" s="200">
        <f>ROUND(I486*H486,2)</f>
        <v>0</v>
      </c>
      <c r="K486" s="196" t="s">
        <v>19</v>
      </c>
      <c r="L486" s="201"/>
      <c r="M486" s="202" t="s">
        <v>19</v>
      </c>
      <c r="N486" s="203" t="s">
        <v>41</v>
      </c>
      <c r="O486" s="62"/>
      <c r="P486" s="185">
        <f>O486*H486</f>
        <v>0</v>
      </c>
      <c r="Q486" s="185">
        <v>0.0126</v>
      </c>
      <c r="R486" s="185">
        <f>Q486*H486</f>
        <v>0.288288</v>
      </c>
      <c r="S486" s="185">
        <v>0</v>
      </c>
      <c r="T486" s="186">
        <f>S486*H486</f>
        <v>0</v>
      </c>
      <c r="U486" s="32"/>
      <c r="V486" s="32"/>
      <c r="W486" s="32"/>
      <c r="X486" s="32"/>
      <c r="Y486" s="32"/>
      <c r="Z486" s="32"/>
      <c r="AA486" s="32"/>
      <c r="AB486" s="32"/>
      <c r="AC486" s="32"/>
      <c r="AD486" s="32"/>
      <c r="AE486" s="32"/>
      <c r="AR486" s="187" t="s">
        <v>340</v>
      </c>
      <c r="AT486" s="187" t="s">
        <v>411</v>
      </c>
      <c r="AU486" s="187" t="s">
        <v>79</v>
      </c>
      <c r="AY486" s="15" t="s">
        <v>196</v>
      </c>
      <c r="BE486" s="188">
        <f>IF(N486="základní",J486,0)</f>
        <v>0</v>
      </c>
      <c r="BF486" s="188">
        <f>IF(N486="snížená",J486,0)</f>
        <v>0</v>
      </c>
      <c r="BG486" s="188">
        <f>IF(N486="zákl. přenesená",J486,0)</f>
        <v>0</v>
      </c>
      <c r="BH486" s="188">
        <f>IF(N486="sníž. přenesená",J486,0)</f>
        <v>0</v>
      </c>
      <c r="BI486" s="188">
        <f>IF(N486="nulová",J486,0)</f>
        <v>0</v>
      </c>
      <c r="BJ486" s="15" t="s">
        <v>77</v>
      </c>
      <c r="BK486" s="188">
        <f>ROUND(I486*H486,2)</f>
        <v>0</v>
      </c>
      <c r="BL486" s="15" t="s">
        <v>270</v>
      </c>
      <c r="BM486" s="187" t="s">
        <v>1232</v>
      </c>
    </row>
    <row r="487" spans="1:65" s="2" customFormat="1" ht="22.15" customHeight="1">
      <c r="A487" s="32"/>
      <c r="B487" s="33"/>
      <c r="C487" s="176" t="s">
        <v>1233</v>
      </c>
      <c r="D487" s="176" t="s">
        <v>198</v>
      </c>
      <c r="E487" s="177" t="s">
        <v>1234</v>
      </c>
      <c r="F487" s="178" t="s">
        <v>1235</v>
      </c>
      <c r="G487" s="179" t="s">
        <v>253</v>
      </c>
      <c r="H487" s="180">
        <v>41.5</v>
      </c>
      <c r="I487" s="181"/>
      <c r="J487" s="182">
        <f>ROUND(I487*H487,2)</f>
        <v>0</v>
      </c>
      <c r="K487" s="178" t="s">
        <v>202</v>
      </c>
      <c r="L487" s="37"/>
      <c r="M487" s="183" t="s">
        <v>19</v>
      </c>
      <c r="N487" s="184" t="s">
        <v>41</v>
      </c>
      <c r="O487" s="62"/>
      <c r="P487" s="185">
        <f>O487*H487</f>
        <v>0</v>
      </c>
      <c r="Q487" s="185">
        <v>0.009</v>
      </c>
      <c r="R487" s="185">
        <f>Q487*H487</f>
        <v>0.3735</v>
      </c>
      <c r="S487" s="185">
        <v>0</v>
      </c>
      <c r="T487" s="186">
        <f>S487*H487</f>
        <v>0</v>
      </c>
      <c r="U487" s="32"/>
      <c r="V487" s="32"/>
      <c r="W487" s="32"/>
      <c r="X487" s="32"/>
      <c r="Y487" s="32"/>
      <c r="Z487" s="32"/>
      <c r="AA487" s="32"/>
      <c r="AB487" s="32"/>
      <c r="AC487" s="32"/>
      <c r="AD487" s="32"/>
      <c r="AE487" s="32"/>
      <c r="AR487" s="187" t="s">
        <v>270</v>
      </c>
      <c r="AT487" s="187" t="s">
        <v>198</v>
      </c>
      <c r="AU487" s="187" t="s">
        <v>79</v>
      </c>
      <c r="AY487" s="15" t="s">
        <v>196</v>
      </c>
      <c r="BE487" s="188">
        <f>IF(N487="základní",J487,0)</f>
        <v>0</v>
      </c>
      <c r="BF487" s="188">
        <f>IF(N487="snížená",J487,0)</f>
        <v>0</v>
      </c>
      <c r="BG487" s="188">
        <f>IF(N487="zákl. přenesená",J487,0)</f>
        <v>0</v>
      </c>
      <c r="BH487" s="188">
        <f>IF(N487="sníž. přenesená",J487,0)</f>
        <v>0</v>
      </c>
      <c r="BI487" s="188">
        <f>IF(N487="nulová",J487,0)</f>
        <v>0</v>
      </c>
      <c r="BJ487" s="15" t="s">
        <v>77</v>
      </c>
      <c r="BK487" s="188">
        <f>ROUND(I487*H487,2)</f>
        <v>0</v>
      </c>
      <c r="BL487" s="15" t="s">
        <v>270</v>
      </c>
      <c r="BM487" s="187" t="s">
        <v>1236</v>
      </c>
    </row>
    <row r="488" spans="1:47" s="2" customFormat="1" ht="29.25">
      <c r="A488" s="32"/>
      <c r="B488" s="33"/>
      <c r="C488" s="34"/>
      <c r="D488" s="189" t="s">
        <v>208</v>
      </c>
      <c r="E488" s="34"/>
      <c r="F488" s="190" t="s">
        <v>1220</v>
      </c>
      <c r="G488" s="34"/>
      <c r="H488" s="34"/>
      <c r="I488" s="191"/>
      <c r="J488" s="34"/>
      <c r="K488" s="34"/>
      <c r="L488" s="37"/>
      <c r="M488" s="192"/>
      <c r="N488" s="193"/>
      <c r="O488" s="62"/>
      <c r="P488" s="62"/>
      <c r="Q488" s="62"/>
      <c r="R488" s="62"/>
      <c r="S488" s="62"/>
      <c r="T488" s="63"/>
      <c r="U488" s="32"/>
      <c r="V488" s="32"/>
      <c r="W488" s="32"/>
      <c r="X488" s="32"/>
      <c r="Y488" s="32"/>
      <c r="Z488" s="32"/>
      <c r="AA488" s="32"/>
      <c r="AB488" s="32"/>
      <c r="AC488" s="32"/>
      <c r="AD488" s="32"/>
      <c r="AE488" s="32"/>
      <c r="AT488" s="15" t="s">
        <v>208</v>
      </c>
      <c r="AU488" s="15" t="s">
        <v>79</v>
      </c>
    </row>
    <row r="489" spans="1:65" s="2" customFormat="1" ht="318" customHeight="1">
      <c r="A489" s="32"/>
      <c r="B489" s="33"/>
      <c r="C489" s="194" t="s">
        <v>1237</v>
      </c>
      <c r="D489" s="194" t="s">
        <v>411</v>
      </c>
      <c r="E489" s="195" t="s">
        <v>1238</v>
      </c>
      <c r="F489" s="196" t="s">
        <v>1239</v>
      </c>
      <c r="G489" s="197" t="s">
        <v>253</v>
      </c>
      <c r="H489" s="198">
        <v>47.725</v>
      </c>
      <c r="I489" s="199"/>
      <c r="J489" s="200">
        <f>ROUND(I489*H489,2)</f>
        <v>0</v>
      </c>
      <c r="K489" s="196" t="s">
        <v>19</v>
      </c>
      <c r="L489" s="201"/>
      <c r="M489" s="202" t="s">
        <v>19</v>
      </c>
      <c r="N489" s="203" t="s">
        <v>41</v>
      </c>
      <c r="O489" s="62"/>
      <c r="P489" s="185">
        <f>O489*H489</f>
        <v>0</v>
      </c>
      <c r="Q489" s="185">
        <v>0.0138</v>
      </c>
      <c r="R489" s="185">
        <f>Q489*H489</f>
        <v>0.658605</v>
      </c>
      <c r="S489" s="185">
        <v>0</v>
      </c>
      <c r="T489" s="186">
        <f>S489*H489</f>
        <v>0</v>
      </c>
      <c r="U489" s="32"/>
      <c r="V489" s="32"/>
      <c r="W489" s="32"/>
      <c r="X489" s="32"/>
      <c r="Y489" s="32"/>
      <c r="Z489" s="32"/>
      <c r="AA489" s="32"/>
      <c r="AB489" s="32"/>
      <c r="AC489" s="32"/>
      <c r="AD489" s="32"/>
      <c r="AE489" s="32"/>
      <c r="AR489" s="187" t="s">
        <v>340</v>
      </c>
      <c r="AT489" s="187" t="s">
        <v>411</v>
      </c>
      <c r="AU489" s="187" t="s">
        <v>79</v>
      </c>
      <c r="AY489" s="15" t="s">
        <v>196</v>
      </c>
      <c r="BE489" s="188">
        <f>IF(N489="základní",J489,0)</f>
        <v>0</v>
      </c>
      <c r="BF489" s="188">
        <f>IF(N489="snížená",J489,0)</f>
        <v>0</v>
      </c>
      <c r="BG489" s="188">
        <f>IF(N489="zákl. přenesená",J489,0)</f>
        <v>0</v>
      </c>
      <c r="BH489" s="188">
        <f>IF(N489="sníž. přenesená",J489,0)</f>
        <v>0</v>
      </c>
      <c r="BI489" s="188">
        <f>IF(N489="nulová",J489,0)</f>
        <v>0</v>
      </c>
      <c r="BJ489" s="15" t="s">
        <v>77</v>
      </c>
      <c r="BK489" s="188">
        <f>ROUND(I489*H489,2)</f>
        <v>0</v>
      </c>
      <c r="BL489" s="15" t="s">
        <v>270</v>
      </c>
      <c r="BM489" s="187" t="s">
        <v>1240</v>
      </c>
    </row>
    <row r="490" spans="1:65" s="2" customFormat="1" ht="13.9" customHeight="1">
      <c r="A490" s="32"/>
      <c r="B490" s="33"/>
      <c r="C490" s="176" t="s">
        <v>1241</v>
      </c>
      <c r="D490" s="176" t="s">
        <v>198</v>
      </c>
      <c r="E490" s="177" t="s">
        <v>1242</v>
      </c>
      <c r="F490" s="178" t="s">
        <v>1243</v>
      </c>
      <c r="G490" s="179" t="s">
        <v>253</v>
      </c>
      <c r="H490" s="180">
        <v>0.96</v>
      </c>
      <c r="I490" s="181"/>
      <c r="J490" s="182">
        <f>ROUND(I490*H490,2)</f>
        <v>0</v>
      </c>
      <c r="K490" s="178" t="s">
        <v>202</v>
      </c>
      <c r="L490" s="37"/>
      <c r="M490" s="183" t="s">
        <v>19</v>
      </c>
      <c r="N490" s="184" t="s">
        <v>41</v>
      </c>
      <c r="O490" s="62"/>
      <c r="P490" s="185">
        <f>O490*H490</f>
        <v>0</v>
      </c>
      <c r="Q490" s="185">
        <v>0.00058</v>
      </c>
      <c r="R490" s="185">
        <f>Q490*H490</f>
        <v>0.0005568</v>
      </c>
      <c r="S490" s="185">
        <v>0</v>
      </c>
      <c r="T490" s="186">
        <f>S490*H490</f>
        <v>0</v>
      </c>
      <c r="U490" s="32"/>
      <c r="V490" s="32"/>
      <c r="W490" s="32"/>
      <c r="X490" s="32"/>
      <c r="Y490" s="32"/>
      <c r="Z490" s="32"/>
      <c r="AA490" s="32"/>
      <c r="AB490" s="32"/>
      <c r="AC490" s="32"/>
      <c r="AD490" s="32"/>
      <c r="AE490" s="32"/>
      <c r="AR490" s="187" t="s">
        <v>270</v>
      </c>
      <c r="AT490" s="187" t="s">
        <v>198</v>
      </c>
      <c r="AU490" s="187" t="s">
        <v>79</v>
      </c>
      <c r="AY490" s="15" t="s">
        <v>196</v>
      </c>
      <c r="BE490" s="188">
        <f>IF(N490="základní",J490,0)</f>
        <v>0</v>
      </c>
      <c r="BF490" s="188">
        <f>IF(N490="snížená",J490,0)</f>
        <v>0</v>
      </c>
      <c r="BG490" s="188">
        <f>IF(N490="zákl. přenesená",J490,0)</f>
        <v>0</v>
      </c>
      <c r="BH490" s="188">
        <f>IF(N490="sníž. přenesená",J490,0)</f>
        <v>0</v>
      </c>
      <c r="BI490" s="188">
        <f>IF(N490="nulová",J490,0)</f>
        <v>0</v>
      </c>
      <c r="BJ490" s="15" t="s">
        <v>77</v>
      </c>
      <c r="BK490" s="188">
        <f>ROUND(I490*H490,2)</f>
        <v>0</v>
      </c>
      <c r="BL490" s="15" t="s">
        <v>270</v>
      </c>
      <c r="BM490" s="187" t="s">
        <v>1244</v>
      </c>
    </row>
    <row r="491" spans="1:65" s="2" customFormat="1" ht="13.9" customHeight="1">
      <c r="A491" s="32"/>
      <c r="B491" s="33"/>
      <c r="C491" s="194" t="s">
        <v>1245</v>
      </c>
      <c r="D491" s="194" t="s">
        <v>411</v>
      </c>
      <c r="E491" s="195" t="s">
        <v>1246</v>
      </c>
      <c r="F491" s="196" t="s">
        <v>1247</v>
      </c>
      <c r="G491" s="197" t="s">
        <v>258</v>
      </c>
      <c r="H491" s="198">
        <v>2</v>
      </c>
      <c r="I491" s="199"/>
      <c r="J491" s="200">
        <f>ROUND(I491*H491,2)</f>
        <v>0</v>
      </c>
      <c r="K491" s="196" t="s">
        <v>19</v>
      </c>
      <c r="L491" s="201"/>
      <c r="M491" s="202" t="s">
        <v>19</v>
      </c>
      <c r="N491" s="203" t="s">
        <v>41</v>
      </c>
      <c r="O491" s="62"/>
      <c r="P491" s="185">
        <f>O491*H491</f>
        <v>0</v>
      </c>
      <c r="Q491" s="185">
        <v>0</v>
      </c>
      <c r="R491" s="185">
        <f>Q491*H491</f>
        <v>0</v>
      </c>
      <c r="S491" s="185">
        <v>0</v>
      </c>
      <c r="T491" s="186">
        <f>S491*H491</f>
        <v>0</v>
      </c>
      <c r="U491" s="32"/>
      <c r="V491" s="32"/>
      <c r="W491" s="32"/>
      <c r="X491" s="32"/>
      <c r="Y491" s="32"/>
      <c r="Z491" s="32"/>
      <c r="AA491" s="32"/>
      <c r="AB491" s="32"/>
      <c r="AC491" s="32"/>
      <c r="AD491" s="32"/>
      <c r="AE491" s="32"/>
      <c r="AR491" s="187" t="s">
        <v>340</v>
      </c>
      <c r="AT491" s="187" t="s">
        <v>411</v>
      </c>
      <c r="AU491" s="187" t="s">
        <v>79</v>
      </c>
      <c r="AY491" s="15" t="s">
        <v>196</v>
      </c>
      <c r="BE491" s="188">
        <f>IF(N491="základní",J491,0)</f>
        <v>0</v>
      </c>
      <c r="BF491" s="188">
        <f>IF(N491="snížená",J491,0)</f>
        <v>0</v>
      </c>
      <c r="BG491" s="188">
        <f>IF(N491="zákl. přenesená",J491,0)</f>
        <v>0</v>
      </c>
      <c r="BH491" s="188">
        <f>IF(N491="sníž. přenesená",J491,0)</f>
        <v>0</v>
      </c>
      <c r="BI491" s="188">
        <f>IF(N491="nulová",J491,0)</f>
        <v>0</v>
      </c>
      <c r="BJ491" s="15" t="s">
        <v>77</v>
      </c>
      <c r="BK491" s="188">
        <f>ROUND(I491*H491,2)</f>
        <v>0</v>
      </c>
      <c r="BL491" s="15" t="s">
        <v>270</v>
      </c>
      <c r="BM491" s="187" t="s">
        <v>1248</v>
      </c>
    </row>
    <row r="492" spans="1:65" s="2" customFormat="1" ht="13.9" customHeight="1">
      <c r="A492" s="32"/>
      <c r="B492" s="33"/>
      <c r="C492" s="176" t="s">
        <v>1249</v>
      </c>
      <c r="D492" s="176" t="s">
        <v>198</v>
      </c>
      <c r="E492" s="177" t="s">
        <v>1250</v>
      </c>
      <c r="F492" s="178" t="s">
        <v>1251</v>
      </c>
      <c r="G492" s="179" t="s">
        <v>310</v>
      </c>
      <c r="H492" s="180">
        <v>200</v>
      </c>
      <c r="I492" s="181"/>
      <c r="J492" s="182">
        <f>ROUND(I492*H492,2)</f>
        <v>0</v>
      </c>
      <c r="K492" s="178" t="s">
        <v>202</v>
      </c>
      <c r="L492" s="37"/>
      <c r="M492" s="183" t="s">
        <v>19</v>
      </c>
      <c r="N492" s="184" t="s">
        <v>41</v>
      </c>
      <c r="O492" s="62"/>
      <c r="P492" s="185">
        <f>O492*H492</f>
        <v>0</v>
      </c>
      <c r="Q492" s="185">
        <v>3E-05</v>
      </c>
      <c r="R492" s="185">
        <f>Q492*H492</f>
        <v>0.006</v>
      </c>
      <c r="S492" s="185">
        <v>0</v>
      </c>
      <c r="T492" s="186">
        <f>S492*H492</f>
        <v>0</v>
      </c>
      <c r="U492" s="32"/>
      <c r="V492" s="32"/>
      <c r="W492" s="32"/>
      <c r="X492" s="32"/>
      <c r="Y492" s="32"/>
      <c r="Z492" s="32"/>
      <c r="AA492" s="32"/>
      <c r="AB492" s="32"/>
      <c r="AC492" s="32"/>
      <c r="AD492" s="32"/>
      <c r="AE492" s="32"/>
      <c r="AR492" s="187" t="s">
        <v>270</v>
      </c>
      <c r="AT492" s="187" t="s">
        <v>198</v>
      </c>
      <c r="AU492" s="187" t="s">
        <v>79</v>
      </c>
      <c r="AY492" s="15" t="s">
        <v>196</v>
      </c>
      <c r="BE492" s="188">
        <f>IF(N492="základní",J492,0)</f>
        <v>0</v>
      </c>
      <c r="BF492" s="188">
        <f>IF(N492="snížená",J492,0)</f>
        <v>0</v>
      </c>
      <c r="BG492" s="188">
        <f>IF(N492="zákl. přenesená",J492,0)</f>
        <v>0</v>
      </c>
      <c r="BH492" s="188">
        <f>IF(N492="sníž. přenesená",J492,0)</f>
        <v>0</v>
      </c>
      <c r="BI492" s="188">
        <f>IF(N492="nulová",J492,0)</f>
        <v>0</v>
      </c>
      <c r="BJ492" s="15" t="s">
        <v>77</v>
      </c>
      <c r="BK492" s="188">
        <f>ROUND(I492*H492,2)</f>
        <v>0</v>
      </c>
      <c r="BL492" s="15" t="s">
        <v>270</v>
      </c>
      <c r="BM492" s="187" t="s">
        <v>1252</v>
      </c>
    </row>
    <row r="493" spans="1:47" s="2" customFormat="1" ht="39">
      <c r="A493" s="32"/>
      <c r="B493" s="33"/>
      <c r="C493" s="34"/>
      <c r="D493" s="189" t="s">
        <v>208</v>
      </c>
      <c r="E493" s="34"/>
      <c r="F493" s="190" t="s">
        <v>1253</v>
      </c>
      <c r="G493" s="34"/>
      <c r="H493" s="34"/>
      <c r="I493" s="191"/>
      <c r="J493" s="34"/>
      <c r="K493" s="34"/>
      <c r="L493" s="37"/>
      <c r="M493" s="192"/>
      <c r="N493" s="193"/>
      <c r="O493" s="62"/>
      <c r="P493" s="62"/>
      <c r="Q493" s="62"/>
      <c r="R493" s="62"/>
      <c r="S493" s="62"/>
      <c r="T493" s="63"/>
      <c r="U493" s="32"/>
      <c r="V493" s="32"/>
      <c r="W493" s="32"/>
      <c r="X493" s="32"/>
      <c r="Y493" s="32"/>
      <c r="Z493" s="32"/>
      <c r="AA493" s="32"/>
      <c r="AB493" s="32"/>
      <c r="AC493" s="32"/>
      <c r="AD493" s="32"/>
      <c r="AE493" s="32"/>
      <c r="AT493" s="15" t="s">
        <v>208</v>
      </c>
      <c r="AU493" s="15" t="s">
        <v>79</v>
      </c>
    </row>
    <row r="494" spans="1:65" s="2" customFormat="1" ht="13.9" customHeight="1">
      <c r="A494" s="32"/>
      <c r="B494" s="33"/>
      <c r="C494" s="176" t="s">
        <v>1254</v>
      </c>
      <c r="D494" s="176" t="s">
        <v>198</v>
      </c>
      <c r="E494" s="177" t="s">
        <v>1255</v>
      </c>
      <c r="F494" s="178" t="s">
        <v>1256</v>
      </c>
      <c r="G494" s="179" t="s">
        <v>258</v>
      </c>
      <c r="H494" s="180">
        <v>300</v>
      </c>
      <c r="I494" s="181"/>
      <c r="J494" s="182">
        <f>ROUND(I494*H494,2)</f>
        <v>0</v>
      </c>
      <c r="K494" s="178" t="s">
        <v>202</v>
      </c>
      <c r="L494" s="37"/>
      <c r="M494" s="183" t="s">
        <v>19</v>
      </c>
      <c r="N494" s="184" t="s">
        <v>41</v>
      </c>
      <c r="O494" s="62"/>
      <c r="P494" s="185">
        <f>O494*H494</f>
        <v>0</v>
      </c>
      <c r="Q494" s="185">
        <v>0</v>
      </c>
      <c r="R494" s="185">
        <f>Q494*H494</f>
        <v>0</v>
      </c>
      <c r="S494" s="185">
        <v>0</v>
      </c>
      <c r="T494" s="186">
        <f>S494*H494</f>
        <v>0</v>
      </c>
      <c r="U494" s="32"/>
      <c r="V494" s="32"/>
      <c r="W494" s="32"/>
      <c r="X494" s="32"/>
      <c r="Y494" s="32"/>
      <c r="Z494" s="32"/>
      <c r="AA494" s="32"/>
      <c r="AB494" s="32"/>
      <c r="AC494" s="32"/>
      <c r="AD494" s="32"/>
      <c r="AE494" s="32"/>
      <c r="AR494" s="187" t="s">
        <v>270</v>
      </c>
      <c r="AT494" s="187" t="s">
        <v>198</v>
      </c>
      <c r="AU494" s="187" t="s">
        <v>79</v>
      </c>
      <c r="AY494" s="15" t="s">
        <v>196</v>
      </c>
      <c r="BE494" s="188">
        <f>IF(N494="základní",J494,0)</f>
        <v>0</v>
      </c>
      <c r="BF494" s="188">
        <f>IF(N494="snížená",J494,0)</f>
        <v>0</v>
      </c>
      <c r="BG494" s="188">
        <f>IF(N494="zákl. přenesená",J494,0)</f>
        <v>0</v>
      </c>
      <c r="BH494" s="188">
        <f>IF(N494="sníž. přenesená",J494,0)</f>
        <v>0</v>
      </c>
      <c r="BI494" s="188">
        <f>IF(N494="nulová",J494,0)</f>
        <v>0</v>
      </c>
      <c r="BJ494" s="15" t="s">
        <v>77</v>
      </c>
      <c r="BK494" s="188">
        <f>ROUND(I494*H494,2)</f>
        <v>0</v>
      </c>
      <c r="BL494" s="15" t="s">
        <v>270</v>
      </c>
      <c r="BM494" s="187" t="s">
        <v>1257</v>
      </c>
    </row>
    <row r="495" spans="1:47" s="2" customFormat="1" ht="39">
      <c r="A495" s="32"/>
      <c r="B495" s="33"/>
      <c r="C495" s="34"/>
      <c r="D495" s="189" t="s">
        <v>208</v>
      </c>
      <c r="E495" s="34"/>
      <c r="F495" s="190" t="s">
        <v>1253</v>
      </c>
      <c r="G495" s="34"/>
      <c r="H495" s="34"/>
      <c r="I495" s="191"/>
      <c r="J495" s="34"/>
      <c r="K495" s="34"/>
      <c r="L495" s="37"/>
      <c r="M495" s="192"/>
      <c r="N495" s="193"/>
      <c r="O495" s="62"/>
      <c r="P495" s="62"/>
      <c r="Q495" s="62"/>
      <c r="R495" s="62"/>
      <c r="S495" s="62"/>
      <c r="T495" s="63"/>
      <c r="U495" s="32"/>
      <c r="V495" s="32"/>
      <c r="W495" s="32"/>
      <c r="X495" s="32"/>
      <c r="Y495" s="32"/>
      <c r="Z495" s="32"/>
      <c r="AA495" s="32"/>
      <c r="AB495" s="32"/>
      <c r="AC495" s="32"/>
      <c r="AD495" s="32"/>
      <c r="AE495" s="32"/>
      <c r="AT495" s="15" t="s">
        <v>208</v>
      </c>
      <c r="AU495" s="15" t="s">
        <v>79</v>
      </c>
    </row>
    <row r="496" spans="1:65" s="2" customFormat="1" ht="13.9" customHeight="1">
      <c r="A496" s="32"/>
      <c r="B496" s="33"/>
      <c r="C496" s="176" t="s">
        <v>1258</v>
      </c>
      <c r="D496" s="176" t="s">
        <v>198</v>
      </c>
      <c r="E496" s="177" t="s">
        <v>1259</v>
      </c>
      <c r="F496" s="178" t="s">
        <v>1260</v>
      </c>
      <c r="G496" s="179" t="s">
        <v>253</v>
      </c>
      <c r="H496" s="180">
        <v>229.5</v>
      </c>
      <c r="I496" s="181"/>
      <c r="J496" s="182">
        <f>ROUND(I496*H496,2)</f>
        <v>0</v>
      </c>
      <c r="K496" s="178" t="s">
        <v>202</v>
      </c>
      <c r="L496" s="37"/>
      <c r="M496" s="183" t="s">
        <v>19</v>
      </c>
      <c r="N496" s="184" t="s">
        <v>41</v>
      </c>
      <c r="O496" s="62"/>
      <c r="P496" s="185">
        <f>O496*H496</f>
        <v>0</v>
      </c>
      <c r="Q496" s="185">
        <v>5E-05</v>
      </c>
      <c r="R496" s="185">
        <f>Q496*H496</f>
        <v>0.011475</v>
      </c>
      <c r="S496" s="185">
        <v>0</v>
      </c>
      <c r="T496" s="186">
        <f>S496*H496</f>
        <v>0</v>
      </c>
      <c r="U496" s="32"/>
      <c r="V496" s="32"/>
      <c r="W496" s="32"/>
      <c r="X496" s="32"/>
      <c r="Y496" s="32"/>
      <c r="Z496" s="32"/>
      <c r="AA496" s="32"/>
      <c r="AB496" s="32"/>
      <c r="AC496" s="32"/>
      <c r="AD496" s="32"/>
      <c r="AE496" s="32"/>
      <c r="AR496" s="187" t="s">
        <v>270</v>
      </c>
      <c r="AT496" s="187" t="s">
        <v>198</v>
      </c>
      <c r="AU496" s="187" t="s">
        <v>79</v>
      </c>
      <c r="AY496" s="15" t="s">
        <v>196</v>
      </c>
      <c r="BE496" s="188">
        <f>IF(N496="základní",J496,0)</f>
        <v>0</v>
      </c>
      <c r="BF496" s="188">
        <f>IF(N496="snížená",J496,0)</f>
        <v>0</v>
      </c>
      <c r="BG496" s="188">
        <f>IF(N496="zákl. přenesená",J496,0)</f>
        <v>0</v>
      </c>
      <c r="BH496" s="188">
        <f>IF(N496="sníž. přenesená",J496,0)</f>
        <v>0</v>
      </c>
      <c r="BI496" s="188">
        <f>IF(N496="nulová",J496,0)</f>
        <v>0</v>
      </c>
      <c r="BJ496" s="15" t="s">
        <v>77</v>
      </c>
      <c r="BK496" s="188">
        <f>ROUND(I496*H496,2)</f>
        <v>0</v>
      </c>
      <c r="BL496" s="15" t="s">
        <v>270</v>
      </c>
      <c r="BM496" s="187" t="s">
        <v>1261</v>
      </c>
    </row>
    <row r="497" spans="1:65" s="2" customFormat="1" ht="22.15" customHeight="1">
      <c r="A497" s="32"/>
      <c r="B497" s="33"/>
      <c r="C497" s="176" t="s">
        <v>1262</v>
      </c>
      <c r="D497" s="176" t="s">
        <v>198</v>
      </c>
      <c r="E497" s="177" t="s">
        <v>1263</v>
      </c>
      <c r="F497" s="178" t="s">
        <v>1264</v>
      </c>
      <c r="G497" s="179" t="s">
        <v>242</v>
      </c>
      <c r="H497" s="180">
        <v>4.759</v>
      </c>
      <c r="I497" s="181"/>
      <c r="J497" s="182">
        <f>ROUND(I497*H497,2)</f>
        <v>0</v>
      </c>
      <c r="K497" s="178" t="s">
        <v>202</v>
      </c>
      <c r="L497" s="37"/>
      <c r="M497" s="183" t="s">
        <v>19</v>
      </c>
      <c r="N497" s="184" t="s">
        <v>41</v>
      </c>
      <c r="O497" s="62"/>
      <c r="P497" s="185">
        <f>O497*H497</f>
        <v>0</v>
      </c>
      <c r="Q497" s="185">
        <v>0</v>
      </c>
      <c r="R497" s="185">
        <f>Q497*H497</f>
        <v>0</v>
      </c>
      <c r="S497" s="185">
        <v>0</v>
      </c>
      <c r="T497" s="186">
        <f>S497*H497</f>
        <v>0</v>
      </c>
      <c r="U497" s="32"/>
      <c r="V497" s="32"/>
      <c r="W497" s="32"/>
      <c r="X497" s="32"/>
      <c r="Y497" s="32"/>
      <c r="Z497" s="32"/>
      <c r="AA497" s="32"/>
      <c r="AB497" s="32"/>
      <c r="AC497" s="32"/>
      <c r="AD497" s="32"/>
      <c r="AE497" s="32"/>
      <c r="AR497" s="187" t="s">
        <v>270</v>
      </c>
      <c r="AT497" s="187" t="s">
        <v>198</v>
      </c>
      <c r="AU497" s="187" t="s">
        <v>79</v>
      </c>
      <c r="AY497" s="15" t="s">
        <v>196</v>
      </c>
      <c r="BE497" s="188">
        <f>IF(N497="základní",J497,0)</f>
        <v>0</v>
      </c>
      <c r="BF497" s="188">
        <f>IF(N497="snížená",J497,0)</f>
        <v>0</v>
      </c>
      <c r="BG497" s="188">
        <f>IF(N497="zákl. přenesená",J497,0)</f>
        <v>0</v>
      </c>
      <c r="BH497" s="188">
        <f>IF(N497="sníž. přenesená",J497,0)</f>
        <v>0</v>
      </c>
      <c r="BI497" s="188">
        <f>IF(N497="nulová",J497,0)</f>
        <v>0</v>
      </c>
      <c r="BJ497" s="15" t="s">
        <v>77</v>
      </c>
      <c r="BK497" s="188">
        <f>ROUND(I497*H497,2)</f>
        <v>0</v>
      </c>
      <c r="BL497" s="15" t="s">
        <v>270</v>
      </c>
      <c r="BM497" s="187" t="s">
        <v>1265</v>
      </c>
    </row>
    <row r="498" spans="1:47" s="2" customFormat="1" ht="78">
      <c r="A498" s="32"/>
      <c r="B498" s="33"/>
      <c r="C498" s="34"/>
      <c r="D498" s="189" t="s">
        <v>208</v>
      </c>
      <c r="E498" s="34"/>
      <c r="F498" s="190" t="s">
        <v>719</v>
      </c>
      <c r="G498" s="34"/>
      <c r="H498" s="34"/>
      <c r="I498" s="191"/>
      <c r="J498" s="34"/>
      <c r="K498" s="34"/>
      <c r="L498" s="37"/>
      <c r="M498" s="192"/>
      <c r="N498" s="193"/>
      <c r="O498" s="62"/>
      <c r="P498" s="62"/>
      <c r="Q498" s="62"/>
      <c r="R498" s="62"/>
      <c r="S498" s="62"/>
      <c r="T498" s="63"/>
      <c r="U498" s="32"/>
      <c r="V498" s="32"/>
      <c r="W498" s="32"/>
      <c r="X498" s="32"/>
      <c r="Y498" s="32"/>
      <c r="Z498" s="32"/>
      <c r="AA498" s="32"/>
      <c r="AB498" s="32"/>
      <c r="AC498" s="32"/>
      <c r="AD498" s="32"/>
      <c r="AE498" s="32"/>
      <c r="AT498" s="15" t="s">
        <v>208</v>
      </c>
      <c r="AU498" s="15" t="s">
        <v>79</v>
      </c>
    </row>
    <row r="499" spans="1:65" s="2" customFormat="1" ht="22.15" customHeight="1">
      <c r="A499" s="32"/>
      <c r="B499" s="33"/>
      <c r="C499" s="176" t="s">
        <v>1266</v>
      </c>
      <c r="D499" s="176" t="s">
        <v>198</v>
      </c>
      <c r="E499" s="177" t="s">
        <v>1267</v>
      </c>
      <c r="F499" s="178" t="s">
        <v>1268</v>
      </c>
      <c r="G499" s="179" t="s">
        <v>242</v>
      </c>
      <c r="H499" s="180">
        <v>4.759</v>
      </c>
      <c r="I499" s="181"/>
      <c r="J499" s="182">
        <f>ROUND(I499*H499,2)</f>
        <v>0</v>
      </c>
      <c r="K499" s="178" t="s">
        <v>202</v>
      </c>
      <c r="L499" s="37"/>
      <c r="M499" s="183" t="s">
        <v>19</v>
      </c>
      <c r="N499" s="184" t="s">
        <v>41</v>
      </c>
      <c r="O499" s="62"/>
      <c r="P499" s="185">
        <f>O499*H499</f>
        <v>0</v>
      </c>
      <c r="Q499" s="185">
        <v>0</v>
      </c>
      <c r="R499" s="185">
        <f>Q499*H499</f>
        <v>0</v>
      </c>
      <c r="S499" s="185">
        <v>0</v>
      </c>
      <c r="T499" s="186">
        <f>S499*H499</f>
        <v>0</v>
      </c>
      <c r="U499" s="32"/>
      <c r="V499" s="32"/>
      <c r="W499" s="32"/>
      <c r="X499" s="32"/>
      <c r="Y499" s="32"/>
      <c r="Z499" s="32"/>
      <c r="AA499" s="32"/>
      <c r="AB499" s="32"/>
      <c r="AC499" s="32"/>
      <c r="AD499" s="32"/>
      <c r="AE499" s="32"/>
      <c r="AR499" s="187" t="s">
        <v>270</v>
      </c>
      <c r="AT499" s="187" t="s">
        <v>198</v>
      </c>
      <c r="AU499" s="187" t="s">
        <v>79</v>
      </c>
      <c r="AY499" s="15" t="s">
        <v>196</v>
      </c>
      <c r="BE499" s="188">
        <f>IF(N499="základní",J499,0)</f>
        <v>0</v>
      </c>
      <c r="BF499" s="188">
        <f>IF(N499="snížená",J499,0)</f>
        <v>0</v>
      </c>
      <c r="BG499" s="188">
        <f>IF(N499="zákl. přenesená",J499,0)</f>
        <v>0</v>
      </c>
      <c r="BH499" s="188">
        <f>IF(N499="sníž. přenesená",J499,0)</f>
        <v>0</v>
      </c>
      <c r="BI499" s="188">
        <f>IF(N499="nulová",J499,0)</f>
        <v>0</v>
      </c>
      <c r="BJ499" s="15" t="s">
        <v>77</v>
      </c>
      <c r="BK499" s="188">
        <f>ROUND(I499*H499,2)</f>
        <v>0</v>
      </c>
      <c r="BL499" s="15" t="s">
        <v>270</v>
      </c>
      <c r="BM499" s="187" t="s">
        <v>1269</v>
      </c>
    </row>
    <row r="500" spans="1:47" s="2" customFormat="1" ht="78">
      <c r="A500" s="32"/>
      <c r="B500" s="33"/>
      <c r="C500" s="34"/>
      <c r="D500" s="189" t="s">
        <v>208</v>
      </c>
      <c r="E500" s="34"/>
      <c r="F500" s="190" t="s">
        <v>719</v>
      </c>
      <c r="G500" s="34"/>
      <c r="H500" s="34"/>
      <c r="I500" s="191"/>
      <c r="J500" s="34"/>
      <c r="K500" s="34"/>
      <c r="L500" s="37"/>
      <c r="M500" s="192"/>
      <c r="N500" s="193"/>
      <c r="O500" s="62"/>
      <c r="P500" s="62"/>
      <c r="Q500" s="62"/>
      <c r="R500" s="62"/>
      <c r="S500" s="62"/>
      <c r="T500" s="63"/>
      <c r="U500" s="32"/>
      <c r="V500" s="32"/>
      <c r="W500" s="32"/>
      <c r="X500" s="32"/>
      <c r="Y500" s="32"/>
      <c r="Z500" s="32"/>
      <c r="AA500" s="32"/>
      <c r="AB500" s="32"/>
      <c r="AC500" s="32"/>
      <c r="AD500" s="32"/>
      <c r="AE500" s="32"/>
      <c r="AT500" s="15" t="s">
        <v>208</v>
      </c>
      <c r="AU500" s="15" t="s">
        <v>79</v>
      </c>
    </row>
    <row r="501" spans="2:63" s="12" customFormat="1" ht="22.9" customHeight="1">
      <c r="B501" s="160"/>
      <c r="C501" s="161"/>
      <c r="D501" s="162" t="s">
        <v>69</v>
      </c>
      <c r="E501" s="174" t="s">
        <v>1270</v>
      </c>
      <c r="F501" s="174" t="s">
        <v>1271</v>
      </c>
      <c r="G501" s="161"/>
      <c r="H501" s="161"/>
      <c r="I501" s="164"/>
      <c r="J501" s="175">
        <f>BK501</f>
        <v>0</v>
      </c>
      <c r="K501" s="161"/>
      <c r="L501" s="166"/>
      <c r="M501" s="167"/>
      <c r="N501" s="168"/>
      <c r="O501" s="168"/>
      <c r="P501" s="169">
        <f>SUM(P502:P505)</f>
        <v>0</v>
      </c>
      <c r="Q501" s="168"/>
      <c r="R501" s="169">
        <f>SUM(R502:R505)</f>
        <v>0.0126</v>
      </c>
      <c r="S501" s="168"/>
      <c r="T501" s="170">
        <f>SUM(T502:T505)</f>
        <v>0</v>
      </c>
      <c r="AR501" s="171" t="s">
        <v>79</v>
      </c>
      <c r="AT501" s="172" t="s">
        <v>69</v>
      </c>
      <c r="AU501" s="172" t="s">
        <v>77</v>
      </c>
      <c r="AY501" s="171" t="s">
        <v>196</v>
      </c>
      <c r="BK501" s="173">
        <f>SUM(BK502:BK505)</f>
        <v>0</v>
      </c>
    </row>
    <row r="502" spans="1:65" s="2" customFormat="1" ht="13.9" customHeight="1">
      <c r="A502" s="32"/>
      <c r="B502" s="33"/>
      <c r="C502" s="176" t="s">
        <v>1272</v>
      </c>
      <c r="D502" s="176" t="s">
        <v>198</v>
      </c>
      <c r="E502" s="177" t="s">
        <v>1273</v>
      </c>
      <c r="F502" s="178" t="s">
        <v>1274</v>
      </c>
      <c r="G502" s="179" t="s">
        <v>253</v>
      </c>
      <c r="H502" s="180">
        <v>35</v>
      </c>
      <c r="I502" s="181"/>
      <c r="J502" s="182">
        <f>ROUND(I502*H502,2)</f>
        <v>0</v>
      </c>
      <c r="K502" s="178" t="s">
        <v>202</v>
      </c>
      <c r="L502" s="37"/>
      <c r="M502" s="183" t="s">
        <v>19</v>
      </c>
      <c r="N502" s="184" t="s">
        <v>41</v>
      </c>
      <c r="O502" s="62"/>
      <c r="P502" s="185">
        <f>O502*H502</f>
        <v>0</v>
      </c>
      <c r="Q502" s="185">
        <v>8E-05</v>
      </c>
      <c r="R502" s="185">
        <f>Q502*H502</f>
        <v>0.0028000000000000004</v>
      </c>
      <c r="S502" s="185">
        <v>0</v>
      </c>
      <c r="T502" s="186">
        <f>S502*H502</f>
        <v>0</v>
      </c>
      <c r="U502" s="32"/>
      <c r="V502" s="32"/>
      <c r="W502" s="32"/>
      <c r="X502" s="32"/>
      <c r="Y502" s="32"/>
      <c r="Z502" s="32"/>
      <c r="AA502" s="32"/>
      <c r="AB502" s="32"/>
      <c r="AC502" s="32"/>
      <c r="AD502" s="32"/>
      <c r="AE502" s="32"/>
      <c r="AR502" s="187" t="s">
        <v>270</v>
      </c>
      <c r="AT502" s="187" t="s">
        <v>198</v>
      </c>
      <c r="AU502" s="187" t="s">
        <v>79</v>
      </c>
      <c r="AY502" s="15" t="s">
        <v>196</v>
      </c>
      <c r="BE502" s="188">
        <f>IF(N502="základní",J502,0)</f>
        <v>0</v>
      </c>
      <c r="BF502" s="188">
        <f>IF(N502="snížená",J502,0)</f>
        <v>0</v>
      </c>
      <c r="BG502" s="188">
        <f>IF(N502="zákl. přenesená",J502,0)</f>
        <v>0</v>
      </c>
      <c r="BH502" s="188">
        <f>IF(N502="sníž. přenesená",J502,0)</f>
        <v>0</v>
      </c>
      <c r="BI502" s="188">
        <f>IF(N502="nulová",J502,0)</f>
        <v>0</v>
      </c>
      <c r="BJ502" s="15" t="s">
        <v>77</v>
      </c>
      <c r="BK502" s="188">
        <f>ROUND(I502*H502,2)</f>
        <v>0</v>
      </c>
      <c r="BL502" s="15" t="s">
        <v>270</v>
      </c>
      <c r="BM502" s="187" t="s">
        <v>1275</v>
      </c>
    </row>
    <row r="503" spans="1:65" s="2" customFormat="1" ht="22.15" customHeight="1">
      <c r="A503" s="32"/>
      <c r="B503" s="33"/>
      <c r="C503" s="176" t="s">
        <v>1276</v>
      </c>
      <c r="D503" s="176" t="s">
        <v>198</v>
      </c>
      <c r="E503" s="177" t="s">
        <v>1277</v>
      </c>
      <c r="F503" s="178" t="s">
        <v>1278</v>
      </c>
      <c r="G503" s="179" t="s">
        <v>253</v>
      </c>
      <c r="H503" s="180">
        <v>35</v>
      </c>
      <c r="I503" s="181"/>
      <c r="J503" s="182">
        <f>ROUND(I503*H503,2)</f>
        <v>0</v>
      </c>
      <c r="K503" s="178" t="s">
        <v>202</v>
      </c>
      <c r="L503" s="37"/>
      <c r="M503" s="183" t="s">
        <v>19</v>
      </c>
      <c r="N503" s="184" t="s">
        <v>41</v>
      </c>
      <c r="O503" s="62"/>
      <c r="P503" s="185">
        <f>O503*H503</f>
        <v>0</v>
      </c>
      <c r="Q503" s="185">
        <v>0.0001</v>
      </c>
      <c r="R503" s="185">
        <f>Q503*H503</f>
        <v>0.0035</v>
      </c>
      <c r="S503" s="185">
        <v>0</v>
      </c>
      <c r="T503" s="186">
        <f>S503*H503</f>
        <v>0</v>
      </c>
      <c r="U503" s="32"/>
      <c r="V503" s="32"/>
      <c r="W503" s="32"/>
      <c r="X503" s="32"/>
      <c r="Y503" s="32"/>
      <c r="Z503" s="32"/>
      <c r="AA503" s="32"/>
      <c r="AB503" s="32"/>
      <c r="AC503" s="32"/>
      <c r="AD503" s="32"/>
      <c r="AE503" s="32"/>
      <c r="AR503" s="187" t="s">
        <v>270</v>
      </c>
      <c r="AT503" s="187" t="s">
        <v>198</v>
      </c>
      <c r="AU503" s="187" t="s">
        <v>79</v>
      </c>
      <c r="AY503" s="15" t="s">
        <v>196</v>
      </c>
      <c r="BE503" s="188">
        <f>IF(N503="základní",J503,0)</f>
        <v>0</v>
      </c>
      <c r="BF503" s="188">
        <f>IF(N503="snížená",J503,0)</f>
        <v>0</v>
      </c>
      <c r="BG503" s="188">
        <f>IF(N503="zákl. přenesená",J503,0)</f>
        <v>0</v>
      </c>
      <c r="BH503" s="188">
        <f>IF(N503="sníž. přenesená",J503,0)</f>
        <v>0</v>
      </c>
      <c r="BI503" s="188">
        <f>IF(N503="nulová",J503,0)</f>
        <v>0</v>
      </c>
      <c r="BJ503" s="15" t="s">
        <v>77</v>
      </c>
      <c r="BK503" s="188">
        <f>ROUND(I503*H503,2)</f>
        <v>0</v>
      </c>
      <c r="BL503" s="15" t="s">
        <v>270</v>
      </c>
      <c r="BM503" s="187" t="s">
        <v>1279</v>
      </c>
    </row>
    <row r="504" spans="1:65" s="2" customFormat="1" ht="13.9" customHeight="1">
      <c r="A504" s="32"/>
      <c r="B504" s="33"/>
      <c r="C504" s="176" t="s">
        <v>1280</v>
      </c>
      <c r="D504" s="176" t="s">
        <v>198</v>
      </c>
      <c r="E504" s="177" t="s">
        <v>1281</v>
      </c>
      <c r="F504" s="178" t="s">
        <v>1282</v>
      </c>
      <c r="G504" s="179" t="s">
        <v>253</v>
      </c>
      <c r="H504" s="180">
        <v>70</v>
      </c>
      <c r="I504" s="181"/>
      <c r="J504" s="182">
        <f>ROUND(I504*H504,2)</f>
        <v>0</v>
      </c>
      <c r="K504" s="178" t="s">
        <v>202</v>
      </c>
      <c r="L504" s="37"/>
      <c r="M504" s="183" t="s">
        <v>19</v>
      </c>
      <c r="N504" s="184" t="s">
        <v>41</v>
      </c>
      <c r="O504" s="62"/>
      <c r="P504" s="185">
        <f>O504*H504</f>
        <v>0</v>
      </c>
      <c r="Q504" s="185">
        <v>9E-05</v>
      </c>
      <c r="R504" s="185">
        <f>Q504*H504</f>
        <v>0.0063</v>
      </c>
      <c r="S504" s="185">
        <v>0</v>
      </c>
      <c r="T504" s="186">
        <f>S504*H504</f>
        <v>0</v>
      </c>
      <c r="U504" s="32"/>
      <c r="V504" s="32"/>
      <c r="W504" s="32"/>
      <c r="X504" s="32"/>
      <c r="Y504" s="32"/>
      <c r="Z504" s="32"/>
      <c r="AA504" s="32"/>
      <c r="AB504" s="32"/>
      <c r="AC504" s="32"/>
      <c r="AD504" s="32"/>
      <c r="AE504" s="32"/>
      <c r="AR504" s="187" t="s">
        <v>270</v>
      </c>
      <c r="AT504" s="187" t="s">
        <v>198</v>
      </c>
      <c r="AU504" s="187" t="s">
        <v>79</v>
      </c>
      <c r="AY504" s="15" t="s">
        <v>196</v>
      </c>
      <c r="BE504" s="188">
        <f>IF(N504="základní",J504,0)</f>
        <v>0</v>
      </c>
      <c r="BF504" s="188">
        <f>IF(N504="snížená",J504,0)</f>
        <v>0</v>
      </c>
      <c r="BG504" s="188">
        <f>IF(N504="zákl. přenesená",J504,0)</f>
        <v>0</v>
      </c>
      <c r="BH504" s="188">
        <f>IF(N504="sníž. přenesená",J504,0)</f>
        <v>0</v>
      </c>
      <c r="BI504" s="188">
        <f>IF(N504="nulová",J504,0)</f>
        <v>0</v>
      </c>
      <c r="BJ504" s="15" t="s">
        <v>77</v>
      </c>
      <c r="BK504" s="188">
        <f>ROUND(I504*H504,2)</f>
        <v>0</v>
      </c>
      <c r="BL504" s="15" t="s">
        <v>270</v>
      </c>
      <c r="BM504" s="187" t="s">
        <v>1283</v>
      </c>
    </row>
    <row r="505" spans="1:65" s="2" customFormat="1" ht="13.9" customHeight="1">
      <c r="A505" s="32"/>
      <c r="B505" s="33"/>
      <c r="C505" s="176" t="s">
        <v>1284</v>
      </c>
      <c r="D505" s="176" t="s">
        <v>198</v>
      </c>
      <c r="E505" s="177" t="s">
        <v>1285</v>
      </c>
      <c r="F505" s="178" t="s">
        <v>1286</v>
      </c>
      <c r="G505" s="179" t="s">
        <v>253</v>
      </c>
      <c r="H505" s="180">
        <v>20</v>
      </c>
      <c r="I505" s="181"/>
      <c r="J505" s="182">
        <f>ROUND(I505*H505,2)</f>
        <v>0</v>
      </c>
      <c r="K505" s="178" t="s">
        <v>19</v>
      </c>
      <c r="L505" s="37"/>
      <c r="M505" s="183" t="s">
        <v>19</v>
      </c>
      <c r="N505" s="184" t="s">
        <v>41</v>
      </c>
      <c r="O505" s="62"/>
      <c r="P505" s="185">
        <f>O505*H505</f>
        <v>0</v>
      </c>
      <c r="Q505" s="185">
        <v>0</v>
      </c>
      <c r="R505" s="185">
        <f>Q505*H505</f>
        <v>0</v>
      </c>
      <c r="S505" s="185">
        <v>0</v>
      </c>
      <c r="T505" s="186">
        <f>S505*H505</f>
        <v>0</v>
      </c>
      <c r="U505" s="32"/>
      <c r="V505" s="32"/>
      <c r="W505" s="32"/>
      <c r="X505" s="32"/>
      <c r="Y505" s="32"/>
      <c r="Z505" s="32"/>
      <c r="AA505" s="32"/>
      <c r="AB505" s="32"/>
      <c r="AC505" s="32"/>
      <c r="AD505" s="32"/>
      <c r="AE505" s="32"/>
      <c r="AR505" s="187" t="s">
        <v>270</v>
      </c>
      <c r="AT505" s="187" t="s">
        <v>198</v>
      </c>
      <c r="AU505" s="187" t="s">
        <v>79</v>
      </c>
      <c r="AY505" s="15" t="s">
        <v>196</v>
      </c>
      <c r="BE505" s="188">
        <f>IF(N505="základní",J505,0)</f>
        <v>0</v>
      </c>
      <c r="BF505" s="188">
        <f>IF(N505="snížená",J505,0)</f>
        <v>0</v>
      </c>
      <c r="BG505" s="188">
        <f>IF(N505="zákl. přenesená",J505,0)</f>
        <v>0</v>
      </c>
      <c r="BH505" s="188">
        <f>IF(N505="sníž. přenesená",J505,0)</f>
        <v>0</v>
      </c>
      <c r="BI505" s="188">
        <f>IF(N505="nulová",J505,0)</f>
        <v>0</v>
      </c>
      <c r="BJ505" s="15" t="s">
        <v>77</v>
      </c>
      <c r="BK505" s="188">
        <f>ROUND(I505*H505,2)</f>
        <v>0</v>
      </c>
      <c r="BL505" s="15" t="s">
        <v>270</v>
      </c>
      <c r="BM505" s="187" t="s">
        <v>1287</v>
      </c>
    </row>
    <row r="506" spans="2:63" s="12" customFormat="1" ht="22.9" customHeight="1">
      <c r="B506" s="160"/>
      <c r="C506" s="161"/>
      <c r="D506" s="162" t="s">
        <v>69</v>
      </c>
      <c r="E506" s="174" t="s">
        <v>1288</v>
      </c>
      <c r="F506" s="174" t="s">
        <v>1289</v>
      </c>
      <c r="G506" s="161"/>
      <c r="H506" s="161"/>
      <c r="I506" s="164"/>
      <c r="J506" s="175">
        <f>BK506</f>
        <v>0</v>
      </c>
      <c r="K506" s="161"/>
      <c r="L506" s="166"/>
      <c r="M506" s="167"/>
      <c r="N506" s="168"/>
      <c r="O506" s="168"/>
      <c r="P506" s="169">
        <f>SUM(P507:P514)</f>
        <v>0</v>
      </c>
      <c r="Q506" s="168"/>
      <c r="R506" s="169">
        <f>SUM(R507:R514)</f>
        <v>0.70495328</v>
      </c>
      <c r="S506" s="168"/>
      <c r="T506" s="170">
        <f>SUM(T507:T514)</f>
        <v>0.044889860000000004</v>
      </c>
      <c r="AR506" s="171" t="s">
        <v>79</v>
      </c>
      <c r="AT506" s="172" t="s">
        <v>69</v>
      </c>
      <c r="AU506" s="172" t="s">
        <v>77</v>
      </c>
      <c r="AY506" s="171" t="s">
        <v>196</v>
      </c>
      <c r="BK506" s="173">
        <f>SUM(BK507:BK514)</f>
        <v>0</v>
      </c>
    </row>
    <row r="507" spans="1:65" s="2" customFormat="1" ht="13.9" customHeight="1">
      <c r="A507" s="32"/>
      <c r="B507" s="33"/>
      <c r="C507" s="176" t="s">
        <v>1290</v>
      </c>
      <c r="D507" s="176" t="s">
        <v>198</v>
      </c>
      <c r="E507" s="177" t="s">
        <v>1291</v>
      </c>
      <c r="F507" s="178" t="s">
        <v>1292</v>
      </c>
      <c r="G507" s="179" t="s">
        <v>253</v>
      </c>
      <c r="H507" s="180">
        <v>1208.911</v>
      </c>
      <c r="I507" s="181"/>
      <c r="J507" s="182">
        <f>ROUND(I507*H507,2)</f>
        <v>0</v>
      </c>
      <c r="K507" s="178" t="s">
        <v>202</v>
      </c>
      <c r="L507" s="37"/>
      <c r="M507" s="183" t="s">
        <v>19</v>
      </c>
      <c r="N507" s="184" t="s">
        <v>41</v>
      </c>
      <c r="O507" s="62"/>
      <c r="P507" s="185">
        <f>O507*H507</f>
        <v>0</v>
      </c>
      <c r="Q507" s="185">
        <v>0</v>
      </c>
      <c r="R507" s="185">
        <f>Q507*H507</f>
        <v>0</v>
      </c>
      <c r="S507" s="185">
        <v>0</v>
      </c>
      <c r="T507" s="186">
        <f>S507*H507</f>
        <v>0</v>
      </c>
      <c r="U507" s="32"/>
      <c r="V507" s="32"/>
      <c r="W507" s="32"/>
      <c r="X507" s="32"/>
      <c r="Y507" s="32"/>
      <c r="Z507" s="32"/>
      <c r="AA507" s="32"/>
      <c r="AB507" s="32"/>
      <c r="AC507" s="32"/>
      <c r="AD507" s="32"/>
      <c r="AE507" s="32"/>
      <c r="AR507" s="187" t="s">
        <v>270</v>
      </c>
      <c r="AT507" s="187" t="s">
        <v>198</v>
      </c>
      <c r="AU507" s="187" t="s">
        <v>79</v>
      </c>
      <c r="AY507" s="15" t="s">
        <v>196</v>
      </c>
      <c r="BE507" s="188">
        <f>IF(N507="základní",J507,0)</f>
        <v>0</v>
      </c>
      <c r="BF507" s="188">
        <f>IF(N507="snížená",J507,0)</f>
        <v>0</v>
      </c>
      <c r="BG507" s="188">
        <f>IF(N507="zákl. přenesená",J507,0)</f>
        <v>0</v>
      </c>
      <c r="BH507" s="188">
        <f>IF(N507="sníž. přenesená",J507,0)</f>
        <v>0</v>
      </c>
      <c r="BI507" s="188">
        <f>IF(N507="nulová",J507,0)</f>
        <v>0</v>
      </c>
      <c r="BJ507" s="15" t="s">
        <v>77</v>
      </c>
      <c r="BK507" s="188">
        <f>ROUND(I507*H507,2)</f>
        <v>0</v>
      </c>
      <c r="BL507" s="15" t="s">
        <v>270</v>
      </c>
      <c r="BM507" s="187" t="s">
        <v>1293</v>
      </c>
    </row>
    <row r="508" spans="1:65" s="2" customFormat="1" ht="13.9" customHeight="1">
      <c r="A508" s="32"/>
      <c r="B508" s="33"/>
      <c r="C508" s="176" t="s">
        <v>1294</v>
      </c>
      <c r="D508" s="176" t="s">
        <v>198</v>
      </c>
      <c r="E508" s="177" t="s">
        <v>1295</v>
      </c>
      <c r="F508" s="178" t="s">
        <v>1296</v>
      </c>
      <c r="G508" s="179" t="s">
        <v>253</v>
      </c>
      <c r="H508" s="180">
        <v>144.806</v>
      </c>
      <c r="I508" s="181"/>
      <c r="J508" s="182">
        <f>ROUND(I508*H508,2)</f>
        <v>0</v>
      </c>
      <c r="K508" s="178" t="s">
        <v>202</v>
      </c>
      <c r="L508" s="37"/>
      <c r="M508" s="183" t="s">
        <v>19</v>
      </c>
      <c r="N508" s="184" t="s">
        <v>41</v>
      </c>
      <c r="O508" s="62"/>
      <c r="P508" s="185">
        <f>O508*H508</f>
        <v>0</v>
      </c>
      <c r="Q508" s="185">
        <v>0.001</v>
      </c>
      <c r="R508" s="185">
        <f>Q508*H508</f>
        <v>0.14480600000000002</v>
      </c>
      <c r="S508" s="185">
        <v>0.00031</v>
      </c>
      <c r="T508" s="186">
        <f>S508*H508</f>
        <v>0.044889860000000004</v>
      </c>
      <c r="U508" s="32"/>
      <c r="V508" s="32"/>
      <c r="W508" s="32"/>
      <c r="X508" s="32"/>
      <c r="Y508" s="32"/>
      <c r="Z508" s="32"/>
      <c r="AA508" s="32"/>
      <c r="AB508" s="32"/>
      <c r="AC508" s="32"/>
      <c r="AD508" s="32"/>
      <c r="AE508" s="32"/>
      <c r="AR508" s="187" t="s">
        <v>270</v>
      </c>
      <c r="AT508" s="187" t="s">
        <v>198</v>
      </c>
      <c r="AU508" s="187" t="s">
        <v>79</v>
      </c>
      <c r="AY508" s="15" t="s">
        <v>196</v>
      </c>
      <c r="BE508" s="188">
        <f>IF(N508="základní",J508,0)</f>
        <v>0</v>
      </c>
      <c r="BF508" s="188">
        <f>IF(N508="snížená",J508,0)</f>
        <v>0</v>
      </c>
      <c r="BG508" s="188">
        <f>IF(N508="zákl. přenesená",J508,0)</f>
        <v>0</v>
      </c>
      <c r="BH508" s="188">
        <f>IF(N508="sníž. přenesená",J508,0)</f>
        <v>0</v>
      </c>
      <c r="BI508" s="188">
        <f>IF(N508="nulová",J508,0)</f>
        <v>0</v>
      </c>
      <c r="BJ508" s="15" t="s">
        <v>77</v>
      </c>
      <c r="BK508" s="188">
        <f>ROUND(I508*H508,2)</f>
        <v>0</v>
      </c>
      <c r="BL508" s="15" t="s">
        <v>270</v>
      </c>
      <c r="BM508" s="187" t="s">
        <v>1297</v>
      </c>
    </row>
    <row r="509" spans="1:47" s="2" customFormat="1" ht="29.25">
      <c r="A509" s="32"/>
      <c r="B509" s="33"/>
      <c r="C509" s="34"/>
      <c r="D509" s="189" t="s">
        <v>208</v>
      </c>
      <c r="E509" s="34"/>
      <c r="F509" s="190" t="s">
        <v>1298</v>
      </c>
      <c r="G509" s="34"/>
      <c r="H509" s="34"/>
      <c r="I509" s="191"/>
      <c r="J509" s="34"/>
      <c r="K509" s="34"/>
      <c r="L509" s="37"/>
      <c r="M509" s="192"/>
      <c r="N509" s="193"/>
      <c r="O509" s="62"/>
      <c r="P509" s="62"/>
      <c r="Q509" s="62"/>
      <c r="R509" s="62"/>
      <c r="S509" s="62"/>
      <c r="T509" s="63"/>
      <c r="U509" s="32"/>
      <c r="V509" s="32"/>
      <c r="W509" s="32"/>
      <c r="X509" s="32"/>
      <c r="Y509" s="32"/>
      <c r="Z509" s="32"/>
      <c r="AA509" s="32"/>
      <c r="AB509" s="32"/>
      <c r="AC509" s="32"/>
      <c r="AD509" s="32"/>
      <c r="AE509" s="32"/>
      <c r="AT509" s="15" t="s">
        <v>208</v>
      </c>
      <c r="AU509" s="15" t="s">
        <v>79</v>
      </c>
    </row>
    <row r="510" spans="1:65" s="2" customFormat="1" ht="13.9" customHeight="1">
      <c r="A510" s="32"/>
      <c r="B510" s="33"/>
      <c r="C510" s="176" t="s">
        <v>1299</v>
      </c>
      <c r="D510" s="176" t="s">
        <v>198</v>
      </c>
      <c r="E510" s="177" t="s">
        <v>1300</v>
      </c>
      <c r="F510" s="178" t="s">
        <v>1301</v>
      </c>
      <c r="G510" s="179" t="s">
        <v>253</v>
      </c>
      <c r="H510" s="180">
        <v>144.806</v>
      </c>
      <c r="I510" s="181"/>
      <c r="J510" s="182">
        <f>ROUND(I510*H510,2)</f>
        <v>0</v>
      </c>
      <c r="K510" s="178" t="s">
        <v>202</v>
      </c>
      <c r="L510" s="37"/>
      <c r="M510" s="183" t="s">
        <v>19</v>
      </c>
      <c r="N510" s="184" t="s">
        <v>41</v>
      </c>
      <c r="O510" s="62"/>
      <c r="P510" s="185">
        <f>O510*H510</f>
        <v>0</v>
      </c>
      <c r="Q510" s="185">
        <v>0</v>
      </c>
      <c r="R510" s="185">
        <f>Q510*H510</f>
        <v>0</v>
      </c>
      <c r="S510" s="185">
        <v>0</v>
      </c>
      <c r="T510" s="186">
        <f>S510*H510</f>
        <v>0</v>
      </c>
      <c r="U510" s="32"/>
      <c r="V510" s="32"/>
      <c r="W510" s="32"/>
      <c r="X510" s="32"/>
      <c r="Y510" s="32"/>
      <c r="Z510" s="32"/>
      <c r="AA510" s="32"/>
      <c r="AB510" s="32"/>
      <c r="AC510" s="32"/>
      <c r="AD510" s="32"/>
      <c r="AE510" s="32"/>
      <c r="AR510" s="187" t="s">
        <v>270</v>
      </c>
      <c r="AT510" s="187" t="s">
        <v>198</v>
      </c>
      <c r="AU510" s="187" t="s">
        <v>79</v>
      </c>
      <c r="AY510" s="15" t="s">
        <v>196</v>
      </c>
      <c r="BE510" s="188">
        <f>IF(N510="základní",J510,0)</f>
        <v>0</v>
      </c>
      <c r="BF510" s="188">
        <f>IF(N510="snížená",J510,0)</f>
        <v>0</v>
      </c>
      <c r="BG510" s="188">
        <f>IF(N510="zákl. přenesená",J510,0)</f>
        <v>0</v>
      </c>
      <c r="BH510" s="188">
        <f>IF(N510="sníž. přenesená",J510,0)</f>
        <v>0</v>
      </c>
      <c r="BI510" s="188">
        <f>IF(N510="nulová",J510,0)</f>
        <v>0</v>
      </c>
      <c r="BJ510" s="15" t="s">
        <v>77</v>
      </c>
      <c r="BK510" s="188">
        <f>ROUND(I510*H510,2)</f>
        <v>0</v>
      </c>
      <c r="BL510" s="15" t="s">
        <v>270</v>
      </c>
      <c r="BM510" s="187" t="s">
        <v>1302</v>
      </c>
    </row>
    <row r="511" spans="1:65" s="2" customFormat="1" ht="13.9" customHeight="1">
      <c r="A511" s="32"/>
      <c r="B511" s="33"/>
      <c r="C511" s="176" t="s">
        <v>1303</v>
      </c>
      <c r="D511" s="176" t="s">
        <v>198</v>
      </c>
      <c r="E511" s="177" t="s">
        <v>1304</v>
      </c>
      <c r="F511" s="178" t="s">
        <v>1305</v>
      </c>
      <c r="G511" s="179" t="s">
        <v>253</v>
      </c>
      <c r="H511" s="180">
        <v>1103.261</v>
      </c>
      <c r="I511" s="181"/>
      <c r="J511" s="182">
        <f>ROUND(I511*H511,2)</f>
        <v>0</v>
      </c>
      <c r="K511" s="178" t="s">
        <v>202</v>
      </c>
      <c r="L511" s="37"/>
      <c r="M511" s="183" t="s">
        <v>19</v>
      </c>
      <c r="N511" s="184" t="s">
        <v>41</v>
      </c>
      <c r="O511" s="62"/>
      <c r="P511" s="185">
        <f>O511*H511</f>
        <v>0</v>
      </c>
      <c r="Q511" s="185">
        <v>0.0002</v>
      </c>
      <c r="R511" s="185">
        <f>Q511*H511</f>
        <v>0.2206522</v>
      </c>
      <c r="S511" s="185">
        <v>0</v>
      </c>
      <c r="T511" s="186">
        <f>S511*H511</f>
        <v>0</v>
      </c>
      <c r="U511" s="32"/>
      <c r="V511" s="32"/>
      <c r="W511" s="32"/>
      <c r="X511" s="32"/>
      <c r="Y511" s="32"/>
      <c r="Z511" s="32"/>
      <c r="AA511" s="32"/>
      <c r="AB511" s="32"/>
      <c r="AC511" s="32"/>
      <c r="AD511" s="32"/>
      <c r="AE511" s="32"/>
      <c r="AR511" s="187" t="s">
        <v>270</v>
      </c>
      <c r="AT511" s="187" t="s">
        <v>198</v>
      </c>
      <c r="AU511" s="187" t="s">
        <v>79</v>
      </c>
      <c r="AY511" s="15" t="s">
        <v>196</v>
      </c>
      <c r="BE511" s="188">
        <f>IF(N511="základní",J511,0)</f>
        <v>0</v>
      </c>
      <c r="BF511" s="188">
        <f>IF(N511="snížená",J511,0)</f>
        <v>0</v>
      </c>
      <c r="BG511" s="188">
        <f>IF(N511="zákl. přenesená",J511,0)</f>
        <v>0</v>
      </c>
      <c r="BH511" s="188">
        <f>IF(N511="sníž. přenesená",J511,0)</f>
        <v>0</v>
      </c>
      <c r="BI511" s="188">
        <f>IF(N511="nulová",J511,0)</f>
        <v>0</v>
      </c>
      <c r="BJ511" s="15" t="s">
        <v>77</v>
      </c>
      <c r="BK511" s="188">
        <f>ROUND(I511*H511,2)</f>
        <v>0</v>
      </c>
      <c r="BL511" s="15" t="s">
        <v>270</v>
      </c>
      <c r="BM511" s="187" t="s">
        <v>1306</v>
      </c>
    </row>
    <row r="512" spans="1:65" s="2" customFormat="1" ht="22.15" customHeight="1">
      <c r="A512" s="32"/>
      <c r="B512" s="33"/>
      <c r="C512" s="176" t="s">
        <v>1307</v>
      </c>
      <c r="D512" s="176" t="s">
        <v>198</v>
      </c>
      <c r="E512" s="177" t="s">
        <v>1308</v>
      </c>
      <c r="F512" s="178" t="s">
        <v>1309</v>
      </c>
      <c r="G512" s="179" t="s">
        <v>253</v>
      </c>
      <c r="H512" s="180">
        <v>1208.911</v>
      </c>
      <c r="I512" s="181"/>
      <c r="J512" s="182">
        <f>ROUND(I512*H512,2)</f>
        <v>0</v>
      </c>
      <c r="K512" s="178" t="s">
        <v>202</v>
      </c>
      <c r="L512" s="37"/>
      <c r="M512" s="183" t="s">
        <v>19</v>
      </c>
      <c r="N512" s="184" t="s">
        <v>41</v>
      </c>
      <c r="O512" s="62"/>
      <c r="P512" s="185">
        <f>O512*H512</f>
        <v>0</v>
      </c>
      <c r="Q512" s="185">
        <v>0.00026</v>
      </c>
      <c r="R512" s="185">
        <f>Q512*H512</f>
        <v>0.31431686</v>
      </c>
      <c r="S512" s="185">
        <v>0</v>
      </c>
      <c r="T512" s="186">
        <f>S512*H512</f>
        <v>0</v>
      </c>
      <c r="U512" s="32"/>
      <c r="V512" s="32"/>
      <c r="W512" s="32"/>
      <c r="X512" s="32"/>
      <c r="Y512" s="32"/>
      <c r="Z512" s="32"/>
      <c r="AA512" s="32"/>
      <c r="AB512" s="32"/>
      <c r="AC512" s="32"/>
      <c r="AD512" s="32"/>
      <c r="AE512" s="32"/>
      <c r="AR512" s="187" t="s">
        <v>270</v>
      </c>
      <c r="AT512" s="187" t="s">
        <v>198</v>
      </c>
      <c r="AU512" s="187" t="s">
        <v>79</v>
      </c>
      <c r="AY512" s="15" t="s">
        <v>196</v>
      </c>
      <c r="BE512" s="188">
        <f>IF(N512="základní",J512,0)</f>
        <v>0</v>
      </c>
      <c r="BF512" s="188">
        <f>IF(N512="snížená",J512,0)</f>
        <v>0</v>
      </c>
      <c r="BG512" s="188">
        <f>IF(N512="zákl. přenesená",J512,0)</f>
        <v>0</v>
      </c>
      <c r="BH512" s="188">
        <f>IF(N512="sníž. přenesená",J512,0)</f>
        <v>0</v>
      </c>
      <c r="BI512" s="188">
        <f>IF(N512="nulová",J512,0)</f>
        <v>0</v>
      </c>
      <c r="BJ512" s="15" t="s">
        <v>77</v>
      </c>
      <c r="BK512" s="188">
        <f>ROUND(I512*H512,2)</f>
        <v>0</v>
      </c>
      <c r="BL512" s="15" t="s">
        <v>270</v>
      </c>
      <c r="BM512" s="187" t="s">
        <v>1310</v>
      </c>
    </row>
    <row r="513" spans="1:65" s="2" customFormat="1" ht="22.15" customHeight="1">
      <c r="A513" s="32"/>
      <c r="B513" s="33"/>
      <c r="C513" s="176" t="s">
        <v>1311</v>
      </c>
      <c r="D513" s="176" t="s">
        <v>198</v>
      </c>
      <c r="E513" s="177" t="s">
        <v>1312</v>
      </c>
      <c r="F513" s="178" t="s">
        <v>1313</v>
      </c>
      <c r="G513" s="179" t="s">
        <v>253</v>
      </c>
      <c r="H513" s="180">
        <v>1208.911</v>
      </c>
      <c r="I513" s="181"/>
      <c r="J513" s="182">
        <f>ROUND(I513*H513,2)</f>
        <v>0</v>
      </c>
      <c r="K513" s="178" t="s">
        <v>202</v>
      </c>
      <c r="L513" s="37"/>
      <c r="M513" s="183" t="s">
        <v>19</v>
      </c>
      <c r="N513" s="184" t="s">
        <v>41</v>
      </c>
      <c r="O513" s="62"/>
      <c r="P513" s="185">
        <f>O513*H513</f>
        <v>0</v>
      </c>
      <c r="Q513" s="185">
        <v>2E-05</v>
      </c>
      <c r="R513" s="185">
        <f>Q513*H513</f>
        <v>0.024178220000000004</v>
      </c>
      <c r="S513" s="185">
        <v>0</v>
      </c>
      <c r="T513" s="186">
        <f>S513*H513</f>
        <v>0</v>
      </c>
      <c r="U513" s="32"/>
      <c r="V513" s="32"/>
      <c r="W513" s="32"/>
      <c r="X513" s="32"/>
      <c r="Y513" s="32"/>
      <c r="Z513" s="32"/>
      <c r="AA513" s="32"/>
      <c r="AB513" s="32"/>
      <c r="AC513" s="32"/>
      <c r="AD513" s="32"/>
      <c r="AE513" s="32"/>
      <c r="AR513" s="187" t="s">
        <v>270</v>
      </c>
      <c r="AT513" s="187" t="s">
        <v>198</v>
      </c>
      <c r="AU513" s="187" t="s">
        <v>79</v>
      </c>
      <c r="AY513" s="15" t="s">
        <v>196</v>
      </c>
      <c r="BE513" s="188">
        <f>IF(N513="základní",J513,0)</f>
        <v>0</v>
      </c>
      <c r="BF513" s="188">
        <f>IF(N513="snížená",J513,0)</f>
        <v>0</v>
      </c>
      <c r="BG513" s="188">
        <f>IF(N513="zákl. přenesená",J513,0)</f>
        <v>0</v>
      </c>
      <c r="BH513" s="188">
        <f>IF(N513="sníž. přenesená",J513,0)</f>
        <v>0</v>
      </c>
      <c r="BI513" s="188">
        <f>IF(N513="nulová",J513,0)</f>
        <v>0</v>
      </c>
      <c r="BJ513" s="15" t="s">
        <v>77</v>
      </c>
      <c r="BK513" s="188">
        <f>ROUND(I513*H513,2)</f>
        <v>0</v>
      </c>
      <c r="BL513" s="15" t="s">
        <v>270</v>
      </c>
      <c r="BM513" s="187" t="s">
        <v>1314</v>
      </c>
    </row>
    <row r="514" spans="1:65" s="2" customFormat="1" ht="22.15" customHeight="1">
      <c r="A514" s="32"/>
      <c r="B514" s="33"/>
      <c r="C514" s="176" t="s">
        <v>1315</v>
      </c>
      <c r="D514" s="176" t="s">
        <v>198</v>
      </c>
      <c r="E514" s="177" t="s">
        <v>1316</v>
      </c>
      <c r="F514" s="178" t="s">
        <v>1317</v>
      </c>
      <c r="G514" s="179" t="s">
        <v>253</v>
      </c>
      <c r="H514" s="180">
        <v>100</v>
      </c>
      <c r="I514" s="181"/>
      <c r="J514" s="182">
        <f>ROUND(I514*H514,2)</f>
        <v>0</v>
      </c>
      <c r="K514" s="178" t="s">
        <v>202</v>
      </c>
      <c r="L514" s="37"/>
      <c r="M514" s="183" t="s">
        <v>19</v>
      </c>
      <c r="N514" s="184" t="s">
        <v>41</v>
      </c>
      <c r="O514" s="62"/>
      <c r="P514" s="185">
        <f>O514*H514</f>
        <v>0</v>
      </c>
      <c r="Q514" s="185">
        <v>1E-05</v>
      </c>
      <c r="R514" s="185">
        <f>Q514*H514</f>
        <v>0.001</v>
      </c>
      <c r="S514" s="185">
        <v>0</v>
      </c>
      <c r="T514" s="186">
        <f>S514*H514</f>
        <v>0</v>
      </c>
      <c r="U514" s="32"/>
      <c r="V514" s="32"/>
      <c r="W514" s="32"/>
      <c r="X514" s="32"/>
      <c r="Y514" s="32"/>
      <c r="Z514" s="32"/>
      <c r="AA514" s="32"/>
      <c r="AB514" s="32"/>
      <c r="AC514" s="32"/>
      <c r="AD514" s="32"/>
      <c r="AE514" s="32"/>
      <c r="AR514" s="187" t="s">
        <v>270</v>
      </c>
      <c r="AT514" s="187" t="s">
        <v>198</v>
      </c>
      <c r="AU514" s="187" t="s">
        <v>79</v>
      </c>
      <c r="AY514" s="15" t="s">
        <v>196</v>
      </c>
      <c r="BE514" s="188">
        <f>IF(N514="základní",J514,0)</f>
        <v>0</v>
      </c>
      <c r="BF514" s="188">
        <f>IF(N514="snížená",J514,0)</f>
        <v>0</v>
      </c>
      <c r="BG514" s="188">
        <f>IF(N514="zákl. přenesená",J514,0)</f>
        <v>0</v>
      </c>
      <c r="BH514" s="188">
        <f>IF(N514="sníž. přenesená",J514,0)</f>
        <v>0</v>
      </c>
      <c r="BI514" s="188">
        <f>IF(N514="nulová",J514,0)</f>
        <v>0</v>
      </c>
      <c r="BJ514" s="15" t="s">
        <v>77</v>
      </c>
      <c r="BK514" s="188">
        <f>ROUND(I514*H514,2)</f>
        <v>0</v>
      </c>
      <c r="BL514" s="15" t="s">
        <v>270</v>
      </c>
      <c r="BM514" s="187" t="s">
        <v>1318</v>
      </c>
    </row>
    <row r="515" spans="2:63" s="12" customFormat="1" ht="22.9" customHeight="1">
      <c r="B515" s="160"/>
      <c r="C515" s="161"/>
      <c r="D515" s="162" t="s">
        <v>69</v>
      </c>
      <c r="E515" s="174" t="s">
        <v>1319</v>
      </c>
      <c r="F515" s="174" t="s">
        <v>1320</v>
      </c>
      <c r="G515" s="161"/>
      <c r="H515" s="161"/>
      <c r="I515" s="164"/>
      <c r="J515" s="175">
        <f>BK515</f>
        <v>0</v>
      </c>
      <c r="K515" s="161"/>
      <c r="L515" s="166"/>
      <c r="M515" s="167"/>
      <c r="N515" s="168"/>
      <c r="O515" s="168"/>
      <c r="P515" s="169">
        <f>P516</f>
        <v>0</v>
      </c>
      <c r="Q515" s="168"/>
      <c r="R515" s="169">
        <f>R516</f>
        <v>0</v>
      </c>
      <c r="S515" s="168"/>
      <c r="T515" s="170">
        <f>T516</f>
        <v>0</v>
      </c>
      <c r="AR515" s="171" t="s">
        <v>79</v>
      </c>
      <c r="AT515" s="172" t="s">
        <v>69</v>
      </c>
      <c r="AU515" s="172" t="s">
        <v>77</v>
      </c>
      <c r="AY515" s="171" t="s">
        <v>196</v>
      </c>
      <c r="BK515" s="173">
        <f>BK516</f>
        <v>0</v>
      </c>
    </row>
    <row r="516" spans="1:65" s="2" customFormat="1" ht="13.9" customHeight="1">
      <c r="A516" s="32"/>
      <c r="B516" s="33"/>
      <c r="C516" s="176" t="s">
        <v>1321</v>
      </c>
      <c r="D516" s="176" t="s">
        <v>198</v>
      </c>
      <c r="E516" s="177" t="s">
        <v>1322</v>
      </c>
      <c r="F516" s="178" t="s">
        <v>1323</v>
      </c>
      <c r="G516" s="179" t="s">
        <v>258</v>
      </c>
      <c r="H516" s="180">
        <v>10</v>
      </c>
      <c r="I516" s="181"/>
      <c r="J516" s="182">
        <f>ROUND(I516*H516,2)</f>
        <v>0</v>
      </c>
      <c r="K516" s="178" t="s">
        <v>19</v>
      </c>
      <c r="L516" s="37"/>
      <c r="M516" s="183" t="s">
        <v>19</v>
      </c>
      <c r="N516" s="184" t="s">
        <v>41</v>
      </c>
      <c r="O516" s="62"/>
      <c r="P516" s="185">
        <f>O516*H516</f>
        <v>0</v>
      </c>
      <c r="Q516" s="185">
        <v>0</v>
      </c>
      <c r="R516" s="185">
        <f>Q516*H516</f>
        <v>0</v>
      </c>
      <c r="S516" s="185">
        <v>0</v>
      </c>
      <c r="T516" s="186">
        <f>S516*H516</f>
        <v>0</v>
      </c>
      <c r="U516" s="32"/>
      <c r="V516" s="32"/>
      <c r="W516" s="32"/>
      <c r="X516" s="32"/>
      <c r="Y516" s="32"/>
      <c r="Z516" s="32"/>
      <c r="AA516" s="32"/>
      <c r="AB516" s="32"/>
      <c r="AC516" s="32"/>
      <c r="AD516" s="32"/>
      <c r="AE516" s="32"/>
      <c r="AR516" s="187" t="s">
        <v>270</v>
      </c>
      <c r="AT516" s="187" t="s">
        <v>198</v>
      </c>
      <c r="AU516" s="187" t="s">
        <v>79</v>
      </c>
      <c r="AY516" s="15" t="s">
        <v>196</v>
      </c>
      <c r="BE516" s="188">
        <f>IF(N516="základní",J516,0)</f>
        <v>0</v>
      </c>
      <c r="BF516" s="188">
        <f>IF(N516="snížená",J516,0)</f>
        <v>0</v>
      </c>
      <c r="BG516" s="188">
        <f>IF(N516="zákl. přenesená",J516,0)</f>
        <v>0</v>
      </c>
      <c r="BH516" s="188">
        <f>IF(N516="sníž. přenesená",J516,0)</f>
        <v>0</v>
      </c>
      <c r="BI516" s="188">
        <f>IF(N516="nulová",J516,0)</f>
        <v>0</v>
      </c>
      <c r="BJ516" s="15" t="s">
        <v>77</v>
      </c>
      <c r="BK516" s="188">
        <f>ROUND(I516*H516,2)</f>
        <v>0</v>
      </c>
      <c r="BL516" s="15" t="s">
        <v>270</v>
      </c>
      <c r="BM516" s="187" t="s">
        <v>1324</v>
      </c>
    </row>
    <row r="517" spans="2:63" s="12" customFormat="1" ht="22.9" customHeight="1">
      <c r="B517" s="160"/>
      <c r="C517" s="161"/>
      <c r="D517" s="162" t="s">
        <v>69</v>
      </c>
      <c r="E517" s="174" t="s">
        <v>1325</v>
      </c>
      <c r="F517" s="174" t="s">
        <v>1326</v>
      </c>
      <c r="G517" s="161"/>
      <c r="H517" s="161"/>
      <c r="I517" s="164"/>
      <c r="J517" s="175">
        <f>BK517</f>
        <v>0</v>
      </c>
      <c r="K517" s="161"/>
      <c r="L517" s="166"/>
      <c r="M517" s="167"/>
      <c r="N517" s="168"/>
      <c r="O517" s="168"/>
      <c r="P517" s="169">
        <f>P518</f>
        <v>0</v>
      </c>
      <c r="Q517" s="168"/>
      <c r="R517" s="169">
        <f>R518</f>
        <v>0</v>
      </c>
      <c r="S517" s="168"/>
      <c r="T517" s="170">
        <f>T518</f>
        <v>0</v>
      </c>
      <c r="AR517" s="171" t="s">
        <v>79</v>
      </c>
      <c r="AT517" s="172" t="s">
        <v>69</v>
      </c>
      <c r="AU517" s="172" t="s">
        <v>77</v>
      </c>
      <c r="AY517" s="171" t="s">
        <v>196</v>
      </c>
      <c r="BK517" s="173">
        <f>BK518</f>
        <v>0</v>
      </c>
    </row>
    <row r="518" spans="1:65" s="2" customFormat="1" ht="13.9" customHeight="1">
      <c r="A518" s="32"/>
      <c r="B518" s="33"/>
      <c r="C518" s="176" t="s">
        <v>1327</v>
      </c>
      <c r="D518" s="176" t="s">
        <v>198</v>
      </c>
      <c r="E518" s="177" t="s">
        <v>1328</v>
      </c>
      <c r="F518" s="178" t="s">
        <v>1329</v>
      </c>
      <c r="G518" s="179" t="s">
        <v>729</v>
      </c>
      <c r="H518" s="180">
        <v>16</v>
      </c>
      <c r="I518" s="181"/>
      <c r="J518" s="182">
        <f>ROUND(I518*H518,2)</f>
        <v>0</v>
      </c>
      <c r="K518" s="178" t="s">
        <v>19</v>
      </c>
      <c r="L518" s="37"/>
      <c r="M518" s="183" t="s">
        <v>19</v>
      </c>
      <c r="N518" s="184" t="s">
        <v>41</v>
      </c>
      <c r="O518" s="62"/>
      <c r="P518" s="185">
        <f>O518*H518</f>
        <v>0</v>
      </c>
      <c r="Q518" s="185">
        <v>0</v>
      </c>
      <c r="R518" s="185">
        <f>Q518*H518</f>
        <v>0</v>
      </c>
      <c r="S518" s="185">
        <v>0</v>
      </c>
      <c r="T518" s="186">
        <f>S518*H518</f>
        <v>0</v>
      </c>
      <c r="U518" s="32"/>
      <c r="V518" s="32"/>
      <c r="W518" s="32"/>
      <c r="X518" s="32"/>
      <c r="Y518" s="32"/>
      <c r="Z518" s="32"/>
      <c r="AA518" s="32"/>
      <c r="AB518" s="32"/>
      <c r="AC518" s="32"/>
      <c r="AD518" s="32"/>
      <c r="AE518" s="32"/>
      <c r="AR518" s="187" t="s">
        <v>270</v>
      </c>
      <c r="AT518" s="187" t="s">
        <v>198</v>
      </c>
      <c r="AU518" s="187" t="s">
        <v>79</v>
      </c>
      <c r="AY518" s="15" t="s">
        <v>196</v>
      </c>
      <c r="BE518" s="188">
        <f>IF(N518="základní",J518,0)</f>
        <v>0</v>
      </c>
      <c r="BF518" s="188">
        <f>IF(N518="snížená",J518,0)</f>
        <v>0</v>
      </c>
      <c r="BG518" s="188">
        <f>IF(N518="zákl. přenesená",J518,0)</f>
        <v>0</v>
      </c>
      <c r="BH518" s="188">
        <f>IF(N518="sníž. přenesená",J518,0)</f>
        <v>0</v>
      </c>
      <c r="BI518" s="188">
        <f>IF(N518="nulová",J518,0)</f>
        <v>0</v>
      </c>
      <c r="BJ518" s="15" t="s">
        <v>77</v>
      </c>
      <c r="BK518" s="188">
        <f>ROUND(I518*H518,2)</f>
        <v>0</v>
      </c>
      <c r="BL518" s="15" t="s">
        <v>270</v>
      </c>
      <c r="BM518" s="187" t="s">
        <v>1330</v>
      </c>
    </row>
    <row r="519" spans="2:63" s="12" customFormat="1" ht="22.9" customHeight="1">
      <c r="B519" s="160"/>
      <c r="C519" s="161"/>
      <c r="D519" s="162" t="s">
        <v>69</v>
      </c>
      <c r="E519" s="174" t="s">
        <v>1331</v>
      </c>
      <c r="F519" s="174" t="s">
        <v>1332</v>
      </c>
      <c r="G519" s="161"/>
      <c r="H519" s="161"/>
      <c r="I519" s="164"/>
      <c r="J519" s="175">
        <f>BK519</f>
        <v>0</v>
      </c>
      <c r="K519" s="161"/>
      <c r="L519" s="166"/>
      <c r="M519" s="167"/>
      <c r="N519" s="168"/>
      <c r="O519" s="168"/>
      <c r="P519" s="169">
        <f>SUM(P520:P532)</f>
        <v>0</v>
      </c>
      <c r="Q519" s="168"/>
      <c r="R519" s="169">
        <f>SUM(R520:R532)</f>
        <v>0</v>
      </c>
      <c r="S519" s="168"/>
      <c r="T519" s="170">
        <f>SUM(T520:T532)</f>
        <v>0</v>
      </c>
      <c r="AR519" s="171" t="s">
        <v>79</v>
      </c>
      <c r="AT519" s="172" t="s">
        <v>69</v>
      </c>
      <c r="AU519" s="172" t="s">
        <v>77</v>
      </c>
      <c r="AY519" s="171" t="s">
        <v>196</v>
      </c>
      <c r="BK519" s="173">
        <f>SUM(BK520:BK532)</f>
        <v>0</v>
      </c>
    </row>
    <row r="520" spans="1:65" s="2" customFormat="1" ht="13.9" customHeight="1">
      <c r="A520" s="32"/>
      <c r="B520" s="33"/>
      <c r="C520" s="176" t="s">
        <v>1333</v>
      </c>
      <c r="D520" s="176" t="s">
        <v>198</v>
      </c>
      <c r="E520" s="177" t="s">
        <v>1334</v>
      </c>
      <c r="F520" s="178" t="s">
        <v>1335</v>
      </c>
      <c r="G520" s="179" t="s">
        <v>729</v>
      </c>
      <c r="H520" s="180">
        <v>4</v>
      </c>
      <c r="I520" s="181"/>
      <c r="J520" s="182">
        <f aca="true" t="shared" si="60" ref="J520:J532">ROUND(I520*H520,2)</f>
        <v>0</v>
      </c>
      <c r="K520" s="178" t="s">
        <v>19</v>
      </c>
      <c r="L520" s="37"/>
      <c r="M520" s="183" t="s">
        <v>19</v>
      </c>
      <c r="N520" s="184" t="s">
        <v>41</v>
      </c>
      <c r="O520" s="62"/>
      <c r="P520" s="185">
        <f aca="true" t="shared" si="61" ref="P520:P532">O520*H520</f>
        <v>0</v>
      </c>
      <c r="Q520" s="185">
        <v>0</v>
      </c>
      <c r="R520" s="185">
        <f aca="true" t="shared" si="62" ref="R520:R532">Q520*H520</f>
        <v>0</v>
      </c>
      <c r="S520" s="185">
        <v>0</v>
      </c>
      <c r="T520" s="186">
        <f aca="true" t="shared" si="63" ref="T520:T532">S520*H520</f>
        <v>0</v>
      </c>
      <c r="U520" s="32"/>
      <c r="V520" s="32"/>
      <c r="W520" s="32"/>
      <c r="X520" s="32"/>
      <c r="Y520" s="32"/>
      <c r="Z520" s="32"/>
      <c r="AA520" s="32"/>
      <c r="AB520" s="32"/>
      <c r="AC520" s="32"/>
      <c r="AD520" s="32"/>
      <c r="AE520" s="32"/>
      <c r="AR520" s="187" t="s">
        <v>270</v>
      </c>
      <c r="AT520" s="187" t="s">
        <v>198</v>
      </c>
      <c r="AU520" s="187" t="s">
        <v>79</v>
      </c>
      <c r="AY520" s="15" t="s">
        <v>196</v>
      </c>
      <c r="BE520" s="188">
        <f aca="true" t="shared" si="64" ref="BE520:BE532">IF(N520="základní",J520,0)</f>
        <v>0</v>
      </c>
      <c r="BF520" s="188">
        <f aca="true" t="shared" si="65" ref="BF520:BF532">IF(N520="snížená",J520,0)</f>
        <v>0</v>
      </c>
      <c r="BG520" s="188">
        <f aca="true" t="shared" si="66" ref="BG520:BG532">IF(N520="zákl. přenesená",J520,0)</f>
        <v>0</v>
      </c>
      <c r="BH520" s="188">
        <f aca="true" t="shared" si="67" ref="BH520:BH532">IF(N520="sníž. přenesená",J520,0)</f>
        <v>0</v>
      </c>
      <c r="BI520" s="188">
        <f aca="true" t="shared" si="68" ref="BI520:BI532">IF(N520="nulová",J520,0)</f>
        <v>0</v>
      </c>
      <c r="BJ520" s="15" t="s">
        <v>77</v>
      </c>
      <c r="BK520" s="188">
        <f aca="true" t="shared" si="69" ref="BK520:BK532">ROUND(I520*H520,2)</f>
        <v>0</v>
      </c>
      <c r="BL520" s="15" t="s">
        <v>270</v>
      </c>
      <c r="BM520" s="187" t="s">
        <v>1336</v>
      </c>
    </row>
    <row r="521" spans="1:65" s="2" customFormat="1" ht="22.15" customHeight="1">
      <c r="A521" s="32"/>
      <c r="B521" s="33"/>
      <c r="C521" s="176" t="s">
        <v>1337</v>
      </c>
      <c r="D521" s="176" t="s">
        <v>198</v>
      </c>
      <c r="E521" s="177" t="s">
        <v>1338</v>
      </c>
      <c r="F521" s="178" t="s">
        <v>1339</v>
      </c>
      <c r="G521" s="179" t="s">
        <v>258</v>
      </c>
      <c r="H521" s="180">
        <v>18</v>
      </c>
      <c r="I521" s="181"/>
      <c r="J521" s="182">
        <f t="shared" si="60"/>
        <v>0</v>
      </c>
      <c r="K521" s="178" t="s">
        <v>19</v>
      </c>
      <c r="L521" s="37"/>
      <c r="M521" s="183" t="s">
        <v>19</v>
      </c>
      <c r="N521" s="184" t="s">
        <v>41</v>
      </c>
      <c r="O521" s="62"/>
      <c r="P521" s="185">
        <f t="shared" si="61"/>
        <v>0</v>
      </c>
      <c r="Q521" s="185">
        <v>0</v>
      </c>
      <c r="R521" s="185">
        <f t="shared" si="62"/>
        <v>0</v>
      </c>
      <c r="S521" s="185">
        <v>0</v>
      </c>
      <c r="T521" s="186">
        <f t="shared" si="63"/>
        <v>0</v>
      </c>
      <c r="U521" s="32"/>
      <c r="V521" s="32"/>
      <c r="W521" s="32"/>
      <c r="X521" s="32"/>
      <c r="Y521" s="32"/>
      <c r="Z521" s="32"/>
      <c r="AA521" s="32"/>
      <c r="AB521" s="32"/>
      <c r="AC521" s="32"/>
      <c r="AD521" s="32"/>
      <c r="AE521" s="32"/>
      <c r="AR521" s="187" t="s">
        <v>270</v>
      </c>
      <c r="AT521" s="187" t="s">
        <v>198</v>
      </c>
      <c r="AU521" s="187" t="s">
        <v>79</v>
      </c>
      <c r="AY521" s="15" t="s">
        <v>196</v>
      </c>
      <c r="BE521" s="188">
        <f t="shared" si="64"/>
        <v>0</v>
      </c>
      <c r="BF521" s="188">
        <f t="shared" si="65"/>
        <v>0</v>
      </c>
      <c r="BG521" s="188">
        <f t="shared" si="66"/>
        <v>0</v>
      </c>
      <c r="BH521" s="188">
        <f t="shared" si="67"/>
        <v>0</v>
      </c>
      <c r="BI521" s="188">
        <f t="shared" si="68"/>
        <v>0</v>
      </c>
      <c r="BJ521" s="15" t="s">
        <v>77</v>
      </c>
      <c r="BK521" s="188">
        <f t="shared" si="69"/>
        <v>0</v>
      </c>
      <c r="BL521" s="15" t="s">
        <v>270</v>
      </c>
      <c r="BM521" s="187" t="s">
        <v>1340</v>
      </c>
    </row>
    <row r="522" spans="1:65" s="2" customFormat="1" ht="22.15" customHeight="1">
      <c r="A522" s="32"/>
      <c r="B522" s="33"/>
      <c r="C522" s="176" t="s">
        <v>1341</v>
      </c>
      <c r="D522" s="176" t="s">
        <v>198</v>
      </c>
      <c r="E522" s="177" t="s">
        <v>1342</v>
      </c>
      <c r="F522" s="178" t="s">
        <v>1343</v>
      </c>
      <c r="G522" s="179" t="s">
        <v>258</v>
      </c>
      <c r="H522" s="180">
        <v>3</v>
      </c>
      <c r="I522" s="181"/>
      <c r="J522" s="182">
        <f t="shared" si="60"/>
        <v>0</v>
      </c>
      <c r="K522" s="178" t="s">
        <v>19</v>
      </c>
      <c r="L522" s="37"/>
      <c r="M522" s="183" t="s">
        <v>19</v>
      </c>
      <c r="N522" s="184" t="s">
        <v>41</v>
      </c>
      <c r="O522" s="62"/>
      <c r="P522" s="185">
        <f t="shared" si="61"/>
        <v>0</v>
      </c>
      <c r="Q522" s="185">
        <v>0</v>
      </c>
      <c r="R522" s="185">
        <f t="shared" si="62"/>
        <v>0</v>
      </c>
      <c r="S522" s="185">
        <v>0</v>
      </c>
      <c r="T522" s="186">
        <f t="shared" si="63"/>
        <v>0</v>
      </c>
      <c r="U522" s="32"/>
      <c r="V522" s="32"/>
      <c r="W522" s="32"/>
      <c r="X522" s="32"/>
      <c r="Y522" s="32"/>
      <c r="Z522" s="32"/>
      <c r="AA522" s="32"/>
      <c r="AB522" s="32"/>
      <c r="AC522" s="32"/>
      <c r="AD522" s="32"/>
      <c r="AE522" s="32"/>
      <c r="AR522" s="187" t="s">
        <v>270</v>
      </c>
      <c r="AT522" s="187" t="s">
        <v>198</v>
      </c>
      <c r="AU522" s="187" t="s">
        <v>79</v>
      </c>
      <c r="AY522" s="15" t="s">
        <v>196</v>
      </c>
      <c r="BE522" s="188">
        <f t="shared" si="64"/>
        <v>0</v>
      </c>
      <c r="BF522" s="188">
        <f t="shared" si="65"/>
        <v>0</v>
      </c>
      <c r="BG522" s="188">
        <f t="shared" si="66"/>
        <v>0</v>
      </c>
      <c r="BH522" s="188">
        <f t="shared" si="67"/>
        <v>0</v>
      </c>
      <c r="BI522" s="188">
        <f t="shared" si="68"/>
        <v>0</v>
      </c>
      <c r="BJ522" s="15" t="s">
        <v>77</v>
      </c>
      <c r="BK522" s="188">
        <f t="shared" si="69"/>
        <v>0</v>
      </c>
      <c r="BL522" s="15" t="s">
        <v>270</v>
      </c>
      <c r="BM522" s="187" t="s">
        <v>1344</v>
      </c>
    </row>
    <row r="523" spans="1:65" s="2" customFormat="1" ht="22.15" customHeight="1">
      <c r="A523" s="32"/>
      <c r="B523" s="33"/>
      <c r="C523" s="176" t="s">
        <v>1345</v>
      </c>
      <c r="D523" s="176" t="s">
        <v>198</v>
      </c>
      <c r="E523" s="177" t="s">
        <v>1346</v>
      </c>
      <c r="F523" s="178" t="s">
        <v>1347</v>
      </c>
      <c r="G523" s="179" t="s">
        <v>258</v>
      </c>
      <c r="H523" s="180">
        <v>5</v>
      </c>
      <c r="I523" s="181"/>
      <c r="J523" s="182">
        <f t="shared" si="60"/>
        <v>0</v>
      </c>
      <c r="K523" s="178" t="s">
        <v>19</v>
      </c>
      <c r="L523" s="37"/>
      <c r="M523" s="183" t="s">
        <v>19</v>
      </c>
      <c r="N523" s="184" t="s">
        <v>41</v>
      </c>
      <c r="O523" s="62"/>
      <c r="P523" s="185">
        <f t="shared" si="61"/>
        <v>0</v>
      </c>
      <c r="Q523" s="185">
        <v>0</v>
      </c>
      <c r="R523" s="185">
        <f t="shared" si="62"/>
        <v>0</v>
      </c>
      <c r="S523" s="185">
        <v>0</v>
      </c>
      <c r="T523" s="186">
        <f t="shared" si="63"/>
        <v>0</v>
      </c>
      <c r="U523" s="32"/>
      <c r="V523" s="32"/>
      <c r="W523" s="32"/>
      <c r="X523" s="32"/>
      <c r="Y523" s="32"/>
      <c r="Z523" s="32"/>
      <c r="AA523" s="32"/>
      <c r="AB523" s="32"/>
      <c r="AC523" s="32"/>
      <c r="AD523" s="32"/>
      <c r="AE523" s="32"/>
      <c r="AR523" s="187" t="s">
        <v>270</v>
      </c>
      <c r="AT523" s="187" t="s">
        <v>198</v>
      </c>
      <c r="AU523" s="187" t="s">
        <v>79</v>
      </c>
      <c r="AY523" s="15" t="s">
        <v>196</v>
      </c>
      <c r="BE523" s="188">
        <f t="shared" si="64"/>
        <v>0</v>
      </c>
      <c r="BF523" s="188">
        <f t="shared" si="65"/>
        <v>0</v>
      </c>
      <c r="BG523" s="188">
        <f t="shared" si="66"/>
        <v>0</v>
      </c>
      <c r="BH523" s="188">
        <f t="shared" si="67"/>
        <v>0</v>
      </c>
      <c r="BI523" s="188">
        <f t="shared" si="68"/>
        <v>0</v>
      </c>
      <c r="BJ523" s="15" t="s">
        <v>77</v>
      </c>
      <c r="BK523" s="188">
        <f t="shared" si="69"/>
        <v>0</v>
      </c>
      <c r="BL523" s="15" t="s">
        <v>270</v>
      </c>
      <c r="BM523" s="187" t="s">
        <v>1348</v>
      </c>
    </row>
    <row r="524" spans="1:65" s="2" customFormat="1" ht="13.9" customHeight="1">
      <c r="A524" s="32"/>
      <c r="B524" s="33"/>
      <c r="C524" s="176" t="s">
        <v>1349</v>
      </c>
      <c r="D524" s="176" t="s">
        <v>198</v>
      </c>
      <c r="E524" s="177" t="s">
        <v>1350</v>
      </c>
      <c r="F524" s="178" t="s">
        <v>1351</v>
      </c>
      <c r="G524" s="179" t="s">
        <v>258</v>
      </c>
      <c r="H524" s="180">
        <v>1</v>
      </c>
      <c r="I524" s="181"/>
      <c r="J524" s="182">
        <f t="shared" si="60"/>
        <v>0</v>
      </c>
      <c r="K524" s="178" t="s">
        <v>19</v>
      </c>
      <c r="L524" s="37"/>
      <c r="M524" s="183" t="s">
        <v>19</v>
      </c>
      <c r="N524" s="184" t="s">
        <v>41</v>
      </c>
      <c r="O524" s="62"/>
      <c r="P524" s="185">
        <f t="shared" si="61"/>
        <v>0</v>
      </c>
      <c r="Q524" s="185">
        <v>0</v>
      </c>
      <c r="R524" s="185">
        <f t="shared" si="62"/>
        <v>0</v>
      </c>
      <c r="S524" s="185">
        <v>0</v>
      </c>
      <c r="T524" s="186">
        <f t="shared" si="63"/>
        <v>0</v>
      </c>
      <c r="U524" s="32"/>
      <c r="V524" s="32"/>
      <c r="W524" s="32"/>
      <c r="X524" s="32"/>
      <c r="Y524" s="32"/>
      <c r="Z524" s="32"/>
      <c r="AA524" s="32"/>
      <c r="AB524" s="32"/>
      <c r="AC524" s="32"/>
      <c r="AD524" s="32"/>
      <c r="AE524" s="32"/>
      <c r="AR524" s="187" t="s">
        <v>270</v>
      </c>
      <c r="AT524" s="187" t="s">
        <v>198</v>
      </c>
      <c r="AU524" s="187" t="s">
        <v>79</v>
      </c>
      <c r="AY524" s="15" t="s">
        <v>196</v>
      </c>
      <c r="BE524" s="188">
        <f t="shared" si="64"/>
        <v>0</v>
      </c>
      <c r="BF524" s="188">
        <f t="shared" si="65"/>
        <v>0</v>
      </c>
      <c r="BG524" s="188">
        <f t="shared" si="66"/>
        <v>0</v>
      </c>
      <c r="BH524" s="188">
        <f t="shared" si="67"/>
        <v>0</v>
      </c>
      <c r="BI524" s="188">
        <f t="shared" si="68"/>
        <v>0</v>
      </c>
      <c r="BJ524" s="15" t="s">
        <v>77</v>
      </c>
      <c r="BK524" s="188">
        <f t="shared" si="69"/>
        <v>0</v>
      </c>
      <c r="BL524" s="15" t="s">
        <v>270</v>
      </c>
      <c r="BM524" s="187" t="s">
        <v>1352</v>
      </c>
    </row>
    <row r="525" spans="1:65" s="2" customFormat="1" ht="13.9" customHeight="1">
      <c r="A525" s="32"/>
      <c r="B525" s="33"/>
      <c r="C525" s="176" t="s">
        <v>1353</v>
      </c>
      <c r="D525" s="176" t="s">
        <v>198</v>
      </c>
      <c r="E525" s="177" t="s">
        <v>1354</v>
      </c>
      <c r="F525" s="178" t="s">
        <v>1355</v>
      </c>
      <c r="G525" s="179" t="s">
        <v>258</v>
      </c>
      <c r="H525" s="180">
        <v>1</v>
      </c>
      <c r="I525" s="181"/>
      <c r="J525" s="182">
        <f t="shared" si="60"/>
        <v>0</v>
      </c>
      <c r="K525" s="178" t="s">
        <v>19</v>
      </c>
      <c r="L525" s="37"/>
      <c r="M525" s="183" t="s">
        <v>19</v>
      </c>
      <c r="N525" s="184" t="s">
        <v>41</v>
      </c>
      <c r="O525" s="62"/>
      <c r="P525" s="185">
        <f t="shared" si="61"/>
        <v>0</v>
      </c>
      <c r="Q525" s="185">
        <v>0</v>
      </c>
      <c r="R525" s="185">
        <f t="shared" si="62"/>
        <v>0</v>
      </c>
      <c r="S525" s="185">
        <v>0</v>
      </c>
      <c r="T525" s="186">
        <f t="shared" si="63"/>
        <v>0</v>
      </c>
      <c r="U525" s="32"/>
      <c r="V525" s="32"/>
      <c r="W525" s="32"/>
      <c r="X525" s="32"/>
      <c r="Y525" s="32"/>
      <c r="Z525" s="32"/>
      <c r="AA525" s="32"/>
      <c r="AB525" s="32"/>
      <c r="AC525" s="32"/>
      <c r="AD525" s="32"/>
      <c r="AE525" s="32"/>
      <c r="AR525" s="187" t="s">
        <v>270</v>
      </c>
      <c r="AT525" s="187" t="s">
        <v>198</v>
      </c>
      <c r="AU525" s="187" t="s">
        <v>79</v>
      </c>
      <c r="AY525" s="15" t="s">
        <v>196</v>
      </c>
      <c r="BE525" s="188">
        <f t="shared" si="64"/>
        <v>0</v>
      </c>
      <c r="BF525" s="188">
        <f t="shared" si="65"/>
        <v>0</v>
      </c>
      <c r="BG525" s="188">
        <f t="shared" si="66"/>
        <v>0</v>
      </c>
      <c r="BH525" s="188">
        <f t="shared" si="67"/>
        <v>0</v>
      </c>
      <c r="BI525" s="188">
        <f t="shared" si="68"/>
        <v>0</v>
      </c>
      <c r="BJ525" s="15" t="s">
        <v>77</v>
      </c>
      <c r="BK525" s="188">
        <f t="shared" si="69"/>
        <v>0</v>
      </c>
      <c r="BL525" s="15" t="s">
        <v>270</v>
      </c>
      <c r="BM525" s="187" t="s">
        <v>1356</v>
      </c>
    </row>
    <row r="526" spans="1:65" s="2" customFormat="1" ht="13.9" customHeight="1">
      <c r="A526" s="32"/>
      <c r="B526" s="33"/>
      <c r="C526" s="176" t="s">
        <v>1357</v>
      </c>
      <c r="D526" s="176" t="s">
        <v>198</v>
      </c>
      <c r="E526" s="177" t="s">
        <v>1358</v>
      </c>
      <c r="F526" s="178" t="s">
        <v>1359</v>
      </c>
      <c r="G526" s="179" t="s">
        <v>258</v>
      </c>
      <c r="H526" s="180">
        <v>10</v>
      </c>
      <c r="I526" s="181"/>
      <c r="J526" s="182">
        <f t="shared" si="60"/>
        <v>0</v>
      </c>
      <c r="K526" s="178" t="s">
        <v>19</v>
      </c>
      <c r="L526" s="37"/>
      <c r="M526" s="183" t="s">
        <v>19</v>
      </c>
      <c r="N526" s="184" t="s">
        <v>41</v>
      </c>
      <c r="O526" s="62"/>
      <c r="P526" s="185">
        <f t="shared" si="61"/>
        <v>0</v>
      </c>
      <c r="Q526" s="185">
        <v>0</v>
      </c>
      <c r="R526" s="185">
        <f t="shared" si="62"/>
        <v>0</v>
      </c>
      <c r="S526" s="185">
        <v>0</v>
      </c>
      <c r="T526" s="186">
        <f t="shared" si="63"/>
        <v>0</v>
      </c>
      <c r="U526" s="32"/>
      <c r="V526" s="32"/>
      <c r="W526" s="32"/>
      <c r="X526" s="32"/>
      <c r="Y526" s="32"/>
      <c r="Z526" s="32"/>
      <c r="AA526" s="32"/>
      <c r="AB526" s="32"/>
      <c r="AC526" s="32"/>
      <c r="AD526" s="32"/>
      <c r="AE526" s="32"/>
      <c r="AR526" s="187" t="s">
        <v>270</v>
      </c>
      <c r="AT526" s="187" t="s">
        <v>198</v>
      </c>
      <c r="AU526" s="187" t="s">
        <v>79</v>
      </c>
      <c r="AY526" s="15" t="s">
        <v>196</v>
      </c>
      <c r="BE526" s="188">
        <f t="shared" si="64"/>
        <v>0</v>
      </c>
      <c r="BF526" s="188">
        <f t="shared" si="65"/>
        <v>0</v>
      </c>
      <c r="BG526" s="188">
        <f t="shared" si="66"/>
        <v>0</v>
      </c>
      <c r="BH526" s="188">
        <f t="shared" si="67"/>
        <v>0</v>
      </c>
      <c r="BI526" s="188">
        <f t="shared" si="68"/>
        <v>0</v>
      </c>
      <c r="BJ526" s="15" t="s">
        <v>77</v>
      </c>
      <c r="BK526" s="188">
        <f t="shared" si="69"/>
        <v>0</v>
      </c>
      <c r="BL526" s="15" t="s">
        <v>270</v>
      </c>
      <c r="BM526" s="187" t="s">
        <v>1360</v>
      </c>
    </row>
    <row r="527" spans="1:65" s="2" customFormat="1" ht="13.9" customHeight="1">
      <c r="A527" s="32"/>
      <c r="B527" s="33"/>
      <c r="C527" s="176" t="s">
        <v>1361</v>
      </c>
      <c r="D527" s="176" t="s">
        <v>198</v>
      </c>
      <c r="E527" s="177" t="s">
        <v>1362</v>
      </c>
      <c r="F527" s="178" t="s">
        <v>1363</v>
      </c>
      <c r="G527" s="179" t="s">
        <v>258</v>
      </c>
      <c r="H527" s="180">
        <v>10</v>
      </c>
      <c r="I527" s="181"/>
      <c r="J527" s="182">
        <f t="shared" si="60"/>
        <v>0</v>
      </c>
      <c r="K527" s="178" t="s">
        <v>19</v>
      </c>
      <c r="L527" s="37"/>
      <c r="M527" s="183" t="s">
        <v>19</v>
      </c>
      <c r="N527" s="184" t="s">
        <v>41</v>
      </c>
      <c r="O527" s="62"/>
      <c r="P527" s="185">
        <f t="shared" si="61"/>
        <v>0</v>
      </c>
      <c r="Q527" s="185">
        <v>0</v>
      </c>
      <c r="R527" s="185">
        <f t="shared" si="62"/>
        <v>0</v>
      </c>
      <c r="S527" s="185">
        <v>0</v>
      </c>
      <c r="T527" s="186">
        <f t="shared" si="63"/>
        <v>0</v>
      </c>
      <c r="U527" s="32"/>
      <c r="V527" s="32"/>
      <c r="W527" s="32"/>
      <c r="X527" s="32"/>
      <c r="Y527" s="32"/>
      <c r="Z527" s="32"/>
      <c r="AA527" s="32"/>
      <c r="AB527" s="32"/>
      <c r="AC527" s="32"/>
      <c r="AD527" s="32"/>
      <c r="AE527" s="32"/>
      <c r="AR527" s="187" t="s">
        <v>270</v>
      </c>
      <c r="AT527" s="187" t="s">
        <v>198</v>
      </c>
      <c r="AU527" s="187" t="s">
        <v>79</v>
      </c>
      <c r="AY527" s="15" t="s">
        <v>196</v>
      </c>
      <c r="BE527" s="188">
        <f t="shared" si="64"/>
        <v>0</v>
      </c>
      <c r="BF527" s="188">
        <f t="shared" si="65"/>
        <v>0</v>
      </c>
      <c r="BG527" s="188">
        <f t="shared" si="66"/>
        <v>0</v>
      </c>
      <c r="BH527" s="188">
        <f t="shared" si="67"/>
        <v>0</v>
      </c>
      <c r="BI527" s="188">
        <f t="shared" si="68"/>
        <v>0</v>
      </c>
      <c r="BJ527" s="15" t="s">
        <v>77</v>
      </c>
      <c r="BK527" s="188">
        <f t="shared" si="69"/>
        <v>0</v>
      </c>
      <c r="BL527" s="15" t="s">
        <v>270</v>
      </c>
      <c r="BM527" s="187" t="s">
        <v>1364</v>
      </c>
    </row>
    <row r="528" spans="1:65" s="2" customFormat="1" ht="22.15" customHeight="1">
      <c r="A528" s="32"/>
      <c r="B528" s="33"/>
      <c r="C528" s="176" t="s">
        <v>1365</v>
      </c>
      <c r="D528" s="176" t="s">
        <v>198</v>
      </c>
      <c r="E528" s="177" t="s">
        <v>1366</v>
      </c>
      <c r="F528" s="178" t="s">
        <v>1367</v>
      </c>
      <c r="G528" s="179" t="s">
        <v>258</v>
      </c>
      <c r="H528" s="180">
        <v>3</v>
      </c>
      <c r="I528" s="181"/>
      <c r="J528" s="182">
        <f t="shared" si="60"/>
        <v>0</v>
      </c>
      <c r="K528" s="178" t="s">
        <v>19</v>
      </c>
      <c r="L528" s="37"/>
      <c r="M528" s="183" t="s">
        <v>19</v>
      </c>
      <c r="N528" s="184" t="s">
        <v>41</v>
      </c>
      <c r="O528" s="62"/>
      <c r="P528" s="185">
        <f t="shared" si="61"/>
        <v>0</v>
      </c>
      <c r="Q528" s="185">
        <v>0</v>
      </c>
      <c r="R528" s="185">
        <f t="shared" si="62"/>
        <v>0</v>
      </c>
      <c r="S528" s="185">
        <v>0</v>
      </c>
      <c r="T528" s="186">
        <f t="shared" si="63"/>
        <v>0</v>
      </c>
      <c r="U528" s="32"/>
      <c r="V528" s="32"/>
      <c r="W528" s="32"/>
      <c r="X528" s="32"/>
      <c r="Y528" s="32"/>
      <c r="Z528" s="32"/>
      <c r="AA528" s="32"/>
      <c r="AB528" s="32"/>
      <c r="AC528" s="32"/>
      <c r="AD528" s="32"/>
      <c r="AE528" s="32"/>
      <c r="AR528" s="187" t="s">
        <v>270</v>
      </c>
      <c r="AT528" s="187" t="s">
        <v>198</v>
      </c>
      <c r="AU528" s="187" t="s">
        <v>79</v>
      </c>
      <c r="AY528" s="15" t="s">
        <v>196</v>
      </c>
      <c r="BE528" s="188">
        <f t="shared" si="64"/>
        <v>0</v>
      </c>
      <c r="BF528" s="188">
        <f t="shared" si="65"/>
        <v>0</v>
      </c>
      <c r="BG528" s="188">
        <f t="shared" si="66"/>
        <v>0</v>
      </c>
      <c r="BH528" s="188">
        <f t="shared" si="67"/>
        <v>0</v>
      </c>
      <c r="BI528" s="188">
        <f t="shared" si="68"/>
        <v>0</v>
      </c>
      <c r="BJ528" s="15" t="s">
        <v>77</v>
      </c>
      <c r="BK528" s="188">
        <f t="shared" si="69"/>
        <v>0</v>
      </c>
      <c r="BL528" s="15" t="s">
        <v>270</v>
      </c>
      <c r="BM528" s="187" t="s">
        <v>1368</v>
      </c>
    </row>
    <row r="529" spans="1:65" s="2" customFormat="1" ht="34.9" customHeight="1">
      <c r="A529" s="32"/>
      <c r="B529" s="33"/>
      <c r="C529" s="176" t="s">
        <v>1369</v>
      </c>
      <c r="D529" s="176" t="s">
        <v>198</v>
      </c>
      <c r="E529" s="177" t="s">
        <v>1370</v>
      </c>
      <c r="F529" s="178" t="s">
        <v>1371</v>
      </c>
      <c r="G529" s="179" t="s">
        <v>258</v>
      </c>
      <c r="H529" s="180">
        <v>30</v>
      </c>
      <c r="I529" s="181"/>
      <c r="J529" s="182">
        <f t="shared" si="60"/>
        <v>0</v>
      </c>
      <c r="K529" s="178" t="s">
        <v>19</v>
      </c>
      <c r="L529" s="37"/>
      <c r="M529" s="183" t="s">
        <v>19</v>
      </c>
      <c r="N529" s="184" t="s">
        <v>41</v>
      </c>
      <c r="O529" s="62"/>
      <c r="P529" s="185">
        <f t="shared" si="61"/>
        <v>0</v>
      </c>
      <c r="Q529" s="185">
        <v>0</v>
      </c>
      <c r="R529" s="185">
        <f t="shared" si="62"/>
        <v>0</v>
      </c>
      <c r="S529" s="185">
        <v>0</v>
      </c>
      <c r="T529" s="186">
        <f t="shared" si="63"/>
        <v>0</v>
      </c>
      <c r="U529" s="32"/>
      <c r="V529" s="32"/>
      <c r="W529" s="32"/>
      <c r="X529" s="32"/>
      <c r="Y529" s="32"/>
      <c r="Z529" s="32"/>
      <c r="AA529" s="32"/>
      <c r="AB529" s="32"/>
      <c r="AC529" s="32"/>
      <c r="AD529" s="32"/>
      <c r="AE529" s="32"/>
      <c r="AR529" s="187" t="s">
        <v>270</v>
      </c>
      <c r="AT529" s="187" t="s">
        <v>198</v>
      </c>
      <c r="AU529" s="187" t="s">
        <v>79</v>
      </c>
      <c r="AY529" s="15" t="s">
        <v>196</v>
      </c>
      <c r="BE529" s="188">
        <f t="shared" si="64"/>
        <v>0</v>
      </c>
      <c r="BF529" s="188">
        <f t="shared" si="65"/>
        <v>0</v>
      </c>
      <c r="BG529" s="188">
        <f t="shared" si="66"/>
        <v>0</v>
      </c>
      <c r="BH529" s="188">
        <f t="shared" si="67"/>
        <v>0</v>
      </c>
      <c r="BI529" s="188">
        <f t="shared" si="68"/>
        <v>0</v>
      </c>
      <c r="BJ529" s="15" t="s">
        <v>77</v>
      </c>
      <c r="BK529" s="188">
        <f t="shared" si="69"/>
        <v>0</v>
      </c>
      <c r="BL529" s="15" t="s">
        <v>270</v>
      </c>
      <c r="BM529" s="187" t="s">
        <v>1372</v>
      </c>
    </row>
    <row r="530" spans="1:65" s="2" customFormat="1" ht="22.15" customHeight="1">
      <c r="A530" s="32"/>
      <c r="B530" s="33"/>
      <c r="C530" s="176" t="s">
        <v>1373</v>
      </c>
      <c r="D530" s="176" t="s">
        <v>198</v>
      </c>
      <c r="E530" s="177" t="s">
        <v>1374</v>
      </c>
      <c r="F530" s="178" t="s">
        <v>1375</v>
      </c>
      <c r="G530" s="179" t="s">
        <v>310</v>
      </c>
      <c r="H530" s="180">
        <v>49</v>
      </c>
      <c r="I530" s="181"/>
      <c r="J530" s="182">
        <f t="shared" si="60"/>
        <v>0</v>
      </c>
      <c r="K530" s="178" t="s">
        <v>19</v>
      </c>
      <c r="L530" s="37"/>
      <c r="M530" s="183" t="s">
        <v>19</v>
      </c>
      <c r="N530" s="184" t="s">
        <v>41</v>
      </c>
      <c r="O530" s="62"/>
      <c r="P530" s="185">
        <f t="shared" si="61"/>
        <v>0</v>
      </c>
      <c r="Q530" s="185">
        <v>0</v>
      </c>
      <c r="R530" s="185">
        <f t="shared" si="62"/>
        <v>0</v>
      </c>
      <c r="S530" s="185">
        <v>0</v>
      </c>
      <c r="T530" s="186">
        <f t="shared" si="63"/>
        <v>0</v>
      </c>
      <c r="U530" s="32"/>
      <c r="V530" s="32"/>
      <c r="W530" s="32"/>
      <c r="X530" s="32"/>
      <c r="Y530" s="32"/>
      <c r="Z530" s="32"/>
      <c r="AA530" s="32"/>
      <c r="AB530" s="32"/>
      <c r="AC530" s="32"/>
      <c r="AD530" s="32"/>
      <c r="AE530" s="32"/>
      <c r="AR530" s="187" t="s">
        <v>270</v>
      </c>
      <c r="AT530" s="187" t="s">
        <v>198</v>
      </c>
      <c r="AU530" s="187" t="s">
        <v>79</v>
      </c>
      <c r="AY530" s="15" t="s">
        <v>196</v>
      </c>
      <c r="BE530" s="188">
        <f t="shared" si="64"/>
        <v>0</v>
      </c>
      <c r="BF530" s="188">
        <f t="shared" si="65"/>
        <v>0</v>
      </c>
      <c r="BG530" s="188">
        <f t="shared" si="66"/>
        <v>0</v>
      </c>
      <c r="BH530" s="188">
        <f t="shared" si="67"/>
        <v>0</v>
      </c>
      <c r="BI530" s="188">
        <f t="shared" si="68"/>
        <v>0</v>
      </c>
      <c r="BJ530" s="15" t="s">
        <v>77</v>
      </c>
      <c r="BK530" s="188">
        <f t="shared" si="69"/>
        <v>0</v>
      </c>
      <c r="BL530" s="15" t="s">
        <v>270</v>
      </c>
      <c r="BM530" s="187" t="s">
        <v>1376</v>
      </c>
    </row>
    <row r="531" spans="1:65" s="2" customFormat="1" ht="22.15" customHeight="1">
      <c r="A531" s="32"/>
      <c r="B531" s="33"/>
      <c r="C531" s="176" t="s">
        <v>1377</v>
      </c>
      <c r="D531" s="176" t="s">
        <v>198</v>
      </c>
      <c r="E531" s="177" t="s">
        <v>1378</v>
      </c>
      <c r="F531" s="178" t="s">
        <v>1379</v>
      </c>
      <c r="G531" s="179" t="s">
        <v>310</v>
      </c>
      <c r="H531" s="180">
        <v>31.9</v>
      </c>
      <c r="I531" s="181"/>
      <c r="J531" s="182">
        <f t="shared" si="60"/>
        <v>0</v>
      </c>
      <c r="K531" s="178" t="s">
        <v>19</v>
      </c>
      <c r="L531" s="37"/>
      <c r="M531" s="183" t="s">
        <v>19</v>
      </c>
      <c r="N531" s="184" t="s">
        <v>41</v>
      </c>
      <c r="O531" s="62"/>
      <c r="P531" s="185">
        <f t="shared" si="61"/>
        <v>0</v>
      </c>
      <c r="Q531" s="185">
        <v>0</v>
      </c>
      <c r="R531" s="185">
        <f t="shared" si="62"/>
        <v>0</v>
      </c>
      <c r="S531" s="185">
        <v>0</v>
      </c>
      <c r="T531" s="186">
        <f t="shared" si="63"/>
        <v>0</v>
      </c>
      <c r="U531" s="32"/>
      <c r="V531" s="32"/>
      <c r="W531" s="32"/>
      <c r="X531" s="32"/>
      <c r="Y531" s="32"/>
      <c r="Z531" s="32"/>
      <c r="AA531" s="32"/>
      <c r="AB531" s="32"/>
      <c r="AC531" s="32"/>
      <c r="AD531" s="32"/>
      <c r="AE531" s="32"/>
      <c r="AR531" s="187" t="s">
        <v>270</v>
      </c>
      <c r="AT531" s="187" t="s">
        <v>198</v>
      </c>
      <c r="AU531" s="187" t="s">
        <v>79</v>
      </c>
      <c r="AY531" s="15" t="s">
        <v>196</v>
      </c>
      <c r="BE531" s="188">
        <f t="shared" si="64"/>
        <v>0</v>
      </c>
      <c r="BF531" s="188">
        <f t="shared" si="65"/>
        <v>0</v>
      </c>
      <c r="BG531" s="188">
        <f t="shared" si="66"/>
        <v>0</v>
      </c>
      <c r="BH531" s="188">
        <f t="shared" si="67"/>
        <v>0</v>
      </c>
      <c r="BI531" s="188">
        <f t="shared" si="68"/>
        <v>0</v>
      </c>
      <c r="BJ531" s="15" t="s">
        <v>77</v>
      </c>
      <c r="BK531" s="188">
        <f t="shared" si="69"/>
        <v>0</v>
      </c>
      <c r="BL531" s="15" t="s">
        <v>270</v>
      </c>
      <c r="BM531" s="187" t="s">
        <v>1380</v>
      </c>
    </row>
    <row r="532" spans="1:65" s="2" customFormat="1" ht="22.15" customHeight="1">
      <c r="A532" s="32"/>
      <c r="B532" s="33"/>
      <c r="C532" s="176" t="s">
        <v>1381</v>
      </c>
      <c r="D532" s="176" t="s">
        <v>198</v>
      </c>
      <c r="E532" s="177" t="s">
        <v>1382</v>
      </c>
      <c r="F532" s="178" t="s">
        <v>1379</v>
      </c>
      <c r="G532" s="179" t="s">
        <v>310</v>
      </c>
      <c r="H532" s="180">
        <v>6.4</v>
      </c>
      <c r="I532" s="181"/>
      <c r="J532" s="182">
        <f t="shared" si="60"/>
        <v>0</v>
      </c>
      <c r="K532" s="178" t="s">
        <v>19</v>
      </c>
      <c r="L532" s="37"/>
      <c r="M532" s="183" t="s">
        <v>19</v>
      </c>
      <c r="N532" s="184" t="s">
        <v>41</v>
      </c>
      <c r="O532" s="62"/>
      <c r="P532" s="185">
        <f t="shared" si="61"/>
        <v>0</v>
      </c>
      <c r="Q532" s="185">
        <v>0</v>
      </c>
      <c r="R532" s="185">
        <f t="shared" si="62"/>
        <v>0</v>
      </c>
      <c r="S532" s="185">
        <v>0</v>
      </c>
      <c r="T532" s="186">
        <f t="shared" si="63"/>
        <v>0</v>
      </c>
      <c r="U532" s="32"/>
      <c r="V532" s="32"/>
      <c r="W532" s="32"/>
      <c r="X532" s="32"/>
      <c r="Y532" s="32"/>
      <c r="Z532" s="32"/>
      <c r="AA532" s="32"/>
      <c r="AB532" s="32"/>
      <c r="AC532" s="32"/>
      <c r="AD532" s="32"/>
      <c r="AE532" s="32"/>
      <c r="AR532" s="187" t="s">
        <v>270</v>
      </c>
      <c r="AT532" s="187" t="s">
        <v>198</v>
      </c>
      <c r="AU532" s="187" t="s">
        <v>79</v>
      </c>
      <c r="AY532" s="15" t="s">
        <v>196</v>
      </c>
      <c r="BE532" s="188">
        <f t="shared" si="64"/>
        <v>0</v>
      </c>
      <c r="BF532" s="188">
        <f t="shared" si="65"/>
        <v>0</v>
      </c>
      <c r="BG532" s="188">
        <f t="shared" si="66"/>
        <v>0</v>
      </c>
      <c r="BH532" s="188">
        <f t="shared" si="67"/>
        <v>0</v>
      </c>
      <c r="BI532" s="188">
        <f t="shared" si="68"/>
        <v>0</v>
      </c>
      <c r="BJ532" s="15" t="s">
        <v>77</v>
      </c>
      <c r="BK532" s="188">
        <f t="shared" si="69"/>
        <v>0</v>
      </c>
      <c r="BL532" s="15" t="s">
        <v>270</v>
      </c>
      <c r="BM532" s="187" t="s">
        <v>1383</v>
      </c>
    </row>
    <row r="533" spans="2:63" s="12" customFormat="1" ht="22.9" customHeight="1">
      <c r="B533" s="160"/>
      <c r="C533" s="161"/>
      <c r="D533" s="162" t="s">
        <v>69</v>
      </c>
      <c r="E533" s="174" t="s">
        <v>1384</v>
      </c>
      <c r="F533" s="174" t="s">
        <v>1385</v>
      </c>
      <c r="G533" s="161"/>
      <c r="H533" s="161"/>
      <c r="I533" s="164"/>
      <c r="J533" s="175">
        <f>BK533</f>
        <v>0</v>
      </c>
      <c r="K533" s="161"/>
      <c r="L533" s="166"/>
      <c r="M533" s="167"/>
      <c r="N533" s="168"/>
      <c r="O533" s="168"/>
      <c r="P533" s="169">
        <f>SUM(P534:P542)</f>
        <v>0</v>
      </c>
      <c r="Q533" s="168"/>
      <c r="R533" s="169">
        <f>SUM(R534:R542)</f>
        <v>0</v>
      </c>
      <c r="S533" s="168"/>
      <c r="T533" s="170">
        <f>SUM(T534:T542)</f>
        <v>0</v>
      </c>
      <c r="AR533" s="171" t="s">
        <v>79</v>
      </c>
      <c r="AT533" s="172" t="s">
        <v>69</v>
      </c>
      <c r="AU533" s="172" t="s">
        <v>77</v>
      </c>
      <c r="AY533" s="171" t="s">
        <v>196</v>
      </c>
      <c r="BK533" s="173">
        <f>SUM(BK534:BK542)</f>
        <v>0</v>
      </c>
    </row>
    <row r="534" spans="1:65" s="2" customFormat="1" ht="13.9" customHeight="1">
      <c r="A534" s="32"/>
      <c r="B534" s="33"/>
      <c r="C534" s="176" t="s">
        <v>1386</v>
      </c>
      <c r="D534" s="176" t="s">
        <v>198</v>
      </c>
      <c r="E534" s="177" t="s">
        <v>1387</v>
      </c>
      <c r="F534" s="178" t="s">
        <v>1388</v>
      </c>
      <c r="G534" s="179" t="s">
        <v>729</v>
      </c>
      <c r="H534" s="180">
        <v>10</v>
      </c>
      <c r="I534" s="181"/>
      <c r="J534" s="182">
        <f aca="true" t="shared" si="70" ref="J534:J542">ROUND(I534*H534,2)</f>
        <v>0</v>
      </c>
      <c r="K534" s="178" t="s">
        <v>19</v>
      </c>
      <c r="L534" s="37"/>
      <c r="M534" s="183" t="s">
        <v>19</v>
      </c>
      <c r="N534" s="184" t="s">
        <v>41</v>
      </c>
      <c r="O534" s="62"/>
      <c r="P534" s="185">
        <f aca="true" t="shared" si="71" ref="P534:P542">O534*H534</f>
        <v>0</v>
      </c>
      <c r="Q534" s="185">
        <v>0</v>
      </c>
      <c r="R534" s="185">
        <f aca="true" t="shared" si="72" ref="R534:R542">Q534*H534</f>
        <v>0</v>
      </c>
      <c r="S534" s="185">
        <v>0</v>
      </c>
      <c r="T534" s="186">
        <f aca="true" t="shared" si="73" ref="T534:T542">S534*H534</f>
        <v>0</v>
      </c>
      <c r="U534" s="32"/>
      <c r="V534" s="32"/>
      <c r="W534" s="32"/>
      <c r="X534" s="32"/>
      <c r="Y534" s="32"/>
      <c r="Z534" s="32"/>
      <c r="AA534" s="32"/>
      <c r="AB534" s="32"/>
      <c r="AC534" s="32"/>
      <c r="AD534" s="32"/>
      <c r="AE534" s="32"/>
      <c r="AR534" s="187" t="s">
        <v>270</v>
      </c>
      <c r="AT534" s="187" t="s">
        <v>198</v>
      </c>
      <c r="AU534" s="187" t="s">
        <v>79</v>
      </c>
      <c r="AY534" s="15" t="s">
        <v>196</v>
      </c>
      <c r="BE534" s="188">
        <f aca="true" t="shared" si="74" ref="BE534:BE542">IF(N534="základní",J534,0)</f>
        <v>0</v>
      </c>
      <c r="BF534" s="188">
        <f aca="true" t="shared" si="75" ref="BF534:BF542">IF(N534="snížená",J534,0)</f>
        <v>0</v>
      </c>
      <c r="BG534" s="188">
        <f aca="true" t="shared" si="76" ref="BG534:BG542">IF(N534="zákl. přenesená",J534,0)</f>
        <v>0</v>
      </c>
      <c r="BH534" s="188">
        <f aca="true" t="shared" si="77" ref="BH534:BH542">IF(N534="sníž. přenesená",J534,0)</f>
        <v>0</v>
      </c>
      <c r="BI534" s="188">
        <f aca="true" t="shared" si="78" ref="BI534:BI542">IF(N534="nulová",J534,0)</f>
        <v>0</v>
      </c>
      <c r="BJ534" s="15" t="s">
        <v>77</v>
      </c>
      <c r="BK534" s="188">
        <f aca="true" t="shared" si="79" ref="BK534:BK542">ROUND(I534*H534,2)</f>
        <v>0</v>
      </c>
      <c r="BL534" s="15" t="s">
        <v>270</v>
      </c>
      <c r="BM534" s="187" t="s">
        <v>1389</v>
      </c>
    </row>
    <row r="535" spans="1:65" s="2" customFormat="1" ht="13.9" customHeight="1">
      <c r="A535" s="32"/>
      <c r="B535" s="33"/>
      <c r="C535" s="194" t="s">
        <v>1390</v>
      </c>
      <c r="D535" s="194" t="s">
        <v>411</v>
      </c>
      <c r="E535" s="195" t="s">
        <v>1391</v>
      </c>
      <c r="F535" s="196" t="s">
        <v>1392</v>
      </c>
      <c r="G535" s="197" t="s">
        <v>258</v>
      </c>
      <c r="H535" s="198">
        <v>1</v>
      </c>
      <c r="I535" s="199"/>
      <c r="J535" s="200">
        <f t="shared" si="70"/>
        <v>0</v>
      </c>
      <c r="K535" s="196" t="s">
        <v>19</v>
      </c>
      <c r="L535" s="201"/>
      <c r="M535" s="202" t="s">
        <v>19</v>
      </c>
      <c r="N535" s="203" t="s">
        <v>41</v>
      </c>
      <c r="O535" s="62"/>
      <c r="P535" s="185">
        <f t="shared" si="71"/>
        <v>0</v>
      </c>
      <c r="Q535" s="185">
        <v>0</v>
      </c>
      <c r="R535" s="185">
        <f t="shared" si="72"/>
        <v>0</v>
      </c>
      <c r="S535" s="185">
        <v>0</v>
      </c>
      <c r="T535" s="186">
        <f t="shared" si="73"/>
        <v>0</v>
      </c>
      <c r="U535" s="32"/>
      <c r="V535" s="32"/>
      <c r="W535" s="32"/>
      <c r="X535" s="32"/>
      <c r="Y535" s="32"/>
      <c r="Z535" s="32"/>
      <c r="AA535" s="32"/>
      <c r="AB535" s="32"/>
      <c r="AC535" s="32"/>
      <c r="AD535" s="32"/>
      <c r="AE535" s="32"/>
      <c r="AR535" s="187" t="s">
        <v>340</v>
      </c>
      <c r="AT535" s="187" t="s">
        <v>411</v>
      </c>
      <c r="AU535" s="187" t="s">
        <v>79</v>
      </c>
      <c r="AY535" s="15" t="s">
        <v>196</v>
      </c>
      <c r="BE535" s="188">
        <f t="shared" si="74"/>
        <v>0</v>
      </c>
      <c r="BF535" s="188">
        <f t="shared" si="75"/>
        <v>0</v>
      </c>
      <c r="BG535" s="188">
        <f t="shared" si="76"/>
        <v>0</v>
      </c>
      <c r="BH535" s="188">
        <f t="shared" si="77"/>
        <v>0</v>
      </c>
      <c r="BI535" s="188">
        <f t="shared" si="78"/>
        <v>0</v>
      </c>
      <c r="BJ535" s="15" t="s">
        <v>77</v>
      </c>
      <c r="BK535" s="188">
        <f t="shared" si="79"/>
        <v>0</v>
      </c>
      <c r="BL535" s="15" t="s">
        <v>270</v>
      </c>
      <c r="BM535" s="187" t="s">
        <v>1393</v>
      </c>
    </row>
    <row r="536" spans="1:65" s="2" customFormat="1" ht="13.9" customHeight="1">
      <c r="A536" s="32"/>
      <c r="B536" s="33"/>
      <c r="C536" s="194" t="s">
        <v>1394</v>
      </c>
      <c r="D536" s="194" t="s">
        <v>411</v>
      </c>
      <c r="E536" s="195" t="s">
        <v>1395</v>
      </c>
      <c r="F536" s="196" t="s">
        <v>1396</v>
      </c>
      <c r="G536" s="197" t="s">
        <v>258</v>
      </c>
      <c r="H536" s="198">
        <v>2</v>
      </c>
      <c r="I536" s="199"/>
      <c r="J536" s="200">
        <f t="shared" si="70"/>
        <v>0</v>
      </c>
      <c r="K536" s="196" t="s">
        <v>19</v>
      </c>
      <c r="L536" s="201"/>
      <c r="M536" s="202" t="s">
        <v>19</v>
      </c>
      <c r="N536" s="203" t="s">
        <v>41</v>
      </c>
      <c r="O536" s="62"/>
      <c r="P536" s="185">
        <f t="shared" si="71"/>
        <v>0</v>
      </c>
      <c r="Q536" s="185">
        <v>0</v>
      </c>
      <c r="R536" s="185">
        <f t="shared" si="72"/>
        <v>0</v>
      </c>
      <c r="S536" s="185">
        <v>0</v>
      </c>
      <c r="T536" s="186">
        <f t="shared" si="73"/>
        <v>0</v>
      </c>
      <c r="U536" s="32"/>
      <c r="V536" s="32"/>
      <c r="W536" s="32"/>
      <c r="X536" s="32"/>
      <c r="Y536" s="32"/>
      <c r="Z536" s="32"/>
      <c r="AA536" s="32"/>
      <c r="AB536" s="32"/>
      <c r="AC536" s="32"/>
      <c r="AD536" s="32"/>
      <c r="AE536" s="32"/>
      <c r="AR536" s="187" t="s">
        <v>340</v>
      </c>
      <c r="AT536" s="187" t="s">
        <v>411</v>
      </c>
      <c r="AU536" s="187" t="s">
        <v>79</v>
      </c>
      <c r="AY536" s="15" t="s">
        <v>196</v>
      </c>
      <c r="BE536" s="188">
        <f t="shared" si="74"/>
        <v>0</v>
      </c>
      <c r="BF536" s="188">
        <f t="shared" si="75"/>
        <v>0</v>
      </c>
      <c r="BG536" s="188">
        <f t="shared" si="76"/>
        <v>0</v>
      </c>
      <c r="BH536" s="188">
        <f t="shared" si="77"/>
        <v>0</v>
      </c>
      <c r="BI536" s="188">
        <f t="shared" si="78"/>
        <v>0</v>
      </c>
      <c r="BJ536" s="15" t="s">
        <v>77</v>
      </c>
      <c r="BK536" s="188">
        <f t="shared" si="79"/>
        <v>0</v>
      </c>
      <c r="BL536" s="15" t="s">
        <v>270</v>
      </c>
      <c r="BM536" s="187" t="s">
        <v>1397</v>
      </c>
    </row>
    <row r="537" spans="1:65" s="2" customFormat="1" ht="13.9" customHeight="1">
      <c r="A537" s="32"/>
      <c r="B537" s="33"/>
      <c r="C537" s="194" t="s">
        <v>1398</v>
      </c>
      <c r="D537" s="194" t="s">
        <v>411</v>
      </c>
      <c r="E537" s="195" t="s">
        <v>1399</v>
      </c>
      <c r="F537" s="196" t="s">
        <v>1400</v>
      </c>
      <c r="G537" s="197" t="s">
        <v>258</v>
      </c>
      <c r="H537" s="198">
        <v>1</v>
      </c>
      <c r="I537" s="199"/>
      <c r="J537" s="200">
        <f t="shared" si="70"/>
        <v>0</v>
      </c>
      <c r="K537" s="196" t="s">
        <v>19</v>
      </c>
      <c r="L537" s="201"/>
      <c r="M537" s="202" t="s">
        <v>19</v>
      </c>
      <c r="N537" s="203" t="s">
        <v>41</v>
      </c>
      <c r="O537" s="62"/>
      <c r="P537" s="185">
        <f t="shared" si="71"/>
        <v>0</v>
      </c>
      <c r="Q537" s="185">
        <v>0</v>
      </c>
      <c r="R537" s="185">
        <f t="shared" si="72"/>
        <v>0</v>
      </c>
      <c r="S537" s="185">
        <v>0</v>
      </c>
      <c r="T537" s="186">
        <f t="shared" si="73"/>
        <v>0</v>
      </c>
      <c r="U537" s="32"/>
      <c r="V537" s="32"/>
      <c r="W537" s="32"/>
      <c r="X537" s="32"/>
      <c r="Y537" s="32"/>
      <c r="Z537" s="32"/>
      <c r="AA537" s="32"/>
      <c r="AB537" s="32"/>
      <c r="AC537" s="32"/>
      <c r="AD537" s="32"/>
      <c r="AE537" s="32"/>
      <c r="AR537" s="187" t="s">
        <v>340</v>
      </c>
      <c r="AT537" s="187" t="s">
        <v>411</v>
      </c>
      <c r="AU537" s="187" t="s">
        <v>79</v>
      </c>
      <c r="AY537" s="15" t="s">
        <v>196</v>
      </c>
      <c r="BE537" s="188">
        <f t="shared" si="74"/>
        <v>0</v>
      </c>
      <c r="BF537" s="188">
        <f t="shared" si="75"/>
        <v>0</v>
      </c>
      <c r="BG537" s="188">
        <f t="shared" si="76"/>
        <v>0</v>
      </c>
      <c r="BH537" s="188">
        <f t="shared" si="77"/>
        <v>0</v>
      </c>
      <c r="BI537" s="188">
        <f t="shared" si="78"/>
        <v>0</v>
      </c>
      <c r="BJ537" s="15" t="s">
        <v>77</v>
      </c>
      <c r="BK537" s="188">
        <f t="shared" si="79"/>
        <v>0</v>
      </c>
      <c r="BL537" s="15" t="s">
        <v>270</v>
      </c>
      <c r="BM537" s="187" t="s">
        <v>1401</v>
      </c>
    </row>
    <row r="538" spans="1:65" s="2" customFormat="1" ht="13.9" customHeight="1">
      <c r="A538" s="32"/>
      <c r="B538" s="33"/>
      <c r="C538" s="194" t="s">
        <v>1402</v>
      </c>
      <c r="D538" s="194" t="s">
        <v>411</v>
      </c>
      <c r="E538" s="195" t="s">
        <v>1403</v>
      </c>
      <c r="F538" s="196" t="s">
        <v>1404</v>
      </c>
      <c r="G538" s="197" t="s">
        <v>258</v>
      </c>
      <c r="H538" s="198">
        <v>2</v>
      </c>
      <c r="I538" s="199"/>
      <c r="J538" s="200">
        <f t="shared" si="70"/>
        <v>0</v>
      </c>
      <c r="K538" s="196" t="s">
        <v>19</v>
      </c>
      <c r="L538" s="201"/>
      <c r="M538" s="202" t="s">
        <v>19</v>
      </c>
      <c r="N538" s="203" t="s">
        <v>41</v>
      </c>
      <c r="O538" s="62"/>
      <c r="P538" s="185">
        <f t="shared" si="71"/>
        <v>0</v>
      </c>
      <c r="Q538" s="185">
        <v>0</v>
      </c>
      <c r="R538" s="185">
        <f t="shared" si="72"/>
        <v>0</v>
      </c>
      <c r="S538" s="185">
        <v>0</v>
      </c>
      <c r="T538" s="186">
        <f t="shared" si="73"/>
        <v>0</v>
      </c>
      <c r="U538" s="32"/>
      <c r="V538" s="32"/>
      <c r="W538" s="32"/>
      <c r="X538" s="32"/>
      <c r="Y538" s="32"/>
      <c r="Z538" s="32"/>
      <c r="AA538" s="32"/>
      <c r="AB538" s="32"/>
      <c r="AC538" s="32"/>
      <c r="AD538" s="32"/>
      <c r="AE538" s="32"/>
      <c r="AR538" s="187" t="s">
        <v>340</v>
      </c>
      <c r="AT538" s="187" t="s">
        <v>411</v>
      </c>
      <c r="AU538" s="187" t="s">
        <v>79</v>
      </c>
      <c r="AY538" s="15" t="s">
        <v>196</v>
      </c>
      <c r="BE538" s="188">
        <f t="shared" si="74"/>
        <v>0</v>
      </c>
      <c r="BF538" s="188">
        <f t="shared" si="75"/>
        <v>0</v>
      </c>
      <c r="BG538" s="188">
        <f t="shared" si="76"/>
        <v>0</v>
      </c>
      <c r="BH538" s="188">
        <f t="shared" si="77"/>
        <v>0</v>
      </c>
      <c r="BI538" s="188">
        <f t="shared" si="78"/>
        <v>0</v>
      </c>
      <c r="BJ538" s="15" t="s">
        <v>77</v>
      </c>
      <c r="BK538" s="188">
        <f t="shared" si="79"/>
        <v>0</v>
      </c>
      <c r="BL538" s="15" t="s">
        <v>270</v>
      </c>
      <c r="BM538" s="187" t="s">
        <v>1405</v>
      </c>
    </row>
    <row r="539" spans="1:65" s="2" customFormat="1" ht="13.9" customHeight="1">
      <c r="A539" s="32"/>
      <c r="B539" s="33"/>
      <c r="C539" s="194" t="s">
        <v>1406</v>
      </c>
      <c r="D539" s="194" t="s">
        <v>411</v>
      </c>
      <c r="E539" s="195" t="s">
        <v>1407</v>
      </c>
      <c r="F539" s="196" t="s">
        <v>1408</v>
      </c>
      <c r="G539" s="197" t="s">
        <v>258</v>
      </c>
      <c r="H539" s="198">
        <v>1</v>
      </c>
      <c r="I539" s="199"/>
      <c r="J539" s="200">
        <f t="shared" si="70"/>
        <v>0</v>
      </c>
      <c r="K539" s="196" t="s">
        <v>19</v>
      </c>
      <c r="L539" s="201"/>
      <c r="M539" s="202" t="s">
        <v>19</v>
      </c>
      <c r="N539" s="203" t="s">
        <v>41</v>
      </c>
      <c r="O539" s="62"/>
      <c r="P539" s="185">
        <f t="shared" si="71"/>
        <v>0</v>
      </c>
      <c r="Q539" s="185">
        <v>0</v>
      </c>
      <c r="R539" s="185">
        <f t="shared" si="72"/>
        <v>0</v>
      </c>
      <c r="S539" s="185">
        <v>0</v>
      </c>
      <c r="T539" s="186">
        <f t="shared" si="73"/>
        <v>0</v>
      </c>
      <c r="U539" s="32"/>
      <c r="V539" s="32"/>
      <c r="W539" s="32"/>
      <c r="X539" s="32"/>
      <c r="Y539" s="32"/>
      <c r="Z539" s="32"/>
      <c r="AA539" s="32"/>
      <c r="AB539" s="32"/>
      <c r="AC539" s="32"/>
      <c r="AD539" s="32"/>
      <c r="AE539" s="32"/>
      <c r="AR539" s="187" t="s">
        <v>340</v>
      </c>
      <c r="AT539" s="187" t="s">
        <v>411</v>
      </c>
      <c r="AU539" s="187" t="s">
        <v>79</v>
      </c>
      <c r="AY539" s="15" t="s">
        <v>196</v>
      </c>
      <c r="BE539" s="188">
        <f t="shared" si="74"/>
        <v>0</v>
      </c>
      <c r="BF539" s="188">
        <f t="shared" si="75"/>
        <v>0</v>
      </c>
      <c r="BG539" s="188">
        <f t="shared" si="76"/>
        <v>0</v>
      </c>
      <c r="BH539" s="188">
        <f t="shared" si="77"/>
        <v>0</v>
      </c>
      <c r="BI539" s="188">
        <f t="shared" si="78"/>
        <v>0</v>
      </c>
      <c r="BJ539" s="15" t="s">
        <v>77</v>
      </c>
      <c r="BK539" s="188">
        <f t="shared" si="79"/>
        <v>0</v>
      </c>
      <c r="BL539" s="15" t="s">
        <v>270</v>
      </c>
      <c r="BM539" s="187" t="s">
        <v>1409</v>
      </c>
    </row>
    <row r="540" spans="1:65" s="2" customFormat="1" ht="13.9" customHeight="1">
      <c r="A540" s="32"/>
      <c r="B540" s="33"/>
      <c r="C540" s="194" t="s">
        <v>1410</v>
      </c>
      <c r="D540" s="194" t="s">
        <v>411</v>
      </c>
      <c r="E540" s="195" t="s">
        <v>1411</v>
      </c>
      <c r="F540" s="196" t="s">
        <v>1412</v>
      </c>
      <c r="G540" s="197" t="s">
        <v>258</v>
      </c>
      <c r="H540" s="198">
        <v>1</v>
      </c>
      <c r="I540" s="199"/>
      <c r="J540" s="200">
        <f t="shared" si="70"/>
        <v>0</v>
      </c>
      <c r="K540" s="196" t="s">
        <v>19</v>
      </c>
      <c r="L540" s="201"/>
      <c r="M540" s="202" t="s">
        <v>19</v>
      </c>
      <c r="N540" s="203" t="s">
        <v>41</v>
      </c>
      <c r="O540" s="62"/>
      <c r="P540" s="185">
        <f t="shared" si="71"/>
        <v>0</v>
      </c>
      <c r="Q540" s="185">
        <v>0</v>
      </c>
      <c r="R540" s="185">
        <f t="shared" si="72"/>
        <v>0</v>
      </c>
      <c r="S540" s="185">
        <v>0</v>
      </c>
      <c r="T540" s="186">
        <f t="shared" si="73"/>
        <v>0</v>
      </c>
      <c r="U540" s="32"/>
      <c r="V540" s="32"/>
      <c r="W540" s="32"/>
      <c r="X540" s="32"/>
      <c r="Y540" s="32"/>
      <c r="Z540" s="32"/>
      <c r="AA540" s="32"/>
      <c r="AB540" s="32"/>
      <c r="AC540" s="32"/>
      <c r="AD540" s="32"/>
      <c r="AE540" s="32"/>
      <c r="AR540" s="187" t="s">
        <v>340</v>
      </c>
      <c r="AT540" s="187" t="s">
        <v>411</v>
      </c>
      <c r="AU540" s="187" t="s">
        <v>79</v>
      </c>
      <c r="AY540" s="15" t="s">
        <v>196</v>
      </c>
      <c r="BE540" s="188">
        <f t="shared" si="74"/>
        <v>0</v>
      </c>
      <c r="BF540" s="188">
        <f t="shared" si="75"/>
        <v>0</v>
      </c>
      <c r="BG540" s="188">
        <f t="shared" si="76"/>
        <v>0</v>
      </c>
      <c r="BH540" s="188">
        <f t="shared" si="77"/>
        <v>0</v>
      </c>
      <c r="BI540" s="188">
        <f t="shared" si="78"/>
        <v>0</v>
      </c>
      <c r="BJ540" s="15" t="s">
        <v>77</v>
      </c>
      <c r="BK540" s="188">
        <f t="shared" si="79"/>
        <v>0</v>
      </c>
      <c r="BL540" s="15" t="s">
        <v>270</v>
      </c>
      <c r="BM540" s="187" t="s">
        <v>1413</v>
      </c>
    </row>
    <row r="541" spans="1:65" s="2" customFormat="1" ht="13.9" customHeight="1">
      <c r="A541" s="32"/>
      <c r="B541" s="33"/>
      <c r="C541" s="194" t="s">
        <v>1414</v>
      </c>
      <c r="D541" s="194" t="s">
        <v>411</v>
      </c>
      <c r="E541" s="195" t="s">
        <v>1415</v>
      </c>
      <c r="F541" s="196" t="s">
        <v>1416</v>
      </c>
      <c r="G541" s="197" t="s">
        <v>258</v>
      </c>
      <c r="H541" s="198">
        <v>1</v>
      </c>
      <c r="I541" s="199"/>
      <c r="J541" s="200">
        <f t="shared" si="70"/>
        <v>0</v>
      </c>
      <c r="K541" s="196" t="s">
        <v>19</v>
      </c>
      <c r="L541" s="201"/>
      <c r="M541" s="202" t="s">
        <v>19</v>
      </c>
      <c r="N541" s="203" t="s">
        <v>41</v>
      </c>
      <c r="O541" s="62"/>
      <c r="P541" s="185">
        <f t="shared" si="71"/>
        <v>0</v>
      </c>
      <c r="Q541" s="185">
        <v>0</v>
      </c>
      <c r="R541" s="185">
        <f t="shared" si="72"/>
        <v>0</v>
      </c>
      <c r="S541" s="185">
        <v>0</v>
      </c>
      <c r="T541" s="186">
        <f t="shared" si="73"/>
        <v>0</v>
      </c>
      <c r="U541" s="32"/>
      <c r="V541" s="32"/>
      <c r="W541" s="32"/>
      <c r="X541" s="32"/>
      <c r="Y541" s="32"/>
      <c r="Z541" s="32"/>
      <c r="AA541" s="32"/>
      <c r="AB541" s="32"/>
      <c r="AC541" s="32"/>
      <c r="AD541" s="32"/>
      <c r="AE541" s="32"/>
      <c r="AR541" s="187" t="s">
        <v>340</v>
      </c>
      <c r="AT541" s="187" t="s">
        <v>411</v>
      </c>
      <c r="AU541" s="187" t="s">
        <v>79</v>
      </c>
      <c r="AY541" s="15" t="s">
        <v>196</v>
      </c>
      <c r="BE541" s="188">
        <f t="shared" si="74"/>
        <v>0</v>
      </c>
      <c r="BF541" s="188">
        <f t="shared" si="75"/>
        <v>0</v>
      </c>
      <c r="BG541" s="188">
        <f t="shared" si="76"/>
        <v>0</v>
      </c>
      <c r="BH541" s="188">
        <f t="shared" si="77"/>
        <v>0</v>
      </c>
      <c r="BI541" s="188">
        <f t="shared" si="78"/>
        <v>0</v>
      </c>
      <c r="BJ541" s="15" t="s">
        <v>77</v>
      </c>
      <c r="BK541" s="188">
        <f t="shared" si="79"/>
        <v>0</v>
      </c>
      <c r="BL541" s="15" t="s">
        <v>270</v>
      </c>
      <c r="BM541" s="187" t="s">
        <v>1417</v>
      </c>
    </row>
    <row r="542" spans="1:65" s="2" customFormat="1" ht="13.9" customHeight="1">
      <c r="A542" s="32"/>
      <c r="B542" s="33"/>
      <c r="C542" s="194" t="s">
        <v>1418</v>
      </c>
      <c r="D542" s="194" t="s">
        <v>411</v>
      </c>
      <c r="E542" s="195" t="s">
        <v>1419</v>
      </c>
      <c r="F542" s="196" t="s">
        <v>1420</v>
      </c>
      <c r="G542" s="197" t="s">
        <v>258</v>
      </c>
      <c r="H542" s="198">
        <v>6</v>
      </c>
      <c r="I542" s="199"/>
      <c r="J542" s="200">
        <f t="shared" si="70"/>
        <v>0</v>
      </c>
      <c r="K542" s="196" t="s">
        <v>19</v>
      </c>
      <c r="L542" s="201"/>
      <c r="M542" s="202" t="s">
        <v>19</v>
      </c>
      <c r="N542" s="203" t="s">
        <v>41</v>
      </c>
      <c r="O542" s="62"/>
      <c r="P542" s="185">
        <f t="shared" si="71"/>
        <v>0</v>
      </c>
      <c r="Q542" s="185">
        <v>0</v>
      </c>
      <c r="R542" s="185">
        <f t="shared" si="72"/>
        <v>0</v>
      </c>
      <c r="S542" s="185">
        <v>0</v>
      </c>
      <c r="T542" s="186">
        <f t="shared" si="73"/>
        <v>0</v>
      </c>
      <c r="U542" s="32"/>
      <c r="V542" s="32"/>
      <c r="W542" s="32"/>
      <c r="X542" s="32"/>
      <c r="Y542" s="32"/>
      <c r="Z542" s="32"/>
      <c r="AA542" s="32"/>
      <c r="AB542" s="32"/>
      <c r="AC542" s="32"/>
      <c r="AD542" s="32"/>
      <c r="AE542" s="32"/>
      <c r="AR542" s="187" t="s">
        <v>340</v>
      </c>
      <c r="AT542" s="187" t="s">
        <v>411</v>
      </c>
      <c r="AU542" s="187" t="s">
        <v>79</v>
      </c>
      <c r="AY542" s="15" t="s">
        <v>196</v>
      </c>
      <c r="BE542" s="188">
        <f t="shared" si="74"/>
        <v>0</v>
      </c>
      <c r="BF542" s="188">
        <f t="shared" si="75"/>
        <v>0</v>
      </c>
      <c r="BG542" s="188">
        <f t="shared" si="76"/>
        <v>0</v>
      </c>
      <c r="BH542" s="188">
        <f t="shared" si="77"/>
        <v>0</v>
      </c>
      <c r="BI542" s="188">
        <f t="shared" si="78"/>
        <v>0</v>
      </c>
      <c r="BJ542" s="15" t="s">
        <v>77</v>
      </c>
      <c r="BK542" s="188">
        <f t="shared" si="79"/>
        <v>0</v>
      </c>
      <c r="BL542" s="15" t="s">
        <v>270</v>
      </c>
      <c r="BM542" s="187" t="s">
        <v>1421</v>
      </c>
    </row>
    <row r="543" spans="2:63" s="12" customFormat="1" ht="25.9" customHeight="1">
      <c r="B543" s="160"/>
      <c r="C543" s="161"/>
      <c r="D543" s="162" t="s">
        <v>69</v>
      </c>
      <c r="E543" s="163" t="s">
        <v>1422</v>
      </c>
      <c r="F543" s="163" t="s">
        <v>1423</v>
      </c>
      <c r="G543" s="161"/>
      <c r="H543" s="161"/>
      <c r="I543" s="164"/>
      <c r="J543" s="165">
        <f>BK543</f>
        <v>0</v>
      </c>
      <c r="K543" s="161"/>
      <c r="L543" s="166"/>
      <c r="M543" s="167"/>
      <c r="N543" s="168"/>
      <c r="O543" s="168"/>
      <c r="P543" s="169">
        <f>P544</f>
        <v>0</v>
      </c>
      <c r="Q543" s="168"/>
      <c r="R543" s="169">
        <f>R544</f>
        <v>0</v>
      </c>
      <c r="S543" s="168"/>
      <c r="T543" s="170">
        <f>T544</f>
        <v>0</v>
      </c>
      <c r="AR543" s="171" t="s">
        <v>203</v>
      </c>
      <c r="AT543" s="172" t="s">
        <v>69</v>
      </c>
      <c r="AU543" s="172" t="s">
        <v>70</v>
      </c>
      <c r="AY543" s="171" t="s">
        <v>196</v>
      </c>
      <c r="BK543" s="173">
        <f>BK544</f>
        <v>0</v>
      </c>
    </row>
    <row r="544" spans="2:63" s="12" customFormat="1" ht="22.9" customHeight="1">
      <c r="B544" s="160"/>
      <c r="C544" s="161"/>
      <c r="D544" s="162" t="s">
        <v>69</v>
      </c>
      <c r="E544" s="174" t="s">
        <v>1422</v>
      </c>
      <c r="F544" s="174" t="s">
        <v>1423</v>
      </c>
      <c r="G544" s="161"/>
      <c r="H544" s="161"/>
      <c r="I544" s="164"/>
      <c r="J544" s="175">
        <f>BK544</f>
        <v>0</v>
      </c>
      <c r="K544" s="161"/>
      <c r="L544" s="166"/>
      <c r="M544" s="167"/>
      <c r="N544" s="168"/>
      <c r="O544" s="168"/>
      <c r="P544" s="169">
        <f>P545</f>
        <v>0</v>
      </c>
      <c r="Q544" s="168"/>
      <c r="R544" s="169">
        <f>R545</f>
        <v>0</v>
      </c>
      <c r="S544" s="168"/>
      <c r="T544" s="170">
        <f>T545</f>
        <v>0</v>
      </c>
      <c r="AR544" s="171" t="s">
        <v>203</v>
      </c>
      <c r="AT544" s="172" t="s">
        <v>69</v>
      </c>
      <c r="AU544" s="172" t="s">
        <v>77</v>
      </c>
      <c r="AY544" s="171" t="s">
        <v>196</v>
      </c>
      <c r="BK544" s="173">
        <f>BK545</f>
        <v>0</v>
      </c>
    </row>
    <row r="545" spans="1:65" s="2" customFormat="1" ht="13.9" customHeight="1">
      <c r="A545" s="32"/>
      <c r="B545" s="33"/>
      <c r="C545" s="176" t="s">
        <v>1424</v>
      </c>
      <c r="D545" s="176" t="s">
        <v>198</v>
      </c>
      <c r="E545" s="177" t="s">
        <v>1425</v>
      </c>
      <c r="F545" s="178" t="s">
        <v>1426</v>
      </c>
      <c r="G545" s="179" t="s">
        <v>729</v>
      </c>
      <c r="H545" s="180">
        <v>100</v>
      </c>
      <c r="I545" s="181"/>
      <c r="J545" s="182">
        <f>ROUND(I545*H545,2)</f>
        <v>0</v>
      </c>
      <c r="K545" s="178" t="s">
        <v>202</v>
      </c>
      <c r="L545" s="37"/>
      <c r="M545" s="204" t="s">
        <v>19</v>
      </c>
      <c r="N545" s="205" t="s">
        <v>41</v>
      </c>
      <c r="O545" s="206"/>
      <c r="P545" s="207">
        <f>O545*H545</f>
        <v>0</v>
      </c>
      <c r="Q545" s="207">
        <v>0</v>
      </c>
      <c r="R545" s="207">
        <f>Q545*H545</f>
        <v>0</v>
      </c>
      <c r="S545" s="207">
        <v>0</v>
      </c>
      <c r="T545" s="208">
        <f>S545*H545</f>
        <v>0</v>
      </c>
      <c r="U545" s="32"/>
      <c r="V545" s="32"/>
      <c r="W545" s="32"/>
      <c r="X545" s="32"/>
      <c r="Y545" s="32"/>
      <c r="Z545" s="32"/>
      <c r="AA545" s="32"/>
      <c r="AB545" s="32"/>
      <c r="AC545" s="32"/>
      <c r="AD545" s="32"/>
      <c r="AE545" s="32"/>
      <c r="AR545" s="187" t="s">
        <v>1427</v>
      </c>
      <c r="AT545" s="187" t="s">
        <v>198</v>
      </c>
      <c r="AU545" s="187" t="s">
        <v>79</v>
      </c>
      <c r="AY545" s="15" t="s">
        <v>196</v>
      </c>
      <c r="BE545" s="188">
        <f>IF(N545="základní",J545,0)</f>
        <v>0</v>
      </c>
      <c r="BF545" s="188">
        <f>IF(N545="snížená",J545,0)</f>
        <v>0</v>
      </c>
      <c r="BG545" s="188">
        <f>IF(N545="zákl. přenesená",J545,0)</f>
        <v>0</v>
      </c>
      <c r="BH545" s="188">
        <f>IF(N545="sníž. přenesená",J545,0)</f>
        <v>0</v>
      </c>
      <c r="BI545" s="188">
        <f>IF(N545="nulová",J545,0)</f>
        <v>0</v>
      </c>
      <c r="BJ545" s="15" t="s">
        <v>77</v>
      </c>
      <c r="BK545" s="188">
        <f>ROUND(I545*H545,2)</f>
        <v>0</v>
      </c>
      <c r="BL545" s="15" t="s">
        <v>1427</v>
      </c>
      <c r="BM545" s="187" t="s">
        <v>1428</v>
      </c>
    </row>
    <row r="546" spans="1:31" s="2" customFormat="1" ht="6.95" customHeight="1">
      <c r="A546" s="32"/>
      <c r="B546" s="45"/>
      <c r="C546" s="46"/>
      <c r="D546" s="46"/>
      <c r="E546" s="46"/>
      <c r="F546" s="46"/>
      <c r="G546" s="46"/>
      <c r="H546" s="46"/>
      <c r="I546" s="46"/>
      <c r="J546" s="46"/>
      <c r="K546" s="46"/>
      <c r="L546" s="37"/>
      <c r="M546" s="32"/>
      <c r="O546" s="32"/>
      <c r="P546" s="32"/>
      <c r="Q546" s="32"/>
      <c r="R546" s="32"/>
      <c r="S546" s="32"/>
      <c r="T546" s="32"/>
      <c r="U546" s="32"/>
      <c r="V546" s="32"/>
      <c r="W546" s="32"/>
      <c r="X546" s="32"/>
      <c r="Y546" s="32"/>
      <c r="Z546" s="32"/>
      <c r="AA546" s="32"/>
      <c r="AB546" s="32"/>
      <c r="AC546" s="32"/>
      <c r="AD546" s="32"/>
      <c r="AE546" s="32"/>
    </row>
  </sheetData>
  <sheetProtection algorithmName="SHA-512" hashValue="7ht1fz+RbbId0NiIQFFhCMLBYoYREDkrnS1+ndJwnYNIY//LhbKk+mrGsNGNa28WtvG7n6dI8jOtoauhHDPrlg==" saltValue="+ZirZm43W3kQVvoMh/Tww2JlwAiNDSHK6KQzkauXNLBOAQ05f48Km2jkcaOgaQjwnV6zoPO40hGc0b2p6xLPUQ==" spinCount="100000" sheet="1" objects="1" scenarios="1" formatColumns="0" formatRows="0" autoFilter="0"/>
  <autoFilter ref="C114:K545"/>
  <mergeCells count="12">
    <mergeCell ref="E107:H107"/>
    <mergeCell ref="L2:V2"/>
    <mergeCell ref="E50:H50"/>
    <mergeCell ref="E52:H52"/>
    <mergeCell ref="E54:H54"/>
    <mergeCell ref="E103:H103"/>
    <mergeCell ref="E105:H105"/>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9CF76-1296-4FC9-8D35-B6B8BA51F4AF}">
  <sheetPr>
    <tabColor rgb="FF002060"/>
    <pageSetUpPr fitToPage="1"/>
  </sheetPr>
  <dimension ref="A1:N100"/>
  <sheetViews>
    <sheetView zoomScale="70" zoomScaleNormal="70" zoomScaleSheetLayoutView="70" workbookViewId="0" topLeftCell="A1">
      <pane ySplit="1" topLeftCell="A44" activePane="bottomLeft" state="frozen"/>
      <selection pane="bottomLeft" activeCell="L30" sqref="L30"/>
    </sheetView>
  </sheetViews>
  <sheetFormatPr defaultColWidth="9.140625" defaultRowHeight="12"/>
  <cols>
    <col min="1" max="1" width="9.28125" style="538" customWidth="1"/>
    <col min="2" max="2" width="203.421875" style="537" customWidth="1"/>
    <col min="3" max="3" width="22.140625" style="538" customWidth="1"/>
    <col min="4" max="4" width="20.00390625" style="538" bestFit="1" customWidth="1"/>
    <col min="5" max="5" width="7.28125" style="538" bestFit="1" customWidth="1"/>
    <col min="6" max="6" width="9.8515625" style="538" bestFit="1" customWidth="1"/>
    <col min="7" max="7" width="7.28125" style="538" bestFit="1" customWidth="1"/>
    <col min="8" max="8" width="12.00390625" style="538" customWidth="1"/>
    <col min="9" max="9" width="14.140625" style="538" customWidth="1"/>
    <col min="10" max="10" width="19.421875" style="537" bestFit="1" customWidth="1"/>
    <col min="11" max="11" width="6.7109375" style="538" bestFit="1" customWidth="1"/>
    <col min="12" max="12" width="19.7109375" style="537" bestFit="1" customWidth="1"/>
    <col min="13" max="13" width="6.140625" style="537" bestFit="1" customWidth="1"/>
    <col min="14" max="14" width="21.00390625" style="537" bestFit="1" customWidth="1"/>
    <col min="15" max="16384" width="9.28125" style="537" customWidth="1"/>
  </cols>
  <sheetData>
    <row r="1" spans="1:14" ht="45">
      <c r="A1" s="581" t="s">
        <v>2661</v>
      </c>
      <c r="B1" s="567" t="s">
        <v>2660</v>
      </c>
      <c r="C1" s="597" t="s">
        <v>2659</v>
      </c>
      <c r="D1" s="597" t="s">
        <v>2658</v>
      </c>
      <c r="E1" s="566" t="s">
        <v>2657</v>
      </c>
      <c r="F1" s="566" t="s">
        <v>2656</v>
      </c>
      <c r="G1" s="566" t="s">
        <v>2655</v>
      </c>
      <c r="H1" s="566" t="s">
        <v>2654</v>
      </c>
      <c r="I1" s="566" t="s">
        <v>2653</v>
      </c>
      <c r="J1" s="598" t="s">
        <v>2652</v>
      </c>
      <c r="K1" s="599" t="s">
        <v>2651</v>
      </c>
      <c r="L1" s="600" t="s">
        <v>2650</v>
      </c>
      <c r="M1" s="600" t="s">
        <v>40</v>
      </c>
      <c r="N1" s="600" t="s">
        <v>2649</v>
      </c>
    </row>
    <row r="2" spans="1:14" ht="12">
      <c r="A2" s="560"/>
      <c r="B2" s="567" t="s">
        <v>2648</v>
      </c>
      <c r="C2" s="566"/>
      <c r="D2" s="566"/>
      <c r="E2" s="566"/>
      <c r="F2" s="566"/>
      <c r="G2" s="566"/>
      <c r="H2" s="566"/>
      <c r="I2" s="566"/>
      <c r="J2" s="601"/>
      <c r="K2" s="581"/>
      <c r="L2" s="580"/>
      <c r="M2" s="580"/>
      <c r="N2" s="580"/>
    </row>
    <row r="3" spans="1:14" ht="12">
      <c r="A3" s="560"/>
      <c r="B3" s="567" t="s">
        <v>2647</v>
      </c>
      <c r="C3" s="566"/>
      <c r="D3" s="566"/>
      <c r="E3" s="560"/>
      <c r="F3" s="560"/>
      <c r="G3" s="560"/>
      <c r="H3" s="560"/>
      <c r="I3" s="560"/>
      <c r="J3" s="601"/>
      <c r="K3" s="560"/>
      <c r="L3" s="580"/>
      <c r="M3" s="580"/>
      <c r="N3" s="580"/>
    </row>
    <row r="4" spans="1:14" ht="90">
      <c r="A4" s="577" t="s">
        <v>2646</v>
      </c>
      <c r="B4" s="563" t="s">
        <v>2645</v>
      </c>
      <c r="C4" s="562"/>
      <c r="D4" s="562"/>
      <c r="E4" s="560">
        <v>1200</v>
      </c>
      <c r="F4" s="560">
        <v>700</v>
      </c>
      <c r="G4" s="560">
        <v>750</v>
      </c>
      <c r="H4" s="560"/>
      <c r="I4" s="560">
        <v>3.1</v>
      </c>
      <c r="J4" s="561">
        <v>0</v>
      </c>
      <c r="K4" s="560">
        <v>1</v>
      </c>
      <c r="L4" s="602">
        <f aca="true" t="shared" si="0" ref="L4:L10">K4*J4</f>
        <v>0</v>
      </c>
      <c r="M4" s="558">
        <v>21</v>
      </c>
      <c r="N4" s="602">
        <f aca="true" t="shared" si="1" ref="N4:N10">L4*(1+(M4/100))</f>
        <v>0</v>
      </c>
    </row>
    <row r="5" spans="1:14" ht="75">
      <c r="A5" s="577" t="s">
        <v>2644</v>
      </c>
      <c r="B5" s="563" t="s">
        <v>2643</v>
      </c>
      <c r="C5" s="562"/>
      <c r="D5" s="562"/>
      <c r="E5" s="560">
        <v>1800</v>
      </c>
      <c r="F5" s="560">
        <v>700</v>
      </c>
      <c r="G5" s="560">
        <v>750</v>
      </c>
      <c r="H5" s="560"/>
      <c r="I5" s="560">
        <v>4.1</v>
      </c>
      <c r="J5" s="561">
        <v>0</v>
      </c>
      <c r="K5" s="560">
        <v>1</v>
      </c>
      <c r="L5" s="602">
        <f t="shared" si="0"/>
        <v>0</v>
      </c>
      <c r="M5" s="558">
        <v>21</v>
      </c>
      <c r="N5" s="602">
        <f t="shared" si="1"/>
        <v>0</v>
      </c>
    </row>
    <row r="6" spans="1:14" ht="12">
      <c r="A6" s="577" t="s">
        <v>2642</v>
      </c>
      <c r="B6" s="563" t="s">
        <v>2591</v>
      </c>
      <c r="C6" s="560"/>
      <c r="D6" s="560"/>
      <c r="E6" s="560">
        <v>560</v>
      </c>
      <c r="F6" s="560">
        <v>435</v>
      </c>
      <c r="G6" s="560">
        <v>185</v>
      </c>
      <c r="H6" s="560"/>
      <c r="I6" s="560"/>
      <c r="J6" s="578">
        <v>0</v>
      </c>
      <c r="K6" s="560">
        <v>1</v>
      </c>
      <c r="L6" s="602">
        <f t="shared" si="0"/>
        <v>0</v>
      </c>
      <c r="M6" s="558">
        <v>21</v>
      </c>
      <c r="N6" s="602">
        <f t="shared" si="1"/>
        <v>0</v>
      </c>
    </row>
    <row r="7" spans="1:14" ht="45">
      <c r="A7" s="577"/>
      <c r="B7" s="563" t="s">
        <v>2590</v>
      </c>
      <c r="C7" s="565"/>
      <c r="D7" s="565"/>
      <c r="E7" s="560"/>
      <c r="F7" s="560"/>
      <c r="G7" s="560"/>
      <c r="H7" s="560" t="s">
        <v>2589</v>
      </c>
      <c r="I7" s="560">
        <v>0</v>
      </c>
      <c r="J7" s="578">
        <v>0</v>
      </c>
      <c r="K7" s="560">
        <v>1</v>
      </c>
      <c r="L7" s="602">
        <f t="shared" si="0"/>
        <v>0</v>
      </c>
      <c r="M7" s="558">
        <v>21</v>
      </c>
      <c r="N7" s="602">
        <f t="shared" si="1"/>
        <v>0</v>
      </c>
    </row>
    <row r="8" spans="1:14" ht="30">
      <c r="A8" s="577"/>
      <c r="B8" s="563" t="s">
        <v>2588</v>
      </c>
      <c r="C8" s="565"/>
      <c r="D8" s="565"/>
      <c r="E8" s="560"/>
      <c r="F8" s="560"/>
      <c r="G8" s="560"/>
      <c r="H8" s="560"/>
      <c r="I8" s="560"/>
      <c r="J8" s="578">
        <v>0</v>
      </c>
      <c r="K8" s="560">
        <v>1</v>
      </c>
      <c r="L8" s="602">
        <f t="shared" si="0"/>
        <v>0</v>
      </c>
      <c r="M8" s="558">
        <v>21</v>
      </c>
      <c r="N8" s="602">
        <f t="shared" si="1"/>
        <v>0</v>
      </c>
    </row>
    <row r="9" spans="1:14" ht="12">
      <c r="A9" s="577"/>
      <c r="B9" s="563" t="s">
        <v>2587</v>
      </c>
      <c r="C9" s="565"/>
      <c r="D9" s="565"/>
      <c r="E9" s="560"/>
      <c r="F9" s="560"/>
      <c r="G9" s="560"/>
      <c r="H9" s="560"/>
      <c r="I9" s="560"/>
      <c r="J9" s="578">
        <v>0</v>
      </c>
      <c r="K9" s="560">
        <v>1</v>
      </c>
      <c r="L9" s="602">
        <f t="shared" si="0"/>
        <v>0</v>
      </c>
      <c r="M9" s="558">
        <v>21</v>
      </c>
      <c r="N9" s="602">
        <f t="shared" si="1"/>
        <v>0</v>
      </c>
    </row>
    <row r="10" spans="1:14" ht="12">
      <c r="A10" s="560"/>
      <c r="B10" s="567" t="s">
        <v>2641</v>
      </c>
      <c r="C10" s="566"/>
      <c r="D10" s="566"/>
      <c r="E10" s="560"/>
      <c r="F10" s="560"/>
      <c r="G10" s="560"/>
      <c r="H10" s="560"/>
      <c r="I10" s="560"/>
      <c r="J10" s="561">
        <v>0</v>
      </c>
      <c r="K10" s="560"/>
      <c r="L10" s="602">
        <f t="shared" si="0"/>
        <v>0</v>
      </c>
      <c r="M10" s="558">
        <v>21</v>
      </c>
      <c r="N10" s="602">
        <f t="shared" si="1"/>
        <v>0</v>
      </c>
    </row>
    <row r="11" spans="1:14" ht="357" customHeight="1">
      <c r="A11" s="774" t="s">
        <v>2771</v>
      </c>
      <c r="B11" s="776" t="s">
        <v>2640</v>
      </c>
      <c r="C11" s="775"/>
      <c r="D11" s="775"/>
      <c r="E11" s="772">
        <v>1100</v>
      </c>
      <c r="F11" s="772">
        <v>938</v>
      </c>
      <c r="G11" s="772">
        <v>485</v>
      </c>
      <c r="H11" s="772"/>
      <c r="I11" s="772">
        <v>21</v>
      </c>
      <c r="J11" s="773">
        <v>0</v>
      </c>
      <c r="K11" s="772">
        <v>1</v>
      </c>
      <c r="L11" s="770">
        <f>K11*J11</f>
        <v>0</v>
      </c>
      <c r="M11" s="771">
        <v>21</v>
      </c>
      <c r="N11" s="770">
        <f>L11*(1+(M11/100))</f>
        <v>0</v>
      </c>
    </row>
    <row r="12" spans="1:14" ht="409.5" customHeight="1" hidden="1">
      <c r="A12" s="774"/>
      <c r="B12" s="777"/>
      <c r="C12" s="775"/>
      <c r="D12" s="775"/>
      <c r="E12" s="772"/>
      <c r="F12" s="772"/>
      <c r="G12" s="772"/>
      <c r="H12" s="772"/>
      <c r="I12" s="772"/>
      <c r="J12" s="773"/>
      <c r="K12" s="772"/>
      <c r="L12" s="770"/>
      <c r="M12" s="771"/>
      <c r="N12" s="770"/>
    </row>
    <row r="13" spans="1:14" ht="250.5" customHeight="1">
      <c r="A13" s="774" t="s">
        <v>2772</v>
      </c>
      <c r="B13" s="776" t="s">
        <v>2640</v>
      </c>
      <c r="C13" s="772"/>
      <c r="D13" s="772"/>
      <c r="E13" s="772">
        <v>1100</v>
      </c>
      <c r="F13" s="772">
        <v>938</v>
      </c>
      <c r="G13" s="772">
        <v>485</v>
      </c>
      <c r="H13" s="772">
        <v>0</v>
      </c>
      <c r="I13" s="772">
        <v>21</v>
      </c>
      <c r="J13" s="773">
        <v>0</v>
      </c>
      <c r="K13" s="772">
        <v>1</v>
      </c>
      <c r="L13" s="770">
        <f>K13*J13</f>
        <v>0</v>
      </c>
      <c r="M13" s="771">
        <v>21</v>
      </c>
      <c r="N13" s="770">
        <f>L13*(1+(M13/100))</f>
        <v>0</v>
      </c>
    </row>
    <row r="14" spans="1:14" ht="102" customHeight="1">
      <c r="A14" s="774"/>
      <c r="B14" s="777"/>
      <c r="C14" s="772"/>
      <c r="D14" s="772"/>
      <c r="E14" s="772"/>
      <c r="F14" s="772"/>
      <c r="G14" s="772"/>
      <c r="H14" s="772"/>
      <c r="I14" s="772"/>
      <c r="J14" s="778"/>
      <c r="K14" s="772"/>
      <c r="L14" s="770"/>
      <c r="M14" s="771"/>
      <c r="N14" s="770"/>
    </row>
    <row r="15" spans="1:14" ht="264.75" customHeight="1">
      <c r="A15" s="577" t="s">
        <v>2773</v>
      </c>
      <c r="B15" s="603" t="s">
        <v>2774</v>
      </c>
      <c r="C15" s="562"/>
      <c r="D15" s="562"/>
      <c r="E15" s="560">
        <v>850</v>
      </c>
      <c r="F15" s="560">
        <v>842</v>
      </c>
      <c r="G15" s="560">
        <v>754</v>
      </c>
      <c r="H15" s="560">
        <v>0</v>
      </c>
      <c r="I15" s="560">
        <v>11</v>
      </c>
      <c r="J15" s="561">
        <v>0</v>
      </c>
      <c r="K15" s="560">
        <v>1</v>
      </c>
      <c r="L15" s="602">
        <f aca="true" t="shared" si="2" ref="L15:L67">K15*J15</f>
        <v>0</v>
      </c>
      <c r="M15" s="558">
        <v>21</v>
      </c>
      <c r="N15" s="602">
        <f aca="true" t="shared" si="3" ref="N15:N67">L15*(1+(M15/100))</f>
        <v>0</v>
      </c>
    </row>
    <row r="16" spans="1:14" ht="279.75" customHeight="1">
      <c r="A16" s="577" t="s">
        <v>2775</v>
      </c>
      <c r="B16" s="603" t="s">
        <v>2776</v>
      </c>
      <c r="C16" s="562"/>
      <c r="D16" s="562"/>
      <c r="E16" s="560">
        <v>850</v>
      </c>
      <c r="F16" s="560">
        <v>842</v>
      </c>
      <c r="G16" s="560">
        <v>1014</v>
      </c>
      <c r="H16" s="560">
        <v>0</v>
      </c>
      <c r="I16" s="560">
        <v>18</v>
      </c>
      <c r="J16" s="561">
        <v>0</v>
      </c>
      <c r="K16" s="560">
        <v>1</v>
      </c>
      <c r="L16" s="602">
        <f t="shared" si="2"/>
        <v>0</v>
      </c>
      <c r="M16" s="558">
        <v>21</v>
      </c>
      <c r="N16" s="602">
        <f t="shared" si="3"/>
        <v>0</v>
      </c>
    </row>
    <row r="17" spans="1:14" ht="105" customHeight="1">
      <c r="A17" s="577" t="s">
        <v>2639</v>
      </c>
      <c r="B17" s="604" t="s">
        <v>2777</v>
      </c>
      <c r="C17" s="560"/>
      <c r="D17" s="560"/>
      <c r="E17" s="560"/>
      <c r="F17" s="560"/>
      <c r="G17" s="560"/>
      <c r="H17" s="560"/>
      <c r="I17" s="560">
        <v>3.5</v>
      </c>
      <c r="J17" s="561">
        <v>0</v>
      </c>
      <c r="K17" s="560">
        <v>4</v>
      </c>
      <c r="L17" s="602">
        <f t="shared" si="2"/>
        <v>0</v>
      </c>
      <c r="M17" s="558">
        <v>21</v>
      </c>
      <c r="N17" s="602">
        <f t="shared" si="3"/>
        <v>0</v>
      </c>
    </row>
    <row r="18" spans="1:14" ht="12">
      <c r="A18" s="577" t="s">
        <v>2638</v>
      </c>
      <c r="B18" s="563" t="s">
        <v>2637</v>
      </c>
      <c r="C18" s="562"/>
      <c r="D18" s="562"/>
      <c r="E18" s="560"/>
      <c r="F18" s="560"/>
      <c r="G18" s="560"/>
      <c r="H18" s="560"/>
      <c r="I18" s="560"/>
      <c r="J18" s="561">
        <v>0</v>
      </c>
      <c r="K18" s="560">
        <v>1</v>
      </c>
      <c r="L18" s="602">
        <f t="shared" si="2"/>
        <v>0</v>
      </c>
      <c r="M18" s="558">
        <v>21</v>
      </c>
      <c r="N18" s="602">
        <f t="shared" si="3"/>
        <v>0</v>
      </c>
    </row>
    <row r="19" spans="1:14" ht="55.5" customHeight="1">
      <c r="A19" s="577" t="s">
        <v>2636</v>
      </c>
      <c r="B19" s="563" t="s">
        <v>2635</v>
      </c>
      <c r="C19" s="562"/>
      <c r="D19" s="562"/>
      <c r="E19" s="560">
        <v>1900</v>
      </c>
      <c r="F19" s="560">
        <v>700</v>
      </c>
      <c r="G19" s="560">
        <v>750</v>
      </c>
      <c r="H19" s="560">
        <v>0</v>
      </c>
      <c r="I19" s="560">
        <v>0</v>
      </c>
      <c r="J19" s="561">
        <v>0</v>
      </c>
      <c r="K19" s="560">
        <v>1</v>
      </c>
      <c r="L19" s="602">
        <f t="shared" si="2"/>
        <v>0</v>
      </c>
      <c r="M19" s="558">
        <v>21</v>
      </c>
      <c r="N19" s="602">
        <f t="shared" si="3"/>
        <v>0</v>
      </c>
    </row>
    <row r="20" spans="1:14" ht="12">
      <c r="A20" s="577"/>
      <c r="B20" s="563" t="s">
        <v>2604</v>
      </c>
      <c r="C20" s="562"/>
      <c r="D20" s="562"/>
      <c r="E20" s="560"/>
      <c r="F20" s="560"/>
      <c r="G20" s="560"/>
      <c r="H20" s="560"/>
      <c r="I20" s="560"/>
      <c r="J20" s="561">
        <v>0</v>
      </c>
      <c r="K20" s="560">
        <v>1</v>
      </c>
      <c r="L20" s="602">
        <f t="shared" si="2"/>
        <v>0</v>
      </c>
      <c r="M20" s="558">
        <v>21</v>
      </c>
      <c r="N20" s="602">
        <f t="shared" si="3"/>
        <v>0</v>
      </c>
    </row>
    <row r="21" spans="1:14" s="575" customFormat="1" ht="75" customHeight="1">
      <c r="A21" s="577" t="s">
        <v>2634</v>
      </c>
      <c r="B21" s="563" t="s">
        <v>2633</v>
      </c>
      <c r="C21" s="562"/>
      <c r="D21" s="562"/>
      <c r="E21" s="562">
        <v>3000</v>
      </c>
      <c r="F21" s="562">
        <v>700</v>
      </c>
      <c r="G21" s="562">
        <v>750</v>
      </c>
      <c r="H21" s="562"/>
      <c r="I21" s="562">
        <v>0</v>
      </c>
      <c r="J21" s="561">
        <v>0</v>
      </c>
      <c r="K21" s="562">
        <v>1</v>
      </c>
      <c r="L21" s="602">
        <f t="shared" si="2"/>
        <v>0</v>
      </c>
      <c r="M21" s="558">
        <v>21</v>
      </c>
      <c r="N21" s="602">
        <f t="shared" si="3"/>
        <v>0</v>
      </c>
    </row>
    <row r="22" spans="1:14" s="575" customFormat="1" ht="12">
      <c r="A22" s="577"/>
      <c r="B22" s="563" t="s">
        <v>2604</v>
      </c>
      <c r="C22" s="562"/>
      <c r="D22" s="562"/>
      <c r="E22" s="560"/>
      <c r="F22" s="560"/>
      <c r="G22" s="560"/>
      <c r="H22" s="560"/>
      <c r="I22" s="560"/>
      <c r="J22" s="561">
        <v>0</v>
      </c>
      <c r="K22" s="560">
        <v>1</v>
      </c>
      <c r="L22" s="602">
        <f t="shared" si="2"/>
        <v>0</v>
      </c>
      <c r="M22" s="558">
        <v>21</v>
      </c>
      <c r="N22" s="602">
        <f t="shared" si="3"/>
        <v>0</v>
      </c>
    </row>
    <row r="23" spans="1:14" s="575" customFormat="1" ht="60" customHeight="1">
      <c r="A23" s="577"/>
      <c r="B23" s="563" t="s">
        <v>2590</v>
      </c>
      <c r="C23" s="565"/>
      <c r="D23" s="565"/>
      <c r="E23" s="560"/>
      <c r="F23" s="560"/>
      <c r="G23" s="560"/>
      <c r="H23" s="560" t="s">
        <v>2589</v>
      </c>
      <c r="I23" s="560">
        <v>0</v>
      </c>
      <c r="J23" s="561">
        <v>0</v>
      </c>
      <c r="K23" s="562">
        <v>1</v>
      </c>
      <c r="L23" s="602">
        <f t="shared" si="2"/>
        <v>0</v>
      </c>
      <c r="M23" s="558">
        <v>21</v>
      </c>
      <c r="N23" s="602">
        <f t="shared" si="3"/>
        <v>0</v>
      </c>
    </row>
    <row r="24" spans="1:14" s="575" customFormat="1" ht="30">
      <c r="A24" s="577"/>
      <c r="B24" s="571" t="s">
        <v>2588</v>
      </c>
      <c r="C24" s="562"/>
      <c r="D24" s="562"/>
      <c r="E24" s="570">
        <v>100</v>
      </c>
      <c r="F24" s="570">
        <v>75</v>
      </c>
      <c r="G24" s="570">
        <v>190</v>
      </c>
      <c r="H24" s="560"/>
      <c r="I24" s="562"/>
      <c r="J24" s="561">
        <v>0</v>
      </c>
      <c r="K24" s="562">
        <v>1</v>
      </c>
      <c r="L24" s="602">
        <f t="shared" si="2"/>
        <v>0</v>
      </c>
      <c r="M24" s="558">
        <v>21</v>
      </c>
      <c r="N24" s="602">
        <f t="shared" si="3"/>
        <v>0</v>
      </c>
    </row>
    <row r="25" spans="1:14" s="575" customFormat="1" ht="30" customHeight="1">
      <c r="A25" s="577"/>
      <c r="B25" s="571" t="s">
        <v>2587</v>
      </c>
      <c r="C25" s="562"/>
      <c r="D25" s="562"/>
      <c r="E25" s="570">
        <v>255</v>
      </c>
      <c r="F25" s="570">
        <v>120</v>
      </c>
      <c r="G25" s="570">
        <v>155</v>
      </c>
      <c r="H25" s="560"/>
      <c r="I25" s="562"/>
      <c r="J25" s="561">
        <v>0</v>
      </c>
      <c r="K25" s="562">
        <v>1</v>
      </c>
      <c r="L25" s="602">
        <f t="shared" si="2"/>
        <v>0</v>
      </c>
      <c r="M25" s="558">
        <v>21</v>
      </c>
      <c r="N25" s="602">
        <f t="shared" si="3"/>
        <v>0</v>
      </c>
    </row>
    <row r="26" spans="1:14" s="575" customFormat="1" ht="60" customHeight="1">
      <c r="A26" s="577" t="s">
        <v>2632</v>
      </c>
      <c r="B26" s="604" t="s">
        <v>2778</v>
      </c>
      <c r="C26" s="576"/>
      <c r="D26" s="576"/>
      <c r="E26" s="560">
        <v>576</v>
      </c>
      <c r="F26" s="560">
        <v>668</v>
      </c>
      <c r="G26" s="560">
        <v>1172</v>
      </c>
      <c r="H26" s="560">
        <v>0</v>
      </c>
      <c r="I26" s="560">
        <v>0.75</v>
      </c>
      <c r="J26" s="561">
        <v>0</v>
      </c>
      <c r="K26" s="560">
        <v>1</v>
      </c>
      <c r="L26" s="602">
        <f t="shared" si="2"/>
        <v>0</v>
      </c>
      <c r="M26" s="558">
        <v>21</v>
      </c>
      <c r="N26" s="602">
        <f t="shared" si="3"/>
        <v>0</v>
      </c>
    </row>
    <row r="27" spans="1:14" s="575" customFormat="1" ht="12">
      <c r="A27" s="577" t="s">
        <v>2631</v>
      </c>
      <c r="B27" s="569" t="s">
        <v>2630</v>
      </c>
      <c r="C27" s="562"/>
      <c r="D27" s="562"/>
      <c r="E27" s="562">
        <v>1300</v>
      </c>
      <c r="F27" s="562">
        <v>1300</v>
      </c>
      <c r="G27" s="562">
        <v>500</v>
      </c>
      <c r="H27" s="562"/>
      <c r="I27" s="562"/>
      <c r="J27" s="561">
        <v>0</v>
      </c>
      <c r="K27" s="562">
        <v>1</v>
      </c>
      <c r="L27" s="602">
        <f t="shared" si="2"/>
        <v>0</v>
      </c>
      <c r="M27" s="558">
        <v>21</v>
      </c>
      <c r="N27" s="602">
        <f t="shared" si="3"/>
        <v>0</v>
      </c>
    </row>
    <row r="28" spans="1:14" s="575" customFormat="1" ht="12">
      <c r="A28" s="577" t="s">
        <v>2629</v>
      </c>
      <c r="B28" s="569" t="s">
        <v>2628</v>
      </c>
      <c r="C28" s="562"/>
      <c r="D28" s="562"/>
      <c r="E28" s="562">
        <v>1500</v>
      </c>
      <c r="F28" s="562">
        <v>1000</v>
      </c>
      <c r="G28" s="562">
        <v>500</v>
      </c>
      <c r="H28" s="562">
        <v>0.5</v>
      </c>
      <c r="I28" s="562"/>
      <c r="J28" s="561">
        <v>0</v>
      </c>
      <c r="K28" s="562">
        <v>1</v>
      </c>
      <c r="L28" s="602">
        <f t="shared" si="2"/>
        <v>0</v>
      </c>
      <c r="M28" s="558">
        <v>21</v>
      </c>
      <c r="N28" s="602">
        <f t="shared" si="3"/>
        <v>0</v>
      </c>
    </row>
    <row r="29" spans="1:14" s="575" customFormat="1" ht="12">
      <c r="A29" s="577" t="s">
        <v>2627</v>
      </c>
      <c r="B29" s="569" t="s">
        <v>2626</v>
      </c>
      <c r="C29" s="562"/>
      <c r="D29" s="562"/>
      <c r="E29" s="562">
        <v>2800</v>
      </c>
      <c r="F29" s="562">
        <v>1000</v>
      </c>
      <c r="G29" s="562">
        <v>500</v>
      </c>
      <c r="H29" s="562">
        <v>0.5</v>
      </c>
      <c r="I29" s="562"/>
      <c r="J29" s="561">
        <v>0</v>
      </c>
      <c r="K29" s="562">
        <v>1</v>
      </c>
      <c r="L29" s="602">
        <f t="shared" si="2"/>
        <v>0</v>
      </c>
      <c r="M29" s="558">
        <v>21</v>
      </c>
      <c r="N29" s="602">
        <f t="shared" si="3"/>
        <v>0</v>
      </c>
    </row>
    <row r="30" spans="1:14" s="575" customFormat="1" ht="12">
      <c r="A30" s="577" t="s">
        <v>2625</v>
      </c>
      <c r="B30" s="569" t="s">
        <v>2622</v>
      </c>
      <c r="C30" s="562"/>
      <c r="D30" s="562"/>
      <c r="E30" s="562">
        <v>800</v>
      </c>
      <c r="F30" s="562">
        <v>350</v>
      </c>
      <c r="G30" s="562">
        <v>600</v>
      </c>
      <c r="H30" s="562"/>
      <c r="I30" s="562"/>
      <c r="J30" s="561">
        <v>0</v>
      </c>
      <c r="K30" s="562">
        <v>1</v>
      </c>
      <c r="L30" s="602">
        <f t="shared" si="2"/>
        <v>0</v>
      </c>
      <c r="M30" s="558">
        <v>21</v>
      </c>
      <c r="N30" s="602">
        <f t="shared" si="3"/>
        <v>0</v>
      </c>
    </row>
    <row r="31" spans="1:14" s="575" customFormat="1" ht="12">
      <c r="A31" s="577" t="s">
        <v>2624</v>
      </c>
      <c r="B31" s="569" t="s">
        <v>2622</v>
      </c>
      <c r="C31" s="562"/>
      <c r="D31" s="562"/>
      <c r="E31" s="562">
        <v>950</v>
      </c>
      <c r="F31" s="562">
        <v>350</v>
      </c>
      <c r="G31" s="562">
        <v>600</v>
      </c>
      <c r="H31" s="562"/>
      <c r="I31" s="562"/>
      <c r="J31" s="561">
        <v>0</v>
      </c>
      <c r="K31" s="562">
        <v>2</v>
      </c>
      <c r="L31" s="602">
        <f t="shared" si="2"/>
        <v>0</v>
      </c>
      <c r="M31" s="558">
        <v>21</v>
      </c>
      <c r="N31" s="602">
        <f t="shared" si="3"/>
        <v>0</v>
      </c>
    </row>
    <row r="32" spans="1:14" s="575" customFormat="1" ht="12">
      <c r="A32" s="577" t="s">
        <v>2623</v>
      </c>
      <c r="B32" s="569" t="s">
        <v>2622</v>
      </c>
      <c r="C32" s="562"/>
      <c r="D32" s="562"/>
      <c r="E32" s="562">
        <v>1200</v>
      </c>
      <c r="F32" s="562">
        <v>350</v>
      </c>
      <c r="G32" s="562">
        <v>600</v>
      </c>
      <c r="H32" s="562"/>
      <c r="I32" s="562"/>
      <c r="J32" s="561">
        <v>0</v>
      </c>
      <c r="K32" s="562">
        <v>1</v>
      </c>
      <c r="L32" s="602">
        <f t="shared" si="2"/>
        <v>0</v>
      </c>
      <c r="M32" s="558">
        <v>21</v>
      </c>
      <c r="N32" s="602">
        <f t="shared" si="3"/>
        <v>0</v>
      </c>
    </row>
    <row r="33" spans="1:14" ht="12">
      <c r="A33" s="560"/>
      <c r="B33" s="567" t="s">
        <v>2621</v>
      </c>
      <c r="C33" s="566"/>
      <c r="D33" s="566"/>
      <c r="E33" s="560"/>
      <c r="F33" s="560"/>
      <c r="G33" s="560"/>
      <c r="H33" s="560"/>
      <c r="I33" s="560"/>
      <c r="J33" s="561">
        <v>0</v>
      </c>
      <c r="K33" s="560"/>
      <c r="L33" s="602">
        <f t="shared" si="2"/>
        <v>0</v>
      </c>
      <c r="M33" s="558">
        <v>21</v>
      </c>
      <c r="N33" s="602">
        <f t="shared" si="3"/>
        <v>0</v>
      </c>
    </row>
    <row r="34" spans="1:14" ht="291" customHeight="1">
      <c r="A34" s="577" t="s">
        <v>2779</v>
      </c>
      <c r="B34" s="604" t="s">
        <v>2780</v>
      </c>
      <c r="C34" s="562"/>
      <c r="D34" s="562"/>
      <c r="E34" s="560">
        <v>850</v>
      </c>
      <c r="F34" s="560">
        <v>1002</v>
      </c>
      <c r="G34" s="560">
        <v>2339</v>
      </c>
      <c r="H34" s="560">
        <v>0</v>
      </c>
      <c r="I34" s="560">
        <v>17.6</v>
      </c>
      <c r="J34" s="561">
        <v>0</v>
      </c>
      <c r="K34" s="560">
        <v>1</v>
      </c>
      <c r="L34" s="602">
        <f t="shared" si="2"/>
        <v>0</v>
      </c>
      <c r="M34" s="558">
        <v>21</v>
      </c>
      <c r="N34" s="602">
        <f t="shared" si="3"/>
        <v>0</v>
      </c>
    </row>
    <row r="35" spans="1:14" ht="45">
      <c r="A35" s="577" t="s">
        <v>2620</v>
      </c>
      <c r="B35" s="563" t="s">
        <v>2619</v>
      </c>
      <c r="C35" s="562"/>
      <c r="D35" s="562"/>
      <c r="E35" s="560">
        <v>2200</v>
      </c>
      <c r="F35" s="560">
        <v>750</v>
      </c>
      <c r="G35" s="560">
        <v>900</v>
      </c>
      <c r="H35" s="560">
        <v>0</v>
      </c>
      <c r="I35" s="560">
        <v>0</v>
      </c>
      <c r="J35" s="561">
        <v>0</v>
      </c>
      <c r="K35" s="560">
        <v>1</v>
      </c>
      <c r="L35" s="602">
        <f t="shared" si="2"/>
        <v>0</v>
      </c>
      <c r="M35" s="558">
        <v>21</v>
      </c>
      <c r="N35" s="602">
        <f t="shared" si="3"/>
        <v>0</v>
      </c>
    </row>
    <row r="36" spans="1:14" ht="12">
      <c r="A36" s="577"/>
      <c r="B36" s="563" t="s">
        <v>2610</v>
      </c>
      <c r="C36" s="562"/>
      <c r="D36" s="562"/>
      <c r="E36" s="560"/>
      <c r="F36" s="560"/>
      <c r="G36" s="560"/>
      <c r="H36" s="560"/>
      <c r="I36" s="560"/>
      <c r="J36" s="561">
        <v>0</v>
      </c>
      <c r="K36" s="560">
        <v>1</v>
      </c>
      <c r="L36" s="602">
        <f t="shared" si="2"/>
        <v>0</v>
      </c>
      <c r="M36" s="558">
        <v>21</v>
      </c>
      <c r="N36" s="602">
        <f t="shared" si="3"/>
        <v>0</v>
      </c>
    </row>
    <row r="37" spans="1:14" ht="12">
      <c r="A37" s="577" t="s">
        <v>2618</v>
      </c>
      <c r="B37" s="563" t="s">
        <v>2591</v>
      </c>
      <c r="C37" s="560"/>
      <c r="D37" s="560"/>
      <c r="E37" s="560">
        <v>560</v>
      </c>
      <c r="F37" s="560">
        <v>435</v>
      </c>
      <c r="G37" s="560">
        <v>185</v>
      </c>
      <c r="H37" s="560"/>
      <c r="I37" s="560"/>
      <c r="J37" s="561">
        <v>0</v>
      </c>
      <c r="K37" s="560">
        <v>1</v>
      </c>
      <c r="L37" s="602">
        <f t="shared" si="2"/>
        <v>0</v>
      </c>
      <c r="M37" s="558">
        <v>21</v>
      </c>
      <c r="N37" s="602">
        <f t="shared" si="3"/>
        <v>0</v>
      </c>
    </row>
    <row r="38" spans="1:14" ht="45">
      <c r="A38" s="577"/>
      <c r="B38" s="563" t="s">
        <v>2590</v>
      </c>
      <c r="C38" s="565"/>
      <c r="D38" s="565"/>
      <c r="E38" s="560"/>
      <c r="F38" s="560"/>
      <c r="G38" s="560"/>
      <c r="H38" s="560" t="s">
        <v>2589</v>
      </c>
      <c r="I38" s="560">
        <v>0</v>
      </c>
      <c r="J38" s="561">
        <v>0</v>
      </c>
      <c r="K38" s="562">
        <v>1</v>
      </c>
      <c r="L38" s="602">
        <f t="shared" si="2"/>
        <v>0</v>
      </c>
      <c r="M38" s="558">
        <v>21</v>
      </c>
      <c r="N38" s="602">
        <f t="shared" si="3"/>
        <v>0</v>
      </c>
    </row>
    <row r="39" spans="1:14" ht="30">
      <c r="A39" s="577"/>
      <c r="B39" s="563" t="s">
        <v>2588</v>
      </c>
      <c r="C39" s="565"/>
      <c r="D39" s="565"/>
      <c r="E39" s="560"/>
      <c r="F39" s="560"/>
      <c r="G39" s="560"/>
      <c r="H39" s="560"/>
      <c r="I39" s="560"/>
      <c r="J39" s="561">
        <v>0</v>
      </c>
      <c r="K39" s="562">
        <v>1</v>
      </c>
      <c r="L39" s="602">
        <f t="shared" si="2"/>
        <v>0</v>
      </c>
      <c r="M39" s="558">
        <v>21</v>
      </c>
      <c r="N39" s="602">
        <f t="shared" si="3"/>
        <v>0</v>
      </c>
    </row>
    <row r="40" spans="1:14" ht="12">
      <c r="A40" s="577"/>
      <c r="B40" s="563" t="s">
        <v>2587</v>
      </c>
      <c r="C40" s="565"/>
      <c r="D40" s="565"/>
      <c r="E40" s="560"/>
      <c r="F40" s="560"/>
      <c r="G40" s="560"/>
      <c r="H40" s="560"/>
      <c r="I40" s="560"/>
      <c r="J40" s="561">
        <v>0</v>
      </c>
      <c r="K40" s="562">
        <v>1</v>
      </c>
      <c r="L40" s="602">
        <f t="shared" si="2"/>
        <v>0</v>
      </c>
      <c r="M40" s="558">
        <v>21</v>
      </c>
      <c r="N40" s="602">
        <f t="shared" si="3"/>
        <v>0</v>
      </c>
    </row>
    <row r="41" spans="1:14" ht="12">
      <c r="A41" s="577" t="s">
        <v>2617</v>
      </c>
      <c r="B41" s="563" t="s">
        <v>2616</v>
      </c>
      <c r="C41" s="562"/>
      <c r="D41" s="562"/>
      <c r="E41" s="560">
        <v>900</v>
      </c>
      <c r="F41" s="560">
        <v>300</v>
      </c>
      <c r="G41" s="560">
        <v>180</v>
      </c>
      <c r="H41" s="560"/>
      <c r="I41" s="560"/>
      <c r="J41" s="561">
        <v>0</v>
      </c>
      <c r="K41" s="560">
        <v>1</v>
      </c>
      <c r="L41" s="602">
        <f t="shared" si="2"/>
        <v>0</v>
      </c>
      <c r="M41" s="558">
        <v>21</v>
      </c>
      <c r="N41" s="602">
        <f t="shared" si="3"/>
        <v>0</v>
      </c>
    </row>
    <row r="42" spans="1:14" ht="45">
      <c r="A42" s="577" t="s">
        <v>2615</v>
      </c>
      <c r="B42" s="574" t="s">
        <v>2614</v>
      </c>
      <c r="C42" s="573"/>
      <c r="D42" s="573"/>
      <c r="E42" s="565">
        <v>240</v>
      </c>
      <c r="F42" s="565">
        <v>500</v>
      </c>
      <c r="G42" s="565">
        <v>590</v>
      </c>
      <c r="H42" s="562"/>
      <c r="I42" s="562"/>
      <c r="J42" s="561">
        <v>0</v>
      </c>
      <c r="K42" s="562">
        <v>1</v>
      </c>
      <c r="L42" s="602">
        <f t="shared" si="2"/>
        <v>0</v>
      </c>
      <c r="M42" s="558">
        <v>21</v>
      </c>
      <c r="N42" s="602">
        <f t="shared" si="3"/>
        <v>0</v>
      </c>
    </row>
    <row r="43" spans="1:14" ht="12">
      <c r="A43" s="577"/>
      <c r="B43" s="567" t="s">
        <v>2613</v>
      </c>
      <c r="C43" s="566"/>
      <c r="D43" s="566"/>
      <c r="E43" s="560"/>
      <c r="F43" s="560"/>
      <c r="G43" s="560"/>
      <c r="H43" s="562"/>
      <c r="I43" s="562"/>
      <c r="J43" s="561">
        <v>0</v>
      </c>
      <c r="K43" s="560"/>
      <c r="L43" s="602">
        <f t="shared" si="2"/>
        <v>0</v>
      </c>
      <c r="M43" s="558">
        <v>21</v>
      </c>
      <c r="N43" s="602">
        <f t="shared" si="3"/>
        <v>0</v>
      </c>
    </row>
    <row r="44" spans="1:14" ht="30">
      <c r="A44" s="577" t="s">
        <v>2612</v>
      </c>
      <c r="B44" s="572" t="s">
        <v>2611</v>
      </c>
      <c r="C44" s="562"/>
      <c r="D44" s="562"/>
      <c r="E44" s="560">
        <v>1400</v>
      </c>
      <c r="F44" s="560">
        <v>700</v>
      </c>
      <c r="G44" s="560">
        <v>900</v>
      </c>
      <c r="H44" s="562"/>
      <c r="I44" s="562"/>
      <c r="J44" s="561">
        <v>0</v>
      </c>
      <c r="K44" s="560">
        <v>1</v>
      </c>
      <c r="L44" s="602">
        <f t="shared" si="2"/>
        <v>0</v>
      </c>
      <c r="M44" s="558">
        <v>21</v>
      </c>
      <c r="N44" s="602">
        <f t="shared" si="3"/>
        <v>0</v>
      </c>
    </row>
    <row r="45" spans="1:14" ht="12">
      <c r="A45" s="577"/>
      <c r="B45" s="563" t="s">
        <v>2610</v>
      </c>
      <c r="C45" s="562"/>
      <c r="D45" s="562"/>
      <c r="E45" s="560"/>
      <c r="F45" s="560"/>
      <c r="G45" s="560"/>
      <c r="H45" s="562"/>
      <c r="I45" s="562"/>
      <c r="J45" s="561">
        <v>0</v>
      </c>
      <c r="K45" s="560">
        <v>1</v>
      </c>
      <c r="L45" s="602">
        <f t="shared" si="2"/>
        <v>0</v>
      </c>
      <c r="M45" s="558">
        <v>21</v>
      </c>
      <c r="N45" s="602">
        <f t="shared" si="3"/>
        <v>0</v>
      </c>
    </row>
    <row r="46" spans="1:14" ht="12">
      <c r="A46" s="560"/>
      <c r="B46" s="567" t="s">
        <v>2609</v>
      </c>
      <c r="C46" s="566"/>
      <c r="D46" s="566"/>
      <c r="E46" s="560"/>
      <c r="F46" s="560"/>
      <c r="G46" s="560"/>
      <c r="H46" s="560"/>
      <c r="I46" s="560"/>
      <c r="J46" s="561">
        <v>0</v>
      </c>
      <c r="K46" s="560"/>
      <c r="L46" s="602">
        <f t="shared" si="2"/>
        <v>0</v>
      </c>
      <c r="M46" s="558">
        <v>21</v>
      </c>
      <c r="N46" s="602">
        <f t="shared" si="3"/>
        <v>0</v>
      </c>
    </row>
    <row r="47" spans="1:14" ht="12">
      <c r="A47" s="560"/>
      <c r="B47" s="567" t="s">
        <v>2608</v>
      </c>
      <c r="C47" s="566"/>
      <c r="D47" s="566"/>
      <c r="E47" s="560"/>
      <c r="F47" s="560"/>
      <c r="G47" s="560"/>
      <c r="H47" s="560"/>
      <c r="I47" s="560"/>
      <c r="J47" s="561">
        <v>0</v>
      </c>
      <c r="K47" s="560"/>
      <c r="L47" s="602">
        <f t="shared" si="2"/>
        <v>0</v>
      </c>
      <c r="M47" s="558">
        <v>21</v>
      </c>
      <c r="N47" s="602">
        <f t="shared" si="3"/>
        <v>0</v>
      </c>
    </row>
    <row r="48" spans="1:14" ht="12">
      <c r="A48" s="560"/>
      <c r="B48" s="567" t="s">
        <v>2607</v>
      </c>
      <c r="C48" s="566"/>
      <c r="D48" s="566"/>
      <c r="E48" s="560"/>
      <c r="F48" s="560"/>
      <c r="G48" s="560"/>
      <c r="H48" s="560"/>
      <c r="I48" s="560"/>
      <c r="J48" s="561">
        <v>0</v>
      </c>
      <c r="K48" s="560"/>
      <c r="L48" s="602">
        <f t="shared" si="2"/>
        <v>0</v>
      </c>
      <c r="M48" s="558">
        <v>21</v>
      </c>
      <c r="N48" s="602">
        <f t="shared" si="3"/>
        <v>0</v>
      </c>
    </row>
    <row r="49" spans="1:14" ht="60">
      <c r="A49" s="577" t="s">
        <v>2606</v>
      </c>
      <c r="B49" s="563" t="s">
        <v>2605</v>
      </c>
      <c r="C49" s="562"/>
      <c r="D49" s="562"/>
      <c r="E49" s="560">
        <v>3200</v>
      </c>
      <c r="F49" s="560">
        <v>700</v>
      </c>
      <c r="G49" s="560">
        <v>750</v>
      </c>
      <c r="H49" s="560">
        <v>0</v>
      </c>
      <c r="I49" s="560">
        <v>0</v>
      </c>
      <c r="J49" s="561">
        <v>0</v>
      </c>
      <c r="K49" s="560">
        <v>1</v>
      </c>
      <c r="L49" s="602">
        <f t="shared" si="2"/>
        <v>0</v>
      </c>
      <c r="M49" s="558">
        <v>21</v>
      </c>
      <c r="N49" s="602">
        <f t="shared" si="3"/>
        <v>0</v>
      </c>
    </row>
    <row r="50" spans="1:14" ht="45">
      <c r="A50" s="577"/>
      <c r="B50" s="563" t="s">
        <v>2590</v>
      </c>
      <c r="C50" s="565"/>
      <c r="D50" s="565"/>
      <c r="E50" s="560"/>
      <c r="F50" s="560"/>
      <c r="G50" s="560"/>
      <c r="H50" s="560" t="s">
        <v>2589</v>
      </c>
      <c r="I50" s="560">
        <v>0</v>
      </c>
      <c r="J50" s="561">
        <v>0</v>
      </c>
      <c r="K50" s="562">
        <v>1</v>
      </c>
      <c r="L50" s="602">
        <f t="shared" si="2"/>
        <v>0</v>
      </c>
      <c r="M50" s="558">
        <v>21</v>
      </c>
      <c r="N50" s="602">
        <f t="shared" si="3"/>
        <v>0</v>
      </c>
    </row>
    <row r="51" spans="1:14" ht="12">
      <c r="A51" s="577"/>
      <c r="B51" s="563" t="s">
        <v>2604</v>
      </c>
      <c r="C51" s="562"/>
      <c r="D51" s="562"/>
      <c r="E51" s="560"/>
      <c r="F51" s="560"/>
      <c r="G51" s="560"/>
      <c r="H51" s="560"/>
      <c r="I51" s="560"/>
      <c r="J51" s="561">
        <v>0</v>
      </c>
      <c r="K51" s="560">
        <v>1</v>
      </c>
      <c r="L51" s="602">
        <f t="shared" si="2"/>
        <v>0</v>
      </c>
      <c r="M51" s="558">
        <v>21</v>
      </c>
      <c r="N51" s="602">
        <f t="shared" si="3"/>
        <v>0</v>
      </c>
    </row>
    <row r="52" spans="1:14" ht="30">
      <c r="A52" s="577"/>
      <c r="B52" s="571" t="s">
        <v>2588</v>
      </c>
      <c r="C52" s="562"/>
      <c r="D52" s="562"/>
      <c r="E52" s="570">
        <v>100</v>
      </c>
      <c r="F52" s="570">
        <v>75</v>
      </c>
      <c r="G52" s="570">
        <v>190</v>
      </c>
      <c r="H52" s="560"/>
      <c r="I52" s="562"/>
      <c r="J52" s="561">
        <v>0</v>
      </c>
      <c r="K52" s="560">
        <v>1</v>
      </c>
      <c r="L52" s="602">
        <f t="shared" si="2"/>
        <v>0</v>
      </c>
      <c r="M52" s="558">
        <v>21</v>
      </c>
      <c r="N52" s="602">
        <f t="shared" si="3"/>
        <v>0</v>
      </c>
    </row>
    <row r="53" spans="1:14" ht="12">
      <c r="A53" s="577"/>
      <c r="B53" s="571" t="s">
        <v>2587</v>
      </c>
      <c r="C53" s="562"/>
      <c r="D53" s="562"/>
      <c r="E53" s="570">
        <v>255</v>
      </c>
      <c r="F53" s="570">
        <v>120</v>
      </c>
      <c r="G53" s="570">
        <v>155</v>
      </c>
      <c r="H53" s="560"/>
      <c r="I53" s="562"/>
      <c r="J53" s="561">
        <v>0</v>
      </c>
      <c r="K53" s="562">
        <v>1</v>
      </c>
      <c r="L53" s="602">
        <f t="shared" si="2"/>
        <v>0</v>
      </c>
      <c r="M53" s="558">
        <v>21</v>
      </c>
      <c r="N53" s="602">
        <f t="shared" si="3"/>
        <v>0</v>
      </c>
    </row>
    <row r="54" spans="1:14" ht="75">
      <c r="A54" s="577" t="s">
        <v>2603</v>
      </c>
      <c r="B54" s="563" t="s">
        <v>2602</v>
      </c>
      <c r="C54" s="562"/>
      <c r="D54" s="562"/>
      <c r="E54" s="562">
        <v>280</v>
      </c>
      <c r="F54" s="562">
        <v>350</v>
      </c>
      <c r="G54" s="562">
        <v>490</v>
      </c>
      <c r="H54" s="562">
        <v>0</v>
      </c>
      <c r="I54" s="562">
        <v>1.2</v>
      </c>
      <c r="J54" s="561">
        <v>0</v>
      </c>
      <c r="K54" s="562">
        <v>1</v>
      </c>
      <c r="L54" s="602">
        <f t="shared" si="2"/>
        <v>0</v>
      </c>
      <c r="M54" s="558">
        <v>21</v>
      </c>
      <c r="N54" s="602">
        <f t="shared" si="3"/>
        <v>0</v>
      </c>
    </row>
    <row r="55" spans="1:14" ht="12">
      <c r="A55" s="577" t="s">
        <v>2601</v>
      </c>
      <c r="B55" s="569" t="s">
        <v>2600</v>
      </c>
      <c r="C55" s="562"/>
      <c r="D55" s="562"/>
      <c r="E55" s="562">
        <v>1400</v>
      </c>
      <c r="F55" s="562">
        <v>350</v>
      </c>
      <c r="G55" s="562">
        <v>600</v>
      </c>
      <c r="H55" s="562"/>
      <c r="I55" s="562"/>
      <c r="J55" s="561">
        <v>0</v>
      </c>
      <c r="K55" s="562">
        <v>1</v>
      </c>
      <c r="L55" s="602">
        <f t="shared" si="2"/>
        <v>0</v>
      </c>
      <c r="M55" s="558">
        <v>21</v>
      </c>
      <c r="N55" s="602">
        <f t="shared" si="3"/>
        <v>0</v>
      </c>
    </row>
    <row r="56" spans="1:14" ht="12">
      <c r="A56" s="560"/>
      <c r="B56" s="567" t="s">
        <v>2599</v>
      </c>
      <c r="C56" s="566"/>
      <c r="D56" s="566"/>
      <c r="E56" s="560"/>
      <c r="F56" s="560"/>
      <c r="G56" s="560"/>
      <c r="H56" s="560"/>
      <c r="I56" s="560"/>
      <c r="J56" s="561">
        <v>0</v>
      </c>
      <c r="K56" s="560"/>
      <c r="L56" s="602">
        <f t="shared" si="2"/>
        <v>0</v>
      </c>
      <c r="M56" s="558">
        <v>21</v>
      </c>
      <c r="N56" s="602">
        <f t="shared" si="3"/>
        <v>0</v>
      </c>
    </row>
    <row r="57" spans="1:14" ht="45">
      <c r="A57" s="577" t="s">
        <v>2598</v>
      </c>
      <c r="B57" s="563" t="s">
        <v>2597</v>
      </c>
      <c r="C57" s="560"/>
      <c r="D57" s="560"/>
      <c r="E57" s="560">
        <v>742</v>
      </c>
      <c r="F57" s="560">
        <v>570</v>
      </c>
      <c r="G57" s="560">
        <v>888</v>
      </c>
      <c r="H57" s="560">
        <v>0</v>
      </c>
      <c r="I57" s="560">
        <v>9.24</v>
      </c>
      <c r="J57" s="561">
        <v>0</v>
      </c>
      <c r="K57" s="560">
        <v>1</v>
      </c>
      <c r="L57" s="602">
        <f t="shared" si="2"/>
        <v>0</v>
      </c>
      <c r="M57" s="558">
        <v>21</v>
      </c>
      <c r="N57" s="602">
        <f t="shared" si="3"/>
        <v>0</v>
      </c>
    </row>
    <row r="58" spans="1:14" ht="12">
      <c r="A58" s="577"/>
      <c r="B58" s="563" t="s">
        <v>2596</v>
      </c>
      <c r="C58" s="562"/>
      <c r="D58" s="562"/>
      <c r="E58" s="560">
        <v>119</v>
      </c>
      <c r="F58" s="560"/>
      <c r="G58" s="560">
        <v>236</v>
      </c>
      <c r="H58" s="560"/>
      <c r="I58" s="560"/>
      <c r="J58" s="561">
        <v>0</v>
      </c>
      <c r="K58" s="560">
        <v>1</v>
      </c>
      <c r="L58" s="602">
        <f t="shared" si="2"/>
        <v>0</v>
      </c>
      <c r="M58" s="558">
        <v>21</v>
      </c>
      <c r="N58" s="602">
        <f t="shared" si="3"/>
        <v>0</v>
      </c>
    </row>
    <row r="59" spans="1:14" ht="12">
      <c r="A59" s="560"/>
      <c r="B59" s="567" t="s">
        <v>2595</v>
      </c>
      <c r="C59" s="566"/>
      <c r="D59" s="566"/>
      <c r="E59" s="560"/>
      <c r="F59" s="560"/>
      <c r="G59" s="560"/>
      <c r="H59" s="560"/>
      <c r="I59" s="560"/>
      <c r="J59" s="561">
        <v>0</v>
      </c>
      <c r="K59" s="560"/>
      <c r="L59" s="602">
        <f t="shared" si="2"/>
        <v>0</v>
      </c>
      <c r="M59" s="558">
        <v>21</v>
      </c>
      <c r="N59" s="602">
        <f t="shared" si="3"/>
        <v>0</v>
      </c>
    </row>
    <row r="60" spans="1:14" ht="12">
      <c r="A60" s="560"/>
      <c r="B60" s="567" t="s">
        <v>2594</v>
      </c>
      <c r="C60" s="566"/>
      <c r="D60" s="566"/>
      <c r="E60" s="560"/>
      <c r="F60" s="560"/>
      <c r="G60" s="560"/>
      <c r="H60" s="560"/>
      <c r="I60" s="560"/>
      <c r="J60" s="561">
        <v>0</v>
      </c>
      <c r="K60" s="560"/>
      <c r="L60" s="602">
        <f t="shared" si="2"/>
        <v>0</v>
      </c>
      <c r="M60" s="558">
        <v>21</v>
      </c>
      <c r="N60" s="602">
        <f t="shared" si="3"/>
        <v>0</v>
      </c>
    </row>
    <row r="61" spans="1:14" ht="12">
      <c r="A61" s="560"/>
      <c r="B61" s="567" t="s">
        <v>2593</v>
      </c>
      <c r="C61" s="566"/>
      <c r="D61" s="566"/>
      <c r="E61" s="560"/>
      <c r="F61" s="560"/>
      <c r="G61" s="560"/>
      <c r="H61" s="560"/>
      <c r="I61" s="560"/>
      <c r="J61" s="561"/>
      <c r="K61" s="560"/>
      <c r="L61" s="602">
        <f t="shared" si="2"/>
        <v>0</v>
      </c>
      <c r="M61" s="558">
        <v>21</v>
      </c>
      <c r="N61" s="602">
        <f t="shared" si="3"/>
        <v>0</v>
      </c>
    </row>
    <row r="62" spans="1:14" ht="12">
      <c r="A62" s="577" t="s">
        <v>2592</v>
      </c>
      <c r="B62" s="563" t="s">
        <v>2591</v>
      </c>
      <c r="C62" s="560"/>
      <c r="D62" s="560"/>
      <c r="E62" s="560">
        <v>560</v>
      </c>
      <c r="F62" s="560">
        <v>435</v>
      </c>
      <c r="G62" s="560">
        <v>185</v>
      </c>
      <c r="H62" s="560"/>
      <c r="I62" s="560"/>
      <c r="J62" s="561">
        <v>0</v>
      </c>
      <c r="K62" s="560">
        <v>1</v>
      </c>
      <c r="L62" s="602">
        <f t="shared" si="2"/>
        <v>0</v>
      </c>
      <c r="M62" s="558">
        <v>21</v>
      </c>
      <c r="N62" s="602">
        <f t="shared" si="3"/>
        <v>0</v>
      </c>
    </row>
    <row r="63" spans="1:14" ht="45">
      <c r="A63" s="577"/>
      <c r="B63" s="563" t="s">
        <v>2590</v>
      </c>
      <c r="C63" s="565"/>
      <c r="D63" s="565"/>
      <c r="E63" s="560"/>
      <c r="F63" s="560"/>
      <c r="G63" s="560"/>
      <c r="H63" s="560" t="s">
        <v>2589</v>
      </c>
      <c r="I63" s="560">
        <v>0</v>
      </c>
      <c r="J63" s="561">
        <v>0</v>
      </c>
      <c r="K63" s="562">
        <v>1</v>
      </c>
      <c r="L63" s="602">
        <f t="shared" si="2"/>
        <v>0</v>
      </c>
      <c r="M63" s="558">
        <v>21</v>
      </c>
      <c r="N63" s="602">
        <f t="shared" si="3"/>
        <v>0</v>
      </c>
    </row>
    <row r="64" spans="1:14" ht="30">
      <c r="A64" s="577"/>
      <c r="B64" s="563" t="s">
        <v>2588</v>
      </c>
      <c r="C64" s="565"/>
      <c r="D64" s="565"/>
      <c r="E64" s="560"/>
      <c r="F64" s="560"/>
      <c r="G64" s="560"/>
      <c r="H64" s="560"/>
      <c r="I64" s="560"/>
      <c r="J64" s="561">
        <v>0</v>
      </c>
      <c r="K64" s="560">
        <v>1</v>
      </c>
      <c r="L64" s="602">
        <f t="shared" si="2"/>
        <v>0</v>
      </c>
      <c r="M64" s="558">
        <v>21</v>
      </c>
      <c r="N64" s="602">
        <f t="shared" si="3"/>
        <v>0</v>
      </c>
    </row>
    <row r="65" spans="1:14" ht="12">
      <c r="A65" s="577"/>
      <c r="B65" s="563" t="s">
        <v>2587</v>
      </c>
      <c r="C65" s="565"/>
      <c r="D65" s="565"/>
      <c r="E65" s="560"/>
      <c r="F65" s="560"/>
      <c r="G65" s="560"/>
      <c r="H65" s="560"/>
      <c r="I65" s="560"/>
      <c r="J65" s="561">
        <v>0</v>
      </c>
      <c r="K65" s="562">
        <v>1</v>
      </c>
      <c r="L65" s="602">
        <f t="shared" si="2"/>
        <v>0</v>
      </c>
      <c r="M65" s="558">
        <v>21</v>
      </c>
      <c r="N65" s="602">
        <f t="shared" si="3"/>
        <v>0</v>
      </c>
    </row>
    <row r="66" spans="1:14" ht="12">
      <c r="A66" s="577" t="s">
        <v>2586</v>
      </c>
      <c r="B66" s="563" t="s">
        <v>2585</v>
      </c>
      <c r="C66" s="562"/>
      <c r="D66" s="562"/>
      <c r="E66" s="560">
        <v>1900</v>
      </c>
      <c r="F66" s="560">
        <v>700</v>
      </c>
      <c r="G66" s="560">
        <v>900</v>
      </c>
      <c r="H66" s="560">
        <v>0</v>
      </c>
      <c r="I66" s="560">
        <v>0</v>
      </c>
      <c r="J66" s="561">
        <v>0</v>
      </c>
      <c r="K66" s="560">
        <v>1</v>
      </c>
      <c r="L66" s="602">
        <f t="shared" si="2"/>
        <v>0</v>
      </c>
      <c r="M66" s="558">
        <v>21</v>
      </c>
      <c r="N66" s="602">
        <f t="shared" si="3"/>
        <v>0</v>
      </c>
    </row>
    <row r="67" spans="1:14" ht="12">
      <c r="A67" s="577"/>
      <c r="B67" s="563" t="s">
        <v>2584</v>
      </c>
      <c r="C67" s="562"/>
      <c r="D67" s="562"/>
      <c r="E67" s="560"/>
      <c r="F67" s="560"/>
      <c r="G67" s="560"/>
      <c r="H67" s="560"/>
      <c r="I67" s="560"/>
      <c r="J67" s="561">
        <v>0</v>
      </c>
      <c r="K67" s="560">
        <v>1</v>
      </c>
      <c r="L67" s="602">
        <f t="shared" si="2"/>
        <v>0</v>
      </c>
      <c r="M67" s="558">
        <v>21</v>
      </c>
      <c r="N67" s="602">
        <f t="shared" si="3"/>
        <v>0</v>
      </c>
    </row>
    <row r="68" spans="2:14" ht="16.5" customHeight="1">
      <c r="B68" s="549" t="s">
        <v>2583</v>
      </c>
      <c r="C68" s="546"/>
      <c r="D68" s="546"/>
      <c r="L68" s="548">
        <f>SUM(L4:L67)</f>
        <v>0</v>
      </c>
      <c r="N68" s="548">
        <f>SUM(N4:N67)</f>
        <v>0</v>
      </c>
    </row>
    <row r="69" spans="2:14" ht="16.5" customHeight="1">
      <c r="B69" s="547"/>
      <c r="C69" s="546"/>
      <c r="D69" s="546"/>
      <c r="L69" s="605"/>
      <c r="M69" s="545"/>
      <c r="N69" s="605"/>
    </row>
    <row r="70" ht="15.75" thickBot="1"/>
    <row r="71" ht="12">
      <c r="B71" s="544" t="s">
        <v>2582</v>
      </c>
    </row>
    <row r="72" spans="2:12" ht="15.75" thickBot="1">
      <c r="B72" s="543" t="s">
        <v>2581</v>
      </c>
      <c r="L72" s="542"/>
    </row>
    <row r="74" ht="45">
      <c r="B74" s="563" t="s">
        <v>1987</v>
      </c>
    </row>
    <row r="75" ht="12">
      <c r="B75" s="540"/>
    </row>
    <row r="76" ht="12">
      <c r="B76" s="541"/>
    </row>
    <row r="77" ht="12">
      <c r="B77" s="540"/>
    </row>
    <row r="78" ht="12">
      <c r="B78" s="540"/>
    </row>
    <row r="79" ht="12">
      <c r="B79" s="540"/>
    </row>
    <row r="80" ht="12">
      <c r="B80" s="540"/>
    </row>
    <row r="81" ht="12">
      <c r="B81" s="540"/>
    </row>
    <row r="82" ht="12">
      <c r="B82" s="540"/>
    </row>
    <row r="83" ht="12">
      <c r="B83" s="540"/>
    </row>
    <row r="84" ht="12">
      <c r="B84" s="541"/>
    </row>
    <row r="85" ht="12">
      <c r="B85" s="540"/>
    </row>
    <row r="86" ht="12">
      <c r="B86" s="540"/>
    </row>
    <row r="87" ht="12">
      <c r="B87" s="540"/>
    </row>
    <row r="88" ht="12">
      <c r="B88" s="540"/>
    </row>
    <row r="89" ht="12">
      <c r="B89" s="540"/>
    </row>
    <row r="90" ht="12">
      <c r="B90" s="540"/>
    </row>
    <row r="100" ht="12">
      <c r="B100" s="539"/>
    </row>
  </sheetData>
  <sheetProtection algorithmName="SHA-512" hashValue="L084yl/AZlL9DvDq18GfOXfAugXBXZLfKeltny6cGH35j0Eex0kg5WSFME+qtUDkDKD3Tm+ntwBzKFjNEPHdew==" saltValue="eoe+ndtnHTB7MoFIFfw3BA==" spinCount="100000" sheet="1" objects="1" scenarios="1"/>
  <mergeCells count="28">
    <mergeCell ref="E13:E14"/>
    <mergeCell ref="D13:D14"/>
    <mergeCell ref="N13:N14"/>
    <mergeCell ref="M13:M14"/>
    <mergeCell ref="L13:L14"/>
    <mergeCell ref="K13:K14"/>
    <mergeCell ref="J13:J14"/>
    <mergeCell ref="A11:A12"/>
    <mergeCell ref="C13:C14"/>
    <mergeCell ref="C11:C12"/>
    <mergeCell ref="I13:I14"/>
    <mergeCell ref="H13:H14"/>
    <mergeCell ref="G13:G14"/>
    <mergeCell ref="F13:F14"/>
    <mergeCell ref="H11:H12"/>
    <mergeCell ref="G11:G12"/>
    <mergeCell ref="I11:I12"/>
    <mergeCell ref="B11:B12"/>
    <mergeCell ref="F11:F12"/>
    <mergeCell ref="E11:E12"/>
    <mergeCell ref="D11:D12"/>
    <mergeCell ref="B13:B14"/>
    <mergeCell ref="A13:A14"/>
    <mergeCell ref="N11:N12"/>
    <mergeCell ref="M11:M12"/>
    <mergeCell ref="L11:L12"/>
    <mergeCell ref="K11:K12"/>
    <mergeCell ref="J11:J12"/>
  </mergeCells>
  <printOptions horizontalCentered="1"/>
  <pageMargins left="0.5118110236220472" right="0.5118110236220472" top="0.7874015748031497" bottom="0.7874015748031497" header="0.31496062992125984" footer="0.31496062992125984"/>
  <pageSetup fitToHeight="7" fitToWidth="1" horizontalDpi="600" verticalDpi="600" orientation="landscape" paperSize="8" scale="66" r:id="rId1"/>
  <headerFooter>
    <oddHeader>&amp;LČeská republika - Úřad vlády ČRGastroprovoz Úřadu vlády ČR v 1.PP Strakovy akademie&amp;CSeznam strojů a zařízení s pevným spojením se stavbou&amp;R08/2020</oddHeader>
    <oddFooter>&amp;C&amp;P/&amp;N&amp;RD.2.2.1</oddFooter>
  </headerFooter>
  <rowBreaks count="2" manualBreakCount="2">
    <brk id="12" max="16383" man="1"/>
    <brk id="21"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41AA4-E52E-41B5-9535-1E2113FA04B9}">
  <sheetPr>
    <tabColor rgb="FF002060"/>
    <pageSetUpPr fitToPage="1"/>
  </sheetPr>
  <dimension ref="A1:N96"/>
  <sheetViews>
    <sheetView zoomScale="70" zoomScaleNormal="70" zoomScaleSheetLayoutView="80" workbookViewId="0" topLeftCell="A1">
      <pane ySplit="1" topLeftCell="A20" activePane="bottomLeft" state="frozen"/>
      <selection pane="topLeft" activeCell="I75" sqref="I75"/>
      <selection pane="bottomLeft" activeCell="L4" sqref="L4"/>
    </sheetView>
  </sheetViews>
  <sheetFormatPr defaultColWidth="9.140625" defaultRowHeight="12"/>
  <cols>
    <col min="1" max="1" width="9.28125" style="538" customWidth="1"/>
    <col min="2" max="2" width="127.8515625" style="537" customWidth="1"/>
    <col min="3" max="3" width="22.140625" style="538" customWidth="1"/>
    <col min="4" max="4" width="20.00390625" style="538" bestFit="1" customWidth="1"/>
    <col min="5" max="5" width="7.00390625" style="538" bestFit="1" customWidth="1"/>
    <col min="6" max="6" width="9.7109375" style="538" bestFit="1" customWidth="1"/>
    <col min="7" max="7" width="7.140625" style="538" bestFit="1" customWidth="1"/>
    <col min="8" max="8" width="12.00390625" style="538" customWidth="1"/>
    <col min="9" max="9" width="14.140625" style="538" customWidth="1"/>
    <col min="10" max="10" width="17.421875" style="537" bestFit="1" customWidth="1"/>
    <col min="11" max="11" width="6.421875" style="538" bestFit="1" customWidth="1"/>
    <col min="12" max="12" width="19.421875" style="537" bestFit="1" customWidth="1"/>
    <col min="13" max="13" width="6.00390625" style="537" bestFit="1" customWidth="1"/>
    <col min="14" max="14" width="20.8515625" style="537" bestFit="1" customWidth="1"/>
    <col min="15" max="16384" width="9.28125" style="537" customWidth="1"/>
  </cols>
  <sheetData>
    <row r="1" spans="1:14" ht="45">
      <c r="A1" s="588" t="s">
        <v>2661</v>
      </c>
      <c r="B1" s="587" t="s">
        <v>2660</v>
      </c>
      <c r="C1" s="586" t="s">
        <v>2659</v>
      </c>
      <c r="D1" s="586" t="s">
        <v>2658</v>
      </c>
      <c r="E1" s="585" t="s">
        <v>2657</v>
      </c>
      <c r="F1" s="585" t="s">
        <v>2656</v>
      </c>
      <c r="G1" s="585" t="s">
        <v>2655</v>
      </c>
      <c r="H1" s="585" t="s">
        <v>2654</v>
      </c>
      <c r="I1" s="585" t="s">
        <v>2653</v>
      </c>
      <c r="J1" s="606" t="s">
        <v>2652</v>
      </c>
      <c r="K1" s="584" t="s">
        <v>2651</v>
      </c>
      <c r="L1" s="607" t="s">
        <v>2650</v>
      </c>
      <c r="M1" s="607" t="s">
        <v>40</v>
      </c>
      <c r="N1" s="608" t="s">
        <v>2649</v>
      </c>
    </row>
    <row r="2" spans="1:14" ht="12">
      <c r="A2" s="568"/>
      <c r="B2" s="567" t="s">
        <v>2648</v>
      </c>
      <c r="C2" s="566"/>
      <c r="D2" s="566"/>
      <c r="E2" s="566"/>
      <c r="F2" s="566"/>
      <c r="G2" s="566"/>
      <c r="H2" s="566"/>
      <c r="I2" s="566"/>
      <c r="J2" s="601"/>
      <c r="K2" s="581"/>
      <c r="L2" s="580"/>
      <c r="M2" s="580"/>
      <c r="N2" s="579"/>
    </row>
    <row r="3" spans="1:14" ht="12">
      <c r="A3" s="568"/>
      <c r="B3" s="567" t="s">
        <v>2647</v>
      </c>
      <c r="C3" s="566"/>
      <c r="D3" s="566"/>
      <c r="E3" s="560"/>
      <c r="F3" s="560"/>
      <c r="G3" s="560"/>
      <c r="H3" s="560"/>
      <c r="I3" s="560"/>
      <c r="J3" s="601"/>
      <c r="K3" s="560"/>
      <c r="L3" s="580"/>
      <c r="M3" s="580"/>
      <c r="N3" s="579"/>
    </row>
    <row r="4" spans="1:14" ht="30">
      <c r="A4" s="564"/>
      <c r="B4" s="563" t="s">
        <v>2770</v>
      </c>
      <c r="C4" s="562"/>
      <c r="D4" s="562"/>
      <c r="E4" s="560">
        <v>1200</v>
      </c>
      <c r="F4" s="560">
        <v>400</v>
      </c>
      <c r="G4" s="560">
        <v>450</v>
      </c>
      <c r="H4" s="560">
        <v>0.9</v>
      </c>
      <c r="I4" s="560"/>
      <c r="J4" s="561">
        <v>0</v>
      </c>
      <c r="K4" s="560">
        <v>1</v>
      </c>
      <c r="L4" s="602">
        <f aca="true" t="shared" si="0" ref="L4:L67">K4*J4</f>
        <v>0</v>
      </c>
      <c r="M4" s="558">
        <v>21</v>
      </c>
      <c r="N4" s="609">
        <f aca="true" t="shared" si="1" ref="N4:N67">L4*(1+(M4/100))</f>
        <v>0</v>
      </c>
    </row>
    <row r="5" spans="1:14" ht="75">
      <c r="A5" s="568" t="s">
        <v>2769</v>
      </c>
      <c r="B5" s="563" t="s">
        <v>2768</v>
      </c>
      <c r="C5" s="562"/>
      <c r="D5" s="562"/>
      <c r="E5" s="560">
        <v>1200</v>
      </c>
      <c r="F5" s="560">
        <v>700</v>
      </c>
      <c r="G5" s="560">
        <v>750</v>
      </c>
      <c r="H5" s="560">
        <v>0.3</v>
      </c>
      <c r="I5" s="560">
        <v>0</v>
      </c>
      <c r="J5" s="561">
        <v>0</v>
      </c>
      <c r="K5" s="560">
        <v>1</v>
      </c>
      <c r="L5" s="602">
        <f t="shared" si="0"/>
        <v>0</v>
      </c>
      <c r="M5" s="558">
        <v>21</v>
      </c>
      <c r="N5" s="609">
        <f t="shared" si="1"/>
        <v>0</v>
      </c>
    </row>
    <row r="6" spans="1:14" ht="30">
      <c r="A6" s="568"/>
      <c r="B6" s="563" t="s">
        <v>2767</v>
      </c>
      <c r="C6" s="562"/>
      <c r="D6" s="562"/>
      <c r="E6" s="560">
        <v>1200</v>
      </c>
      <c r="F6" s="560">
        <v>400</v>
      </c>
      <c r="G6" s="560">
        <v>450</v>
      </c>
      <c r="H6" s="560">
        <v>0.1</v>
      </c>
      <c r="I6" s="560"/>
      <c r="J6" s="561">
        <v>0</v>
      </c>
      <c r="K6" s="560">
        <v>1</v>
      </c>
      <c r="L6" s="602">
        <f t="shared" si="0"/>
        <v>0</v>
      </c>
      <c r="M6" s="558">
        <v>21</v>
      </c>
      <c r="N6" s="609">
        <f t="shared" si="1"/>
        <v>0</v>
      </c>
    </row>
    <row r="7" spans="1:14" ht="30">
      <c r="A7" s="564"/>
      <c r="B7" s="563" t="s">
        <v>2766</v>
      </c>
      <c r="C7" s="562"/>
      <c r="D7" s="562"/>
      <c r="E7" s="560">
        <v>1500</v>
      </c>
      <c r="F7" s="560">
        <v>400</v>
      </c>
      <c r="G7" s="560">
        <v>450</v>
      </c>
      <c r="H7" s="560">
        <v>0.1</v>
      </c>
      <c r="I7" s="560"/>
      <c r="J7" s="561">
        <v>0</v>
      </c>
      <c r="K7" s="560">
        <v>1</v>
      </c>
      <c r="L7" s="602">
        <f t="shared" si="0"/>
        <v>0</v>
      </c>
      <c r="M7" s="558">
        <v>21</v>
      </c>
      <c r="N7" s="609">
        <f t="shared" si="1"/>
        <v>0</v>
      </c>
    </row>
    <row r="8" spans="1:14" ht="60">
      <c r="A8" s="564" t="s">
        <v>2765</v>
      </c>
      <c r="B8" s="594" t="s">
        <v>2781</v>
      </c>
      <c r="C8" s="562"/>
      <c r="D8" s="562"/>
      <c r="E8" s="560">
        <v>680</v>
      </c>
      <c r="F8" s="560">
        <v>520</v>
      </c>
      <c r="G8" s="560">
        <v>1030</v>
      </c>
      <c r="H8" s="560">
        <v>0.9</v>
      </c>
      <c r="I8" s="560">
        <v>0</v>
      </c>
      <c r="J8" s="561">
        <v>0</v>
      </c>
      <c r="K8" s="560">
        <v>2</v>
      </c>
      <c r="L8" s="602">
        <f t="shared" si="0"/>
        <v>0</v>
      </c>
      <c r="M8" s="558">
        <v>21</v>
      </c>
      <c r="N8" s="609">
        <f t="shared" si="1"/>
        <v>0</v>
      </c>
    </row>
    <row r="9" spans="1:14" ht="60">
      <c r="A9" s="564" t="s">
        <v>2764</v>
      </c>
      <c r="B9" s="594" t="s">
        <v>2782</v>
      </c>
      <c r="C9" s="562"/>
      <c r="D9" s="562"/>
      <c r="E9" s="560">
        <v>680</v>
      </c>
      <c r="F9" s="560">
        <v>520</v>
      </c>
      <c r="G9" s="560">
        <v>1030</v>
      </c>
      <c r="H9" s="560">
        <v>0.9</v>
      </c>
      <c r="I9" s="560">
        <v>0</v>
      </c>
      <c r="J9" s="561">
        <v>0</v>
      </c>
      <c r="K9" s="560">
        <v>2</v>
      </c>
      <c r="L9" s="602">
        <f t="shared" si="0"/>
        <v>0</v>
      </c>
      <c r="M9" s="558">
        <v>21</v>
      </c>
      <c r="N9" s="609">
        <f t="shared" si="1"/>
        <v>0</v>
      </c>
    </row>
    <row r="10" spans="1:14" ht="60">
      <c r="A10" s="564" t="s">
        <v>2763</v>
      </c>
      <c r="B10" s="563" t="s">
        <v>2762</v>
      </c>
      <c r="C10" s="562"/>
      <c r="D10" s="562"/>
      <c r="E10" s="560">
        <v>970</v>
      </c>
      <c r="F10" s="560">
        <v>800</v>
      </c>
      <c r="G10" s="560">
        <v>750</v>
      </c>
      <c r="H10" s="560">
        <v>0</v>
      </c>
      <c r="I10" s="560">
        <v>0</v>
      </c>
      <c r="J10" s="561">
        <v>0</v>
      </c>
      <c r="K10" s="560">
        <v>1</v>
      </c>
      <c r="L10" s="602">
        <f t="shared" si="0"/>
        <v>0</v>
      </c>
      <c r="M10" s="558">
        <v>21</v>
      </c>
      <c r="N10" s="609">
        <f t="shared" si="1"/>
        <v>0</v>
      </c>
    </row>
    <row r="11" spans="1:14" ht="30">
      <c r="A11" s="564"/>
      <c r="B11" s="563" t="s">
        <v>2676</v>
      </c>
      <c r="C11" s="565"/>
      <c r="D11" s="560"/>
      <c r="E11" s="560"/>
      <c r="F11" s="560"/>
      <c r="G11" s="560"/>
      <c r="H11" s="560"/>
      <c r="I11" s="560"/>
      <c r="J11" s="578">
        <v>0</v>
      </c>
      <c r="K11" s="560">
        <v>1</v>
      </c>
      <c r="L11" s="602">
        <f t="shared" si="0"/>
        <v>0</v>
      </c>
      <c r="M11" s="558">
        <v>21</v>
      </c>
      <c r="N11" s="609">
        <f t="shared" si="1"/>
        <v>0</v>
      </c>
    </row>
    <row r="12" spans="1:14" ht="30">
      <c r="A12" s="564" t="s">
        <v>2761</v>
      </c>
      <c r="B12" s="604" t="s">
        <v>2783</v>
      </c>
      <c r="C12" s="562"/>
      <c r="D12" s="562"/>
      <c r="E12" s="560">
        <v>286</v>
      </c>
      <c r="F12" s="560">
        <v>0</v>
      </c>
      <c r="G12" s="560">
        <v>464</v>
      </c>
      <c r="H12" s="560">
        <v>0.28</v>
      </c>
      <c r="I12" s="560">
        <v>0</v>
      </c>
      <c r="J12" s="561">
        <v>0</v>
      </c>
      <c r="K12" s="560">
        <v>1</v>
      </c>
      <c r="L12" s="602">
        <f t="shared" si="0"/>
        <v>0</v>
      </c>
      <c r="M12" s="558">
        <v>21</v>
      </c>
      <c r="N12" s="609">
        <f t="shared" si="1"/>
        <v>0</v>
      </c>
    </row>
    <row r="13" spans="1:14" ht="60">
      <c r="A13" s="564" t="s">
        <v>2760</v>
      </c>
      <c r="B13" s="572" t="s">
        <v>2662</v>
      </c>
      <c r="C13" s="591"/>
      <c r="D13" s="591"/>
      <c r="E13" s="560">
        <v>260</v>
      </c>
      <c r="F13" s="560">
        <v>287</v>
      </c>
      <c r="G13" s="560">
        <v>137</v>
      </c>
      <c r="H13" s="560">
        <v>0.01</v>
      </c>
      <c r="I13" s="560">
        <v>0</v>
      </c>
      <c r="J13" s="561">
        <v>0</v>
      </c>
      <c r="K13" s="560">
        <v>3</v>
      </c>
      <c r="L13" s="602">
        <f t="shared" si="0"/>
        <v>0</v>
      </c>
      <c r="M13" s="558">
        <v>21</v>
      </c>
      <c r="N13" s="609">
        <f t="shared" si="1"/>
        <v>0</v>
      </c>
    </row>
    <row r="14" spans="1:14" ht="30">
      <c r="A14" s="564" t="s">
        <v>2759</v>
      </c>
      <c r="B14" s="571" t="s">
        <v>2758</v>
      </c>
      <c r="C14" s="562"/>
      <c r="D14" s="562"/>
      <c r="E14" s="570">
        <v>752</v>
      </c>
      <c r="F14" s="570">
        <v>630</v>
      </c>
      <c r="G14" s="570">
        <v>1277</v>
      </c>
      <c r="H14" s="560">
        <v>0</v>
      </c>
      <c r="I14" s="560">
        <v>0</v>
      </c>
      <c r="J14" s="561">
        <v>0</v>
      </c>
      <c r="K14" s="560">
        <v>1</v>
      </c>
      <c r="L14" s="602">
        <f t="shared" si="0"/>
        <v>0</v>
      </c>
      <c r="M14" s="558">
        <v>21</v>
      </c>
      <c r="N14" s="609">
        <f t="shared" si="1"/>
        <v>0</v>
      </c>
    </row>
    <row r="15" spans="1:14" ht="60">
      <c r="A15" s="564" t="s">
        <v>2757</v>
      </c>
      <c r="B15" s="563" t="s">
        <v>2756</v>
      </c>
      <c r="C15" s="562"/>
      <c r="D15" s="562"/>
      <c r="E15" s="560">
        <v>1300</v>
      </c>
      <c r="F15" s="560">
        <v>700</v>
      </c>
      <c r="G15" s="560">
        <v>750</v>
      </c>
      <c r="H15" s="560">
        <v>0</v>
      </c>
      <c r="I15" s="560">
        <v>0</v>
      </c>
      <c r="J15" s="561">
        <v>0</v>
      </c>
      <c r="K15" s="560">
        <v>1</v>
      </c>
      <c r="L15" s="602">
        <f t="shared" si="0"/>
        <v>0</v>
      </c>
      <c r="M15" s="558">
        <v>21</v>
      </c>
      <c r="N15" s="609">
        <f t="shared" si="1"/>
        <v>0</v>
      </c>
    </row>
    <row r="16" spans="1:14" ht="60">
      <c r="A16" s="564" t="s">
        <v>2755</v>
      </c>
      <c r="B16" s="563" t="s">
        <v>2754</v>
      </c>
      <c r="C16" s="562"/>
      <c r="D16" s="562"/>
      <c r="E16" s="560">
        <v>650</v>
      </c>
      <c r="F16" s="560">
        <v>700</v>
      </c>
      <c r="G16" s="560">
        <v>750</v>
      </c>
      <c r="H16" s="560">
        <v>0</v>
      </c>
      <c r="I16" s="560">
        <v>0</v>
      </c>
      <c r="J16" s="561">
        <v>0</v>
      </c>
      <c r="K16" s="560">
        <v>1</v>
      </c>
      <c r="L16" s="602">
        <f t="shared" si="0"/>
        <v>0</v>
      </c>
      <c r="M16" s="558">
        <v>21</v>
      </c>
      <c r="N16" s="609">
        <f t="shared" si="1"/>
        <v>0</v>
      </c>
    </row>
    <row r="17" spans="1:14" ht="75">
      <c r="A17" s="564" t="s">
        <v>2753</v>
      </c>
      <c r="B17" s="563" t="s">
        <v>2752</v>
      </c>
      <c r="C17" s="562"/>
      <c r="D17" s="562"/>
      <c r="E17" s="560">
        <v>1000</v>
      </c>
      <c r="F17" s="560">
        <v>700</v>
      </c>
      <c r="G17" s="560">
        <v>750</v>
      </c>
      <c r="H17" s="560">
        <v>0</v>
      </c>
      <c r="I17" s="560">
        <v>0</v>
      </c>
      <c r="J17" s="561">
        <v>0</v>
      </c>
      <c r="K17" s="560">
        <v>1</v>
      </c>
      <c r="L17" s="602">
        <f t="shared" si="0"/>
        <v>0</v>
      </c>
      <c r="M17" s="558">
        <v>21</v>
      </c>
      <c r="N17" s="609">
        <f t="shared" si="1"/>
        <v>0</v>
      </c>
    </row>
    <row r="18" spans="1:14" ht="30">
      <c r="A18" s="564" t="s">
        <v>2751</v>
      </c>
      <c r="B18" s="569" t="s">
        <v>2750</v>
      </c>
      <c r="C18" s="595"/>
      <c r="D18" s="595"/>
      <c r="E18" s="560">
        <v>340</v>
      </c>
      <c r="F18" s="560">
        <v>0</v>
      </c>
      <c r="G18" s="560">
        <v>400</v>
      </c>
      <c r="H18" s="560">
        <v>0.4</v>
      </c>
      <c r="I18" s="560">
        <v>0</v>
      </c>
      <c r="J18" s="561">
        <v>0</v>
      </c>
      <c r="K18" s="560">
        <v>2</v>
      </c>
      <c r="L18" s="602">
        <f t="shared" si="0"/>
        <v>0</v>
      </c>
      <c r="M18" s="558">
        <v>21</v>
      </c>
      <c r="N18" s="609">
        <f t="shared" si="1"/>
        <v>0</v>
      </c>
    </row>
    <row r="19" spans="1:14" ht="75">
      <c r="A19" s="564" t="s">
        <v>2749</v>
      </c>
      <c r="B19" s="563" t="s">
        <v>2748</v>
      </c>
      <c r="C19" s="562"/>
      <c r="D19" s="562"/>
      <c r="E19" s="560">
        <v>1000</v>
      </c>
      <c r="F19" s="560">
        <v>700</v>
      </c>
      <c r="G19" s="560">
        <v>750</v>
      </c>
      <c r="H19" s="560">
        <v>0</v>
      </c>
      <c r="I19" s="560">
        <v>0</v>
      </c>
      <c r="J19" s="561">
        <v>0</v>
      </c>
      <c r="K19" s="560">
        <v>1</v>
      </c>
      <c r="L19" s="602">
        <f t="shared" si="0"/>
        <v>0</v>
      </c>
      <c r="M19" s="558">
        <v>21</v>
      </c>
      <c r="N19" s="609">
        <f t="shared" si="1"/>
        <v>0</v>
      </c>
    </row>
    <row r="20" spans="1:14" ht="45">
      <c r="A20" s="564" t="s">
        <v>2747</v>
      </c>
      <c r="B20" s="563" t="s">
        <v>2746</v>
      </c>
      <c r="C20" s="595"/>
      <c r="D20" s="595"/>
      <c r="E20" s="560">
        <v>430</v>
      </c>
      <c r="F20" s="560">
        <v>480</v>
      </c>
      <c r="G20" s="560">
        <v>640</v>
      </c>
      <c r="H20" s="560">
        <v>0.31</v>
      </c>
      <c r="I20" s="560">
        <v>0</v>
      </c>
      <c r="J20" s="561">
        <v>0</v>
      </c>
      <c r="K20" s="560">
        <v>1</v>
      </c>
      <c r="L20" s="602">
        <f t="shared" si="0"/>
        <v>0</v>
      </c>
      <c r="M20" s="558">
        <v>21</v>
      </c>
      <c r="N20" s="609">
        <f t="shared" si="1"/>
        <v>0</v>
      </c>
    </row>
    <row r="21" spans="1:14" ht="56.25" customHeight="1">
      <c r="A21" s="564" t="s">
        <v>2745</v>
      </c>
      <c r="B21" s="563" t="s">
        <v>2744</v>
      </c>
      <c r="C21" s="595"/>
      <c r="D21" s="595"/>
      <c r="E21" s="560">
        <v>352</v>
      </c>
      <c r="F21" s="560">
        <v>696</v>
      </c>
      <c r="G21" s="560">
        <v>416</v>
      </c>
      <c r="H21" s="560">
        <v>0.7</v>
      </c>
      <c r="I21" s="560">
        <v>0</v>
      </c>
      <c r="J21" s="561">
        <v>0</v>
      </c>
      <c r="K21" s="560">
        <v>1</v>
      </c>
      <c r="L21" s="602">
        <f t="shared" si="0"/>
        <v>0</v>
      </c>
      <c r="M21" s="558">
        <v>21</v>
      </c>
      <c r="N21" s="609">
        <f t="shared" si="1"/>
        <v>0</v>
      </c>
    </row>
    <row r="22" spans="1:14" ht="60">
      <c r="A22" s="564" t="s">
        <v>2743</v>
      </c>
      <c r="B22" s="563" t="s">
        <v>2742</v>
      </c>
      <c r="C22" s="562"/>
      <c r="D22" s="562"/>
      <c r="E22" s="560">
        <v>1520</v>
      </c>
      <c r="F22" s="560">
        <v>700</v>
      </c>
      <c r="G22" s="560">
        <v>750</v>
      </c>
      <c r="H22" s="560">
        <v>0.1</v>
      </c>
      <c r="I22" s="560">
        <v>0</v>
      </c>
      <c r="J22" s="561">
        <v>0</v>
      </c>
      <c r="K22" s="560">
        <v>1</v>
      </c>
      <c r="L22" s="602">
        <f t="shared" si="0"/>
        <v>0</v>
      </c>
      <c r="M22" s="558">
        <v>21</v>
      </c>
      <c r="N22" s="609">
        <f t="shared" si="1"/>
        <v>0</v>
      </c>
    </row>
    <row r="23" spans="1:14" ht="12">
      <c r="A23" s="564" t="s">
        <v>2741</v>
      </c>
      <c r="B23" s="569" t="s">
        <v>2736</v>
      </c>
      <c r="C23" s="562"/>
      <c r="D23" s="562"/>
      <c r="E23" s="560">
        <v>2000</v>
      </c>
      <c r="F23" s="560">
        <v>300</v>
      </c>
      <c r="G23" s="560">
        <v>30</v>
      </c>
      <c r="H23" s="560">
        <v>0</v>
      </c>
      <c r="I23" s="560">
        <v>0</v>
      </c>
      <c r="J23" s="561">
        <v>0</v>
      </c>
      <c r="K23" s="560">
        <v>1</v>
      </c>
      <c r="L23" s="602">
        <f t="shared" si="0"/>
        <v>0</v>
      </c>
      <c r="M23" s="558">
        <v>21</v>
      </c>
      <c r="N23" s="609">
        <f t="shared" si="1"/>
        <v>0</v>
      </c>
    </row>
    <row r="24" spans="1:14" ht="12">
      <c r="A24" s="564" t="s">
        <v>2740</v>
      </c>
      <c r="B24" s="569" t="s">
        <v>2736</v>
      </c>
      <c r="C24" s="562"/>
      <c r="D24" s="562"/>
      <c r="E24" s="560">
        <v>2200</v>
      </c>
      <c r="F24" s="560">
        <v>300</v>
      </c>
      <c r="G24" s="560">
        <v>30</v>
      </c>
      <c r="H24" s="560">
        <v>0</v>
      </c>
      <c r="I24" s="560">
        <v>0</v>
      </c>
      <c r="J24" s="561">
        <v>0</v>
      </c>
      <c r="K24" s="560">
        <v>1</v>
      </c>
      <c r="L24" s="602">
        <f t="shared" si="0"/>
        <v>0</v>
      </c>
      <c r="M24" s="558">
        <v>21</v>
      </c>
      <c r="N24" s="609">
        <f t="shared" si="1"/>
        <v>0</v>
      </c>
    </row>
    <row r="25" spans="1:14" ht="12">
      <c r="A25" s="564" t="s">
        <v>2739</v>
      </c>
      <c r="B25" s="569" t="s">
        <v>2736</v>
      </c>
      <c r="C25" s="562"/>
      <c r="D25" s="562"/>
      <c r="E25" s="560">
        <v>1200</v>
      </c>
      <c r="F25" s="560">
        <v>300</v>
      </c>
      <c r="G25" s="560">
        <v>30</v>
      </c>
      <c r="H25" s="560">
        <v>0</v>
      </c>
      <c r="I25" s="560">
        <v>0</v>
      </c>
      <c r="J25" s="561">
        <v>0</v>
      </c>
      <c r="K25" s="560">
        <v>1</v>
      </c>
      <c r="L25" s="602">
        <f t="shared" si="0"/>
        <v>0</v>
      </c>
      <c r="M25" s="558">
        <v>21</v>
      </c>
      <c r="N25" s="609">
        <f t="shared" si="1"/>
        <v>0</v>
      </c>
    </row>
    <row r="26" spans="1:14" ht="12">
      <c r="A26" s="564" t="s">
        <v>2738</v>
      </c>
      <c r="B26" s="569" t="s">
        <v>2736</v>
      </c>
      <c r="C26" s="562"/>
      <c r="D26" s="562"/>
      <c r="E26" s="560">
        <v>4000</v>
      </c>
      <c r="F26" s="560">
        <v>300</v>
      </c>
      <c r="G26" s="560">
        <v>30</v>
      </c>
      <c r="H26" s="560">
        <v>0</v>
      </c>
      <c r="I26" s="560">
        <v>0</v>
      </c>
      <c r="J26" s="561">
        <v>0</v>
      </c>
      <c r="K26" s="560">
        <v>1</v>
      </c>
      <c r="L26" s="602">
        <f t="shared" si="0"/>
        <v>0</v>
      </c>
      <c r="M26" s="558">
        <v>21</v>
      </c>
      <c r="N26" s="609">
        <f t="shared" si="1"/>
        <v>0</v>
      </c>
    </row>
    <row r="27" spans="1:14" ht="12">
      <c r="A27" s="564" t="s">
        <v>2737</v>
      </c>
      <c r="B27" s="569" t="s">
        <v>2736</v>
      </c>
      <c r="C27" s="562"/>
      <c r="D27" s="562"/>
      <c r="E27" s="560">
        <v>2200</v>
      </c>
      <c r="F27" s="560">
        <v>300</v>
      </c>
      <c r="G27" s="560">
        <v>30</v>
      </c>
      <c r="H27" s="560">
        <v>0</v>
      </c>
      <c r="I27" s="560">
        <v>0</v>
      </c>
      <c r="J27" s="561">
        <v>0</v>
      </c>
      <c r="K27" s="560">
        <v>1</v>
      </c>
      <c r="L27" s="602">
        <f t="shared" si="0"/>
        <v>0</v>
      </c>
      <c r="M27" s="558">
        <v>21</v>
      </c>
      <c r="N27" s="609">
        <f t="shared" si="1"/>
        <v>0</v>
      </c>
    </row>
    <row r="28" spans="1:14" ht="45">
      <c r="A28" s="564" t="s">
        <v>2735</v>
      </c>
      <c r="B28" s="569" t="s">
        <v>2734</v>
      </c>
      <c r="C28" s="562"/>
      <c r="D28" s="562"/>
      <c r="E28" s="560">
        <v>1200</v>
      </c>
      <c r="F28" s="560">
        <v>300</v>
      </c>
      <c r="G28" s="560">
        <v>900</v>
      </c>
      <c r="H28" s="560"/>
      <c r="I28" s="560"/>
      <c r="J28" s="561">
        <v>0</v>
      </c>
      <c r="K28" s="560">
        <v>1</v>
      </c>
      <c r="L28" s="602">
        <f t="shared" si="0"/>
        <v>0</v>
      </c>
      <c r="M28" s="558">
        <v>21</v>
      </c>
      <c r="N28" s="609">
        <f t="shared" si="1"/>
        <v>0</v>
      </c>
    </row>
    <row r="29" spans="1:14" ht="39" customHeight="1">
      <c r="A29" s="564" t="s">
        <v>2733</v>
      </c>
      <c r="B29" s="569" t="s">
        <v>2732</v>
      </c>
      <c r="C29" s="562"/>
      <c r="D29" s="562"/>
      <c r="E29" s="560">
        <v>1000</v>
      </c>
      <c r="F29" s="560">
        <v>300</v>
      </c>
      <c r="G29" s="560">
        <v>40</v>
      </c>
      <c r="H29" s="560"/>
      <c r="I29" s="560"/>
      <c r="J29" s="561">
        <v>0</v>
      </c>
      <c r="K29" s="560">
        <v>1</v>
      </c>
      <c r="L29" s="602">
        <f t="shared" si="0"/>
        <v>0</v>
      </c>
      <c r="M29" s="558">
        <v>21</v>
      </c>
      <c r="N29" s="609">
        <f t="shared" si="1"/>
        <v>0</v>
      </c>
    </row>
    <row r="30" spans="1:14" ht="12">
      <c r="A30" s="564" t="s">
        <v>2731</v>
      </c>
      <c r="B30" s="569" t="s">
        <v>2730</v>
      </c>
      <c r="C30" s="562"/>
      <c r="D30" s="562"/>
      <c r="E30" s="560"/>
      <c r="F30" s="560"/>
      <c r="G30" s="560"/>
      <c r="H30" s="560"/>
      <c r="I30" s="560"/>
      <c r="J30" s="561">
        <v>0</v>
      </c>
      <c r="K30" s="560">
        <v>1</v>
      </c>
      <c r="L30" s="602">
        <f t="shared" si="0"/>
        <v>0</v>
      </c>
      <c r="M30" s="558">
        <v>21</v>
      </c>
      <c r="N30" s="609">
        <f t="shared" si="1"/>
        <v>0</v>
      </c>
    </row>
    <row r="31" spans="1:14" ht="12">
      <c r="A31" s="568"/>
      <c r="B31" s="567" t="s">
        <v>2641</v>
      </c>
      <c r="C31" s="566"/>
      <c r="D31" s="566"/>
      <c r="E31" s="560"/>
      <c r="F31" s="560"/>
      <c r="G31" s="560"/>
      <c r="H31" s="560"/>
      <c r="I31" s="560"/>
      <c r="J31" s="561">
        <v>0</v>
      </c>
      <c r="K31" s="560"/>
      <c r="L31" s="602">
        <f t="shared" si="0"/>
        <v>0</v>
      </c>
      <c r="M31" s="558">
        <v>21</v>
      </c>
      <c r="N31" s="609">
        <f t="shared" si="1"/>
        <v>0</v>
      </c>
    </row>
    <row r="32" spans="1:14" ht="30">
      <c r="A32" s="564"/>
      <c r="B32" s="610" t="s">
        <v>2784</v>
      </c>
      <c r="C32" s="562"/>
      <c r="D32" s="562"/>
      <c r="E32" s="560"/>
      <c r="F32" s="560"/>
      <c r="G32" s="560"/>
      <c r="H32" s="560"/>
      <c r="I32" s="560"/>
      <c r="J32" s="561">
        <v>0</v>
      </c>
      <c r="K32" s="560">
        <v>1</v>
      </c>
      <c r="L32" s="602">
        <f t="shared" si="0"/>
        <v>0</v>
      </c>
      <c r="M32" s="558">
        <v>21</v>
      </c>
      <c r="N32" s="609">
        <f t="shared" si="1"/>
        <v>0</v>
      </c>
    </row>
    <row r="33" spans="1:14" ht="30">
      <c r="A33" s="564"/>
      <c r="B33" s="610" t="s">
        <v>2785</v>
      </c>
      <c r="C33" s="562"/>
      <c r="D33" s="562"/>
      <c r="E33" s="560"/>
      <c r="F33" s="560"/>
      <c r="G33" s="560"/>
      <c r="H33" s="560"/>
      <c r="I33" s="560"/>
      <c r="J33" s="561">
        <v>0</v>
      </c>
      <c r="K33" s="560">
        <v>1</v>
      </c>
      <c r="L33" s="602">
        <f t="shared" si="0"/>
        <v>0</v>
      </c>
      <c r="M33" s="558">
        <v>21</v>
      </c>
      <c r="N33" s="609">
        <f t="shared" si="1"/>
        <v>0</v>
      </c>
    </row>
    <row r="34" spans="1:14" ht="165" customHeight="1">
      <c r="A34" s="564" t="s">
        <v>2729</v>
      </c>
      <c r="B34" s="604" t="s">
        <v>2786</v>
      </c>
      <c r="C34" s="562"/>
      <c r="D34" s="562"/>
      <c r="E34" s="560">
        <v>5350</v>
      </c>
      <c r="F34" s="560">
        <v>900</v>
      </c>
      <c r="G34" s="560">
        <v>750</v>
      </c>
      <c r="H34" s="560">
        <v>0.5</v>
      </c>
      <c r="I34" s="560">
        <v>0</v>
      </c>
      <c r="J34" s="561">
        <v>0</v>
      </c>
      <c r="K34" s="560">
        <v>1</v>
      </c>
      <c r="L34" s="602">
        <f t="shared" si="0"/>
        <v>0</v>
      </c>
      <c r="M34" s="558">
        <v>21</v>
      </c>
      <c r="N34" s="609">
        <f t="shared" si="1"/>
        <v>0</v>
      </c>
    </row>
    <row r="35" spans="1:14" ht="60">
      <c r="A35" s="564" t="s">
        <v>2728</v>
      </c>
      <c r="B35" s="563" t="s">
        <v>2727</v>
      </c>
      <c r="C35" s="562"/>
      <c r="D35" s="562"/>
      <c r="E35" s="560">
        <v>1300</v>
      </c>
      <c r="F35" s="560">
        <v>670</v>
      </c>
      <c r="G35" s="560">
        <v>710</v>
      </c>
      <c r="H35" s="560">
        <v>0.68</v>
      </c>
      <c r="I35" s="560"/>
      <c r="J35" s="561">
        <v>0</v>
      </c>
      <c r="K35" s="560">
        <v>1</v>
      </c>
      <c r="L35" s="602">
        <f t="shared" si="0"/>
        <v>0</v>
      </c>
      <c r="M35" s="558">
        <v>21</v>
      </c>
      <c r="N35" s="609">
        <f t="shared" si="1"/>
        <v>0</v>
      </c>
    </row>
    <row r="36" spans="1:14" s="575" customFormat="1" ht="12">
      <c r="A36" s="564"/>
      <c r="B36" s="563" t="s">
        <v>2726</v>
      </c>
      <c r="C36" s="562"/>
      <c r="D36" s="562"/>
      <c r="E36" s="562"/>
      <c r="F36" s="562"/>
      <c r="G36" s="562"/>
      <c r="H36" s="560"/>
      <c r="I36" s="562"/>
      <c r="J36" s="561"/>
      <c r="K36" s="560">
        <v>1</v>
      </c>
      <c r="L36" s="602">
        <f t="shared" si="0"/>
        <v>0</v>
      </c>
      <c r="M36" s="558">
        <v>21</v>
      </c>
      <c r="N36" s="609">
        <f t="shared" si="1"/>
        <v>0</v>
      </c>
    </row>
    <row r="37" spans="1:14" s="575" customFormat="1" ht="117" customHeight="1">
      <c r="A37" s="564" t="s">
        <v>2725</v>
      </c>
      <c r="B37" s="571" t="s">
        <v>2787</v>
      </c>
      <c r="C37" s="562"/>
      <c r="D37" s="562"/>
      <c r="E37" s="570">
        <v>540</v>
      </c>
      <c r="F37" s="570">
        <v>810</v>
      </c>
      <c r="G37" s="570">
        <v>1440</v>
      </c>
      <c r="H37" s="562">
        <v>0.6</v>
      </c>
      <c r="I37" s="562">
        <v>0</v>
      </c>
      <c r="J37" s="561">
        <v>0</v>
      </c>
      <c r="K37" s="562">
        <v>2</v>
      </c>
      <c r="L37" s="602">
        <f t="shared" si="0"/>
        <v>0</v>
      </c>
      <c r="M37" s="558">
        <v>21</v>
      </c>
      <c r="N37" s="609">
        <f t="shared" si="1"/>
        <v>0</v>
      </c>
    </row>
    <row r="38" spans="1:14" s="575" customFormat="1" ht="60">
      <c r="A38" s="564" t="s">
        <v>2724</v>
      </c>
      <c r="B38" s="572" t="s">
        <v>2662</v>
      </c>
      <c r="C38" s="591"/>
      <c r="D38" s="591"/>
      <c r="E38" s="560">
        <v>260</v>
      </c>
      <c r="F38" s="560">
        <v>287</v>
      </c>
      <c r="G38" s="560">
        <v>137</v>
      </c>
      <c r="H38" s="560">
        <v>0.01</v>
      </c>
      <c r="I38" s="560">
        <v>0</v>
      </c>
      <c r="J38" s="561">
        <v>0</v>
      </c>
      <c r="K38" s="562">
        <v>1</v>
      </c>
      <c r="L38" s="602">
        <f t="shared" si="0"/>
        <v>0</v>
      </c>
      <c r="M38" s="558">
        <v>21</v>
      </c>
      <c r="N38" s="609">
        <f t="shared" si="1"/>
        <v>0</v>
      </c>
    </row>
    <row r="39" spans="1:14" s="575" customFormat="1" ht="30">
      <c r="A39" s="564" t="s">
        <v>2723</v>
      </c>
      <c r="B39" s="569" t="s">
        <v>2722</v>
      </c>
      <c r="C39" s="595"/>
      <c r="D39" s="595"/>
      <c r="E39" s="562">
        <v>0</v>
      </c>
      <c r="F39" s="562">
        <v>0</v>
      </c>
      <c r="G39" s="562">
        <v>0</v>
      </c>
      <c r="H39" s="562">
        <v>0.31</v>
      </c>
      <c r="I39" s="562">
        <v>0</v>
      </c>
      <c r="J39" s="561">
        <v>0</v>
      </c>
      <c r="K39" s="562">
        <v>1</v>
      </c>
      <c r="L39" s="602">
        <f t="shared" si="0"/>
        <v>0</v>
      </c>
      <c r="M39" s="558">
        <v>21</v>
      </c>
      <c r="N39" s="609">
        <f t="shared" si="1"/>
        <v>0</v>
      </c>
    </row>
    <row r="40" spans="1:14" s="575" customFormat="1" ht="12">
      <c r="A40" s="564"/>
      <c r="B40" s="604" t="s">
        <v>2788</v>
      </c>
      <c r="C40" s="562"/>
      <c r="D40" s="562"/>
      <c r="E40" s="560"/>
      <c r="F40" s="560"/>
      <c r="G40" s="560"/>
      <c r="H40" s="560"/>
      <c r="I40" s="560"/>
      <c r="J40" s="561">
        <v>0</v>
      </c>
      <c r="K40" s="560">
        <v>1</v>
      </c>
      <c r="L40" s="602">
        <f t="shared" si="0"/>
        <v>0</v>
      </c>
      <c r="M40" s="558">
        <v>21</v>
      </c>
      <c r="N40" s="609">
        <f t="shared" si="1"/>
        <v>0</v>
      </c>
    </row>
    <row r="41" spans="1:14" ht="12">
      <c r="A41" s="568"/>
      <c r="B41" s="567" t="s">
        <v>2621</v>
      </c>
      <c r="C41" s="566"/>
      <c r="D41" s="566"/>
      <c r="E41" s="560"/>
      <c r="F41" s="560"/>
      <c r="G41" s="560"/>
      <c r="H41" s="560"/>
      <c r="I41" s="560"/>
      <c r="J41" s="561">
        <v>0</v>
      </c>
      <c r="K41" s="560"/>
      <c r="L41" s="602">
        <f t="shared" si="0"/>
        <v>0</v>
      </c>
      <c r="M41" s="558">
        <v>21</v>
      </c>
      <c r="N41" s="609">
        <f t="shared" si="1"/>
        <v>0</v>
      </c>
    </row>
    <row r="42" spans="1:14" ht="45">
      <c r="A42" s="564" t="s">
        <v>2721</v>
      </c>
      <c r="B42" s="563" t="s">
        <v>2720</v>
      </c>
      <c r="C42" s="562"/>
      <c r="D42" s="562"/>
      <c r="E42" s="560">
        <v>700</v>
      </c>
      <c r="F42" s="560">
        <v>750</v>
      </c>
      <c r="G42" s="560">
        <v>900</v>
      </c>
      <c r="H42" s="560">
        <v>0</v>
      </c>
      <c r="I42" s="560">
        <v>0</v>
      </c>
      <c r="J42" s="561">
        <v>0</v>
      </c>
      <c r="K42" s="560">
        <v>1</v>
      </c>
      <c r="L42" s="602">
        <f t="shared" si="0"/>
        <v>0</v>
      </c>
      <c r="M42" s="558">
        <v>21</v>
      </c>
      <c r="N42" s="609">
        <f t="shared" si="1"/>
        <v>0</v>
      </c>
    </row>
    <row r="43" spans="1:14" ht="12">
      <c r="A43" s="564"/>
      <c r="B43" s="563" t="s">
        <v>2719</v>
      </c>
      <c r="C43" s="562"/>
      <c r="D43" s="562"/>
      <c r="E43" s="560">
        <v>700</v>
      </c>
      <c r="F43" s="560">
        <v>450</v>
      </c>
      <c r="G43" s="560">
        <v>150</v>
      </c>
      <c r="H43" s="560"/>
      <c r="I43" s="560"/>
      <c r="J43" s="561">
        <v>0</v>
      </c>
      <c r="K43" s="560">
        <v>1</v>
      </c>
      <c r="L43" s="602">
        <f t="shared" si="0"/>
        <v>0</v>
      </c>
      <c r="M43" s="558">
        <v>21</v>
      </c>
      <c r="N43" s="609">
        <f t="shared" si="1"/>
        <v>0</v>
      </c>
    </row>
    <row r="44" spans="1:14" ht="30">
      <c r="A44" s="564" t="s">
        <v>2718</v>
      </c>
      <c r="B44" s="563" t="s">
        <v>2666</v>
      </c>
      <c r="C44" s="562"/>
      <c r="D44" s="562"/>
      <c r="E44" s="560">
        <v>1000</v>
      </c>
      <c r="F44" s="560">
        <v>450</v>
      </c>
      <c r="G44" s="560">
        <v>1800</v>
      </c>
      <c r="H44" s="560">
        <v>0</v>
      </c>
      <c r="I44" s="560">
        <v>0</v>
      </c>
      <c r="J44" s="561">
        <v>0</v>
      </c>
      <c r="K44" s="560">
        <v>1</v>
      </c>
      <c r="L44" s="602">
        <f t="shared" si="0"/>
        <v>0</v>
      </c>
      <c r="M44" s="558">
        <v>21</v>
      </c>
      <c r="N44" s="609">
        <f t="shared" si="1"/>
        <v>0</v>
      </c>
    </row>
    <row r="45" spans="1:14" ht="60">
      <c r="A45" s="564" t="s">
        <v>2717</v>
      </c>
      <c r="B45" s="594" t="s">
        <v>2789</v>
      </c>
      <c r="C45" s="562"/>
      <c r="D45" s="562"/>
      <c r="E45" s="560">
        <v>680</v>
      </c>
      <c r="F45" s="560">
        <v>520</v>
      </c>
      <c r="G45" s="560">
        <v>1030</v>
      </c>
      <c r="H45" s="560">
        <v>0.9</v>
      </c>
      <c r="I45" s="560">
        <v>0</v>
      </c>
      <c r="J45" s="561">
        <v>0</v>
      </c>
      <c r="K45" s="560">
        <v>4</v>
      </c>
      <c r="L45" s="602">
        <f t="shared" si="0"/>
        <v>0</v>
      </c>
      <c r="M45" s="558">
        <v>21</v>
      </c>
      <c r="N45" s="609">
        <f t="shared" si="1"/>
        <v>0</v>
      </c>
    </row>
    <row r="46" spans="1:14" ht="30">
      <c r="A46" s="564"/>
      <c r="B46" s="563" t="s">
        <v>2676</v>
      </c>
      <c r="C46" s="565"/>
      <c r="D46" s="560"/>
      <c r="E46" s="560"/>
      <c r="F46" s="560"/>
      <c r="G46" s="560"/>
      <c r="H46" s="560"/>
      <c r="I46" s="560"/>
      <c r="J46" s="578">
        <v>0</v>
      </c>
      <c r="K46" s="560">
        <v>1</v>
      </c>
      <c r="L46" s="602">
        <f t="shared" si="0"/>
        <v>0</v>
      </c>
      <c r="M46" s="558">
        <v>21</v>
      </c>
      <c r="N46" s="609">
        <f t="shared" si="1"/>
        <v>0</v>
      </c>
    </row>
    <row r="47" spans="1:14" ht="45">
      <c r="A47" s="564" t="s">
        <v>2716</v>
      </c>
      <c r="B47" s="563" t="s">
        <v>2715</v>
      </c>
      <c r="C47" s="562"/>
      <c r="D47" s="562"/>
      <c r="E47" s="560">
        <v>700</v>
      </c>
      <c r="F47" s="560">
        <v>560</v>
      </c>
      <c r="G47" s="560">
        <v>1640</v>
      </c>
      <c r="H47" s="560">
        <v>0</v>
      </c>
      <c r="I47" s="560">
        <v>0</v>
      </c>
      <c r="J47" s="561">
        <v>0</v>
      </c>
      <c r="K47" s="560">
        <v>4</v>
      </c>
      <c r="L47" s="602">
        <f t="shared" si="0"/>
        <v>0</v>
      </c>
      <c r="M47" s="558">
        <v>21</v>
      </c>
      <c r="N47" s="609">
        <f t="shared" si="1"/>
        <v>0</v>
      </c>
    </row>
    <row r="48" spans="1:14" ht="12">
      <c r="A48" s="568"/>
      <c r="B48" s="563" t="s">
        <v>2714</v>
      </c>
      <c r="C48" s="562"/>
      <c r="D48" s="562"/>
      <c r="E48" s="560">
        <v>500</v>
      </c>
      <c r="F48" s="560">
        <v>500</v>
      </c>
      <c r="G48" s="560">
        <v>100</v>
      </c>
      <c r="H48" s="560">
        <v>0</v>
      </c>
      <c r="I48" s="560">
        <v>0</v>
      </c>
      <c r="J48" s="561">
        <v>0</v>
      </c>
      <c r="K48" s="560">
        <v>12</v>
      </c>
      <c r="L48" s="602">
        <f t="shared" si="0"/>
        <v>0</v>
      </c>
      <c r="M48" s="558">
        <v>21</v>
      </c>
      <c r="N48" s="609">
        <f t="shared" si="1"/>
        <v>0</v>
      </c>
    </row>
    <row r="49" spans="1:14" ht="12">
      <c r="A49" s="568"/>
      <c r="B49" s="593" t="s">
        <v>2713</v>
      </c>
      <c r="C49" s="592"/>
      <c r="D49" s="592"/>
      <c r="E49" s="560">
        <v>688</v>
      </c>
      <c r="F49" s="560">
        <v>716</v>
      </c>
      <c r="G49" s="560">
        <v>100</v>
      </c>
      <c r="H49" s="560">
        <v>0</v>
      </c>
      <c r="I49" s="560">
        <v>0</v>
      </c>
      <c r="J49" s="561">
        <v>0</v>
      </c>
      <c r="K49" s="560">
        <v>3</v>
      </c>
      <c r="L49" s="602">
        <f t="shared" si="0"/>
        <v>0</v>
      </c>
      <c r="M49" s="558">
        <v>21</v>
      </c>
      <c r="N49" s="609">
        <f t="shared" si="1"/>
        <v>0</v>
      </c>
    </row>
    <row r="50" spans="1:14" ht="30">
      <c r="A50" s="564" t="s">
        <v>2712</v>
      </c>
      <c r="B50" s="563" t="s">
        <v>2666</v>
      </c>
      <c r="C50" s="562"/>
      <c r="D50" s="562"/>
      <c r="E50" s="560">
        <v>900</v>
      </c>
      <c r="F50" s="560">
        <v>400</v>
      </c>
      <c r="G50" s="560">
        <v>1800</v>
      </c>
      <c r="H50" s="562"/>
      <c r="I50" s="562"/>
      <c r="J50" s="561">
        <v>0</v>
      </c>
      <c r="K50" s="560">
        <v>1</v>
      </c>
      <c r="L50" s="602">
        <f t="shared" si="0"/>
        <v>0</v>
      </c>
      <c r="M50" s="558">
        <v>21</v>
      </c>
      <c r="N50" s="609">
        <f t="shared" si="1"/>
        <v>0</v>
      </c>
    </row>
    <row r="51" spans="1:14" ht="12">
      <c r="A51" s="564"/>
      <c r="B51" s="567" t="s">
        <v>2613</v>
      </c>
      <c r="C51" s="566"/>
      <c r="D51" s="566"/>
      <c r="E51" s="560"/>
      <c r="F51" s="560"/>
      <c r="G51" s="560"/>
      <c r="H51" s="562"/>
      <c r="I51" s="562"/>
      <c r="J51" s="561">
        <v>0</v>
      </c>
      <c r="K51" s="560"/>
      <c r="L51" s="602">
        <f t="shared" si="0"/>
        <v>0</v>
      </c>
      <c r="M51" s="558">
        <v>21</v>
      </c>
      <c r="N51" s="609">
        <f t="shared" si="1"/>
        <v>0</v>
      </c>
    </row>
    <row r="52" spans="1:14" ht="12">
      <c r="A52" s="568"/>
      <c r="B52" s="567" t="s">
        <v>2609</v>
      </c>
      <c r="C52" s="566"/>
      <c r="D52" s="566"/>
      <c r="E52" s="560"/>
      <c r="F52" s="560"/>
      <c r="G52" s="560"/>
      <c r="H52" s="560"/>
      <c r="I52" s="560"/>
      <c r="J52" s="561">
        <v>0</v>
      </c>
      <c r="K52" s="560"/>
      <c r="L52" s="602">
        <f t="shared" si="0"/>
        <v>0</v>
      </c>
      <c r="M52" s="558">
        <v>21</v>
      </c>
      <c r="N52" s="609">
        <f t="shared" si="1"/>
        <v>0</v>
      </c>
    </row>
    <row r="53" spans="1:14" ht="75">
      <c r="A53" s="564" t="s">
        <v>2711</v>
      </c>
      <c r="B53" s="563" t="s">
        <v>2710</v>
      </c>
      <c r="C53" s="562"/>
      <c r="D53" s="562"/>
      <c r="E53" s="560">
        <v>695</v>
      </c>
      <c r="F53" s="560">
        <v>810</v>
      </c>
      <c r="G53" s="560">
        <v>2020</v>
      </c>
      <c r="H53" s="560">
        <v>0.45</v>
      </c>
      <c r="I53" s="560">
        <v>0</v>
      </c>
      <c r="J53" s="561">
        <v>0</v>
      </c>
      <c r="K53" s="560">
        <v>2</v>
      </c>
      <c r="L53" s="602">
        <f t="shared" si="0"/>
        <v>0</v>
      </c>
      <c r="M53" s="558">
        <v>21</v>
      </c>
      <c r="N53" s="609">
        <f t="shared" si="1"/>
        <v>0</v>
      </c>
    </row>
    <row r="54" spans="1:14" ht="75">
      <c r="A54" s="564" t="s">
        <v>2709</v>
      </c>
      <c r="B54" s="563" t="s">
        <v>2679</v>
      </c>
      <c r="C54" s="562"/>
      <c r="D54" s="562"/>
      <c r="E54" s="560">
        <v>695</v>
      </c>
      <c r="F54" s="560">
        <v>810</v>
      </c>
      <c r="G54" s="560">
        <v>2020</v>
      </c>
      <c r="H54" s="560">
        <v>0.28</v>
      </c>
      <c r="I54" s="560">
        <v>0</v>
      </c>
      <c r="J54" s="561">
        <v>0</v>
      </c>
      <c r="K54" s="560">
        <v>4</v>
      </c>
      <c r="L54" s="602">
        <f t="shared" si="0"/>
        <v>0</v>
      </c>
      <c r="M54" s="558">
        <v>21</v>
      </c>
      <c r="N54" s="609">
        <f t="shared" si="1"/>
        <v>0</v>
      </c>
    </row>
    <row r="55" spans="1:14" ht="30">
      <c r="A55" s="564" t="s">
        <v>2708</v>
      </c>
      <c r="B55" s="563" t="s">
        <v>2666</v>
      </c>
      <c r="C55" s="562"/>
      <c r="D55" s="562"/>
      <c r="E55" s="560">
        <v>1000</v>
      </c>
      <c r="F55" s="560">
        <v>550</v>
      </c>
      <c r="G55" s="560">
        <v>1800</v>
      </c>
      <c r="H55" s="560">
        <v>0</v>
      </c>
      <c r="I55" s="560">
        <v>0</v>
      </c>
      <c r="J55" s="561">
        <v>0</v>
      </c>
      <c r="K55" s="560">
        <v>3</v>
      </c>
      <c r="L55" s="602">
        <f t="shared" si="0"/>
        <v>0</v>
      </c>
      <c r="M55" s="558">
        <v>21</v>
      </c>
      <c r="N55" s="609">
        <f t="shared" si="1"/>
        <v>0</v>
      </c>
    </row>
    <row r="56" spans="1:14" ht="30">
      <c r="A56" s="564" t="s">
        <v>2707</v>
      </c>
      <c r="B56" s="563" t="s">
        <v>2666</v>
      </c>
      <c r="C56" s="562"/>
      <c r="D56" s="562"/>
      <c r="E56" s="560">
        <v>1400</v>
      </c>
      <c r="F56" s="560">
        <v>550</v>
      </c>
      <c r="G56" s="560">
        <v>1800</v>
      </c>
      <c r="H56" s="560">
        <v>0</v>
      </c>
      <c r="I56" s="560">
        <v>0</v>
      </c>
      <c r="J56" s="561">
        <v>0</v>
      </c>
      <c r="K56" s="560">
        <v>1</v>
      </c>
      <c r="L56" s="602">
        <f t="shared" si="0"/>
        <v>0</v>
      </c>
      <c r="M56" s="558">
        <v>21</v>
      </c>
      <c r="N56" s="609">
        <f t="shared" si="1"/>
        <v>0</v>
      </c>
    </row>
    <row r="57" spans="1:14" ht="12">
      <c r="A57" s="568"/>
      <c r="B57" s="567" t="s">
        <v>2608</v>
      </c>
      <c r="C57" s="566"/>
      <c r="D57" s="566"/>
      <c r="E57" s="560"/>
      <c r="F57" s="560"/>
      <c r="G57" s="560"/>
      <c r="H57" s="560"/>
      <c r="I57" s="560"/>
      <c r="J57" s="561">
        <v>0</v>
      </c>
      <c r="K57" s="560"/>
      <c r="L57" s="602">
        <f t="shared" si="0"/>
        <v>0</v>
      </c>
      <c r="M57" s="558">
        <v>21</v>
      </c>
      <c r="N57" s="609">
        <f t="shared" si="1"/>
        <v>0</v>
      </c>
    </row>
    <row r="58" spans="1:14" ht="75">
      <c r="A58" s="564" t="s">
        <v>2706</v>
      </c>
      <c r="B58" s="563" t="s">
        <v>2679</v>
      </c>
      <c r="C58" s="562"/>
      <c r="D58" s="562"/>
      <c r="E58" s="560">
        <v>695</v>
      </c>
      <c r="F58" s="560">
        <v>810</v>
      </c>
      <c r="G58" s="560">
        <v>2020</v>
      </c>
      <c r="H58" s="560">
        <v>0.28</v>
      </c>
      <c r="I58" s="560">
        <v>0</v>
      </c>
      <c r="J58" s="561">
        <v>0</v>
      </c>
      <c r="K58" s="560">
        <v>1</v>
      </c>
      <c r="L58" s="602">
        <f t="shared" si="0"/>
        <v>0</v>
      </c>
      <c r="M58" s="558">
        <v>21</v>
      </c>
      <c r="N58" s="609">
        <f t="shared" si="1"/>
        <v>0</v>
      </c>
    </row>
    <row r="59" spans="1:14" ht="30">
      <c r="A59" s="564" t="s">
        <v>2705</v>
      </c>
      <c r="B59" s="563" t="s">
        <v>2704</v>
      </c>
      <c r="C59" s="562"/>
      <c r="D59" s="562"/>
      <c r="E59" s="560">
        <v>560</v>
      </c>
      <c r="F59" s="560">
        <v>385</v>
      </c>
      <c r="G59" s="560">
        <v>1640</v>
      </c>
      <c r="H59" s="560">
        <v>0</v>
      </c>
      <c r="I59" s="560">
        <v>0</v>
      </c>
      <c r="J59" s="561">
        <v>0</v>
      </c>
      <c r="K59" s="560">
        <v>2</v>
      </c>
      <c r="L59" s="602">
        <f t="shared" si="0"/>
        <v>0</v>
      </c>
      <c r="M59" s="558">
        <v>21</v>
      </c>
      <c r="N59" s="609">
        <f t="shared" si="1"/>
        <v>0</v>
      </c>
    </row>
    <row r="60" spans="1:14" ht="90">
      <c r="A60" s="564" t="s">
        <v>2703</v>
      </c>
      <c r="B60" s="563" t="s">
        <v>2702</v>
      </c>
      <c r="C60" s="560"/>
      <c r="D60" s="560"/>
      <c r="E60" s="562">
        <v>360</v>
      </c>
      <c r="F60" s="562">
        <v>460</v>
      </c>
      <c r="G60" s="562">
        <v>765</v>
      </c>
      <c r="H60" s="560">
        <v>0.1</v>
      </c>
      <c r="I60" s="560"/>
      <c r="J60" s="561">
        <v>0</v>
      </c>
      <c r="K60" s="560">
        <v>1</v>
      </c>
      <c r="L60" s="602">
        <f t="shared" si="0"/>
        <v>0</v>
      </c>
      <c r="M60" s="558">
        <v>21</v>
      </c>
      <c r="N60" s="609">
        <f t="shared" si="1"/>
        <v>0</v>
      </c>
    </row>
    <row r="61" spans="1:14" ht="12">
      <c r="A61" s="568"/>
      <c r="B61" s="567" t="s">
        <v>2607</v>
      </c>
      <c r="C61" s="566"/>
      <c r="D61" s="566"/>
      <c r="E61" s="560"/>
      <c r="F61" s="560"/>
      <c r="G61" s="560"/>
      <c r="H61" s="560"/>
      <c r="I61" s="560"/>
      <c r="J61" s="561">
        <v>0</v>
      </c>
      <c r="K61" s="560"/>
      <c r="L61" s="602">
        <f t="shared" si="0"/>
        <v>0</v>
      </c>
      <c r="M61" s="558">
        <v>21</v>
      </c>
      <c r="N61" s="609">
        <f t="shared" si="1"/>
        <v>0</v>
      </c>
    </row>
    <row r="62" spans="1:14" ht="30">
      <c r="A62" s="564" t="s">
        <v>2701</v>
      </c>
      <c r="B62" s="563" t="s">
        <v>2666</v>
      </c>
      <c r="C62" s="562"/>
      <c r="D62" s="562"/>
      <c r="E62" s="560">
        <v>700</v>
      </c>
      <c r="F62" s="560">
        <v>500</v>
      </c>
      <c r="G62" s="560">
        <v>1800</v>
      </c>
      <c r="H62" s="560">
        <v>0</v>
      </c>
      <c r="I62" s="560">
        <v>0</v>
      </c>
      <c r="J62" s="561">
        <v>0</v>
      </c>
      <c r="K62" s="560">
        <v>1</v>
      </c>
      <c r="L62" s="602">
        <f t="shared" si="0"/>
        <v>0</v>
      </c>
      <c r="M62" s="558">
        <v>21</v>
      </c>
      <c r="N62" s="609">
        <f t="shared" si="1"/>
        <v>0</v>
      </c>
    </row>
    <row r="63" spans="1:14" ht="75">
      <c r="A63" s="564" t="s">
        <v>2700</v>
      </c>
      <c r="B63" s="563" t="s">
        <v>2679</v>
      </c>
      <c r="C63" s="562"/>
      <c r="D63" s="562"/>
      <c r="E63" s="560">
        <v>695</v>
      </c>
      <c r="F63" s="560">
        <v>810</v>
      </c>
      <c r="G63" s="560">
        <v>2020</v>
      </c>
      <c r="H63" s="560">
        <v>0.28</v>
      </c>
      <c r="I63" s="560">
        <v>0</v>
      </c>
      <c r="J63" s="561">
        <v>0</v>
      </c>
      <c r="K63" s="560">
        <v>2</v>
      </c>
      <c r="L63" s="602">
        <f t="shared" si="0"/>
        <v>0</v>
      </c>
      <c r="M63" s="558">
        <v>21</v>
      </c>
      <c r="N63" s="609">
        <f t="shared" si="1"/>
        <v>0</v>
      </c>
    </row>
    <row r="64" spans="1:14" ht="60">
      <c r="A64" s="564" t="s">
        <v>2699</v>
      </c>
      <c r="B64" s="563" t="s">
        <v>2698</v>
      </c>
      <c r="C64" s="562"/>
      <c r="D64" s="562"/>
      <c r="E64" s="562">
        <v>350</v>
      </c>
      <c r="F64" s="562">
        <v>320</v>
      </c>
      <c r="G64" s="562">
        <v>590</v>
      </c>
      <c r="H64" s="562">
        <v>0.6</v>
      </c>
      <c r="I64" s="562">
        <v>0</v>
      </c>
      <c r="J64" s="561">
        <v>0</v>
      </c>
      <c r="K64" s="562">
        <v>1</v>
      </c>
      <c r="L64" s="602">
        <f t="shared" si="0"/>
        <v>0</v>
      </c>
      <c r="M64" s="558">
        <v>21</v>
      </c>
      <c r="N64" s="609">
        <f t="shared" si="1"/>
        <v>0</v>
      </c>
    </row>
    <row r="65" spans="1:14" ht="30">
      <c r="A65" s="564"/>
      <c r="B65" s="563" t="s">
        <v>2697</v>
      </c>
      <c r="C65" s="562"/>
      <c r="D65" s="562"/>
      <c r="E65" s="562"/>
      <c r="F65" s="562"/>
      <c r="G65" s="562"/>
      <c r="H65" s="562"/>
      <c r="I65" s="562"/>
      <c r="J65" s="561">
        <v>0</v>
      </c>
      <c r="K65" s="562">
        <v>1</v>
      </c>
      <c r="L65" s="602">
        <f t="shared" si="0"/>
        <v>0</v>
      </c>
      <c r="M65" s="558">
        <v>21</v>
      </c>
      <c r="N65" s="609">
        <f t="shared" si="1"/>
        <v>0</v>
      </c>
    </row>
    <row r="66" spans="1:14" ht="45">
      <c r="A66" s="564" t="s">
        <v>2696</v>
      </c>
      <c r="B66" s="572" t="s">
        <v>2662</v>
      </c>
      <c r="C66" s="591"/>
      <c r="D66" s="591"/>
      <c r="E66" s="560">
        <v>260</v>
      </c>
      <c r="F66" s="560">
        <v>287</v>
      </c>
      <c r="G66" s="560">
        <v>137</v>
      </c>
      <c r="H66" s="560">
        <v>0.01</v>
      </c>
      <c r="I66" s="560">
        <v>0</v>
      </c>
      <c r="J66" s="561">
        <v>0</v>
      </c>
      <c r="K66" s="562">
        <v>1</v>
      </c>
      <c r="L66" s="602">
        <f t="shared" si="0"/>
        <v>0</v>
      </c>
      <c r="M66" s="558">
        <v>21</v>
      </c>
      <c r="N66" s="609">
        <f t="shared" si="1"/>
        <v>0</v>
      </c>
    </row>
    <row r="67" spans="1:14" ht="60">
      <c r="A67" s="564" t="s">
        <v>2695</v>
      </c>
      <c r="B67" s="604" t="s">
        <v>2790</v>
      </c>
      <c r="C67" s="562"/>
      <c r="D67" s="562"/>
      <c r="E67" s="562">
        <v>535</v>
      </c>
      <c r="F67" s="562">
        <v>570</v>
      </c>
      <c r="G67" s="562">
        <v>410</v>
      </c>
      <c r="H67" s="562">
        <v>0.147</v>
      </c>
      <c r="I67" s="562"/>
      <c r="J67" s="561">
        <v>0</v>
      </c>
      <c r="K67" s="562">
        <v>1</v>
      </c>
      <c r="L67" s="602">
        <f t="shared" si="0"/>
        <v>0</v>
      </c>
      <c r="M67" s="558">
        <v>21</v>
      </c>
      <c r="N67" s="609">
        <f t="shared" si="1"/>
        <v>0</v>
      </c>
    </row>
    <row r="68" spans="1:14" ht="12">
      <c r="A68" s="568"/>
      <c r="B68" s="567" t="s">
        <v>2599</v>
      </c>
      <c r="C68" s="566"/>
      <c r="D68" s="566"/>
      <c r="E68" s="560"/>
      <c r="F68" s="560"/>
      <c r="G68" s="560"/>
      <c r="H68" s="560"/>
      <c r="I68" s="560"/>
      <c r="J68" s="561">
        <v>0</v>
      </c>
      <c r="K68" s="560"/>
      <c r="L68" s="602">
        <f aca="true" t="shared" si="2" ref="L68:L91">K68*J68</f>
        <v>0</v>
      </c>
      <c r="M68" s="558">
        <v>21</v>
      </c>
      <c r="N68" s="609">
        <f aca="true" t="shared" si="3" ref="N68:N91">L68*(1+(M68/100))</f>
        <v>0</v>
      </c>
    </row>
    <row r="69" spans="1:14" ht="30">
      <c r="A69" s="564" t="s">
        <v>2694</v>
      </c>
      <c r="B69" s="563" t="s">
        <v>2666</v>
      </c>
      <c r="C69" s="562"/>
      <c r="D69" s="562"/>
      <c r="E69" s="560">
        <v>1100</v>
      </c>
      <c r="F69" s="560">
        <v>500</v>
      </c>
      <c r="G69" s="560">
        <v>1800</v>
      </c>
      <c r="H69" s="560">
        <v>0</v>
      </c>
      <c r="I69" s="560">
        <v>0</v>
      </c>
      <c r="J69" s="561">
        <v>0</v>
      </c>
      <c r="K69" s="560">
        <v>1</v>
      </c>
      <c r="L69" s="602">
        <f t="shared" si="2"/>
        <v>0</v>
      </c>
      <c r="M69" s="558">
        <v>21</v>
      </c>
      <c r="N69" s="609">
        <f t="shared" si="3"/>
        <v>0</v>
      </c>
    </row>
    <row r="70" spans="1:14" ht="66" customHeight="1">
      <c r="A70" s="564" t="s">
        <v>2693</v>
      </c>
      <c r="B70" s="563" t="s">
        <v>2692</v>
      </c>
      <c r="C70" s="562"/>
      <c r="D70" s="562"/>
      <c r="E70" s="560">
        <v>1000</v>
      </c>
      <c r="F70" s="560">
        <v>700</v>
      </c>
      <c r="G70" s="560">
        <v>750</v>
      </c>
      <c r="H70" s="560"/>
      <c r="I70" s="560"/>
      <c r="J70" s="561">
        <v>0</v>
      </c>
      <c r="K70" s="560">
        <v>1</v>
      </c>
      <c r="L70" s="602">
        <f t="shared" si="2"/>
        <v>0</v>
      </c>
      <c r="M70" s="558">
        <v>21</v>
      </c>
      <c r="N70" s="609">
        <f t="shared" si="3"/>
        <v>0</v>
      </c>
    </row>
    <row r="71" spans="1:14" ht="40.5" customHeight="1">
      <c r="A71" s="564" t="s">
        <v>2691</v>
      </c>
      <c r="B71" s="563" t="s">
        <v>2690</v>
      </c>
      <c r="C71" s="562"/>
      <c r="D71" s="562"/>
      <c r="E71" s="560">
        <v>905</v>
      </c>
      <c r="F71" s="560">
        <v>605</v>
      </c>
      <c r="G71" s="560">
        <v>950</v>
      </c>
      <c r="H71" s="560"/>
      <c r="I71" s="560"/>
      <c r="J71" s="561">
        <v>0</v>
      </c>
      <c r="K71" s="560">
        <v>1</v>
      </c>
      <c r="L71" s="602">
        <f t="shared" si="2"/>
        <v>0</v>
      </c>
      <c r="M71" s="558">
        <v>21</v>
      </c>
      <c r="N71" s="609">
        <f t="shared" si="3"/>
        <v>0</v>
      </c>
    </row>
    <row r="72" spans="1:14" ht="12">
      <c r="A72" s="568"/>
      <c r="B72" s="567" t="s">
        <v>2595</v>
      </c>
      <c r="C72" s="566"/>
      <c r="D72" s="566"/>
      <c r="E72" s="560"/>
      <c r="F72" s="560"/>
      <c r="G72" s="560"/>
      <c r="H72" s="560"/>
      <c r="I72" s="560"/>
      <c r="J72" s="561">
        <v>0</v>
      </c>
      <c r="K72" s="560"/>
      <c r="L72" s="602">
        <f t="shared" si="2"/>
        <v>0</v>
      </c>
      <c r="M72" s="558">
        <v>21</v>
      </c>
      <c r="N72" s="609">
        <f t="shared" si="3"/>
        <v>0</v>
      </c>
    </row>
    <row r="73" spans="1:14" ht="30">
      <c r="A73" s="564" t="s">
        <v>2689</v>
      </c>
      <c r="B73" s="563" t="s">
        <v>2666</v>
      </c>
      <c r="C73" s="562"/>
      <c r="D73" s="562"/>
      <c r="E73" s="560">
        <v>1300</v>
      </c>
      <c r="F73" s="560">
        <v>500</v>
      </c>
      <c r="G73" s="560">
        <v>1800</v>
      </c>
      <c r="H73" s="560">
        <v>0</v>
      </c>
      <c r="I73" s="560">
        <v>0</v>
      </c>
      <c r="J73" s="561">
        <v>0</v>
      </c>
      <c r="K73" s="560">
        <v>1</v>
      </c>
      <c r="L73" s="602">
        <f t="shared" si="2"/>
        <v>0</v>
      </c>
      <c r="M73" s="558">
        <v>21</v>
      </c>
      <c r="N73" s="609">
        <f t="shared" si="3"/>
        <v>0</v>
      </c>
    </row>
    <row r="74" spans="1:14" ht="75">
      <c r="A74" s="564" t="s">
        <v>2688</v>
      </c>
      <c r="B74" s="563" t="s">
        <v>2679</v>
      </c>
      <c r="C74" s="562"/>
      <c r="D74" s="562"/>
      <c r="E74" s="560">
        <v>695</v>
      </c>
      <c r="F74" s="560">
        <v>810</v>
      </c>
      <c r="G74" s="560">
        <v>2020</v>
      </c>
      <c r="H74" s="560">
        <v>0.28</v>
      </c>
      <c r="I74" s="560">
        <v>0</v>
      </c>
      <c r="J74" s="561">
        <v>0</v>
      </c>
      <c r="K74" s="560">
        <v>1</v>
      </c>
      <c r="L74" s="602">
        <f t="shared" si="2"/>
        <v>0</v>
      </c>
      <c r="M74" s="558">
        <v>21</v>
      </c>
      <c r="N74" s="609">
        <f t="shared" si="3"/>
        <v>0</v>
      </c>
    </row>
    <row r="75" spans="1:14" ht="12">
      <c r="A75" s="568"/>
      <c r="B75" s="567" t="s">
        <v>2594</v>
      </c>
      <c r="C75" s="566"/>
      <c r="D75" s="566"/>
      <c r="E75" s="560"/>
      <c r="F75" s="560"/>
      <c r="G75" s="560"/>
      <c r="H75" s="560"/>
      <c r="I75" s="560"/>
      <c r="J75" s="561">
        <v>0</v>
      </c>
      <c r="K75" s="560"/>
      <c r="L75" s="602">
        <f t="shared" si="2"/>
        <v>0</v>
      </c>
      <c r="M75" s="558">
        <v>21</v>
      </c>
      <c r="N75" s="609">
        <f t="shared" si="3"/>
        <v>0</v>
      </c>
    </row>
    <row r="76" spans="1:14" ht="30">
      <c r="A76" s="564" t="s">
        <v>2687</v>
      </c>
      <c r="B76" s="563" t="s">
        <v>2666</v>
      </c>
      <c r="C76" s="562"/>
      <c r="D76" s="562"/>
      <c r="E76" s="560">
        <v>1400</v>
      </c>
      <c r="F76" s="560">
        <v>500</v>
      </c>
      <c r="G76" s="560">
        <v>1800</v>
      </c>
      <c r="H76" s="560">
        <v>0</v>
      </c>
      <c r="I76" s="560">
        <v>0</v>
      </c>
      <c r="J76" s="561">
        <v>0</v>
      </c>
      <c r="K76" s="560">
        <v>1</v>
      </c>
      <c r="L76" s="602">
        <f t="shared" si="2"/>
        <v>0</v>
      </c>
      <c r="M76" s="558">
        <v>21</v>
      </c>
      <c r="N76" s="609">
        <f t="shared" si="3"/>
        <v>0</v>
      </c>
    </row>
    <row r="77" spans="1:14" ht="30">
      <c r="A77" s="564" t="s">
        <v>2686</v>
      </c>
      <c r="B77" s="563" t="s">
        <v>2666</v>
      </c>
      <c r="C77" s="562"/>
      <c r="D77" s="562"/>
      <c r="E77" s="560">
        <v>1200</v>
      </c>
      <c r="F77" s="560">
        <v>500</v>
      </c>
      <c r="G77" s="560">
        <v>1800</v>
      </c>
      <c r="H77" s="560">
        <v>0</v>
      </c>
      <c r="I77" s="560">
        <v>0</v>
      </c>
      <c r="J77" s="561">
        <v>0</v>
      </c>
      <c r="K77" s="560">
        <v>1</v>
      </c>
      <c r="L77" s="602">
        <f t="shared" si="2"/>
        <v>0</v>
      </c>
      <c r="M77" s="558">
        <v>21</v>
      </c>
      <c r="N77" s="609">
        <f t="shared" si="3"/>
        <v>0</v>
      </c>
    </row>
    <row r="78" spans="1:14" ht="30">
      <c r="A78" s="564" t="s">
        <v>2685</v>
      </c>
      <c r="B78" s="563" t="s">
        <v>2666</v>
      </c>
      <c r="C78" s="562"/>
      <c r="D78" s="562"/>
      <c r="E78" s="560">
        <v>1000</v>
      </c>
      <c r="F78" s="560">
        <v>500</v>
      </c>
      <c r="G78" s="560">
        <v>1800</v>
      </c>
      <c r="H78" s="560">
        <v>0</v>
      </c>
      <c r="I78" s="560">
        <v>0</v>
      </c>
      <c r="J78" s="561">
        <v>0</v>
      </c>
      <c r="K78" s="560">
        <v>4</v>
      </c>
      <c r="L78" s="602">
        <f t="shared" si="2"/>
        <v>0</v>
      </c>
      <c r="M78" s="558">
        <v>21</v>
      </c>
      <c r="N78" s="609">
        <f t="shared" si="3"/>
        <v>0</v>
      </c>
    </row>
    <row r="79" spans="1:14" ht="12">
      <c r="A79" s="568"/>
      <c r="B79" s="567" t="s">
        <v>2593</v>
      </c>
      <c r="C79" s="566"/>
      <c r="D79" s="566"/>
      <c r="E79" s="560"/>
      <c r="F79" s="560"/>
      <c r="G79" s="560"/>
      <c r="H79" s="560"/>
      <c r="I79" s="560"/>
      <c r="J79" s="561">
        <v>0</v>
      </c>
      <c r="K79" s="560"/>
      <c r="L79" s="602">
        <f t="shared" si="2"/>
        <v>0</v>
      </c>
      <c r="M79" s="558">
        <v>21</v>
      </c>
      <c r="N79" s="609">
        <f t="shared" si="3"/>
        <v>0</v>
      </c>
    </row>
    <row r="80" spans="1:14" ht="30">
      <c r="A80" s="564" t="s">
        <v>2684</v>
      </c>
      <c r="B80" s="563" t="s">
        <v>2683</v>
      </c>
      <c r="C80" s="562"/>
      <c r="D80" s="562"/>
      <c r="E80" s="560">
        <v>808</v>
      </c>
      <c r="F80" s="560">
        <v>685</v>
      </c>
      <c r="G80" s="560">
        <v>720</v>
      </c>
      <c r="H80" s="560">
        <v>0.8</v>
      </c>
      <c r="I80" s="560">
        <v>0</v>
      </c>
      <c r="J80" s="561">
        <v>0</v>
      </c>
      <c r="K80" s="560">
        <v>2</v>
      </c>
      <c r="L80" s="602">
        <f t="shared" si="2"/>
        <v>0</v>
      </c>
      <c r="M80" s="558">
        <v>21</v>
      </c>
      <c r="N80" s="609">
        <f t="shared" si="3"/>
        <v>0</v>
      </c>
    </row>
    <row r="81" spans="1:14" ht="12">
      <c r="A81" s="564" t="s">
        <v>2682</v>
      </c>
      <c r="B81" s="563" t="s">
        <v>2681</v>
      </c>
      <c r="C81" s="562"/>
      <c r="D81" s="562"/>
      <c r="E81" s="560">
        <v>900</v>
      </c>
      <c r="F81" s="560">
        <v>700</v>
      </c>
      <c r="G81" s="560">
        <v>900</v>
      </c>
      <c r="H81" s="560"/>
      <c r="I81" s="560"/>
      <c r="J81" s="561">
        <v>0</v>
      </c>
      <c r="K81" s="560">
        <v>2</v>
      </c>
      <c r="L81" s="602">
        <f t="shared" si="2"/>
        <v>0</v>
      </c>
      <c r="M81" s="558">
        <v>21</v>
      </c>
      <c r="N81" s="609">
        <f t="shared" si="3"/>
        <v>0</v>
      </c>
    </row>
    <row r="82" spans="1:14" ht="75">
      <c r="A82" s="564" t="s">
        <v>2680</v>
      </c>
      <c r="B82" s="563" t="s">
        <v>2679</v>
      </c>
      <c r="C82" s="562"/>
      <c r="D82" s="562"/>
      <c r="E82" s="560">
        <v>695</v>
      </c>
      <c r="F82" s="560">
        <v>810</v>
      </c>
      <c r="G82" s="560">
        <v>2020</v>
      </c>
      <c r="H82" s="560">
        <v>0.28</v>
      </c>
      <c r="I82" s="560">
        <v>0</v>
      </c>
      <c r="J82" s="561">
        <v>0</v>
      </c>
      <c r="K82" s="560">
        <v>1</v>
      </c>
      <c r="L82" s="602">
        <f t="shared" si="2"/>
        <v>0</v>
      </c>
      <c r="M82" s="558">
        <v>21</v>
      </c>
      <c r="N82" s="609">
        <f t="shared" si="3"/>
        <v>0</v>
      </c>
    </row>
    <row r="83" spans="1:14" ht="12">
      <c r="A83" s="564" t="s">
        <v>2678</v>
      </c>
      <c r="B83" s="563" t="s">
        <v>2677</v>
      </c>
      <c r="C83" s="562"/>
      <c r="D83" s="562"/>
      <c r="E83" s="560">
        <v>1700</v>
      </c>
      <c r="F83" s="560">
        <v>700</v>
      </c>
      <c r="G83" s="560">
        <v>900</v>
      </c>
      <c r="H83" s="560">
        <v>0</v>
      </c>
      <c r="I83" s="560">
        <v>0</v>
      </c>
      <c r="J83" s="561">
        <v>0</v>
      </c>
      <c r="K83" s="560">
        <v>1</v>
      </c>
      <c r="L83" s="602">
        <f t="shared" si="2"/>
        <v>0</v>
      </c>
      <c r="M83" s="558">
        <v>21</v>
      </c>
      <c r="N83" s="609">
        <f t="shared" si="3"/>
        <v>0</v>
      </c>
    </row>
    <row r="84" spans="1:14" ht="30">
      <c r="A84" s="564"/>
      <c r="B84" s="563" t="s">
        <v>2676</v>
      </c>
      <c r="C84" s="565"/>
      <c r="D84" s="560"/>
      <c r="E84" s="560"/>
      <c r="F84" s="560"/>
      <c r="G84" s="560"/>
      <c r="H84" s="560"/>
      <c r="I84" s="560"/>
      <c r="J84" s="578">
        <v>0</v>
      </c>
      <c r="K84" s="560">
        <v>1</v>
      </c>
      <c r="L84" s="602">
        <f t="shared" si="2"/>
        <v>0</v>
      </c>
      <c r="M84" s="558">
        <v>21</v>
      </c>
      <c r="N84" s="609">
        <f t="shared" si="3"/>
        <v>0</v>
      </c>
    </row>
    <row r="85" spans="1:14" ht="12">
      <c r="A85" s="564" t="s">
        <v>2675</v>
      </c>
      <c r="B85" s="563" t="s">
        <v>2674</v>
      </c>
      <c r="C85" s="562"/>
      <c r="D85" s="562"/>
      <c r="E85" s="560">
        <v>1000</v>
      </c>
      <c r="F85" s="560">
        <v>650</v>
      </c>
      <c r="G85" s="560">
        <v>900</v>
      </c>
      <c r="H85" s="560">
        <v>0.1</v>
      </c>
      <c r="I85" s="560">
        <v>0</v>
      </c>
      <c r="J85" s="561">
        <v>0</v>
      </c>
      <c r="K85" s="560">
        <v>1</v>
      </c>
      <c r="L85" s="602">
        <f t="shared" si="2"/>
        <v>0</v>
      </c>
      <c r="M85" s="558">
        <v>21</v>
      </c>
      <c r="N85" s="609">
        <f t="shared" si="3"/>
        <v>0</v>
      </c>
    </row>
    <row r="86" spans="1:14" ht="75">
      <c r="A86" s="564" t="s">
        <v>2673</v>
      </c>
      <c r="B86" s="571" t="s">
        <v>2672</v>
      </c>
      <c r="C86" s="562"/>
      <c r="D86" s="562"/>
      <c r="E86" s="560">
        <v>650</v>
      </c>
      <c r="F86" s="560">
        <v>590</v>
      </c>
      <c r="G86" s="560">
        <v>1900</v>
      </c>
      <c r="H86" s="560">
        <v>0.28</v>
      </c>
      <c r="I86" s="560">
        <v>0</v>
      </c>
      <c r="J86" s="561">
        <v>0</v>
      </c>
      <c r="K86" s="560">
        <v>1</v>
      </c>
      <c r="L86" s="602">
        <f t="shared" si="2"/>
        <v>0</v>
      </c>
      <c r="M86" s="558">
        <v>21</v>
      </c>
      <c r="N86" s="609">
        <f t="shared" si="3"/>
        <v>0</v>
      </c>
    </row>
    <row r="87" spans="1:14" ht="12">
      <c r="A87" s="564" t="s">
        <v>2671</v>
      </c>
      <c r="B87" s="563" t="s">
        <v>2670</v>
      </c>
      <c r="C87" s="562"/>
      <c r="D87" s="562"/>
      <c r="E87" s="560">
        <v>800</v>
      </c>
      <c r="F87" s="560">
        <v>700</v>
      </c>
      <c r="G87" s="560">
        <v>900</v>
      </c>
      <c r="H87" s="560">
        <v>0</v>
      </c>
      <c r="I87" s="560">
        <v>0</v>
      </c>
      <c r="J87" s="561">
        <v>0</v>
      </c>
      <c r="K87" s="560">
        <v>1</v>
      </c>
      <c r="L87" s="602">
        <f t="shared" si="2"/>
        <v>0</v>
      </c>
      <c r="M87" s="558">
        <v>21</v>
      </c>
      <c r="N87" s="609">
        <f t="shared" si="3"/>
        <v>0</v>
      </c>
    </row>
    <row r="88" spans="1:14" ht="12">
      <c r="A88" s="564" t="s">
        <v>2669</v>
      </c>
      <c r="B88" s="563" t="s">
        <v>2668</v>
      </c>
      <c r="C88" s="562"/>
      <c r="D88" s="562"/>
      <c r="E88" s="560">
        <v>0</v>
      </c>
      <c r="F88" s="560">
        <v>0</v>
      </c>
      <c r="G88" s="560">
        <v>0</v>
      </c>
      <c r="H88" s="560">
        <v>3</v>
      </c>
      <c r="I88" s="560">
        <v>0</v>
      </c>
      <c r="J88" s="561">
        <v>0</v>
      </c>
      <c r="K88" s="560">
        <v>1</v>
      </c>
      <c r="L88" s="602">
        <f t="shared" si="2"/>
        <v>0</v>
      </c>
      <c r="M88" s="558">
        <v>21</v>
      </c>
      <c r="N88" s="609">
        <f t="shared" si="3"/>
        <v>0</v>
      </c>
    </row>
    <row r="89" spans="1:14" ht="30">
      <c r="A89" s="564" t="s">
        <v>2667</v>
      </c>
      <c r="B89" s="563" t="s">
        <v>2666</v>
      </c>
      <c r="C89" s="562"/>
      <c r="D89" s="562"/>
      <c r="E89" s="560">
        <v>1300</v>
      </c>
      <c r="F89" s="560">
        <v>600</v>
      </c>
      <c r="G89" s="560">
        <v>1500</v>
      </c>
      <c r="H89" s="560">
        <v>0</v>
      </c>
      <c r="I89" s="560">
        <v>0</v>
      </c>
      <c r="J89" s="561">
        <v>0</v>
      </c>
      <c r="K89" s="560">
        <v>1</v>
      </c>
      <c r="L89" s="602">
        <f t="shared" si="2"/>
        <v>0</v>
      </c>
      <c r="M89" s="558">
        <v>21</v>
      </c>
      <c r="N89" s="609">
        <f t="shared" si="3"/>
        <v>0</v>
      </c>
    </row>
    <row r="90" spans="1:14" ht="30">
      <c r="A90" s="564" t="s">
        <v>2665</v>
      </c>
      <c r="B90" s="563" t="s">
        <v>2664</v>
      </c>
      <c r="C90" s="562"/>
      <c r="D90" s="562"/>
      <c r="E90" s="560">
        <v>1960</v>
      </c>
      <c r="F90" s="560">
        <v>700</v>
      </c>
      <c r="G90" s="560">
        <v>900</v>
      </c>
      <c r="H90" s="560"/>
      <c r="I90" s="560"/>
      <c r="J90" s="561">
        <v>0</v>
      </c>
      <c r="K90" s="560">
        <v>1</v>
      </c>
      <c r="L90" s="602">
        <f t="shared" si="2"/>
        <v>0</v>
      </c>
      <c r="M90" s="558">
        <v>21</v>
      </c>
      <c r="N90" s="609">
        <f t="shared" si="3"/>
        <v>0</v>
      </c>
    </row>
    <row r="91" spans="1:14" ht="69.75" customHeight="1" thickBot="1">
      <c r="A91" s="556" t="s">
        <v>2663</v>
      </c>
      <c r="B91" s="590" t="s">
        <v>2662</v>
      </c>
      <c r="C91" s="589"/>
      <c r="D91" s="589"/>
      <c r="E91" s="553">
        <v>260</v>
      </c>
      <c r="F91" s="553">
        <v>287</v>
      </c>
      <c r="G91" s="553">
        <v>137</v>
      </c>
      <c r="H91" s="553">
        <v>0.01</v>
      </c>
      <c r="I91" s="553">
        <v>0</v>
      </c>
      <c r="J91" s="554">
        <v>0</v>
      </c>
      <c r="K91" s="555">
        <v>1</v>
      </c>
      <c r="L91" s="611">
        <f t="shared" si="2"/>
        <v>0</v>
      </c>
      <c r="M91" s="551">
        <v>21</v>
      </c>
      <c r="N91" s="612">
        <f t="shared" si="3"/>
        <v>0</v>
      </c>
    </row>
    <row r="92" spans="2:14" ht="16.5" customHeight="1">
      <c r="B92" s="549" t="s">
        <v>2583</v>
      </c>
      <c r="C92" s="546"/>
      <c r="D92" s="546"/>
      <c r="J92" s="613"/>
      <c r="L92" s="548">
        <f>SUM(L4:L91)</f>
        <v>0</v>
      </c>
      <c r="N92" s="548">
        <f>SUM(N4:N91)</f>
        <v>0</v>
      </c>
    </row>
    <row r="93" spans="2:14" ht="16.5" customHeight="1">
      <c r="B93" s="547"/>
      <c r="C93" s="546"/>
      <c r="D93" s="546"/>
      <c r="J93" s="613"/>
      <c r="L93" s="605"/>
      <c r="M93" s="545"/>
      <c r="N93" s="605"/>
    </row>
    <row r="94" ht="15.75" thickBot="1">
      <c r="J94" s="613"/>
    </row>
    <row r="95" spans="2:10" ht="12">
      <c r="B95" s="544" t="s">
        <v>2582</v>
      </c>
      <c r="J95" s="613"/>
    </row>
    <row r="96" spans="2:12" ht="30.75" thickBot="1">
      <c r="B96" s="543" t="s">
        <v>2581</v>
      </c>
      <c r="J96" s="613"/>
      <c r="L96" s="542"/>
    </row>
  </sheetData>
  <sheetProtection algorithmName="SHA-512" hashValue="C9WC165BliDbdMI4CdCfHSUtXifExCrsVXIoTTN8aMsSbrIpp6iE4xfzhV1ypeHEoXzVrcqj/zr2jh2k8uZRVA==" saltValue="Wxbqo3UnKnooXfBOAUljZg==" spinCount="100000" sheet="1" objects="1" scenarios="1"/>
  <printOptions horizontalCentered="1"/>
  <pageMargins left="0.5118110236220472" right="0.5118110236220472" top="0.7874015748031497" bottom="0.7874015748031497" header="0.31496062992125984" footer="0.31496062992125984"/>
  <pageSetup fitToHeight="9" fitToWidth="1" horizontalDpi="600" verticalDpi="600" orientation="landscape" paperSize="8" scale="83" r:id="rId1"/>
  <headerFooter>
    <oddHeader>&amp;LČeská republika - Úřad vlády ČRGastroprovoz Úřadu vlády ČR v 1.PP Strakovy akademie&amp;CSeznam strojů a zařízení bez pevného spojení se stavbou&amp;R11/2019</oddHeader>
    <oddFooter>&amp;C&amp;P/&amp;N&amp;RD.2.2.1</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pageSetUpPr fitToPage="1"/>
  </sheetPr>
  <dimension ref="A2:BM97"/>
  <sheetViews>
    <sheetView showGridLines="0" workbookViewId="0" topLeftCell="A75">
      <selection activeCell="J33" sqref="J33"/>
    </sheetView>
  </sheetViews>
  <sheetFormatPr defaultColWidth="9.140625" defaultRowHeight="12"/>
  <cols>
    <col min="1" max="1" width="8.8515625" style="1" customWidth="1"/>
    <col min="2" max="2" width="1.1484375" style="1" customWidth="1"/>
    <col min="3" max="4" width="4.421875" style="1" customWidth="1"/>
    <col min="5" max="5" width="18.28125" style="1" customWidth="1"/>
    <col min="6" max="6" width="108.00390625" style="1" customWidth="1"/>
    <col min="7" max="7" width="8.00390625" style="1" customWidth="1"/>
    <col min="8" max="8" width="12.28125" style="1" customWidth="1"/>
    <col min="9" max="11" width="21.421875" style="1" customWidth="1"/>
    <col min="12" max="12" width="10.00390625" style="1" customWidth="1"/>
    <col min="13" max="13" width="11.421875" style="1" hidden="1" customWidth="1"/>
    <col min="14" max="14" width="9.140625" style="1" hidden="1" customWidth="1"/>
    <col min="15" max="20" width="15.140625" style="1" hidden="1" customWidth="1"/>
    <col min="21" max="21" width="17.421875" style="1" hidden="1" customWidth="1"/>
    <col min="22" max="22" width="13.140625" style="1" customWidth="1"/>
    <col min="23" max="23" width="17.421875" style="1" customWidth="1"/>
    <col min="24" max="24" width="13.140625" style="1" customWidth="1"/>
    <col min="25" max="25" width="16.00390625" style="1" customWidth="1"/>
    <col min="26" max="26" width="11.7109375" style="1" customWidth="1"/>
    <col min="27" max="27" width="16.00390625" style="1" customWidth="1"/>
    <col min="28" max="28" width="17.421875" style="1" customWidth="1"/>
    <col min="29" max="29" width="11.7109375" style="1" customWidth="1"/>
    <col min="30" max="30" width="16.00390625" style="1" customWidth="1"/>
    <col min="31" max="31" width="17.421875" style="1" customWidth="1"/>
    <col min="44" max="65" width="9.140625" style="1" hidden="1" customWidth="1"/>
  </cols>
  <sheetData>
    <row r="1" ht="12"/>
    <row r="2" spans="12:46" s="1" customFormat="1" ht="36.95" customHeight="1">
      <c r="L2" s="682"/>
      <c r="M2" s="682"/>
      <c r="N2" s="682"/>
      <c r="O2" s="682"/>
      <c r="P2" s="682"/>
      <c r="Q2" s="682"/>
      <c r="R2" s="682"/>
      <c r="S2" s="682"/>
      <c r="T2" s="682"/>
      <c r="U2" s="682"/>
      <c r="V2" s="682"/>
      <c r="AT2" s="15" t="s">
        <v>123</v>
      </c>
    </row>
    <row r="3" spans="2:46" s="1" customFormat="1" ht="6.95" customHeight="1">
      <c r="B3" s="106"/>
      <c r="C3" s="107"/>
      <c r="D3" s="107"/>
      <c r="E3" s="107"/>
      <c r="F3" s="107"/>
      <c r="G3" s="107"/>
      <c r="H3" s="107"/>
      <c r="I3" s="107"/>
      <c r="J3" s="107"/>
      <c r="K3" s="107"/>
      <c r="L3" s="18"/>
      <c r="AT3" s="15" t="s">
        <v>79</v>
      </c>
    </row>
    <row r="4" spans="2:46" s="1" customFormat="1" ht="24.95" customHeight="1">
      <c r="B4" s="18"/>
      <c r="D4" s="108" t="s">
        <v>141</v>
      </c>
      <c r="L4" s="18"/>
      <c r="M4" s="109" t="s">
        <v>10</v>
      </c>
      <c r="AT4" s="15" t="s">
        <v>4</v>
      </c>
    </row>
    <row r="5" spans="2:12" s="1" customFormat="1" ht="6.95" customHeight="1">
      <c r="B5" s="18"/>
      <c r="L5" s="18"/>
    </row>
    <row r="6" spans="2:12" s="1" customFormat="1" ht="12" customHeight="1">
      <c r="B6" s="18"/>
      <c r="D6" s="110" t="s">
        <v>16</v>
      </c>
      <c r="L6" s="18"/>
    </row>
    <row r="7" spans="2:12" s="1" customFormat="1" ht="14.45" customHeight="1">
      <c r="B7" s="18"/>
      <c r="E7" s="702" t="str">
        <f>'Rekapitulace stavby'!K6</f>
        <v>Úpravy gastroprovozu Úřadu vlády ČR v 1.pp Strakovy akademie</v>
      </c>
      <c r="F7" s="703"/>
      <c r="G7" s="703"/>
      <c r="H7" s="703"/>
      <c r="L7" s="18"/>
    </row>
    <row r="8" spans="2:12" ht="12.75">
      <c r="B8" s="18"/>
      <c r="D8" s="110" t="s">
        <v>142</v>
      </c>
      <c r="L8" s="18"/>
    </row>
    <row r="9" spans="2:12" s="1" customFormat="1" ht="14.45" customHeight="1">
      <c r="B9" s="18"/>
      <c r="E9" s="702" t="s">
        <v>1429</v>
      </c>
      <c r="F9" s="682"/>
      <c r="G9" s="682"/>
      <c r="H9" s="682"/>
      <c r="L9" s="18"/>
    </row>
    <row r="10" spans="2:12" s="1" customFormat="1" ht="12" customHeight="1">
      <c r="B10" s="18"/>
      <c r="D10" s="110" t="s">
        <v>144</v>
      </c>
      <c r="L10" s="18"/>
    </row>
    <row r="11" spans="1:31" s="2" customFormat="1" ht="14.45" customHeight="1">
      <c r="A11" s="32"/>
      <c r="B11" s="37"/>
      <c r="C11" s="32"/>
      <c r="D11" s="32"/>
      <c r="E11" s="747" t="s">
        <v>1472</v>
      </c>
      <c r="F11" s="704"/>
      <c r="G11" s="704"/>
      <c r="H11" s="704"/>
      <c r="I11" s="32"/>
      <c r="J11" s="32"/>
      <c r="K11" s="32"/>
      <c r="L11" s="111"/>
      <c r="S11" s="32"/>
      <c r="T11" s="32"/>
      <c r="U11" s="32"/>
      <c r="V11" s="32"/>
      <c r="W11" s="32"/>
      <c r="X11" s="32"/>
      <c r="Y11" s="32"/>
      <c r="Z11" s="32"/>
      <c r="AA11" s="32"/>
      <c r="AB11" s="32"/>
      <c r="AC11" s="32"/>
      <c r="AD11" s="32"/>
      <c r="AE11" s="32"/>
    </row>
    <row r="12" spans="1:31" s="2" customFormat="1" ht="12" customHeight="1">
      <c r="A12" s="32"/>
      <c r="B12" s="37"/>
      <c r="C12" s="32"/>
      <c r="D12" s="110" t="s">
        <v>1450</v>
      </c>
      <c r="E12" s="32"/>
      <c r="F12" s="32"/>
      <c r="G12" s="32"/>
      <c r="H12" s="32"/>
      <c r="I12" s="32"/>
      <c r="J12" s="32"/>
      <c r="K12" s="32"/>
      <c r="L12" s="111"/>
      <c r="S12" s="32"/>
      <c r="T12" s="32"/>
      <c r="U12" s="32"/>
      <c r="V12" s="32"/>
      <c r="W12" s="32"/>
      <c r="X12" s="32"/>
      <c r="Y12" s="32"/>
      <c r="Z12" s="32"/>
      <c r="AA12" s="32"/>
      <c r="AB12" s="32"/>
      <c r="AC12" s="32"/>
      <c r="AD12" s="32"/>
      <c r="AE12" s="32"/>
    </row>
    <row r="13" spans="1:31" s="2" customFormat="1" ht="14.45" customHeight="1">
      <c r="A13" s="32"/>
      <c r="B13" s="37"/>
      <c r="C13" s="32"/>
      <c r="D13" s="32"/>
      <c r="E13" s="705" t="s">
        <v>1480</v>
      </c>
      <c r="F13" s="704"/>
      <c r="G13" s="704"/>
      <c r="H13" s="704"/>
      <c r="I13" s="32"/>
      <c r="J13" s="32"/>
      <c r="K13" s="32"/>
      <c r="L13" s="111"/>
      <c r="S13" s="32"/>
      <c r="T13" s="32"/>
      <c r="U13" s="32"/>
      <c r="V13" s="32"/>
      <c r="W13" s="32"/>
      <c r="X13" s="32"/>
      <c r="Y13" s="32"/>
      <c r="Z13" s="32"/>
      <c r="AA13" s="32"/>
      <c r="AB13" s="32"/>
      <c r="AC13" s="32"/>
      <c r="AD13" s="32"/>
      <c r="AE13" s="32"/>
    </row>
    <row r="14" spans="1:31" s="2" customFormat="1" ht="12">
      <c r="A14" s="32"/>
      <c r="B14" s="37"/>
      <c r="C14" s="32"/>
      <c r="D14" s="32"/>
      <c r="E14" s="32"/>
      <c r="F14" s="32"/>
      <c r="G14" s="32"/>
      <c r="H14" s="32"/>
      <c r="I14" s="32"/>
      <c r="J14" s="32"/>
      <c r="K14" s="32"/>
      <c r="L14" s="111"/>
      <c r="S14" s="32"/>
      <c r="T14" s="32"/>
      <c r="U14" s="32"/>
      <c r="V14" s="32"/>
      <c r="W14" s="32"/>
      <c r="X14" s="32"/>
      <c r="Y14" s="32"/>
      <c r="Z14" s="32"/>
      <c r="AA14" s="32"/>
      <c r="AB14" s="32"/>
      <c r="AC14" s="32"/>
      <c r="AD14" s="32"/>
      <c r="AE14" s="32"/>
    </row>
    <row r="15" spans="1:31" s="2" customFormat="1" ht="12" customHeight="1">
      <c r="A15" s="32"/>
      <c r="B15" s="37"/>
      <c r="C15" s="32"/>
      <c r="D15" s="110" t="s">
        <v>18</v>
      </c>
      <c r="E15" s="32"/>
      <c r="F15" s="101" t="s">
        <v>19</v>
      </c>
      <c r="G15" s="32"/>
      <c r="H15" s="32"/>
      <c r="I15" s="110" t="s">
        <v>20</v>
      </c>
      <c r="J15" s="101" t="s">
        <v>19</v>
      </c>
      <c r="K15" s="32"/>
      <c r="L15" s="111"/>
      <c r="S15" s="32"/>
      <c r="T15" s="32"/>
      <c r="U15" s="32"/>
      <c r="V15" s="32"/>
      <c r="W15" s="32"/>
      <c r="X15" s="32"/>
      <c r="Y15" s="32"/>
      <c r="Z15" s="32"/>
      <c r="AA15" s="32"/>
      <c r="AB15" s="32"/>
      <c r="AC15" s="32"/>
      <c r="AD15" s="32"/>
      <c r="AE15" s="32"/>
    </row>
    <row r="16" spans="1:31" s="2" customFormat="1" ht="12" customHeight="1">
      <c r="A16" s="32"/>
      <c r="B16" s="37"/>
      <c r="C16" s="32"/>
      <c r="D16" s="110" t="s">
        <v>21</v>
      </c>
      <c r="E16" s="32"/>
      <c r="F16" s="101" t="s">
        <v>146</v>
      </c>
      <c r="G16" s="32"/>
      <c r="H16" s="32"/>
      <c r="I16" s="110" t="s">
        <v>23</v>
      </c>
      <c r="J16" s="112" t="str">
        <f>'Rekapitulace stavby'!AN8</f>
        <v>Vyplň údaj</v>
      </c>
      <c r="K16" s="32"/>
      <c r="L16" s="111"/>
      <c r="S16" s="32"/>
      <c r="T16" s="32"/>
      <c r="U16" s="32"/>
      <c r="V16" s="32"/>
      <c r="W16" s="32"/>
      <c r="X16" s="32"/>
      <c r="Y16" s="32"/>
      <c r="Z16" s="32"/>
      <c r="AA16" s="32"/>
      <c r="AB16" s="32"/>
      <c r="AC16" s="32"/>
      <c r="AD16" s="32"/>
      <c r="AE16" s="32"/>
    </row>
    <row r="17" spans="1:31" s="2" customFormat="1" ht="10.9" customHeight="1">
      <c r="A17" s="32"/>
      <c r="B17" s="37"/>
      <c r="C17" s="32"/>
      <c r="D17" s="32"/>
      <c r="E17" s="32"/>
      <c r="F17" s="32"/>
      <c r="G17" s="32"/>
      <c r="H17" s="32"/>
      <c r="I17" s="32"/>
      <c r="J17" s="32"/>
      <c r="K17" s="32"/>
      <c r="L17" s="111"/>
      <c r="S17" s="32"/>
      <c r="T17" s="32"/>
      <c r="U17" s="32"/>
      <c r="V17" s="32"/>
      <c r="W17" s="32"/>
      <c r="X17" s="32"/>
      <c r="Y17" s="32"/>
      <c r="Z17" s="32"/>
      <c r="AA17" s="32"/>
      <c r="AB17" s="32"/>
      <c r="AC17" s="32"/>
      <c r="AD17" s="32"/>
      <c r="AE17" s="32"/>
    </row>
    <row r="18" spans="1:31" s="2" customFormat="1" ht="12" customHeight="1">
      <c r="A18" s="32"/>
      <c r="B18" s="37"/>
      <c r="C18" s="32"/>
      <c r="D18" s="110" t="s">
        <v>24</v>
      </c>
      <c r="E18" s="32"/>
      <c r="F18" s="32"/>
      <c r="G18" s="32"/>
      <c r="H18" s="32"/>
      <c r="I18" s="110" t="s">
        <v>25</v>
      </c>
      <c r="J18" s="101" t="s">
        <v>19</v>
      </c>
      <c r="K18" s="32"/>
      <c r="L18" s="111"/>
      <c r="S18" s="32"/>
      <c r="T18" s="32"/>
      <c r="U18" s="32"/>
      <c r="V18" s="32"/>
      <c r="W18" s="32"/>
      <c r="X18" s="32"/>
      <c r="Y18" s="32"/>
      <c r="Z18" s="32"/>
      <c r="AA18" s="32"/>
      <c r="AB18" s="32"/>
      <c r="AC18" s="32"/>
      <c r="AD18" s="32"/>
      <c r="AE18" s="32"/>
    </row>
    <row r="19" spans="1:31" s="2" customFormat="1" ht="18" customHeight="1">
      <c r="A19" s="32"/>
      <c r="B19" s="37"/>
      <c r="C19" s="32"/>
      <c r="D19" s="32"/>
      <c r="E19" s="101" t="s">
        <v>26</v>
      </c>
      <c r="F19" s="32"/>
      <c r="G19" s="32"/>
      <c r="H19" s="32"/>
      <c r="I19" s="110" t="s">
        <v>27</v>
      </c>
      <c r="J19" s="101" t="s">
        <v>19</v>
      </c>
      <c r="K19" s="32"/>
      <c r="L19" s="111"/>
      <c r="S19" s="32"/>
      <c r="T19" s="32"/>
      <c r="U19" s="32"/>
      <c r="V19" s="32"/>
      <c r="W19" s="32"/>
      <c r="X19" s="32"/>
      <c r="Y19" s="32"/>
      <c r="Z19" s="32"/>
      <c r="AA19" s="32"/>
      <c r="AB19" s="32"/>
      <c r="AC19" s="32"/>
      <c r="AD19" s="32"/>
      <c r="AE19" s="32"/>
    </row>
    <row r="20" spans="1:31" s="2" customFormat="1" ht="6.95" customHeight="1">
      <c r="A20" s="32"/>
      <c r="B20" s="37"/>
      <c r="C20" s="32"/>
      <c r="D20" s="32"/>
      <c r="E20" s="32"/>
      <c r="F20" s="32"/>
      <c r="G20" s="32"/>
      <c r="H20" s="32"/>
      <c r="I20" s="32"/>
      <c r="J20" s="32"/>
      <c r="K20" s="32"/>
      <c r="L20" s="111"/>
      <c r="S20" s="32"/>
      <c r="T20" s="32"/>
      <c r="U20" s="32"/>
      <c r="V20" s="32"/>
      <c r="W20" s="32"/>
      <c r="X20" s="32"/>
      <c r="Y20" s="32"/>
      <c r="Z20" s="32"/>
      <c r="AA20" s="32"/>
      <c r="AB20" s="32"/>
      <c r="AC20" s="32"/>
      <c r="AD20" s="32"/>
      <c r="AE20" s="32"/>
    </row>
    <row r="21" spans="1:31" s="2" customFormat="1" ht="12" customHeight="1">
      <c r="A21" s="32"/>
      <c r="B21" s="37"/>
      <c r="C21" s="32"/>
      <c r="D21" s="110" t="s">
        <v>28</v>
      </c>
      <c r="E21" s="32"/>
      <c r="F21" s="32"/>
      <c r="G21" s="32"/>
      <c r="H21" s="32"/>
      <c r="I21" s="110" t="s">
        <v>25</v>
      </c>
      <c r="J21" s="28" t="str">
        <f>'Rekapitulace stavby'!AN13</f>
        <v>Vyplň údaj</v>
      </c>
      <c r="K21" s="32"/>
      <c r="L21" s="111"/>
      <c r="S21" s="32"/>
      <c r="T21" s="32"/>
      <c r="U21" s="32"/>
      <c r="V21" s="32"/>
      <c r="W21" s="32"/>
      <c r="X21" s="32"/>
      <c r="Y21" s="32"/>
      <c r="Z21" s="32"/>
      <c r="AA21" s="32"/>
      <c r="AB21" s="32"/>
      <c r="AC21" s="32"/>
      <c r="AD21" s="32"/>
      <c r="AE21" s="32"/>
    </row>
    <row r="22" spans="1:31" s="2" customFormat="1" ht="18" customHeight="1">
      <c r="A22" s="32"/>
      <c r="B22" s="37"/>
      <c r="C22" s="32"/>
      <c r="D22" s="32"/>
      <c r="E22" s="706" t="str">
        <f>'Rekapitulace stavby'!E14</f>
        <v>Vyplň údaj</v>
      </c>
      <c r="F22" s="707"/>
      <c r="G22" s="707"/>
      <c r="H22" s="707"/>
      <c r="I22" s="110" t="s">
        <v>27</v>
      </c>
      <c r="J22" s="28" t="str">
        <f>'Rekapitulace stavby'!AN14</f>
        <v>Vyplň údaj</v>
      </c>
      <c r="K22" s="32"/>
      <c r="L22" s="111"/>
      <c r="S22" s="32"/>
      <c r="T22" s="32"/>
      <c r="U22" s="32"/>
      <c r="V22" s="32"/>
      <c r="W22" s="32"/>
      <c r="X22" s="32"/>
      <c r="Y22" s="32"/>
      <c r="Z22" s="32"/>
      <c r="AA22" s="32"/>
      <c r="AB22" s="32"/>
      <c r="AC22" s="32"/>
      <c r="AD22" s="32"/>
      <c r="AE22" s="32"/>
    </row>
    <row r="23" spans="1:31" s="2" customFormat="1" ht="6.95" customHeight="1">
      <c r="A23" s="32"/>
      <c r="B23" s="37"/>
      <c r="C23" s="32"/>
      <c r="D23" s="32"/>
      <c r="E23" s="32"/>
      <c r="F23" s="32"/>
      <c r="G23" s="32"/>
      <c r="H23" s="32"/>
      <c r="I23" s="32"/>
      <c r="J23" s="32"/>
      <c r="K23" s="32"/>
      <c r="L23" s="111"/>
      <c r="S23" s="32"/>
      <c r="T23" s="32"/>
      <c r="U23" s="32"/>
      <c r="V23" s="32"/>
      <c r="W23" s="32"/>
      <c r="X23" s="32"/>
      <c r="Y23" s="32"/>
      <c r="Z23" s="32"/>
      <c r="AA23" s="32"/>
      <c r="AB23" s="32"/>
      <c r="AC23" s="32"/>
      <c r="AD23" s="32"/>
      <c r="AE23" s="32"/>
    </row>
    <row r="24" spans="1:31" s="2" customFormat="1" ht="12" customHeight="1">
      <c r="A24" s="32"/>
      <c r="B24" s="37"/>
      <c r="C24" s="32"/>
      <c r="D24" s="110" t="s">
        <v>30</v>
      </c>
      <c r="E24" s="32"/>
      <c r="F24" s="32"/>
      <c r="G24" s="32"/>
      <c r="H24" s="32"/>
      <c r="I24" s="110" t="s">
        <v>25</v>
      </c>
      <c r="J24" s="101" t="s">
        <v>19</v>
      </c>
      <c r="K24" s="32"/>
      <c r="L24" s="111"/>
      <c r="S24" s="32"/>
      <c r="T24" s="32"/>
      <c r="U24" s="32"/>
      <c r="V24" s="32"/>
      <c r="W24" s="32"/>
      <c r="X24" s="32"/>
      <c r="Y24" s="32"/>
      <c r="Z24" s="32"/>
      <c r="AA24" s="32"/>
      <c r="AB24" s="32"/>
      <c r="AC24" s="32"/>
      <c r="AD24" s="32"/>
      <c r="AE24" s="32"/>
    </row>
    <row r="25" spans="1:31" s="2" customFormat="1" ht="18" customHeight="1">
      <c r="A25" s="32"/>
      <c r="B25" s="37"/>
      <c r="C25" s="32"/>
      <c r="D25" s="32"/>
      <c r="E25" s="101" t="s">
        <v>31</v>
      </c>
      <c r="F25" s="32"/>
      <c r="G25" s="32"/>
      <c r="H25" s="32"/>
      <c r="I25" s="110" t="s">
        <v>27</v>
      </c>
      <c r="J25" s="101" t="s">
        <v>19</v>
      </c>
      <c r="K25" s="32"/>
      <c r="L25" s="111"/>
      <c r="S25" s="32"/>
      <c r="T25" s="32"/>
      <c r="U25" s="32"/>
      <c r="V25" s="32"/>
      <c r="W25" s="32"/>
      <c r="X25" s="32"/>
      <c r="Y25" s="32"/>
      <c r="Z25" s="32"/>
      <c r="AA25" s="32"/>
      <c r="AB25" s="32"/>
      <c r="AC25" s="32"/>
      <c r="AD25" s="32"/>
      <c r="AE25" s="32"/>
    </row>
    <row r="26" spans="1:31" s="2" customFormat="1" ht="6.95" customHeight="1">
      <c r="A26" s="32"/>
      <c r="B26" s="37"/>
      <c r="C26" s="32"/>
      <c r="D26" s="32"/>
      <c r="E26" s="32"/>
      <c r="F26" s="32"/>
      <c r="G26" s="32"/>
      <c r="H26" s="32"/>
      <c r="I26" s="32"/>
      <c r="J26" s="32"/>
      <c r="K26" s="32"/>
      <c r="L26" s="111"/>
      <c r="S26" s="32"/>
      <c r="T26" s="32"/>
      <c r="U26" s="32"/>
      <c r="V26" s="32"/>
      <c r="W26" s="32"/>
      <c r="X26" s="32"/>
      <c r="Y26" s="32"/>
      <c r="Z26" s="32"/>
      <c r="AA26" s="32"/>
      <c r="AB26" s="32"/>
      <c r="AC26" s="32"/>
      <c r="AD26" s="32"/>
      <c r="AE26" s="32"/>
    </row>
    <row r="27" spans="1:31" s="2" customFormat="1" ht="12" customHeight="1">
      <c r="A27" s="32"/>
      <c r="B27" s="37"/>
      <c r="C27" s="32"/>
      <c r="D27" s="110" t="s">
        <v>33</v>
      </c>
      <c r="E27" s="32"/>
      <c r="F27" s="32"/>
      <c r="G27" s="32"/>
      <c r="H27" s="32"/>
      <c r="I27" s="110" t="s">
        <v>25</v>
      </c>
      <c r="J27" s="101" t="s">
        <v>19</v>
      </c>
      <c r="K27" s="32"/>
      <c r="L27" s="111"/>
      <c r="S27" s="32"/>
      <c r="T27" s="32"/>
      <c r="U27" s="32"/>
      <c r="V27" s="32"/>
      <c r="W27" s="32"/>
      <c r="X27" s="32"/>
      <c r="Y27" s="32"/>
      <c r="Z27" s="32"/>
      <c r="AA27" s="32"/>
      <c r="AB27" s="32"/>
      <c r="AC27" s="32"/>
      <c r="AD27" s="32"/>
      <c r="AE27" s="32"/>
    </row>
    <row r="28" spans="1:31" s="2" customFormat="1" ht="18" customHeight="1">
      <c r="A28" s="32"/>
      <c r="B28" s="37"/>
      <c r="C28" s="32"/>
      <c r="D28" s="32"/>
      <c r="E28" s="101" t="s">
        <v>31</v>
      </c>
      <c r="F28" s="32"/>
      <c r="G28" s="32"/>
      <c r="H28" s="32"/>
      <c r="I28" s="110" t="s">
        <v>27</v>
      </c>
      <c r="J28" s="101" t="s">
        <v>19</v>
      </c>
      <c r="K28" s="32"/>
      <c r="L28" s="111"/>
      <c r="S28" s="32"/>
      <c r="T28" s="32"/>
      <c r="U28" s="32"/>
      <c r="V28" s="32"/>
      <c r="W28" s="32"/>
      <c r="X28" s="32"/>
      <c r="Y28" s="32"/>
      <c r="Z28" s="32"/>
      <c r="AA28" s="32"/>
      <c r="AB28" s="32"/>
      <c r="AC28" s="32"/>
      <c r="AD28" s="32"/>
      <c r="AE28" s="32"/>
    </row>
    <row r="29" spans="1:31" s="2" customFormat="1" ht="6.95" customHeight="1">
      <c r="A29" s="32"/>
      <c r="B29" s="37"/>
      <c r="C29" s="32"/>
      <c r="D29" s="32"/>
      <c r="E29" s="32"/>
      <c r="F29" s="32"/>
      <c r="G29" s="32"/>
      <c r="H29" s="32"/>
      <c r="I29" s="32"/>
      <c r="J29" s="32"/>
      <c r="K29" s="32"/>
      <c r="L29" s="111"/>
      <c r="S29" s="32"/>
      <c r="T29" s="32"/>
      <c r="U29" s="32"/>
      <c r="V29" s="32"/>
      <c r="W29" s="32"/>
      <c r="X29" s="32"/>
      <c r="Y29" s="32"/>
      <c r="Z29" s="32"/>
      <c r="AA29" s="32"/>
      <c r="AB29" s="32"/>
      <c r="AC29" s="32"/>
      <c r="AD29" s="32"/>
      <c r="AE29" s="32"/>
    </row>
    <row r="30" spans="1:31" s="2" customFormat="1" ht="12" customHeight="1">
      <c r="A30" s="32"/>
      <c r="B30" s="37"/>
      <c r="C30" s="32"/>
      <c r="D30" s="110" t="s">
        <v>34</v>
      </c>
      <c r="E30" s="32"/>
      <c r="F30" s="32"/>
      <c r="G30" s="32"/>
      <c r="H30" s="32"/>
      <c r="I30" s="32"/>
      <c r="J30" s="32"/>
      <c r="K30" s="32"/>
      <c r="L30" s="111"/>
      <c r="S30" s="32"/>
      <c r="T30" s="32"/>
      <c r="U30" s="32"/>
      <c r="V30" s="32"/>
      <c r="W30" s="32"/>
      <c r="X30" s="32"/>
      <c r="Y30" s="32"/>
      <c r="Z30" s="32"/>
      <c r="AA30" s="32"/>
      <c r="AB30" s="32"/>
      <c r="AC30" s="32"/>
      <c r="AD30" s="32"/>
      <c r="AE30" s="32"/>
    </row>
    <row r="31" spans="1:31" s="8" customFormat="1" ht="14.45" customHeight="1">
      <c r="A31" s="113"/>
      <c r="B31" s="114"/>
      <c r="C31" s="113"/>
      <c r="D31" s="113"/>
      <c r="E31" s="708" t="s">
        <v>19</v>
      </c>
      <c r="F31" s="708"/>
      <c r="G31" s="708"/>
      <c r="H31" s="708"/>
      <c r="I31" s="113"/>
      <c r="J31" s="113"/>
      <c r="K31" s="113"/>
      <c r="L31" s="115"/>
      <c r="S31" s="113"/>
      <c r="T31" s="113"/>
      <c r="U31" s="113"/>
      <c r="V31" s="113"/>
      <c r="W31" s="113"/>
      <c r="X31" s="113"/>
      <c r="Y31" s="113"/>
      <c r="Z31" s="113"/>
      <c r="AA31" s="113"/>
      <c r="AB31" s="113"/>
      <c r="AC31" s="113"/>
      <c r="AD31" s="113"/>
      <c r="AE31" s="113"/>
    </row>
    <row r="32" spans="1:31" s="2" customFormat="1" ht="6.95" customHeight="1">
      <c r="A32" s="32"/>
      <c r="B32" s="37"/>
      <c r="C32" s="32"/>
      <c r="D32" s="32"/>
      <c r="E32" s="32"/>
      <c r="F32" s="32"/>
      <c r="G32" s="32"/>
      <c r="H32" s="32"/>
      <c r="I32" s="32"/>
      <c r="J32" s="32"/>
      <c r="K32" s="32"/>
      <c r="L32" s="111"/>
      <c r="S32" s="32"/>
      <c r="T32" s="32"/>
      <c r="U32" s="32"/>
      <c r="V32" s="32"/>
      <c r="W32" s="32"/>
      <c r="X32" s="32"/>
      <c r="Y32" s="32"/>
      <c r="Z32" s="32"/>
      <c r="AA32" s="32"/>
      <c r="AB32" s="32"/>
      <c r="AC32" s="32"/>
      <c r="AD32" s="32"/>
      <c r="AE32" s="32"/>
    </row>
    <row r="33" spans="1:31" s="2" customFormat="1" ht="6.95" customHeight="1">
      <c r="A33" s="32"/>
      <c r="B33" s="37"/>
      <c r="C33" s="32"/>
      <c r="D33" s="116"/>
      <c r="E33" s="116"/>
      <c r="F33" s="116"/>
      <c r="G33" s="116"/>
      <c r="H33" s="116"/>
      <c r="I33" s="116"/>
      <c r="J33" s="116"/>
      <c r="K33" s="116"/>
      <c r="L33" s="111"/>
      <c r="S33" s="32"/>
      <c r="T33" s="32"/>
      <c r="U33" s="32"/>
      <c r="V33" s="32"/>
      <c r="W33" s="32"/>
      <c r="X33" s="32"/>
      <c r="Y33" s="32"/>
      <c r="Z33" s="32"/>
      <c r="AA33" s="32"/>
      <c r="AB33" s="32"/>
      <c r="AC33" s="32"/>
      <c r="AD33" s="32"/>
      <c r="AE33" s="32"/>
    </row>
    <row r="34" spans="1:31" s="2" customFormat="1" ht="25.35" customHeight="1">
      <c r="A34" s="32"/>
      <c r="B34" s="37"/>
      <c r="C34" s="32"/>
      <c r="D34" s="117" t="s">
        <v>36</v>
      </c>
      <c r="E34" s="32"/>
      <c r="F34" s="32"/>
      <c r="G34" s="32"/>
      <c r="H34" s="32"/>
      <c r="I34" s="32"/>
      <c r="J34" s="118">
        <f>ROUND(J93,2)</f>
        <v>0</v>
      </c>
      <c r="K34" s="32"/>
      <c r="L34" s="111"/>
      <c r="S34" s="32"/>
      <c r="T34" s="32"/>
      <c r="U34" s="32"/>
      <c r="V34" s="32"/>
      <c r="W34" s="32"/>
      <c r="X34" s="32"/>
      <c r="Y34" s="32"/>
      <c r="Z34" s="32"/>
      <c r="AA34" s="32"/>
      <c r="AB34" s="32"/>
      <c r="AC34" s="32"/>
      <c r="AD34" s="32"/>
      <c r="AE34" s="32"/>
    </row>
    <row r="35" spans="1:31" s="2" customFormat="1" ht="6.95" customHeight="1">
      <c r="A35" s="32"/>
      <c r="B35" s="37"/>
      <c r="C35" s="32"/>
      <c r="D35" s="116"/>
      <c r="E35" s="116"/>
      <c r="F35" s="116"/>
      <c r="G35" s="116"/>
      <c r="H35" s="116"/>
      <c r="I35" s="116"/>
      <c r="J35" s="116"/>
      <c r="K35" s="116"/>
      <c r="L35" s="111"/>
      <c r="S35" s="32"/>
      <c r="T35" s="32"/>
      <c r="U35" s="32"/>
      <c r="V35" s="32"/>
      <c r="W35" s="32"/>
      <c r="X35" s="32"/>
      <c r="Y35" s="32"/>
      <c r="Z35" s="32"/>
      <c r="AA35" s="32"/>
      <c r="AB35" s="32"/>
      <c r="AC35" s="32"/>
      <c r="AD35" s="32"/>
      <c r="AE35" s="32"/>
    </row>
    <row r="36" spans="1:31" s="2" customFormat="1" ht="14.45" customHeight="1">
      <c r="A36" s="32"/>
      <c r="B36" s="37"/>
      <c r="C36" s="32"/>
      <c r="D36" s="32"/>
      <c r="E36" s="32"/>
      <c r="F36" s="119" t="s">
        <v>38</v>
      </c>
      <c r="G36" s="32"/>
      <c r="H36" s="32"/>
      <c r="I36" s="119" t="s">
        <v>37</v>
      </c>
      <c r="J36" s="119" t="s">
        <v>39</v>
      </c>
      <c r="K36" s="32"/>
      <c r="L36" s="111"/>
      <c r="S36" s="32"/>
      <c r="T36" s="32"/>
      <c r="U36" s="32"/>
      <c r="V36" s="32"/>
      <c r="W36" s="32"/>
      <c r="X36" s="32"/>
      <c r="Y36" s="32"/>
      <c r="Z36" s="32"/>
      <c r="AA36" s="32"/>
      <c r="AB36" s="32"/>
      <c r="AC36" s="32"/>
      <c r="AD36" s="32"/>
      <c r="AE36" s="32"/>
    </row>
    <row r="37" spans="1:31" s="2" customFormat="1" ht="14.45" customHeight="1">
      <c r="A37" s="32"/>
      <c r="B37" s="37"/>
      <c r="C37" s="32"/>
      <c r="D37" s="120" t="s">
        <v>40</v>
      </c>
      <c r="E37" s="110" t="s">
        <v>41</v>
      </c>
      <c r="F37" s="121">
        <f>ROUND((SUM(BE93:BE96)),2)</f>
        <v>0</v>
      </c>
      <c r="G37" s="32"/>
      <c r="H37" s="32"/>
      <c r="I37" s="122">
        <v>0.21</v>
      </c>
      <c r="J37" s="121">
        <f>ROUND(((SUM(BE93:BE96))*I37),2)</f>
        <v>0</v>
      </c>
      <c r="K37" s="32"/>
      <c r="L37" s="111"/>
      <c r="S37" s="32"/>
      <c r="T37" s="32"/>
      <c r="U37" s="32"/>
      <c r="V37" s="32"/>
      <c r="W37" s="32"/>
      <c r="X37" s="32"/>
      <c r="Y37" s="32"/>
      <c r="Z37" s="32"/>
      <c r="AA37" s="32"/>
      <c r="AB37" s="32"/>
      <c r="AC37" s="32"/>
      <c r="AD37" s="32"/>
      <c r="AE37" s="32"/>
    </row>
    <row r="38" spans="1:31" s="2" customFormat="1" ht="14.45" customHeight="1">
      <c r="A38" s="32"/>
      <c r="B38" s="37"/>
      <c r="C38" s="32"/>
      <c r="D38" s="32"/>
      <c r="E38" s="110" t="s">
        <v>42</v>
      </c>
      <c r="F38" s="121">
        <f>ROUND((SUM(BF93:BF96)),2)</f>
        <v>0</v>
      </c>
      <c r="G38" s="32"/>
      <c r="H38" s="32"/>
      <c r="I38" s="122">
        <v>0.15</v>
      </c>
      <c r="J38" s="121">
        <f>ROUND(((SUM(BF93:BF96))*I38),2)</f>
        <v>0</v>
      </c>
      <c r="K38" s="32"/>
      <c r="L38" s="111"/>
      <c r="S38" s="32"/>
      <c r="T38" s="32"/>
      <c r="U38" s="32"/>
      <c r="V38" s="32"/>
      <c r="W38" s="32"/>
      <c r="X38" s="32"/>
      <c r="Y38" s="32"/>
      <c r="Z38" s="32"/>
      <c r="AA38" s="32"/>
      <c r="AB38" s="32"/>
      <c r="AC38" s="32"/>
      <c r="AD38" s="32"/>
      <c r="AE38" s="32"/>
    </row>
    <row r="39" spans="1:31" s="2" customFormat="1" ht="14.45" customHeight="1" hidden="1">
      <c r="A39" s="32"/>
      <c r="B39" s="37"/>
      <c r="C39" s="32"/>
      <c r="D39" s="32"/>
      <c r="E39" s="110" t="s">
        <v>43</v>
      </c>
      <c r="F39" s="121">
        <f>ROUND((SUM(BG93:BG96)),2)</f>
        <v>0</v>
      </c>
      <c r="G39" s="32"/>
      <c r="H39" s="32"/>
      <c r="I39" s="122">
        <v>0.21</v>
      </c>
      <c r="J39" s="121">
        <f>0</f>
        <v>0</v>
      </c>
      <c r="K39" s="32"/>
      <c r="L39" s="111"/>
      <c r="S39" s="32"/>
      <c r="T39" s="32"/>
      <c r="U39" s="32"/>
      <c r="V39" s="32"/>
      <c r="W39" s="32"/>
      <c r="X39" s="32"/>
      <c r="Y39" s="32"/>
      <c r="Z39" s="32"/>
      <c r="AA39" s="32"/>
      <c r="AB39" s="32"/>
      <c r="AC39" s="32"/>
      <c r="AD39" s="32"/>
      <c r="AE39" s="32"/>
    </row>
    <row r="40" spans="1:31" s="2" customFormat="1" ht="14.45" customHeight="1" hidden="1">
      <c r="A40" s="32"/>
      <c r="B40" s="37"/>
      <c r="C40" s="32"/>
      <c r="D40" s="32"/>
      <c r="E40" s="110" t="s">
        <v>44</v>
      </c>
      <c r="F40" s="121">
        <f>ROUND((SUM(BH93:BH96)),2)</f>
        <v>0</v>
      </c>
      <c r="G40" s="32"/>
      <c r="H40" s="32"/>
      <c r="I40" s="122">
        <v>0.15</v>
      </c>
      <c r="J40" s="121">
        <f>0</f>
        <v>0</v>
      </c>
      <c r="K40" s="32"/>
      <c r="L40" s="111"/>
      <c r="S40" s="32"/>
      <c r="T40" s="32"/>
      <c r="U40" s="32"/>
      <c r="V40" s="32"/>
      <c r="W40" s="32"/>
      <c r="X40" s="32"/>
      <c r="Y40" s="32"/>
      <c r="Z40" s="32"/>
      <c r="AA40" s="32"/>
      <c r="AB40" s="32"/>
      <c r="AC40" s="32"/>
      <c r="AD40" s="32"/>
      <c r="AE40" s="32"/>
    </row>
    <row r="41" spans="1:31" s="2" customFormat="1" ht="14.45" customHeight="1" hidden="1">
      <c r="A41" s="32"/>
      <c r="B41" s="37"/>
      <c r="C41" s="32"/>
      <c r="D41" s="32"/>
      <c r="E41" s="110" t="s">
        <v>45</v>
      </c>
      <c r="F41" s="121">
        <f>ROUND((SUM(BI93:BI96)),2)</f>
        <v>0</v>
      </c>
      <c r="G41" s="32"/>
      <c r="H41" s="32"/>
      <c r="I41" s="122">
        <v>0</v>
      </c>
      <c r="J41" s="121">
        <f>0</f>
        <v>0</v>
      </c>
      <c r="K41" s="32"/>
      <c r="L41" s="111"/>
      <c r="S41" s="32"/>
      <c r="T41" s="32"/>
      <c r="U41" s="32"/>
      <c r="V41" s="32"/>
      <c r="W41" s="32"/>
      <c r="X41" s="32"/>
      <c r="Y41" s="32"/>
      <c r="Z41" s="32"/>
      <c r="AA41" s="32"/>
      <c r="AB41" s="32"/>
      <c r="AC41" s="32"/>
      <c r="AD41" s="32"/>
      <c r="AE41" s="32"/>
    </row>
    <row r="42" spans="1:31" s="2" customFormat="1" ht="6.95" customHeight="1">
      <c r="A42" s="32"/>
      <c r="B42" s="37"/>
      <c r="C42" s="32"/>
      <c r="D42" s="32"/>
      <c r="E42" s="32"/>
      <c r="F42" s="32"/>
      <c r="G42" s="32"/>
      <c r="H42" s="32"/>
      <c r="I42" s="32"/>
      <c r="J42" s="32"/>
      <c r="K42" s="32"/>
      <c r="L42" s="111"/>
      <c r="S42" s="32"/>
      <c r="T42" s="32"/>
      <c r="U42" s="32"/>
      <c r="V42" s="32"/>
      <c r="W42" s="32"/>
      <c r="X42" s="32"/>
      <c r="Y42" s="32"/>
      <c r="Z42" s="32"/>
      <c r="AA42" s="32"/>
      <c r="AB42" s="32"/>
      <c r="AC42" s="32"/>
      <c r="AD42" s="32"/>
      <c r="AE42" s="32"/>
    </row>
    <row r="43" spans="1:31" s="2" customFormat="1" ht="25.35" customHeight="1">
      <c r="A43" s="32"/>
      <c r="B43" s="37"/>
      <c r="C43" s="123"/>
      <c r="D43" s="124" t="s">
        <v>46</v>
      </c>
      <c r="E43" s="125"/>
      <c r="F43" s="125"/>
      <c r="G43" s="126" t="s">
        <v>47</v>
      </c>
      <c r="H43" s="127" t="s">
        <v>48</v>
      </c>
      <c r="I43" s="125"/>
      <c r="J43" s="128">
        <f>SUM(J34:J41)</f>
        <v>0</v>
      </c>
      <c r="K43" s="129"/>
      <c r="L43" s="111"/>
      <c r="S43" s="32"/>
      <c r="T43" s="32"/>
      <c r="U43" s="32"/>
      <c r="V43" s="32"/>
      <c r="W43" s="32"/>
      <c r="X43" s="32"/>
      <c r="Y43" s="32"/>
      <c r="Z43" s="32"/>
      <c r="AA43" s="32"/>
      <c r="AB43" s="32"/>
      <c r="AC43" s="32"/>
      <c r="AD43" s="32"/>
      <c r="AE43" s="32"/>
    </row>
    <row r="44" spans="1:31" s="2" customFormat="1" ht="14.45" customHeight="1">
      <c r="A44" s="32"/>
      <c r="B44" s="130"/>
      <c r="C44" s="131"/>
      <c r="D44" s="131"/>
      <c r="E44" s="131"/>
      <c r="F44" s="131"/>
      <c r="G44" s="131"/>
      <c r="H44" s="131"/>
      <c r="I44" s="131"/>
      <c r="J44" s="131"/>
      <c r="K44" s="131"/>
      <c r="L44" s="111"/>
      <c r="S44" s="32"/>
      <c r="T44" s="32"/>
      <c r="U44" s="32"/>
      <c r="V44" s="32"/>
      <c r="W44" s="32"/>
      <c r="X44" s="32"/>
      <c r="Y44" s="32"/>
      <c r="Z44" s="32"/>
      <c r="AA44" s="32"/>
      <c r="AB44" s="32"/>
      <c r="AC44" s="32"/>
      <c r="AD44" s="32"/>
      <c r="AE44" s="32"/>
    </row>
    <row r="48" spans="1:31" s="2" customFormat="1" ht="6.95" customHeight="1">
      <c r="A48" s="32"/>
      <c r="B48" s="132"/>
      <c r="C48" s="133"/>
      <c r="D48" s="133"/>
      <c r="E48" s="133"/>
      <c r="F48" s="133"/>
      <c r="G48" s="133"/>
      <c r="H48" s="133"/>
      <c r="I48" s="133"/>
      <c r="J48" s="133"/>
      <c r="K48" s="133"/>
      <c r="L48" s="111"/>
      <c r="S48" s="32"/>
      <c r="T48" s="32"/>
      <c r="U48" s="32"/>
      <c r="V48" s="32"/>
      <c r="W48" s="32"/>
      <c r="X48" s="32"/>
      <c r="Y48" s="32"/>
      <c r="Z48" s="32"/>
      <c r="AA48" s="32"/>
      <c r="AB48" s="32"/>
      <c r="AC48" s="32"/>
      <c r="AD48" s="32"/>
      <c r="AE48" s="32"/>
    </row>
    <row r="49" spans="1:31" s="2" customFormat="1" ht="24.95" customHeight="1">
      <c r="A49" s="32"/>
      <c r="B49" s="33"/>
      <c r="C49" s="21" t="s">
        <v>147</v>
      </c>
      <c r="D49" s="34"/>
      <c r="E49" s="34"/>
      <c r="F49" s="34"/>
      <c r="G49" s="34"/>
      <c r="H49" s="34"/>
      <c r="I49" s="34"/>
      <c r="J49" s="34"/>
      <c r="K49" s="34"/>
      <c r="L49" s="111"/>
      <c r="S49" s="32"/>
      <c r="T49" s="32"/>
      <c r="U49" s="32"/>
      <c r="V49" s="32"/>
      <c r="W49" s="32"/>
      <c r="X49" s="32"/>
      <c r="Y49" s="32"/>
      <c r="Z49" s="32"/>
      <c r="AA49" s="32"/>
      <c r="AB49" s="32"/>
      <c r="AC49" s="32"/>
      <c r="AD49" s="32"/>
      <c r="AE49" s="32"/>
    </row>
    <row r="50" spans="1:31" s="2" customFormat="1" ht="6.95" customHeight="1">
      <c r="A50" s="32"/>
      <c r="B50" s="33"/>
      <c r="C50" s="34"/>
      <c r="D50" s="34"/>
      <c r="E50" s="34"/>
      <c r="F50" s="34"/>
      <c r="G50" s="34"/>
      <c r="H50" s="34"/>
      <c r="I50" s="34"/>
      <c r="J50" s="34"/>
      <c r="K50" s="34"/>
      <c r="L50" s="111"/>
      <c r="S50" s="32"/>
      <c r="T50" s="32"/>
      <c r="U50" s="32"/>
      <c r="V50" s="32"/>
      <c r="W50" s="32"/>
      <c r="X50" s="32"/>
      <c r="Y50" s="32"/>
      <c r="Z50" s="32"/>
      <c r="AA50" s="32"/>
      <c r="AB50" s="32"/>
      <c r="AC50" s="32"/>
      <c r="AD50" s="32"/>
      <c r="AE50" s="32"/>
    </row>
    <row r="51" spans="1:31" s="2" customFormat="1" ht="12" customHeight="1">
      <c r="A51" s="32"/>
      <c r="B51" s="33"/>
      <c r="C51" s="27" t="s">
        <v>16</v>
      </c>
      <c r="D51" s="34"/>
      <c r="E51" s="34"/>
      <c r="F51" s="34"/>
      <c r="G51" s="34"/>
      <c r="H51" s="34"/>
      <c r="I51" s="34"/>
      <c r="J51" s="34"/>
      <c r="K51" s="34"/>
      <c r="L51" s="111"/>
      <c r="S51" s="32"/>
      <c r="T51" s="32"/>
      <c r="U51" s="32"/>
      <c r="V51" s="32"/>
      <c r="W51" s="32"/>
      <c r="X51" s="32"/>
      <c r="Y51" s="32"/>
      <c r="Z51" s="32"/>
      <c r="AA51" s="32"/>
      <c r="AB51" s="32"/>
      <c r="AC51" s="32"/>
      <c r="AD51" s="32"/>
      <c r="AE51" s="32"/>
    </row>
    <row r="52" spans="1:31" s="2" customFormat="1" ht="14.45" customHeight="1">
      <c r="A52" s="32"/>
      <c r="B52" s="33"/>
      <c r="C52" s="34"/>
      <c r="D52" s="34"/>
      <c r="E52" s="700" t="str">
        <f>E7</f>
        <v>Úpravy gastroprovozu Úřadu vlády ČR v 1.pp Strakovy akademie</v>
      </c>
      <c r="F52" s="701"/>
      <c r="G52" s="701"/>
      <c r="H52" s="701"/>
      <c r="I52" s="34"/>
      <c r="J52" s="34"/>
      <c r="K52" s="34"/>
      <c r="L52" s="111"/>
      <c r="S52" s="32"/>
      <c r="T52" s="32"/>
      <c r="U52" s="32"/>
      <c r="V52" s="32"/>
      <c r="W52" s="32"/>
      <c r="X52" s="32"/>
      <c r="Y52" s="32"/>
      <c r="Z52" s="32"/>
      <c r="AA52" s="32"/>
      <c r="AB52" s="32"/>
      <c r="AC52" s="32"/>
      <c r="AD52" s="32"/>
      <c r="AE52" s="32"/>
    </row>
    <row r="53" spans="2:12" s="1" customFormat="1" ht="12" customHeight="1">
      <c r="B53" s="19"/>
      <c r="C53" s="27" t="s">
        <v>142</v>
      </c>
      <c r="D53" s="20"/>
      <c r="E53" s="20"/>
      <c r="F53" s="20"/>
      <c r="G53" s="20"/>
      <c r="H53" s="20"/>
      <c r="I53" s="20"/>
      <c r="J53" s="20"/>
      <c r="K53" s="20"/>
      <c r="L53" s="18"/>
    </row>
    <row r="54" spans="2:12" s="1" customFormat="1" ht="14.45" customHeight="1">
      <c r="B54" s="19"/>
      <c r="C54" s="20"/>
      <c r="D54" s="20"/>
      <c r="E54" s="700" t="s">
        <v>1429</v>
      </c>
      <c r="F54" s="667"/>
      <c r="G54" s="667"/>
      <c r="H54" s="667"/>
      <c r="I54" s="20"/>
      <c r="J54" s="20"/>
      <c r="K54" s="20"/>
      <c r="L54" s="18"/>
    </row>
    <row r="55" spans="2:12" s="1" customFormat="1" ht="12" customHeight="1">
      <c r="B55" s="19"/>
      <c r="C55" s="27" t="s">
        <v>144</v>
      </c>
      <c r="D55" s="20"/>
      <c r="E55" s="20"/>
      <c r="F55" s="20"/>
      <c r="G55" s="20"/>
      <c r="H55" s="20"/>
      <c r="I55" s="20"/>
      <c r="J55" s="20"/>
      <c r="K55" s="20"/>
      <c r="L55" s="18"/>
    </row>
    <row r="56" spans="1:31" s="2" customFormat="1" ht="14.45" customHeight="1">
      <c r="A56" s="32"/>
      <c r="B56" s="33"/>
      <c r="C56" s="34"/>
      <c r="D56" s="34"/>
      <c r="E56" s="746" t="s">
        <v>1472</v>
      </c>
      <c r="F56" s="699"/>
      <c r="G56" s="699"/>
      <c r="H56" s="699"/>
      <c r="I56" s="34"/>
      <c r="J56" s="34"/>
      <c r="K56" s="34"/>
      <c r="L56" s="111"/>
      <c r="S56" s="32"/>
      <c r="T56" s="32"/>
      <c r="U56" s="32"/>
      <c r="V56" s="32"/>
      <c r="W56" s="32"/>
      <c r="X56" s="32"/>
      <c r="Y56" s="32"/>
      <c r="Z56" s="32"/>
      <c r="AA56" s="32"/>
      <c r="AB56" s="32"/>
      <c r="AC56" s="32"/>
      <c r="AD56" s="32"/>
      <c r="AE56" s="32"/>
    </row>
    <row r="57" spans="1:31" s="2" customFormat="1" ht="12" customHeight="1">
      <c r="A57" s="32"/>
      <c r="B57" s="33"/>
      <c r="C57" s="27" t="s">
        <v>1450</v>
      </c>
      <c r="D57" s="34"/>
      <c r="E57" s="34"/>
      <c r="F57" s="34"/>
      <c r="G57" s="34"/>
      <c r="H57" s="34"/>
      <c r="I57" s="34"/>
      <c r="J57" s="34"/>
      <c r="K57" s="34"/>
      <c r="L57" s="111"/>
      <c r="S57" s="32"/>
      <c r="T57" s="32"/>
      <c r="U57" s="32"/>
      <c r="V57" s="32"/>
      <c r="W57" s="32"/>
      <c r="X57" s="32"/>
      <c r="Y57" s="32"/>
      <c r="Z57" s="32"/>
      <c r="AA57" s="32"/>
      <c r="AB57" s="32"/>
      <c r="AC57" s="32"/>
      <c r="AD57" s="32"/>
      <c r="AE57" s="32"/>
    </row>
    <row r="58" spans="1:31" s="2" customFormat="1" ht="14.45" customHeight="1">
      <c r="A58" s="32"/>
      <c r="B58" s="33"/>
      <c r="C58" s="34"/>
      <c r="D58" s="34"/>
      <c r="E58" s="696" t="str">
        <f>E13</f>
        <v>D.1.4.06.2 - Soupis prací - Gastro obj. systém</v>
      </c>
      <c r="F58" s="699"/>
      <c r="G58" s="699"/>
      <c r="H58" s="699"/>
      <c r="I58" s="34"/>
      <c r="J58" s="34"/>
      <c r="K58" s="34"/>
      <c r="L58" s="111"/>
      <c r="S58" s="32"/>
      <c r="T58" s="32"/>
      <c r="U58" s="32"/>
      <c r="V58" s="32"/>
      <c r="W58" s="32"/>
      <c r="X58" s="32"/>
      <c r="Y58" s="32"/>
      <c r="Z58" s="32"/>
      <c r="AA58" s="32"/>
      <c r="AB58" s="32"/>
      <c r="AC58" s="32"/>
      <c r="AD58" s="32"/>
      <c r="AE58" s="32"/>
    </row>
    <row r="59" spans="1:31" s="2" customFormat="1" ht="6.95" customHeight="1">
      <c r="A59" s="32"/>
      <c r="B59" s="33"/>
      <c r="C59" s="34"/>
      <c r="D59" s="34"/>
      <c r="E59" s="34"/>
      <c r="F59" s="34"/>
      <c r="G59" s="34"/>
      <c r="H59" s="34"/>
      <c r="I59" s="34"/>
      <c r="J59" s="34"/>
      <c r="K59" s="34"/>
      <c r="L59" s="111"/>
      <c r="S59" s="32"/>
      <c r="T59" s="32"/>
      <c r="U59" s="32"/>
      <c r="V59" s="32"/>
      <c r="W59" s="32"/>
      <c r="X59" s="32"/>
      <c r="Y59" s="32"/>
      <c r="Z59" s="32"/>
      <c r="AA59" s="32"/>
      <c r="AB59" s="32"/>
      <c r="AC59" s="32"/>
      <c r="AD59" s="32"/>
      <c r="AE59" s="32"/>
    </row>
    <row r="60" spans="1:31" s="2" customFormat="1" ht="12" customHeight="1">
      <c r="A60" s="32"/>
      <c r="B60" s="33"/>
      <c r="C60" s="27" t="s">
        <v>21</v>
      </c>
      <c r="D60" s="34"/>
      <c r="E60" s="34"/>
      <c r="F60" s="25" t="str">
        <f>F16</f>
        <v xml:space="preserve"> </v>
      </c>
      <c r="G60" s="34"/>
      <c r="H60" s="34"/>
      <c r="I60" s="27" t="s">
        <v>23</v>
      </c>
      <c r="J60" s="57" t="str">
        <f>IF(J16="","",J16)</f>
        <v>Vyplň údaj</v>
      </c>
      <c r="K60" s="34"/>
      <c r="L60" s="111"/>
      <c r="S60" s="32"/>
      <c r="T60" s="32"/>
      <c r="U60" s="32"/>
      <c r="V60" s="32"/>
      <c r="W60" s="32"/>
      <c r="X60" s="32"/>
      <c r="Y60" s="32"/>
      <c r="Z60" s="32"/>
      <c r="AA60" s="32"/>
      <c r="AB60" s="32"/>
      <c r="AC60" s="32"/>
      <c r="AD60" s="32"/>
      <c r="AE60" s="32"/>
    </row>
    <row r="61" spans="1:31" s="2" customFormat="1" ht="6.95" customHeight="1">
      <c r="A61" s="32"/>
      <c r="B61" s="33"/>
      <c r="C61" s="34"/>
      <c r="D61" s="34"/>
      <c r="E61" s="34"/>
      <c r="F61" s="34"/>
      <c r="G61" s="34"/>
      <c r="H61" s="34"/>
      <c r="I61" s="34"/>
      <c r="J61" s="34"/>
      <c r="K61" s="34"/>
      <c r="L61" s="111"/>
      <c r="S61" s="32"/>
      <c r="T61" s="32"/>
      <c r="U61" s="32"/>
      <c r="V61" s="32"/>
      <c r="W61" s="32"/>
      <c r="X61" s="32"/>
      <c r="Y61" s="32"/>
      <c r="Z61" s="32"/>
      <c r="AA61" s="32"/>
      <c r="AB61" s="32"/>
      <c r="AC61" s="32"/>
      <c r="AD61" s="32"/>
      <c r="AE61" s="32"/>
    </row>
    <row r="62" spans="1:31" s="2" customFormat="1" ht="26.45" customHeight="1">
      <c r="A62" s="32"/>
      <c r="B62" s="33"/>
      <c r="C62" s="27" t="s">
        <v>24</v>
      </c>
      <c r="D62" s="34"/>
      <c r="E62" s="34"/>
      <c r="F62" s="25" t="str">
        <f>E19</f>
        <v xml:space="preserve">Úřad vlády České republiky </v>
      </c>
      <c r="G62" s="34"/>
      <c r="H62" s="34"/>
      <c r="I62" s="27" t="s">
        <v>30</v>
      </c>
      <c r="J62" s="30" t="str">
        <f>E25</f>
        <v>Ateliér Simona Group</v>
      </c>
      <c r="K62" s="34"/>
      <c r="L62" s="111"/>
      <c r="S62" s="32"/>
      <c r="T62" s="32"/>
      <c r="U62" s="32"/>
      <c r="V62" s="32"/>
      <c r="W62" s="32"/>
      <c r="X62" s="32"/>
      <c r="Y62" s="32"/>
      <c r="Z62" s="32"/>
      <c r="AA62" s="32"/>
      <c r="AB62" s="32"/>
      <c r="AC62" s="32"/>
      <c r="AD62" s="32"/>
      <c r="AE62" s="32"/>
    </row>
    <row r="63" spans="1:31" s="2" customFormat="1" ht="26.45" customHeight="1">
      <c r="A63" s="32"/>
      <c r="B63" s="33"/>
      <c r="C63" s="27" t="s">
        <v>28</v>
      </c>
      <c r="D63" s="34"/>
      <c r="E63" s="34"/>
      <c r="F63" s="25" t="str">
        <f>IF(E22="","",E22)</f>
        <v>Vyplň údaj</v>
      </c>
      <c r="G63" s="34"/>
      <c r="H63" s="34"/>
      <c r="I63" s="27" t="s">
        <v>33</v>
      </c>
      <c r="J63" s="30" t="str">
        <f>E28</f>
        <v>Ateliér Simona Group</v>
      </c>
      <c r="K63" s="34"/>
      <c r="L63" s="111"/>
      <c r="S63" s="32"/>
      <c r="T63" s="32"/>
      <c r="U63" s="32"/>
      <c r="V63" s="32"/>
      <c r="W63" s="32"/>
      <c r="X63" s="32"/>
      <c r="Y63" s="32"/>
      <c r="Z63" s="32"/>
      <c r="AA63" s="32"/>
      <c r="AB63" s="32"/>
      <c r="AC63" s="32"/>
      <c r="AD63" s="32"/>
      <c r="AE63" s="32"/>
    </row>
    <row r="64" spans="1:31" s="2" customFormat="1" ht="10.35" customHeight="1">
      <c r="A64" s="32"/>
      <c r="B64" s="33"/>
      <c r="C64" s="34"/>
      <c r="D64" s="34"/>
      <c r="E64" s="34"/>
      <c r="F64" s="34"/>
      <c r="G64" s="34"/>
      <c r="H64" s="34"/>
      <c r="I64" s="34"/>
      <c r="J64" s="34"/>
      <c r="K64" s="34"/>
      <c r="L64" s="111"/>
      <c r="S64" s="32"/>
      <c r="T64" s="32"/>
      <c r="U64" s="32"/>
      <c r="V64" s="32"/>
      <c r="W64" s="32"/>
      <c r="X64" s="32"/>
      <c r="Y64" s="32"/>
      <c r="Z64" s="32"/>
      <c r="AA64" s="32"/>
      <c r="AB64" s="32"/>
      <c r="AC64" s="32"/>
      <c r="AD64" s="32"/>
      <c r="AE64" s="32"/>
    </row>
    <row r="65" spans="1:31" s="2" customFormat="1" ht="29.25" customHeight="1">
      <c r="A65" s="32"/>
      <c r="B65" s="33"/>
      <c r="C65" s="134" t="s">
        <v>148</v>
      </c>
      <c r="D65" s="135"/>
      <c r="E65" s="135"/>
      <c r="F65" s="135"/>
      <c r="G65" s="135"/>
      <c r="H65" s="135"/>
      <c r="I65" s="135"/>
      <c r="J65" s="136" t="s">
        <v>149</v>
      </c>
      <c r="K65" s="135"/>
      <c r="L65" s="111"/>
      <c r="S65" s="32"/>
      <c r="T65" s="32"/>
      <c r="U65" s="32"/>
      <c r="V65" s="32"/>
      <c r="W65" s="32"/>
      <c r="X65" s="32"/>
      <c r="Y65" s="32"/>
      <c r="Z65" s="32"/>
      <c r="AA65" s="32"/>
      <c r="AB65" s="32"/>
      <c r="AC65" s="32"/>
      <c r="AD65" s="32"/>
      <c r="AE65" s="32"/>
    </row>
    <row r="66" spans="1:31" s="2" customFormat="1" ht="10.35" customHeight="1">
      <c r="A66" s="32"/>
      <c r="B66" s="33"/>
      <c r="C66" s="34"/>
      <c r="D66" s="34"/>
      <c r="E66" s="34"/>
      <c r="F66" s="34"/>
      <c r="G66" s="34"/>
      <c r="H66" s="34"/>
      <c r="I66" s="34"/>
      <c r="J66" s="34"/>
      <c r="K66" s="34"/>
      <c r="L66" s="111"/>
      <c r="S66" s="32"/>
      <c r="T66" s="32"/>
      <c r="U66" s="32"/>
      <c r="V66" s="32"/>
      <c r="W66" s="32"/>
      <c r="X66" s="32"/>
      <c r="Y66" s="32"/>
      <c r="Z66" s="32"/>
      <c r="AA66" s="32"/>
      <c r="AB66" s="32"/>
      <c r="AC66" s="32"/>
      <c r="AD66" s="32"/>
      <c r="AE66" s="32"/>
    </row>
    <row r="67" spans="1:47" s="2" customFormat="1" ht="22.9" customHeight="1">
      <c r="A67" s="32"/>
      <c r="B67" s="33"/>
      <c r="C67" s="137" t="s">
        <v>68</v>
      </c>
      <c r="D67" s="34"/>
      <c r="E67" s="34"/>
      <c r="F67" s="34"/>
      <c r="G67" s="34"/>
      <c r="H67" s="34"/>
      <c r="I67" s="34"/>
      <c r="J67" s="75">
        <f>J93</f>
        <v>0</v>
      </c>
      <c r="K67" s="34"/>
      <c r="L67" s="111"/>
      <c r="S67" s="32"/>
      <c r="T67" s="32"/>
      <c r="U67" s="32"/>
      <c r="V67" s="32"/>
      <c r="W67" s="32"/>
      <c r="X67" s="32"/>
      <c r="Y67" s="32"/>
      <c r="Z67" s="32"/>
      <c r="AA67" s="32"/>
      <c r="AB67" s="32"/>
      <c r="AC67" s="32"/>
      <c r="AD67" s="32"/>
      <c r="AE67" s="32"/>
      <c r="AU67" s="15" t="s">
        <v>150</v>
      </c>
    </row>
    <row r="68" spans="2:12" s="9" customFormat="1" ht="24.95" customHeight="1">
      <c r="B68" s="138"/>
      <c r="C68" s="139"/>
      <c r="D68" s="140" t="s">
        <v>161</v>
      </c>
      <c r="E68" s="141"/>
      <c r="F68" s="141"/>
      <c r="G68" s="141"/>
      <c r="H68" s="141"/>
      <c r="I68" s="141"/>
      <c r="J68" s="142">
        <f>J94</f>
        <v>0</v>
      </c>
      <c r="K68" s="139"/>
      <c r="L68" s="143"/>
    </row>
    <row r="69" spans="2:12" s="10" customFormat="1" ht="19.9" customHeight="1">
      <c r="B69" s="144"/>
      <c r="C69" s="95"/>
      <c r="D69" s="145" t="s">
        <v>176</v>
      </c>
      <c r="E69" s="146"/>
      <c r="F69" s="146"/>
      <c r="G69" s="146"/>
      <c r="H69" s="146"/>
      <c r="I69" s="146"/>
      <c r="J69" s="147">
        <f>J95</f>
        <v>0</v>
      </c>
      <c r="K69" s="95"/>
      <c r="L69" s="148"/>
    </row>
    <row r="70" spans="1:31" s="2" customFormat="1" ht="21.75" customHeight="1">
      <c r="A70" s="32"/>
      <c r="B70" s="33"/>
      <c r="C70" s="34"/>
      <c r="D70" s="34"/>
      <c r="E70" s="34"/>
      <c r="F70" s="34"/>
      <c r="G70" s="34"/>
      <c r="H70" s="34"/>
      <c r="I70" s="34"/>
      <c r="J70" s="34"/>
      <c r="K70" s="34"/>
      <c r="L70" s="111"/>
      <c r="S70" s="32"/>
      <c r="T70" s="32"/>
      <c r="U70" s="32"/>
      <c r="V70" s="32"/>
      <c r="W70" s="32"/>
      <c r="X70" s="32"/>
      <c r="Y70" s="32"/>
      <c r="Z70" s="32"/>
      <c r="AA70" s="32"/>
      <c r="AB70" s="32"/>
      <c r="AC70" s="32"/>
      <c r="AD70" s="32"/>
      <c r="AE70" s="32"/>
    </row>
    <row r="71" spans="1:31" s="2" customFormat="1" ht="6.95" customHeight="1">
      <c r="A71" s="32"/>
      <c r="B71" s="45"/>
      <c r="C71" s="46"/>
      <c r="D71" s="46"/>
      <c r="E71" s="46"/>
      <c r="F71" s="46"/>
      <c r="G71" s="46"/>
      <c r="H71" s="46"/>
      <c r="I71" s="46"/>
      <c r="J71" s="46"/>
      <c r="K71" s="46"/>
      <c r="L71" s="111"/>
      <c r="S71" s="32"/>
      <c r="T71" s="32"/>
      <c r="U71" s="32"/>
      <c r="V71" s="32"/>
      <c r="W71" s="32"/>
      <c r="X71" s="32"/>
      <c r="Y71" s="32"/>
      <c r="Z71" s="32"/>
      <c r="AA71" s="32"/>
      <c r="AB71" s="32"/>
      <c r="AC71" s="32"/>
      <c r="AD71" s="32"/>
      <c r="AE71" s="32"/>
    </row>
    <row r="75" spans="1:31" s="2" customFormat="1" ht="6.95" customHeight="1">
      <c r="A75" s="32"/>
      <c r="B75" s="47"/>
      <c r="C75" s="48"/>
      <c r="D75" s="48"/>
      <c r="E75" s="48"/>
      <c r="F75" s="48"/>
      <c r="G75" s="48"/>
      <c r="H75" s="48"/>
      <c r="I75" s="48"/>
      <c r="J75" s="48"/>
      <c r="K75" s="48"/>
      <c r="L75" s="111"/>
      <c r="S75" s="32"/>
      <c r="T75" s="32"/>
      <c r="U75" s="32"/>
      <c r="V75" s="32"/>
      <c r="W75" s="32"/>
      <c r="X75" s="32"/>
      <c r="Y75" s="32"/>
      <c r="Z75" s="32"/>
      <c r="AA75" s="32"/>
      <c r="AB75" s="32"/>
      <c r="AC75" s="32"/>
      <c r="AD75" s="32"/>
      <c r="AE75" s="32"/>
    </row>
    <row r="76" spans="1:31" s="2" customFormat="1" ht="24.95" customHeight="1">
      <c r="A76" s="32"/>
      <c r="B76" s="33"/>
      <c r="C76" s="21" t="s">
        <v>181</v>
      </c>
      <c r="D76" s="34"/>
      <c r="E76" s="34"/>
      <c r="F76" s="34"/>
      <c r="G76" s="34"/>
      <c r="H76" s="34"/>
      <c r="I76" s="34"/>
      <c r="J76" s="34"/>
      <c r="K76" s="34"/>
      <c r="L76" s="111"/>
      <c r="S76" s="32"/>
      <c r="T76" s="32"/>
      <c r="U76" s="32"/>
      <c r="V76" s="32"/>
      <c r="W76" s="32"/>
      <c r="X76" s="32"/>
      <c r="Y76" s="32"/>
      <c r="Z76" s="32"/>
      <c r="AA76" s="32"/>
      <c r="AB76" s="32"/>
      <c r="AC76" s="32"/>
      <c r="AD76" s="32"/>
      <c r="AE76" s="32"/>
    </row>
    <row r="77" spans="1:31" s="2" customFormat="1" ht="6.95" customHeight="1">
      <c r="A77" s="32"/>
      <c r="B77" s="33"/>
      <c r="C77" s="34"/>
      <c r="D77" s="34"/>
      <c r="E77" s="34"/>
      <c r="F77" s="34"/>
      <c r="G77" s="34"/>
      <c r="H77" s="34"/>
      <c r="I77" s="34"/>
      <c r="J77" s="34"/>
      <c r="K77" s="34"/>
      <c r="L77" s="111"/>
      <c r="S77" s="32"/>
      <c r="T77" s="32"/>
      <c r="U77" s="32"/>
      <c r="V77" s="32"/>
      <c r="W77" s="32"/>
      <c r="X77" s="32"/>
      <c r="Y77" s="32"/>
      <c r="Z77" s="32"/>
      <c r="AA77" s="32"/>
      <c r="AB77" s="32"/>
      <c r="AC77" s="32"/>
      <c r="AD77" s="32"/>
      <c r="AE77" s="32"/>
    </row>
    <row r="78" spans="1:31" s="2" customFormat="1" ht="12" customHeight="1">
      <c r="A78" s="32"/>
      <c r="B78" s="33"/>
      <c r="C78" s="27" t="s">
        <v>16</v>
      </c>
      <c r="D78" s="34"/>
      <c r="E78" s="34"/>
      <c r="F78" s="34"/>
      <c r="G78" s="34"/>
      <c r="H78" s="34"/>
      <c r="I78" s="34"/>
      <c r="J78" s="34"/>
      <c r="K78" s="34"/>
      <c r="L78" s="111"/>
      <c r="S78" s="32"/>
      <c r="T78" s="32"/>
      <c r="U78" s="32"/>
      <c r="V78" s="32"/>
      <c r="W78" s="32"/>
      <c r="X78" s="32"/>
      <c r="Y78" s="32"/>
      <c r="Z78" s="32"/>
      <c r="AA78" s="32"/>
      <c r="AB78" s="32"/>
      <c r="AC78" s="32"/>
      <c r="AD78" s="32"/>
      <c r="AE78" s="32"/>
    </row>
    <row r="79" spans="1:31" s="2" customFormat="1" ht="14.45" customHeight="1">
      <c r="A79" s="32"/>
      <c r="B79" s="33"/>
      <c r="C79" s="34"/>
      <c r="D79" s="34"/>
      <c r="E79" s="700" t="str">
        <f>E7</f>
        <v>Úpravy gastroprovozu Úřadu vlády ČR v 1.pp Strakovy akademie</v>
      </c>
      <c r="F79" s="701"/>
      <c r="G79" s="701"/>
      <c r="H79" s="701"/>
      <c r="I79" s="34"/>
      <c r="J79" s="34"/>
      <c r="K79" s="34"/>
      <c r="L79" s="111"/>
      <c r="S79" s="32"/>
      <c r="T79" s="32"/>
      <c r="U79" s="32"/>
      <c r="V79" s="32"/>
      <c r="W79" s="32"/>
      <c r="X79" s="32"/>
      <c r="Y79" s="32"/>
      <c r="Z79" s="32"/>
      <c r="AA79" s="32"/>
      <c r="AB79" s="32"/>
      <c r="AC79" s="32"/>
      <c r="AD79" s="32"/>
      <c r="AE79" s="32"/>
    </row>
    <row r="80" spans="2:12" s="1" customFormat="1" ht="12" customHeight="1">
      <c r="B80" s="19"/>
      <c r="C80" s="27" t="s">
        <v>142</v>
      </c>
      <c r="D80" s="20"/>
      <c r="E80" s="20"/>
      <c r="F80" s="20"/>
      <c r="G80" s="20"/>
      <c r="H80" s="20"/>
      <c r="I80" s="20"/>
      <c r="J80" s="20"/>
      <c r="K80" s="20"/>
      <c r="L80" s="18"/>
    </row>
    <row r="81" spans="2:12" s="1" customFormat="1" ht="14.45" customHeight="1">
      <c r="B81" s="19"/>
      <c r="C81" s="20"/>
      <c r="D81" s="20"/>
      <c r="E81" s="700" t="s">
        <v>1429</v>
      </c>
      <c r="F81" s="667"/>
      <c r="G81" s="667"/>
      <c r="H81" s="667"/>
      <c r="I81" s="20"/>
      <c r="J81" s="20"/>
      <c r="K81" s="20"/>
      <c r="L81" s="18"/>
    </row>
    <row r="82" spans="2:12" s="1" customFormat="1" ht="12" customHeight="1">
      <c r="B82" s="19"/>
      <c r="C82" s="27" t="s">
        <v>144</v>
      </c>
      <c r="D82" s="20"/>
      <c r="E82" s="20"/>
      <c r="F82" s="20"/>
      <c r="G82" s="20"/>
      <c r="H82" s="20"/>
      <c r="I82" s="20"/>
      <c r="J82" s="20"/>
      <c r="K82" s="20"/>
      <c r="L82" s="18"/>
    </row>
    <row r="83" spans="1:31" s="2" customFormat="1" ht="14.45" customHeight="1">
      <c r="A83" s="32"/>
      <c r="B83" s="33"/>
      <c r="C83" s="34"/>
      <c r="D83" s="34"/>
      <c r="E83" s="746" t="s">
        <v>1472</v>
      </c>
      <c r="F83" s="699"/>
      <c r="G83" s="699"/>
      <c r="H83" s="699"/>
      <c r="I83" s="34"/>
      <c r="J83" s="34"/>
      <c r="K83" s="34"/>
      <c r="L83" s="111"/>
      <c r="S83" s="32"/>
      <c r="T83" s="32"/>
      <c r="U83" s="32"/>
      <c r="V83" s="32"/>
      <c r="W83" s="32"/>
      <c r="X83" s="32"/>
      <c r="Y83" s="32"/>
      <c r="Z83" s="32"/>
      <c r="AA83" s="32"/>
      <c r="AB83" s="32"/>
      <c r="AC83" s="32"/>
      <c r="AD83" s="32"/>
      <c r="AE83" s="32"/>
    </row>
    <row r="84" spans="1:31" s="2" customFormat="1" ht="12" customHeight="1">
      <c r="A84" s="32"/>
      <c r="B84" s="33"/>
      <c r="C84" s="27" t="s">
        <v>1450</v>
      </c>
      <c r="D84" s="34"/>
      <c r="E84" s="34"/>
      <c r="F84" s="34"/>
      <c r="G84" s="34"/>
      <c r="H84" s="34"/>
      <c r="I84" s="34"/>
      <c r="J84" s="34"/>
      <c r="K84" s="34"/>
      <c r="L84" s="111"/>
      <c r="S84" s="32"/>
      <c r="T84" s="32"/>
      <c r="U84" s="32"/>
      <c r="V84" s="32"/>
      <c r="W84" s="32"/>
      <c r="X84" s="32"/>
      <c r="Y84" s="32"/>
      <c r="Z84" s="32"/>
      <c r="AA84" s="32"/>
      <c r="AB84" s="32"/>
      <c r="AC84" s="32"/>
      <c r="AD84" s="32"/>
      <c r="AE84" s="32"/>
    </row>
    <row r="85" spans="1:31" s="2" customFormat="1" ht="14.45" customHeight="1">
      <c r="A85" s="32"/>
      <c r="B85" s="33"/>
      <c r="C85" s="34"/>
      <c r="D85" s="34"/>
      <c r="E85" s="696" t="str">
        <f>E13</f>
        <v>D.1.4.06.2 - Soupis prací - Gastro obj. systém</v>
      </c>
      <c r="F85" s="699"/>
      <c r="G85" s="699"/>
      <c r="H85" s="699"/>
      <c r="I85" s="34"/>
      <c r="J85" s="34"/>
      <c r="K85" s="34"/>
      <c r="L85" s="111"/>
      <c r="S85" s="32"/>
      <c r="T85" s="32"/>
      <c r="U85" s="32"/>
      <c r="V85" s="32"/>
      <c r="W85" s="32"/>
      <c r="X85" s="32"/>
      <c r="Y85" s="32"/>
      <c r="Z85" s="32"/>
      <c r="AA85" s="32"/>
      <c r="AB85" s="32"/>
      <c r="AC85" s="32"/>
      <c r="AD85" s="32"/>
      <c r="AE85" s="32"/>
    </row>
    <row r="86" spans="1:31" s="2" customFormat="1" ht="6.95" customHeight="1">
      <c r="A86" s="32"/>
      <c r="B86" s="33"/>
      <c r="C86" s="34"/>
      <c r="D86" s="34"/>
      <c r="E86" s="34"/>
      <c r="F86" s="34"/>
      <c r="G86" s="34"/>
      <c r="H86" s="34"/>
      <c r="I86" s="34"/>
      <c r="J86" s="34"/>
      <c r="K86" s="34"/>
      <c r="L86" s="111"/>
      <c r="S86" s="32"/>
      <c r="T86" s="32"/>
      <c r="U86" s="32"/>
      <c r="V86" s="32"/>
      <c r="W86" s="32"/>
      <c r="X86" s="32"/>
      <c r="Y86" s="32"/>
      <c r="Z86" s="32"/>
      <c r="AA86" s="32"/>
      <c r="AB86" s="32"/>
      <c r="AC86" s="32"/>
      <c r="AD86" s="32"/>
      <c r="AE86" s="32"/>
    </row>
    <row r="87" spans="1:31" s="2" customFormat="1" ht="12" customHeight="1">
      <c r="A87" s="32"/>
      <c r="B87" s="33"/>
      <c r="C87" s="27" t="s">
        <v>21</v>
      </c>
      <c r="D87" s="34"/>
      <c r="E87" s="34"/>
      <c r="F87" s="25" t="str">
        <f>F16</f>
        <v xml:space="preserve"> </v>
      </c>
      <c r="G87" s="34"/>
      <c r="H87" s="34"/>
      <c r="I87" s="27" t="s">
        <v>23</v>
      </c>
      <c r="J87" s="57" t="str">
        <f>IF(J16="","",J16)</f>
        <v>Vyplň údaj</v>
      </c>
      <c r="K87" s="34"/>
      <c r="L87" s="111"/>
      <c r="S87" s="32"/>
      <c r="T87" s="32"/>
      <c r="U87" s="32"/>
      <c r="V87" s="32"/>
      <c r="W87" s="32"/>
      <c r="X87" s="32"/>
      <c r="Y87" s="32"/>
      <c r="Z87" s="32"/>
      <c r="AA87" s="32"/>
      <c r="AB87" s="32"/>
      <c r="AC87" s="32"/>
      <c r="AD87" s="32"/>
      <c r="AE87" s="32"/>
    </row>
    <row r="88" spans="1:31" s="2" customFormat="1" ht="6.95" customHeight="1">
      <c r="A88" s="32"/>
      <c r="B88" s="33"/>
      <c r="C88" s="34"/>
      <c r="D88" s="34"/>
      <c r="E88" s="34"/>
      <c r="F88" s="34"/>
      <c r="G88" s="34"/>
      <c r="H88" s="34"/>
      <c r="I88" s="34"/>
      <c r="J88" s="34"/>
      <c r="K88" s="34"/>
      <c r="L88" s="111"/>
      <c r="S88" s="32"/>
      <c r="T88" s="32"/>
      <c r="U88" s="32"/>
      <c r="V88" s="32"/>
      <c r="W88" s="32"/>
      <c r="X88" s="32"/>
      <c r="Y88" s="32"/>
      <c r="Z88" s="32"/>
      <c r="AA88" s="32"/>
      <c r="AB88" s="32"/>
      <c r="AC88" s="32"/>
      <c r="AD88" s="32"/>
      <c r="AE88" s="32"/>
    </row>
    <row r="89" spans="1:31" s="2" customFormat="1" ht="26.45" customHeight="1">
      <c r="A89" s="32"/>
      <c r="B89" s="33"/>
      <c r="C89" s="27" t="s">
        <v>24</v>
      </c>
      <c r="D89" s="34"/>
      <c r="E89" s="34"/>
      <c r="F89" s="25" t="str">
        <f>E19</f>
        <v xml:space="preserve">Úřad vlády České republiky </v>
      </c>
      <c r="G89" s="34"/>
      <c r="H89" s="34"/>
      <c r="I89" s="27" t="s">
        <v>30</v>
      </c>
      <c r="J89" s="30" t="str">
        <f>E25</f>
        <v>Ateliér Simona Group</v>
      </c>
      <c r="K89" s="34"/>
      <c r="L89" s="111"/>
      <c r="S89" s="32"/>
      <c r="T89" s="32"/>
      <c r="U89" s="32"/>
      <c r="V89" s="32"/>
      <c r="W89" s="32"/>
      <c r="X89" s="32"/>
      <c r="Y89" s="32"/>
      <c r="Z89" s="32"/>
      <c r="AA89" s="32"/>
      <c r="AB89" s="32"/>
      <c r="AC89" s="32"/>
      <c r="AD89" s="32"/>
      <c r="AE89" s="32"/>
    </row>
    <row r="90" spans="1:31" s="2" customFormat="1" ht="26.45" customHeight="1">
      <c r="A90" s="32"/>
      <c r="B90" s="33"/>
      <c r="C90" s="27" t="s">
        <v>28</v>
      </c>
      <c r="D90" s="34"/>
      <c r="E90" s="34"/>
      <c r="F90" s="25" t="str">
        <f>IF(E22="","",E22)</f>
        <v>Vyplň údaj</v>
      </c>
      <c r="G90" s="34"/>
      <c r="H90" s="34"/>
      <c r="I90" s="27" t="s">
        <v>33</v>
      </c>
      <c r="J90" s="30" t="str">
        <f>E28</f>
        <v>Ateliér Simona Group</v>
      </c>
      <c r="K90" s="34"/>
      <c r="L90" s="111"/>
      <c r="S90" s="32"/>
      <c r="T90" s="32"/>
      <c r="U90" s="32"/>
      <c r="V90" s="32"/>
      <c r="W90" s="32"/>
      <c r="X90" s="32"/>
      <c r="Y90" s="32"/>
      <c r="Z90" s="32"/>
      <c r="AA90" s="32"/>
      <c r="AB90" s="32"/>
      <c r="AC90" s="32"/>
      <c r="AD90" s="32"/>
      <c r="AE90" s="32"/>
    </row>
    <row r="91" spans="1:31" s="2" customFormat="1" ht="10.35" customHeight="1">
      <c r="A91" s="32"/>
      <c r="B91" s="33"/>
      <c r="C91" s="34"/>
      <c r="D91" s="34"/>
      <c r="E91" s="34"/>
      <c r="F91" s="34"/>
      <c r="G91" s="34"/>
      <c r="H91" s="34"/>
      <c r="I91" s="34"/>
      <c r="J91" s="34"/>
      <c r="K91" s="34"/>
      <c r="L91" s="111"/>
      <c r="S91" s="32"/>
      <c r="T91" s="32"/>
      <c r="U91" s="32"/>
      <c r="V91" s="32"/>
      <c r="W91" s="32"/>
      <c r="X91" s="32"/>
      <c r="Y91" s="32"/>
      <c r="Z91" s="32"/>
      <c r="AA91" s="32"/>
      <c r="AB91" s="32"/>
      <c r="AC91" s="32"/>
      <c r="AD91" s="32"/>
      <c r="AE91" s="32"/>
    </row>
    <row r="92" spans="1:31" s="11" customFormat="1" ht="29.25" customHeight="1">
      <c r="A92" s="149"/>
      <c r="B92" s="150"/>
      <c r="C92" s="151" t="s">
        <v>182</v>
      </c>
      <c r="D92" s="152" t="s">
        <v>55</v>
      </c>
      <c r="E92" s="152" t="s">
        <v>51</v>
      </c>
      <c r="F92" s="152" t="s">
        <v>52</v>
      </c>
      <c r="G92" s="152" t="s">
        <v>183</v>
      </c>
      <c r="H92" s="152" t="s">
        <v>184</v>
      </c>
      <c r="I92" s="152" t="s">
        <v>185</v>
      </c>
      <c r="J92" s="152" t="s">
        <v>149</v>
      </c>
      <c r="K92" s="153" t="s">
        <v>186</v>
      </c>
      <c r="L92" s="154"/>
      <c r="M92" s="66" t="s">
        <v>19</v>
      </c>
      <c r="N92" s="67" t="s">
        <v>40</v>
      </c>
      <c r="O92" s="67" t="s">
        <v>187</v>
      </c>
      <c r="P92" s="67" t="s">
        <v>188</v>
      </c>
      <c r="Q92" s="67" t="s">
        <v>189</v>
      </c>
      <c r="R92" s="67" t="s">
        <v>190</v>
      </c>
      <c r="S92" s="67" t="s">
        <v>191</v>
      </c>
      <c r="T92" s="68" t="s">
        <v>192</v>
      </c>
      <c r="U92" s="149"/>
      <c r="V92" s="149"/>
      <c r="W92" s="149"/>
      <c r="X92" s="149"/>
      <c r="Y92" s="149"/>
      <c r="Z92" s="149"/>
      <c r="AA92" s="149"/>
      <c r="AB92" s="149"/>
      <c r="AC92" s="149"/>
      <c r="AD92" s="149"/>
      <c r="AE92" s="149"/>
    </row>
    <row r="93" spans="1:63" s="2" customFormat="1" ht="22.9" customHeight="1">
      <c r="A93" s="32"/>
      <c r="B93" s="33"/>
      <c r="C93" s="73" t="s">
        <v>193</v>
      </c>
      <c r="D93" s="34"/>
      <c r="E93" s="34"/>
      <c r="F93" s="34"/>
      <c r="G93" s="34"/>
      <c r="H93" s="34"/>
      <c r="I93" s="34"/>
      <c r="J93" s="155">
        <f>BK93</f>
        <v>0</v>
      </c>
      <c r="K93" s="34"/>
      <c r="L93" s="37"/>
      <c r="M93" s="69"/>
      <c r="N93" s="156"/>
      <c r="O93" s="70"/>
      <c r="P93" s="157">
        <f>P94</f>
        <v>0</v>
      </c>
      <c r="Q93" s="70"/>
      <c r="R93" s="157">
        <f>R94</f>
        <v>0</v>
      </c>
      <c r="S93" s="70"/>
      <c r="T93" s="158">
        <f>T94</f>
        <v>0</v>
      </c>
      <c r="U93" s="32"/>
      <c r="V93" s="32"/>
      <c r="W93" s="32"/>
      <c r="X93" s="32"/>
      <c r="Y93" s="32"/>
      <c r="Z93" s="32"/>
      <c r="AA93" s="32"/>
      <c r="AB93" s="32"/>
      <c r="AC93" s="32"/>
      <c r="AD93" s="32"/>
      <c r="AE93" s="32"/>
      <c r="AT93" s="15" t="s">
        <v>69</v>
      </c>
      <c r="AU93" s="15" t="s">
        <v>150</v>
      </c>
      <c r="BK93" s="159">
        <f>BK94</f>
        <v>0</v>
      </c>
    </row>
    <row r="94" spans="2:63" s="12" customFormat="1" ht="25.9" customHeight="1">
      <c r="B94" s="160"/>
      <c r="C94" s="161"/>
      <c r="D94" s="162" t="s">
        <v>69</v>
      </c>
      <c r="E94" s="163" t="s">
        <v>694</v>
      </c>
      <c r="F94" s="163" t="s">
        <v>695</v>
      </c>
      <c r="G94" s="161"/>
      <c r="H94" s="161"/>
      <c r="I94" s="164"/>
      <c r="J94" s="165">
        <f>BK94</f>
        <v>0</v>
      </c>
      <c r="K94" s="161"/>
      <c r="L94" s="166"/>
      <c r="M94" s="167"/>
      <c r="N94" s="168"/>
      <c r="O94" s="168"/>
      <c r="P94" s="169">
        <f>P95</f>
        <v>0</v>
      </c>
      <c r="Q94" s="168"/>
      <c r="R94" s="169">
        <f>R95</f>
        <v>0</v>
      </c>
      <c r="S94" s="168"/>
      <c r="T94" s="170">
        <f>T95</f>
        <v>0</v>
      </c>
      <c r="AR94" s="171" t="s">
        <v>79</v>
      </c>
      <c r="AT94" s="172" t="s">
        <v>69</v>
      </c>
      <c r="AU94" s="172" t="s">
        <v>70</v>
      </c>
      <c r="AY94" s="171" t="s">
        <v>196</v>
      </c>
      <c r="BK94" s="173">
        <f>BK95</f>
        <v>0</v>
      </c>
    </row>
    <row r="95" spans="2:63" s="12" customFormat="1" ht="22.9" customHeight="1">
      <c r="B95" s="160"/>
      <c r="C95" s="161"/>
      <c r="D95" s="162" t="s">
        <v>69</v>
      </c>
      <c r="E95" s="174" t="s">
        <v>1325</v>
      </c>
      <c r="F95" s="174" t="s">
        <v>1326</v>
      </c>
      <c r="G95" s="161"/>
      <c r="H95" s="161"/>
      <c r="I95" s="164"/>
      <c r="J95" s="175">
        <f>BK95</f>
        <v>0</v>
      </c>
      <c r="K95" s="161"/>
      <c r="L95" s="166"/>
      <c r="M95" s="167"/>
      <c r="N95" s="168"/>
      <c r="O95" s="168"/>
      <c r="P95" s="169">
        <f>P96</f>
        <v>0</v>
      </c>
      <c r="Q95" s="168"/>
      <c r="R95" s="169">
        <f>R96</f>
        <v>0</v>
      </c>
      <c r="S95" s="168"/>
      <c r="T95" s="170">
        <f>T96</f>
        <v>0</v>
      </c>
      <c r="AR95" s="171" t="s">
        <v>79</v>
      </c>
      <c r="AT95" s="172" t="s">
        <v>69</v>
      </c>
      <c r="AU95" s="172" t="s">
        <v>77</v>
      </c>
      <c r="AY95" s="171" t="s">
        <v>196</v>
      </c>
      <c r="BK95" s="173">
        <f>BK96</f>
        <v>0</v>
      </c>
    </row>
    <row r="96" spans="1:65" s="2" customFormat="1" ht="13.9" customHeight="1">
      <c r="A96" s="32"/>
      <c r="B96" s="33"/>
      <c r="C96" s="176" t="s">
        <v>77</v>
      </c>
      <c r="D96" s="176" t="s">
        <v>198</v>
      </c>
      <c r="E96" s="177" t="s">
        <v>1477</v>
      </c>
      <c r="F96" s="178" t="s">
        <v>1481</v>
      </c>
      <c r="G96" s="179" t="s">
        <v>1437</v>
      </c>
      <c r="H96" s="180">
        <v>1</v>
      </c>
      <c r="I96" s="181">
        <f>'G-OS'!L25</f>
        <v>0</v>
      </c>
      <c r="J96" s="182">
        <f>ROUND(I96*H96,2)</f>
        <v>0</v>
      </c>
      <c r="K96" s="178" t="s">
        <v>19</v>
      </c>
      <c r="L96" s="37"/>
      <c r="M96" s="204" t="s">
        <v>19</v>
      </c>
      <c r="N96" s="205" t="s">
        <v>41</v>
      </c>
      <c r="O96" s="206"/>
      <c r="P96" s="207">
        <f>O96*H96</f>
        <v>0</v>
      </c>
      <c r="Q96" s="207">
        <v>0</v>
      </c>
      <c r="R96" s="207">
        <f>Q96*H96</f>
        <v>0</v>
      </c>
      <c r="S96" s="207">
        <v>0</v>
      </c>
      <c r="T96" s="208">
        <f>S96*H96</f>
        <v>0</v>
      </c>
      <c r="U96" s="32"/>
      <c r="V96" s="32"/>
      <c r="W96" s="32"/>
      <c r="X96" s="32"/>
      <c r="Y96" s="32"/>
      <c r="Z96" s="32"/>
      <c r="AA96" s="32"/>
      <c r="AB96" s="32"/>
      <c r="AC96" s="32"/>
      <c r="AD96" s="32"/>
      <c r="AE96" s="32"/>
      <c r="AR96" s="187" t="s">
        <v>270</v>
      </c>
      <c r="AT96" s="187" t="s">
        <v>198</v>
      </c>
      <c r="AU96" s="187" t="s">
        <v>79</v>
      </c>
      <c r="AY96" s="15" t="s">
        <v>196</v>
      </c>
      <c r="BE96" s="188">
        <f>IF(N96="základní",J96,0)</f>
        <v>0</v>
      </c>
      <c r="BF96" s="188">
        <f>IF(N96="snížená",J96,0)</f>
        <v>0</v>
      </c>
      <c r="BG96" s="188">
        <f>IF(N96="zákl. přenesená",J96,0)</f>
        <v>0</v>
      </c>
      <c r="BH96" s="188">
        <f>IF(N96="sníž. přenesená",J96,0)</f>
        <v>0</v>
      </c>
      <c r="BI96" s="188">
        <f>IF(N96="nulová",J96,0)</f>
        <v>0</v>
      </c>
      <c r="BJ96" s="15" t="s">
        <v>77</v>
      </c>
      <c r="BK96" s="188">
        <f>ROUND(I96*H96,2)</f>
        <v>0</v>
      </c>
      <c r="BL96" s="15" t="s">
        <v>270</v>
      </c>
      <c r="BM96" s="187" t="s">
        <v>1482</v>
      </c>
    </row>
    <row r="97" spans="1:31" s="2" customFormat="1" ht="6.95" customHeight="1">
      <c r="A97" s="32"/>
      <c r="B97" s="45"/>
      <c r="C97" s="46"/>
      <c r="D97" s="46"/>
      <c r="E97" s="46"/>
      <c r="F97" s="46"/>
      <c r="G97" s="46"/>
      <c r="H97" s="46"/>
      <c r="I97" s="46"/>
      <c r="J97" s="46"/>
      <c r="K97" s="46"/>
      <c r="L97" s="37"/>
      <c r="M97" s="32"/>
      <c r="O97" s="32"/>
      <c r="P97" s="32"/>
      <c r="Q97" s="32"/>
      <c r="R97" s="32"/>
      <c r="S97" s="32"/>
      <c r="T97" s="32"/>
      <c r="U97" s="32"/>
      <c r="V97" s="32"/>
      <c r="W97" s="32"/>
      <c r="X97" s="32"/>
      <c r="Y97" s="32"/>
      <c r="Z97" s="32"/>
      <c r="AA97" s="32"/>
      <c r="AB97" s="32"/>
      <c r="AC97" s="32"/>
      <c r="AD97" s="32"/>
      <c r="AE97" s="32"/>
    </row>
  </sheetData>
  <sheetProtection algorithmName="SHA-512" hashValue="2kkP4tS6MLwahnz6Do53cG1Vvj2WJHH0vOPCcJLklhddSya4toiLPkT/5A53COP/ltJs1mkuCLFTNE+J9NGK6Q==" saltValue="W5k/6xgPr9UIO+rGey63O2OArljEi4Gj/o1X11KURY4e7UvMpbeG1jQQIUK9MwxUT+p7D/dgkwHNqttz1rQ85Q==" spinCount="100000" sheet="1" objects="1" scenarios="1" formatColumns="0" formatRows="0" autoFilter="0"/>
  <autoFilter ref="C92:K96"/>
  <mergeCells count="15">
    <mergeCell ref="E79:H79"/>
    <mergeCell ref="E83:H83"/>
    <mergeCell ref="E81:H81"/>
    <mergeCell ref="E85:H85"/>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0EAEE-4D8C-4067-9F5D-3C8FB3B22C23}">
  <sheetPr>
    <tabColor rgb="FF7030A0"/>
    <pageSetUpPr fitToPage="1"/>
  </sheetPr>
  <dimension ref="A1:N96"/>
  <sheetViews>
    <sheetView zoomScaleSheetLayoutView="100" workbookViewId="0" topLeftCell="A1">
      <selection activeCell="K11" sqref="K11"/>
    </sheetView>
  </sheetViews>
  <sheetFormatPr defaultColWidth="9.140625" defaultRowHeight="12"/>
  <cols>
    <col min="1" max="1" width="9.28125" style="538" customWidth="1"/>
    <col min="2" max="2" width="127.8515625" style="537" customWidth="1"/>
    <col min="3" max="3" width="22.140625" style="538" customWidth="1"/>
    <col min="4" max="4" width="20.00390625" style="538" bestFit="1" customWidth="1"/>
    <col min="5" max="5" width="7.00390625" style="538" bestFit="1" customWidth="1"/>
    <col min="6" max="6" width="9.7109375" style="538" bestFit="1" customWidth="1"/>
    <col min="7" max="7" width="8.421875" style="538" customWidth="1"/>
    <col min="8" max="8" width="13.28125" style="538" customWidth="1"/>
    <col min="9" max="9" width="14.140625" style="538" customWidth="1"/>
    <col min="10" max="10" width="17.421875" style="537" bestFit="1" customWidth="1"/>
    <col min="11" max="11" width="6.421875" style="538" bestFit="1" customWidth="1"/>
    <col min="12" max="12" width="19.421875" style="537" bestFit="1" customWidth="1"/>
    <col min="13" max="13" width="6.00390625" style="537" bestFit="1" customWidth="1"/>
    <col min="14" max="14" width="20.8515625" style="537" bestFit="1" customWidth="1"/>
    <col min="15" max="16384" width="9.28125" style="537" customWidth="1"/>
  </cols>
  <sheetData>
    <row r="1" spans="1:14" ht="30">
      <c r="A1" s="588" t="s">
        <v>2661</v>
      </c>
      <c r="B1" s="587" t="s">
        <v>2660</v>
      </c>
      <c r="C1" s="586" t="s">
        <v>2659</v>
      </c>
      <c r="D1" s="586" t="s">
        <v>2658</v>
      </c>
      <c r="E1" s="585" t="s">
        <v>2657</v>
      </c>
      <c r="F1" s="585" t="s">
        <v>2656</v>
      </c>
      <c r="G1" s="585" t="s">
        <v>2655</v>
      </c>
      <c r="H1" s="585" t="s">
        <v>2654</v>
      </c>
      <c r="I1" s="585" t="s">
        <v>2653</v>
      </c>
      <c r="J1" s="606" t="s">
        <v>2652</v>
      </c>
      <c r="K1" s="584" t="s">
        <v>2651</v>
      </c>
      <c r="L1" s="607" t="s">
        <v>2650</v>
      </c>
      <c r="M1" s="607" t="s">
        <v>40</v>
      </c>
      <c r="N1" s="608" t="s">
        <v>2649</v>
      </c>
    </row>
    <row r="2" spans="1:14" ht="16.5" customHeight="1">
      <c r="A2" s="564"/>
      <c r="B2" s="618" t="s">
        <v>2836</v>
      </c>
      <c r="C2" s="616"/>
      <c r="D2" s="616"/>
      <c r="E2" s="560"/>
      <c r="F2" s="560"/>
      <c r="G2" s="560"/>
      <c r="H2" s="560"/>
      <c r="I2" s="560"/>
      <c r="J2" s="620"/>
      <c r="K2" s="560"/>
      <c r="L2" s="602">
        <f aca="true" t="shared" si="0" ref="L2:L24">K2*J2</f>
        <v>0</v>
      </c>
      <c r="M2" s="558">
        <v>21</v>
      </c>
      <c r="N2" s="609">
        <f aca="true" t="shared" si="1" ref="N2:N24">L2*(1+(M2/100))</f>
        <v>0</v>
      </c>
    </row>
    <row r="3" spans="1:14" ht="30">
      <c r="A3" s="564" t="s">
        <v>2835</v>
      </c>
      <c r="B3" s="617" t="s">
        <v>2834</v>
      </c>
      <c r="C3" s="616"/>
      <c r="D3" s="616"/>
      <c r="E3" s="560"/>
      <c r="F3" s="560"/>
      <c r="G3" s="560"/>
      <c r="H3" s="560"/>
      <c r="I3" s="560"/>
      <c r="J3" s="620">
        <v>0</v>
      </c>
      <c r="K3" s="560">
        <v>1</v>
      </c>
      <c r="L3" s="602">
        <f t="shared" si="0"/>
        <v>0</v>
      </c>
      <c r="M3" s="558">
        <v>21</v>
      </c>
      <c r="N3" s="609">
        <f t="shared" si="1"/>
        <v>0</v>
      </c>
    </row>
    <row r="4" spans="1:14" ht="12">
      <c r="A4" s="564" t="s">
        <v>2833</v>
      </c>
      <c r="B4" s="617" t="s">
        <v>2832</v>
      </c>
      <c r="C4" s="616"/>
      <c r="D4" s="616"/>
      <c r="E4" s="560"/>
      <c r="F4" s="560"/>
      <c r="G4" s="560"/>
      <c r="H4" s="560"/>
      <c r="I4" s="560"/>
      <c r="J4" s="620">
        <v>0</v>
      </c>
      <c r="K4" s="560">
        <v>1</v>
      </c>
      <c r="L4" s="602">
        <f t="shared" si="0"/>
        <v>0</v>
      </c>
      <c r="M4" s="558">
        <v>21</v>
      </c>
      <c r="N4" s="609">
        <f t="shared" si="1"/>
        <v>0</v>
      </c>
    </row>
    <row r="5" spans="1:14" ht="16.5" customHeight="1">
      <c r="A5" s="564" t="s">
        <v>2831</v>
      </c>
      <c r="B5" s="617" t="s">
        <v>2830</v>
      </c>
      <c r="C5" s="616"/>
      <c r="D5" s="616"/>
      <c r="E5" s="560"/>
      <c r="F5" s="560"/>
      <c r="G5" s="560"/>
      <c r="H5" s="560"/>
      <c r="I5" s="560"/>
      <c r="J5" s="620">
        <v>0</v>
      </c>
      <c r="K5" s="560">
        <v>1</v>
      </c>
      <c r="L5" s="602">
        <f t="shared" si="0"/>
        <v>0</v>
      </c>
      <c r="M5" s="558">
        <v>21</v>
      </c>
      <c r="N5" s="609">
        <f t="shared" si="1"/>
        <v>0</v>
      </c>
    </row>
    <row r="6" spans="1:14" ht="16.5" customHeight="1">
      <c r="A6" s="564" t="s">
        <v>2829</v>
      </c>
      <c r="B6" s="617" t="s">
        <v>2828</v>
      </c>
      <c r="C6" s="616"/>
      <c r="D6" s="616"/>
      <c r="E6" s="560"/>
      <c r="F6" s="560"/>
      <c r="G6" s="560"/>
      <c r="H6" s="560"/>
      <c r="I6" s="560"/>
      <c r="J6" s="620">
        <v>0</v>
      </c>
      <c r="K6" s="560">
        <v>1</v>
      </c>
      <c r="L6" s="602">
        <f t="shared" si="0"/>
        <v>0</v>
      </c>
      <c r="M6" s="558">
        <v>21</v>
      </c>
      <c r="N6" s="609">
        <f t="shared" si="1"/>
        <v>0</v>
      </c>
    </row>
    <row r="7" spans="1:14" ht="16.5" customHeight="1">
      <c r="A7" s="564" t="s">
        <v>2827</v>
      </c>
      <c r="B7" s="617" t="s">
        <v>2826</v>
      </c>
      <c r="C7" s="616"/>
      <c r="D7" s="616"/>
      <c r="E7" s="560"/>
      <c r="F7" s="560"/>
      <c r="G7" s="560"/>
      <c r="H7" s="560"/>
      <c r="I7" s="560"/>
      <c r="J7" s="620">
        <v>0</v>
      </c>
      <c r="K7" s="560">
        <v>0</v>
      </c>
      <c r="L7" s="602">
        <f t="shared" si="0"/>
        <v>0</v>
      </c>
      <c r="M7" s="558">
        <v>21</v>
      </c>
      <c r="N7" s="609">
        <f t="shared" si="1"/>
        <v>0</v>
      </c>
    </row>
    <row r="8" spans="1:14" ht="16.5" customHeight="1">
      <c r="A8" s="564" t="s">
        <v>2825</v>
      </c>
      <c r="B8" s="617" t="s">
        <v>2824</v>
      </c>
      <c r="C8" s="616"/>
      <c r="D8" s="616"/>
      <c r="E8" s="560"/>
      <c r="F8" s="560"/>
      <c r="G8" s="560"/>
      <c r="H8" s="560"/>
      <c r="I8" s="560"/>
      <c r="J8" s="620">
        <v>0</v>
      </c>
      <c r="K8" s="560">
        <v>1</v>
      </c>
      <c r="L8" s="602">
        <f t="shared" si="0"/>
        <v>0</v>
      </c>
      <c r="M8" s="558">
        <v>21</v>
      </c>
      <c r="N8" s="609">
        <f t="shared" si="1"/>
        <v>0</v>
      </c>
    </row>
    <row r="9" spans="1:14" ht="16.5" customHeight="1">
      <c r="A9" s="564" t="s">
        <v>2823</v>
      </c>
      <c r="B9" s="617" t="s">
        <v>2822</v>
      </c>
      <c r="C9" s="616"/>
      <c r="D9" s="616"/>
      <c r="E9" s="560"/>
      <c r="F9" s="560"/>
      <c r="G9" s="560"/>
      <c r="H9" s="560"/>
      <c r="I9" s="560"/>
      <c r="J9" s="620">
        <v>0</v>
      </c>
      <c r="K9" s="560">
        <v>1</v>
      </c>
      <c r="L9" s="602">
        <f t="shared" si="0"/>
        <v>0</v>
      </c>
      <c r="M9" s="558">
        <v>21</v>
      </c>
      <c r="N9" s="609">
        <f t="shared" si="1"/>
        <v>0</v>
      </c>
    </row>
    <row r="10" spans="1:14" ht="16.5" customHeight="1">
      <c r="A10" s="564" t="s">
        <v>2821</v>
      </c>
      <c r="B10" s="617" t="s">
        <v>2820</v>
      </c>
      <c r="C10" s="616"/>
      <c r="D10" s="616"/>
      <c r="E10" s="560"/>
      <c r="F10" s="560"/>
      <c r="G10" s="560"/>
      <c r="H10" s="560"/>
      <c r="I10" s="560"/>
      <c r="J10" s="620">
        <v>0</v>
      </c>
      <c r="K10" s="560">
        <v>1</v>
      </c>
      <c r="L10" s="602">
        <f t="shared" si="0"/>
        <v>0</v>
      </c>
      <c r="M10" s="558">
        <v>21</v>
      </c>
      <c r="N10" s="609">
        <f t="shared" si="1"/>
        <v>0</v>
      </c>
    </row>
    <row r="11" spans="1:14" ht="16.5" customHeight="1">
      <c r="A11" s="564" t="s">
        <v>2819</v>
      </c>
      <c r="B11" s="617" t="s">
        <v>2818</v>
      </c>
      <c r="C11" s="616"/>
      <c r="D11" s="616"/>
      <c r="E11" s="560"/>
      <c r="F11" s="560"/>
      <c r="G11" s="560"/>
      <c r="H11" s="560"/>
      <c r="I11" s="560"/>
      <c r="J11" s="620">
        <v>0</v>
      </c>
      <c r="K11" s="560">
        <v>1</v>
      </c>
      <c r="L11" s="602">
        <f t="shared" si="0"/>
        <v>0</v>
      </c>
      <c r="M11" s="558">
        <v>21</v>
      </c>
      <c r="N11" s="609">
        <f t="shared" si="1"/>
        <v>0</v>
      </c>
    </row>
    <row r="12" spans="1:14" ht="16.5" customHeight="1">
      <c r="A12" s="564" t="s">
        <v>2817</v>
      </c>
      <c r="B12" s="617" t="s">
        <v>2816</v>
      </c>
      <c r="C12" s="616"/>
      <c r="D12" s="616"/>
      <c r="E12" s="560"/>
      <c r="F12" s="560"/>
      <c r="G12" s="560"/>
      <c r="H12" s="560"/>
      <c r="I12" s="560"/>
      <c r="J12" s="620">
        <v>0</v>
      </c>
      <c r="K12" s="560">
        <v>1</v>
      </c>
      <c r="L12" s="602">
        <f t="shared" si="0"/>
        <v>0</v>
      </c>
      <c r="M12" s="558">
        <v>21</v>
      </c>
      <c r="N12" s="609">
        <f t="shared" si="1"/>
        <v>0</v>
      </c>
    </row>
    <row r="13" spans="1:14" ht="12">
      <c r="A13" s="564" t="s">
        <v>2815</v>
      </c>
      <c r="B13" s="617" t="s">
        <v>2814</v>
      </c>
      <c r="C13" s="616"/>
      <c r="D13" s="616"/>
      <c r="E13" s="560"/>
      <c r="F13" s="560"/>
      <c r="G13" s="560"/>
      <c r="H13" s="560"/>
      <c r="I13" s="560"/>
      <c r="J13" s="620">
        <v>0</v>
      </c>
      <c r="K13" s="560">
        <v>1</v>
      </c>
      <c r="L13" s="602">
        <f t="shared" si="0"/>
        <v>0</v>
      </c>
      <c r="M13" s="558">
        <v>21</v>
      </c>
      <c r="N13" s="609">
        <f t="shared" si="1"/>
        <v>0</v>
      </c>
    </row>
    <row r="14" spans="1:14" ht="16.5" customHeight="1">
      <c r="A14" s="564" t="s">
        <v>2813</v>
      </c>
      <c r="B14" s="617" t="s">
        <v>2812</v>
      </c>
      <c r="C14" s="616"/>
      <c r="D14" s="616"/>
      <c r="E14" s="560"/>
      <c r="F14" s="560"/>
      <c r="G14" s="560"/>
      <c r="H14" s="560"/>
      <c r="I14" s="560"/>
      <c r="J14" s="620">
        <v>0</v>
      </c>
      <c r="K14" s="560">
        <v>1</v>
      </c>
      <c r="L14" s="602">
        <f t="shared" si="0"/>
        <v>0</v>
      </c>
      <c r="M14" s="558">
        <v>21</v>
      </c>
      <c r="N14" s="609">
        <f t="shared" si="1"/>
        <v>0</v>
      </c>
    </row>
    <row r="15" spans="1:14" ht="16.5" customHeight="1">
      <c r="A15" s="564" t="s">
        <v>2811</v>
      </c>
      <c r="B15" s="617" t="s">
        <v>2810</v>
      </c>
      <c r="C15" s="616"/>
      <c r="D15" s="616"/>
      <c r="E15" s="560"/>
      <c r="F15" s="560"/>
      <c r="G15" s="560"/>
      <c r="H15" s="560"/>
      <c r="I15" s="560"/>
      <c r="J15" s="620">
        <v>0</v>
      </c>
      <c r="K15" s="560">
        <v>1</v>
      </c>
      <c r="L15" s="602">
        <f t="shared" si="0"/>
        <v>0</v>
      </c>
      <c r="M15" s="558">
        <v>21</v>
      </c>
      <c r="N15" s="609">
        <f t="shared" si="1"/>
        <v>0</v>
      </c>
    </row>
    <row r="16" spans="1:14" ht="16.5" customHeight="1">
      <c r="A16" s="564" t="s">
        <v>2809</v>
      </c>
      <c r="B16" s="617" t="s">
        <v>2808</v>
      </c>
      <c r="C16" s="616"/>
      <c r="D16" s="616"/>
      <c r="E16" s="560"/>
      <c r="F16" s="560"/>
      <c r="G16" s="560"/>
      <c r="H16" s="560"/>
      <c r="I16" s="560"/>
      <c r="J16" s="620">
        <v>0</v>
      </c>
      <c r="K16" s="560">
        <v>1</v>
      </c>
      <c r="L16" s="602">
        <f t="shared" si="0"/>
        <v>0</v>
      </c>
      <c r="M16" s="558">
        <v>21</v>
      </c>
      <c r="N16" s="609">
        <f t="shared" si="1"/>
        <v>0</v>
      </c>
    </row>
    <row r="17" spans="1:14" ht="16.5" customHeight="1">
      <c r="A17" s="564" t="s">
        <v>2807</v>
      </c>
      <c r="B17" s="617" t="s">
        <v>2806</v>
      </c>
      <c r="C17" s="616"/>
      <c r="D17" s="616"/>
      <c r="E17" s="560"/>
      <c r="F17" s="560"/>
      <c r="G17" s="560"/>
      <c r="H17" s="560"/>
      <c r="I17" s="560"/>
      <c r="J17" s="620">
        <v>0</v>
      </c>
      <c r="K17" s="560">
        <v>1</v>
      </c>
      <c r="L17" s="602">
        <f t="shared" si="0"/>
        <v>0</v>
      </c>
      <c r="M17" s="558">
        <v>21</v>
      </c>
      <c r="N17" s="609">
        <f t="shared" si="1"/>
        <v>0</v>
      </c>
    </row>
    <row r="18" spans="1:14" ht="16.5" customHeight="1">
      <c r="A18" s="564" t="s">
        <v>2805</v>
      </c>
      <c r="B18" s="617" t="s">
        <v>2804</v>
      </c>
      <c r="C18" s="616"/>
      <c r="D18" s="616"/>
      <c r="E18" s="560"/>
      <c r="F18" s="560"/>
      <c r="G18" s="560"/>
      <c r="H18" s="560"/>
      <c r="I18" s="560"/>
      <c r="J18" s="620">
        <v>0</v>
      </c>
      <c r="K18" s="560">
        <v>2</v>
      </c>
      <c r="L18" s="602">
        <f t="shared" si="0"/>
        <v>0</v>
      </c>
      <c r="M18" s="558">
        <v>21</v>
      </c>
      <c r="N18" s="609">
        <f t="shared" si="1"/>
        <v>0</v>
      </c>
    </row>
    <row r="19" spans="1:14" ht="16.5" customHeight="1">
      <c r="A19" s="564" t="s">
        <v>2803</v>
      </c>
      <c r="B19" s="617" t="s">
        <v>2802</v>
      </c>
      <c r="C19" s="616"/>
      <c r="D19" s="616"/>
      <c r="E19" s="560"/>
      <c r="F19" s="560"/>
      <c r="G19" s="560"/>
      <c r="H19" s="560"/>
      <c r="I19" s="560"/>
      <c r="J19" s="620">
        <v>0</v>
      </c>
      <c r="K19" s="560">
        <v>2</v>
      </c>
      <c r="L19" s="602">
        <f t="shared" si="0"/>
        <v>0</v>
      </c>
      <c r="M19" s="558">
        <v>21</v>
      </c>
      <c r="N19" s="609">
        <f t="shared" si="1"/>
        <v>0</v>
      </c>
    </row>
    <row r="20" spans="1:14" ht="16.5" customHeight="1">
      <c r="A20" s="564" t="s">
        <v>2801</v>
      </c>
      <c r="B20" s="617" t="s">
        <v>2800</v>
      </c>
      <c r="C20" s="616"/>
      <c r="D20" s="616"/>
      <c r="E20" s="560"/>
      <c r="F20" s="560"/>
      <c r="G20" s="560"/>
      <c r="H20" s="560"/>
      <c r="I20" s="560"/>
      <c r="J20" s="620">
        <v>0</v>
      </c>
      <c r="K20" s="560">
        <v>2</v>
      </c>
      <c r="L20" s="602">
        <f t="shared" si="0"/>
        <v>0</v>
      </c>
      <c r="M20" s="558">
        <v>21</v>
      </c>
      <c r="N20" s="609">
        <f t="shared" si="1"/>
        <v>0</v>
      </c>
    </row>
    <row r="21" spans="1:14" ht="16.5" customHeight="1">
      <c r="A21" s="564" t="s">
        <v>2799</v>
      </c>
      <c r="B21" s="617" t="s">
        <v>2798</v>
      </c>
      <c r="C21" s="616"/>
      <c r="D21" s="616"/>
      <c r="E21" s="560"/>
      <c r="F21" s="560"/>
      <c r="G21" s="560"/>
      <c r="H21" s="560"/>
      <c r="I21" s="560"/>
      <c r="J21" s="620">
        <v>0</v>
      </c>
      <c r="K21" s="560">
        <v>2</v>
      </c>
      <c r="L21" s="602">
        <f t="shared" si="0"/>
        <v>0</v>
      </c>
      <c r="M21" s="558">
        <v>21</v>
      </c>
      <c r="N21" s="609">
        <f t="shared" si="1"/>
        <v>0</v>
      </c>
    </row>
    <row r="22" spans="1:14" ht="16.5" customHeight="1">
      <c r="A22" s="564" t="s">
        <v>2797</v>
      </c>
      <c r="B22" s="617" t="s">
        <v>2796</v>
      </c>
      <c r="C22" s="616"/>
      <c r="D22" s="616"/>
      <c r="E22" s="560"/>
      <c r="F22" s="560"/>
      <c r="G22" s="560"/>
      <c r="H22" s="560"/>
      <c r="I22" s="560"/>
      <c r="J22" s="620">
        <v>0</v>
      </c>
      <c r="K22" s="560">
        <v>2</v>
      </c>
      <c r="L22" s="602">
        <f t="shared" si="0"/>
        <v>0</v>
      </c>
      <c r="M22" s="558">
        <v>21</v>
      </c>
      <c r="N22" s="609">
        <f t="shared" si="1"/>
        <v>0</v>
      </c>
    </row>
    <row r="23" spans="1:14" ht="16.5" customHeight="1">
      <c r="A23" s="564" t="s">
        <v>2795</v>
      </c>
      <c r="B23" s="617" t="s">
        <v>2794</v>
      </c>
      <c r="C23" s="616"/>
      <c r="D23" s="616"/>
      <c r="E23" s="560"/>
      <c r="F23" s="560"/>
      <c r="G23" s="560"/>
      <c r="H23" s="560"/>
      <c r="I23" s="560"/>
      <c r="J23" s="620">
        <v>0</v>
      </c>
      <c r="K23" s="560">
        <v>2</v>
      </c>
      <c r="L23" s="602">
        <f t="shared" si="0"/>
        <v>0</v>
      </c>
      <c r="M23" s="558">
        <v>21</v>
      </c>
      <c r="N23" s="609">
        <f t="shared" si="1"/>
        <v>0</v>
      </c>
    </row>
    <row r="24" spans="1:14" ht="16.5" customHeight="1" thickBot="1">
      <c r="A24" s="556" t="s">
        <v>2793</v>
      </c>
      <c r="B24" s="615" t="s">
        <v>2792</v>
      </c>
      <c r="C24" s="614"/>
      <c r="D24" s="614"/>
      <c r="E24" s="553"/>
      <c r="F24" s="553"/>
      <c r="G24" s="553"/>
      <c r="H24" s="553"/>
      <c r="I24" s="553"/>
      <c r="J24" s="621">
        <v>0</v>
      </c>
      <c r="K24" s="553">
        <v>2</v>
      </c>
      <c r="L24" s="611">
        <f t="shared" si="0"/>
        <v>0</v>
      </c>
      <c r="M24" s="551">
        <v>21</v>
      </c>
      <c r="N24" s="612">
        <f t="shared" si="1"/>
        <v>0</v>
      </c>
    </row>
    <row r="25" spans="2:14" ht="16.5" customHeight="1">
      <c r="B25" s="549" t="s">
        <v>2791</v>
      </c>
      <c r="C25" s="546"/>
      <c r="D25" s="546"/>
      <c r="J25" s="613"/>
      <c r="L25" s="548">
        <f>SUM(L2:L24)</f>
        <v>0</v>
      </c>
      <c r="N25" s="548">
        <f>SUM(N2:N24)</f>
        <v>0</v>
      </c>
    </row>
    <row r="96" ht="12">
      <c r="I96" s="619">
        <f>'G-OS'!L25</f>
        <v>0</v>
      </c>
    </row>
  </sheetData>
  <sheetProtection algorithmName="SHA-512" hashValue="KYX9rFrAzhiaS8DvTEmxE8Rcq6E/wPeRQ+iOfoWwxo69o1O8Opsw8j52sv8ab/CoCQS5wgHI0GeSTgiHo3KH5A==" saltValue="+shoh3G/wBFOpdxrKhywYg==" spinCount="100000" sheet="1" objects="1" scenarios="1"/>
  <printOptions horizontalCentered="1"/>
  <pageMargins left="0.5118110236220472" right="0.5118110236220472" top="0.7874015748031497" bottom="0.7874015748031497" header="0.31496062992125984" footer="0.31496062992125984"/>
  <pageSetup fitToHeight="9" fitToWidth="1" horizontalDpi="600" verticalDpi="600" orientation="landscape" paperSize="9" scale="57" r:id="rId1"/>
  <headerFooter>
    <oddHeader>&amp;LČeská republika - Úřad vlády ČRGastroprovoz Úřadu vlády ČR v 1.PP Strakovy akademie&amp;CPoložkový rozpočet objednávkový systém&amp;R11/2019</oddHeader>
    <oddFooter>&amp;C&amp;P/&amp;N&amp;RD.2.2.3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4999699890613556"/>
    <pageSetUpPr fitToPage="1"/>
  </sheetPr>
  <dimension ref="A2:BM97"/>
  <sheetViews>
    <sheetView showGridLines="0" workbookViewId="0" topLeftCell="A75">
      <selection activeCell="I97" sqref="I97"/>
    </sheetView>
  </sheetViews>
  <sheetFormatPr defaultColWidth="9.140625" defaultRowHeight="12"/>
  <cols>
    <col min="1" max="1" width="8.8515625" style="1" customWidth="1"/>
    <col min="2" max="2" width="1.1484375" style="1" customWidth="1"/>
    <col min="3" max="4" width="4.421875" style="1" customWidth="1"/>
    <col min="5" max="5" width="18.28125" style="1" customWidth="1"/>
    <col min="6" max="6" width="108.00390625" style="1" customWidth="1"/>
    <col min="7" max="7" width="8.00390625" style="1" customWidth="1"/>
    <col min="8" max="8" width="12.28125" style="1" customWidth="1"/>
    <col min="9" max="11" width="21.421875" style="1" customWidth="1"/>
    <col min="12" max="12" width="10.00390625" style="1" customWidth="1"/>
    <col min="13" max="13" width="11.421875" style="1" hidden="1" customWidth="1"/>
    <col min="14" max="14" width="9.140625" style="1" hidden="1" customWidth="1"/>
    <col min="15" max="20" width="15.140625" style="1" hidden="1" customWidth="1"/>
    <col min="21" max="21" width="17.421875" style="1" hidden="1" customWidth="1"/>
    <col min="22" max="22" width="13.140625" style="1" customWidth="1"/>
    <col min="23" max="23" width="17.421875" style="1" customWidth="1"/>
    <col min="24" max="24" width="13.140625" style="1" customWidth="1"/>
    <col min="25" max="25" width="16.00390625" style="1" customWidth="1"/>
    <col min="26" max="26" width="11.7109375" style="1" customWidth="1"/>
    <col min="27" max="27" width="16.00390625" style="1" customWidth="1"/>
    <col min="28" max="28" width="17.421875" style="1" customWidth="1"/>
    <col min="29" max="29" width="11.7109375" style="1" customWidth="1"/>
    <col min="30" max="30" width="16.00390625" style="1" customWidth="1"/>
    <col min="31" max="31" width="17.421875" style="1" customWidth="1"/>
    <col min="44" max="65" width="9.140625" style="1" hidden="1" customWidth="1"/>
  </cols>
  <sheetData>
    <row r="1" ht="12"/>
    <row r="2" spans="12:46" s="1" customFormat="1" ht="36.95" customHeight="1">
      <c r="L2" s="682"/>
      <c r="M2" s="682"/>
      <c r="N2" s="682"/>
      <c r="O2" s="682"/>
      <c r="P2" s="682"/>
      <c r="Q2" s="682"/>
      <c r="R2" s="682"/>
      <c r="S2" s="682"/>
      <c r="T2" s="682"/>
      <c r="U2" s="682"/>
      <c r="V2" s="682"/>
      <c r="AT2" s="15" t="s">
        <v>126</v>
      </c>
    </row>
    <row r="3" spans="2:46" s="1" customFormat="1" ht="6.95" customHeight="1">
      <c r="B3" s="106"/>
      <c r="C3" s="107"/>
      <c r="D3" s="107"/>
      <c r="E3" s="107"/>
      <c r="F3" s="107"/>
      <c r="G3" s="107"/>
      <c r="H3" s="107"/>
      <c r="I3" s="107"/>
      <c r="J3" s="107"/>
      <c r="K3" s="107"/>
      <c r="L3" s="18"/>
      <c r="AT3" s="15" t="s">
        <v>79</v>
      </c>
    </row>
    <row r="4" spans="2:46" s="1" customFormat="1" ht="24.95" customHeight="1">
      <c r="B4" s="18"/>
      <c r="D4" s="108" t="s">
        <v>141</v>
      </c>
      <c r="L4" s="18"/>
      <c r="M4" s="109" t="s">
        <v>10</v>
      </c>
      <c r="AT4" s="15" t="s">
        <v>4</v>
      </c>
    </row>
    <row r="5" spans="2:12" s="1" customFormat="1" ht="6.95" customHeight="1">
      <c r="B5" s="18"/>
      <c r="L5" s="18"/>
    </row>
    <row r="6" spans="2:12" s="1" customFormat="1" ht="12" customHeight="1">
      <c r="B6" s="18"/>
      <c r="D6" s="110" t="s">
        <v>16</v>
      </c>
      <c r="L6" s="18"/>
    </row>
    <row r="7" spans="2:12" s="1" customFormat="1" ht="14.45" customHeight="1">
      <c r="B7" s="18"/>
      <c r="E7" s="702" t="str">
        <f>'Rekapitulace stavby'!K6</f>
        <v>Úpravy gastroprovozu Úřadu vlády ČR v 1.pp Strakovy akademie</v>
      </c>
      <c r="F7" s="703"/>
      <c r="G7" s="703"/>
      <c r="H7" s="703"/>
      <c r="L7" s="18"/>
    </row>
    <row r="8" spans="2:12" ht="12.75">
      <c r="B8" s="18"/>
      <c r="D8" s="110" t="s">
        <v>142</v>
      </c>
      <c r="L8" s="18"/>
    </row>
    <row r="9" spans="2:12" s="1" customFormat="1" ht="14.45" customHeight="1">
      <c r="B9" s="18"/>
      <c r="E9" s="702" t="s">
        <v>1429</v>
      </c>
      <c r="F9" s="682"/>
      <c r="G9" s="682"/>
      <c r="H9" s="682"/>
      <c r="L9" s="18"/>
    </row>
    <row r="10" spans="2:12" s="1" customFormat="1" ht="12" customHeight="1">
      <c r="B10" s="18"/>
      <c r="D10" s="110" t="s">
        <v>144</v>
      </c>
      <c r="L10" s="18"/>
    </row>
    <row r="11" spans="1:31" s="2" customFormat="1" ht="14.45" customHeight="1">
      <c r="A11" s="32"/>
      <c r="B11" s="37"/>
      <c r="C11" s="32"/>
      <c r="D11" s="32"/>
      <c r="E11" s="747" t="s">
        <v>1472</v>
      </c>
      <c r="F11" s="704"/>
      <c r="G11" s="704"/>
      <c r="H11" s="704"/>
      <c r="I11" s="32"/>
      <c r="J11" s="32"/>
      <c r="K11" s="32"/>
      <c r="L11" s="111"/>
      <c r="S11" s="32"/>
      <c r="T11" s="32"/>
      <c r="U11" s="32"/>
      <c r="V11" s="32"/>
      <c r="W11" s="32"/>
      <c r="X11" s="32"/>
      <c r="Y11" s="32"/>
      <c r="Z11" s="32"/>
      <c r="AA11" s="32"/>
      <c r="AB11" s="32"/>
      <c r="AC11" s="32"/>
      <c r="AD11" s="32"/>
      <c r="AE11" s="32"/>
    </row>
    <row r="12" spans="1:31" s="2" customFormat="1" ht="12" customHeight="1">
      <c r="A12" s="32"/>
      <c r="B12" s="37"/>
      <c r="C12" s="32"/>
      <c r="D12" s="110" t="s">
        <v>1450</v>
      </c>
      <c r="E12" s="32"/>
      <c r="F12" s="32"/>
      <c r="G12" s="32"/>
      <c r="H12" s="32"/>
      <c r="I12" s="32"/>
      <c r="J12" s="32"/>
      <c r="K12" s="32"/>
      <c r="L12" s="111"/>
      <c r="S12" s="32"/>
      <c r="T12" s="32"/>
      <c r="U12" s="32"/>
      <c r="V12" s="32"/>
      <c r="W12" s="32"/>
      <c r="X12" s="32"/>
      <c r="Y12" s="32"/>
      <c r="Z12" s="32"/>
      <c r="AA12" s="32"/>
      <c r="AB12" s="32"/>
      <c r="AC12" s="32"/>
      <c r="AD12" s="32"/>
      <c r="AE12" s="32"/>
    </row>
    <row r="13" spans="1:31" s="2" customFormat="1" ht="14.45" customHeight="1">
      <c r="A13" s="32"/>
      <c r="B13" s="37"/>
      <c r="C13" s="32"/>
      <c r="D13" s="32"/>
      <c r="E13" s="705" t="s">
        <v>1483</v>
      </c>
      <c r="F13" s="704"/>
      <c r="G13" s="704"/>
      <c r="H13" s="704"/>
      <c r="I13" s="32"/>
      <c r="J13" s="32"/>
      <c r="K13" s="32"/>
      <c r="L13" s="111"/>
      <c r="S13" s="32"/>
      <c r="T13" s="32"/>
      <c r="U13" s="32"/>
      <c r="V13" s="32"/>
      <c r="W13" s="32"/>
      <c r="X13" s="32"/>
      <c r="Y13" s="32"/>
      <c r="Z13" s="32"/>
      <c r="AA13" s="32"/>
      <c r="AB13" s="32"/>
      <c r="AC13" s="32"/>
      <c r="AD13" s="32"/>
      <c r="AE13" s="32"/>
    </row>
    <row r="14" spans="1:31" s="2" customFormat="1" ht="12">
      <c r="A14" s="32"/>
      <c r="B14" s="37"/>
      <c r="C14" s="32"/>
      <c r="D14" s="32"/>
      <c r="E14" s="32"/>
      <c r="F14" s="32"/>
      <c r="G14" s="32"/>
      <c r="H14" s="32"/>
      <c r="I14" s="32"/>
      <c r="J14" s="32"/>
      <c r="K14" s="32"/>
      <c r="L14" s="111"/>
      <c r="S14" s="32"/>
      <c r="T14" s="32"/>
      <c r="U14" s="32"/>
      <c r="V14" s="32"/>
      <c r="W14" s="32"/>
      <c r="X14" s="32"/>
      <c r="Y14" s="32"/>
      <c r="Z14" s="32"/>
      <c r="AA14" s="32"/>
      <c r="AB14" s="32"/>
      <c r="AC14" s="32"/>
      <c r="AD14" s="32"/>
      <c r="AE14" s="32"/>
    </row>
    <row r="15" spans="1:31" s="2" customFormat="1" ht="12" customHeight="1">
      <c r="A15" s="32"/>
      <c r="B15" s="37"/>
      <c r="C15" s="32"/>
      <c r="D15" s="110" t="s">
        <v>18</v>
      </c>
      <c r="E15" s="32"/>
      <c r="F15" s="101" t="s">
        <v>19</v>
      </c>
      <c r="G15" s="32"/>
      <c r="H15" s="32"/>
      <c r="I15" s="110" t="s">
        <v>20</v>
      </c>
      <c r="J15" s="101" t="s">
        <v>19</v>
      </c>
      <c r="K15" s="32"/>
      <c r="L15" s="111"/>
      <c r="S15" s="32"/>
      <c r="T15" s="32"/>
      <c r="U15" s="32"/>
      <c r="V15" s="32"/>
      <c r="W15" s="32"/>
      <c r="X15" s="32"/>
      <c r="Y15" s="32"/>
      <c r="Z15" s="32"/>
      <c r="AA15" s="32"/>
      <c r="AB15" s="32"/>
      <c r="AC15" s="32"/>
      <c r="AD15" s="32"/>
      <c r="AE15" s="32"/>
    </row>
    <row r="16" spans="1:31" s="2" customFormat="1" ht="12" customHeight="1">
      <c r="A16" s="32"/>
      <c r="B16" s="37"/>
      <c r="C16" s="32"/>
      <c r="D16" s="110" t="s">
        <v>21</v>
      </c>
      <c r="E16" s="32"/>
      <c r="F16" s="101" t="s">
        <v>146</v>
      </c>
      <c r="G16" s="32"/>
      <c r="H16" s="32"/>
      <c r="I16" s="110" t="s">
        <v>23</v>
      </c>
      <c r="J16" s="112" t="str">
        <f>'Rekapitulace stavby'!AN8</f>
        <v>Vyplň údaj</v>
      </c>
      <c r="K16" s="32"/>
      <c r="L16" s="111"/>
      <c r="S16" s="32"/>
      <c r="T16" s="32"/>
      <c r="U16" s="32"/>
      <c r="V16" s="32"/>
      <c r="W16" s="32"/>
      <c r="X16" s="32"/>
      <c r="Y16" s="32"/>
      <c r="Z16" s="32"/>
      <c r="AA16" s="32"/>
      <c r="AB16" s="32"/>
      <c r="AC16" s="32"/>
      <c r="AD16" s="32"/>
      <c r="AE16" s="32"/>
    </row>
    <row r="17" spans="1:31" s="2" customFormat="1" ht="10.9" customHeight="1">
      <c r="A17" s="32"/>
      <c r="B17" s="37"/>
      <c r="C17" s="32"/>
      <c r="D17" s="32"/>
      <c r="E17" s="32"/>
      <c r="F17" s="32"/>
      <c r="G17" s="32"/>
      <c r="H17" s="32"/>
      <c r="I17" s="32"/>
      <c r="J17" s="32"/>
      <c r="K17" s="32"/>
      <c r="L17" s="111"/>
      <c r="S17" s="32"/>
      <c r="T17" s="32"/>
      <c r="U17" s="32"/>
      <c r="V17" s="32"/>
      <c r="W17" s="32"/>
      <c r="X17" s="32"/>
      <c r="Y17" s="32"/>
      <c r="Z17" s="32"/>
      <c r="AA17" s="32"/>
      <c r="AB17" s="32"/>
      <c r="AC17" s="32"/>
      <c r="AD17" s="32"/>
      <c r="AE17" s="32"/>
    </row>
    <row r="18" spans="1:31" s="2" customFormat="1" ht="12" customHeight="1">
      <c r="A18" s="32"/>
      <c r="B18" s="37"/>
      <c r="C18" s="32"/>
      <c r="D18" s="110" t="s">
        <v>24</v>
      </c>
      <c r="E18" s="32"/>
      <c r="F18" s="32"/>
      <c r="G18" s="32"/>
      <c r="H18" s="32"/>
      <c r="I18" s="110" t="s">
        <v>25</v>
      </c>
      <c r="J18" s="101" t="s">
        <v>19</v>
      </c>
      <c r="K18" s="32"/>
      <c r="L18" s="111"/>
      <c r="S18" s="32"/>
      <c r="T18" s="32"/>
      <c r="U18" s="32"/>
      <c r="V18" s="32"/>
      <c r="W18" s="32"/>
      <c r="X18" s="32"/>
      <c r="Y18" s="32"/>
      <c r="Z18" s="32"/>
      <c r="AA18" s="32"/>
      <c r="AB18" s="32"/>
      <c r="AC18" s="32"/>
      <c r="AD18" s="32"/>
      <c r="AE18" s="32"/>
    </row>
    <row r="19" spans="1:31" s="2" customFormat="1" ht="18" customHeight="1">
      <c r="A19" s="32"/>
      <c r="B19" s="37"/>
      <c r="C19" s="32"/>
      <c r="D19" s="32"/>
      <c r="E19" s="101" t="s">
        <v>26</v>
      </c>
      <c r="F19" s="32"/>
      <c r="G19" s="32"/>
      <c r="H19" s="32"/>
      <c r="I19" s="110" t="s">
        <v>27</v>
      </c>
      <c r="J19" s="101" t="s">
        <v>19</v>
      </c>
      <c r="K19" s="32"/>
      <c r="L19" s="111"/>
      <c r="S19" s="32"/>
      <c r="T19" s="32"/>
      <c r="U19" s="32"/>
      <c r="V19" s="32"/>
      <c r="W19" s="32"/>
      <c r="X19" s="32"/>
      <c r="Y19" s="32"/>
      <c r="Z19" s="32"/>
      <c r="AA19" s="32"/>
      <c r="AB19" s="32"/>
      <c r="AC19" s="32"/>
      <c r="AD19" s="32"/>
      <c r="AE19" s="32"/>
    </row>
    <row r="20" spans="1:31" s="2" customFormat="1" ht="6.95" customHeight="1">
      <c r="A20" s="32"/>
      <c r="B20" s="37"/>
      <c r="C20" s="32"/>
      <c r="D20" s="32"/>
      <c r="E20" s="32"/>
      <c r="F20" s="32"/>
      <c r="G20" s="32"/>
      <c r="H20" s="32"/>
      <c r="I20" s="32"/>
      <c r="J20" s="32"/>
      <c r="K20" s="32"/>
      <c r="L20" s="111"/>
      <c r="S20" s="32"/>
      <c r="T20" s="32"/>
      <c r="U20" s="32"/>
      <c r="V20" s="32"/>
      <c r="W20" s="32"/>
      <c r="X20" s="32"/>
      <c r="Y20" s="32"/>
      <c r="Z20" s="32"/>
      <c r="AA20" s="32"/>
      <c r="AB20" s="32"/>
      <c r="AC20" s="32"/>
      <c r="AD20" s="32"/>
      <c r="AE20" s="32"/>
    </row>
    <row r="21" spans="1:31" s="2" customFormat="1" ht="12" customHeight="1">
      <c r="A21" s="32"/>
      <c r="B21" s="37"/>
      <c r="C21" s="32"/>
      <c r="D21" s="110" t="s">
        <v>28</v>
      </c>
      <c r="E21" s="32"/>
      <c r="F21" s="32"/>
      <c r="G21" s="32"/>
      <c r="H21" s="32"/>
      <c r="I21" s="110" t="s">
        <v>25</v>
      </c>
      <c r="J21" s="28" t="str">
        <f>'Rekapitulace stavby'!AN13</f>
        <v>Vyplň údaj</v>
      </c>
      <c r="K21" s="32"/>
      <c r="L21" s="111"/>
      <c r="S21" s="32"/>
      <c r="T21" s="32"/>
      <c r="U21" s="32"/>
      <c r="V21" s="32"/>
      <c r="W21" s="32"/>
      <c r="X21" s="32"/>
      <c r="Y21" s="32"/>
      <c r="Z21" s="32"/>
      <c r="AA21" s="32"/>
      <c r="AB21" s="32"/>
      <c r="AC21" s="32"/>
      <c r="AD21" s="32"/>
      <c r="AE21" s="32"/>
    </row>
    <row r="22" spans="1:31" s="2" customFormat="1" ht="18" customHeight="1">
      <c r="A22" s="32"/>
      <c r="B22" s="37"/>
      <c r="C22" s="32"/>
      <c r="D22" s="32"/>
      <c r="E22" s="706" t="str">
        <f>'Rekapitulace stavby'!E14</f>
        <v>Vyplň údaj</v>
      </c>
      <c r="F22" s="707"/>
      <c r="G22" s="707"/>
      <c r="H22" s="707"/>
      <c r="I22" s="110" t="s">
        <v>27</v>
      </c>
      <c r="J22" s="28" t="str">
        <f>'Rekapitulace stavby'!AN14</f>
        <v>Vyplň údaj</v>
      </c>
      <c r="K22" s="32"/>
      <c r="L22" s="111"/>
      <c r="S22" s="32"/>
      <c r="T22" s="32"/>
      <c r="U22" s="32"/>
      <c r="V22" s="32"/>
      <c r="W22" s="32"/>
      <c r="X22" s="32"/>
      <c r="Y22" s="32"/>
      <c r="Z22" s="32"/>
      <c r="AA22" s="32"/>
      <c r="AB22" s="32"/>
      <c r="AC22" s="32"/>
      <c r="AD22" s="32"/>
      <c r="AE22" s="32"/>
    </row>
    <row r="23" spans="1:31" s="2" customFormat="1" ht="6.95" customHeight="1">
      <c r="A23" s="32"/>
      <c r="B23" s="37"/>
      <c r="C23" s="32"/>
      <c r="D23" s="32"/>
      <c r="E23" s="32"/>
      <c r="F23" s="32"/>
      <c r="G23" s="32"/>
      <c r="H23" s="32"/>
      <c r="I23" s="32"/>
      <c r="J23" s="32"/>
      <c r="K23" s="32"/>
      <c r="L23" s="111"/>
      <c r="S23" s="32"/>
      <c r="T23" s="32"/>
      <c r="U23" s="32"/>
      <c r="V23" s="32"/>
      <c r="W23" s="32"/>
      <c r="X23" s="32"/>
      <c r="Y23" s="32"/>
      <c r="Z23" s="32"/>
      <c r="AA23" s="32"/>
      <c r="AB23" s="32"/>
      <c r="AC23" s="32"/>
      <c r="AD23" s="32"/>
      <c r="AE23" s="32"/>
    </row>
    <row r="24" spans="1:31" s="2" customFormat="1" ht="12" customHeight="1">
      <c r="A24" s="32"/>
      <c r="B24" s="37"/>
      <c r="C24" s="32"/>
      <c r="D24" s="110" t="s">
        <v>30</v>
      </c>
      <c r="E24" s="32"/>
      <c r="F24" s="32"/>
      <c r="G24" s="32"/>
      <c r="H24" s="32"/>
      <c r="I24" s="110" t="s">
        <v>25</v>
      </c>
      <c r="J24" s="101" t="s">
        <v>19</v>
      </c>
      <c r="K24" s="32"/>
      <c r="L24" s="111"/>
      <c r="S24" s="32"/>
      <c r="T24" s="32"/>
      <c r="U24" s="32"/>
      <c r="V24" s="32"/>
      <c r="W24" s="32"/>
      <c r="X24" s="32"/>
      <c r="Y24" s="32"/>
      <c r="Z24" s="32"/>
      <c r="AA24" s="32"/>
      <c r="AB24" s="32"/>
      <c r="AC24" s="32"/>
      <c r="AD24" s="32"/>
      <c r="AE24" s="32"/>
    </row>
    <row r="25" spans="1:31" s="2" customFormat="1" ht="18" customHeight="1">
      <c r="A25" s="32"/>
      <c r="B25" s="37"/>
      <c r="C25" s="32"/>
      <c r="D25" s="32"/>
      <c r="E25" s="101" t="s">
        <v>31</v>
      </c>
      <c r="F25" s="32"/>
      <c r="G25" s="32"/>
      <c r="H25" s="32"/>
      <c r="I25" s="110" t="s">
        <v>27</v>
      </c>
      <c r="J25" s="101" t="s">
        <v>19</v>
      </c>
      <c r="K25" s="32"/>
      <c r="L25" s="111"/>
      <c r="S25" s="32"/>
      <c r="T25" s="32"/>
      <c r="U25" s="32"/>
      <c r="V25" s="32"/>
      <c r="W25" s="32"/>
      <c r="X25" s="32"/>
      <c r="Y25" s="32"/>
      <c r="Z25" s="32"/>
      <c r="AA25" s="32"/>
      <c r="AB25" s="32"/>
      <c r="AC25" s="32"/>
      <c r="AD25" s="32"/>
      <c r="AE25" s="32"/>
    </row>
    <row r="26" spans="1:31" s="2" customFormat="1" ht="6.95" customHeight="1">
      <c r="A26" s="32"/>
      <c r="B26" s="37"/>
      <c r="C26" s="32"/>
      <c r="D26" s="32"/>
      <c r="E26" s="32"/>
      <c r="F26" s="32"/>
      <c r="G26" s="32"/>
      <c r="H26" s="32"/>
      <c r="I26" s="32"/>
      <c r="J26" s="32"/>
      <c r="K26" s="32"/>
      <c r="L26" s="111"/>
      <c r="S26" s="32"/>
      <c r="T26" s="32"/>
      <c r="U26" s="32"/>
      <c r="V26" s="32"/>
      <c r="W26" s="32"/>
      <c r="X26" s="32"/>
      <c r="Y26" s="32"/>
      <c r="Z26" s="32"/>
      <c r="AA26" s="32"/>
      <c r="AB26" s="32"/>
      <c r="AC26" s="32"/>
      <c r="AD26" s="32"/>
      <c r="AE26" s="32"/>
    </row>
    <row r="27" spans="1:31" s="2" customFormat="1" ht="12" customHeight="1">
      <c r="A27" s="32"/>
      <c r="B27" s="37"/>
      <c r="C27" s="32"/>
      <c r="D27" s="110" t="s">
        <v>33</v>
      </c>
      <c r="E27" s="32"/>
      <c r="F27" s="32"/>
      <c r="G27" s="32"/>
      <c r="H27" s="32"/>
      <c r="I27" s="110" t="s">
        <v>25</v>
      </c>
      <c r="J27" s="101" t="s">
        <v>19</v>
      </c>
      <c r="K27" s="32"/>
      <c r="L27" s="111"/>
      <c r="S27" s="32"/>
      <c r="T27" s="32"/>
      <c r="U27" s="32"/>
      <c r="V27" s="32"/>
      <c r="W27" s="32"/>
      <c r="X27" s="32"/>
      <c r="Y27" s="32"/>
      <c r="Z27" s="32"/>
      <c r="AA27" s="32"/>
      <c r="AB27" s="32"/>
      <c r="AC27" s="32"/>
      <c r="AD27" s="32"/>
      <c r="AE27" s="32"/>
    </row>
    <row r="28" spans="1:31" s="2" customFormat="1" ht="18" customHeight="1">
      <c r="A28" s="32"/>
      <c r="B28" s="37"/>
      <c r="C28" s="32"/>
      <c r="D28" s="32"/>
      <c r="E28" s="101" t="s">
        <v>31</v>
      </c>
      <c r="F28" s="32"/>
      <c r="G28" s="32"/>
      <c r="H28" s="32"/>
      <c r="I28" s="110" t="s">
        <v>27</v>
      </c>
      <c r="J28" s="101" t="s">
        <v>19</v>
      </c>
      <c r="K28" s="32"/>
      <c r="L28" s="111"/>
      <c r="S28" s="32"/>
      <c r="T28" s="32"/>
      <c r="U28" s="32"/>
      <c r="V28" s="32"/>
      <c r="W28" s="32"/>
      <c r="X28" s="32"/>
      <c r="Y28" s="32"/>
      <c r="Z28" s="32"/>
      <c r="AA28" s="32"/>
      <c r="AB28" s="32"/>
      <c r="AC28" s="32"/>
      <c r="AD28" s="32"/>
      <c r="AE28" s="32"/>
    </row>
    <row r="29" spans="1:31" s="2" customFormat="1" ht="6.95" customHeight="1">
      <c r="A29" s="32"/>
      <c r="B29" s="37"/>
      <c r="C29" s="32"/>
      <c r="D29" s="32"/>
      <c r="E29" s="32"/>
      <c r="F29" s="32"/>
      <c r="G29" s="32"/>
      <c r="H29" s="32"/>
      <c r="I29" s="32"/>
      <c r="J29" s="32"/>
      <c r="K29" s="32"/>
      <c r="L29" s="111"/>
      <c r="S29" s="32"/>
      <c r="T29" s="32"/>
      <c r="U29" s="32"/>
      <c r="V29" s="32"/>
      <c r="W29" s="32"/>
      <c r="X29" s="32"/>
      <c r="Y29" s="32"/>
      <c r="Z29" s="32"/>
      <c r="AA29" s="32"/>
      <c r="AB29" s="32"/>
      <c r="AC29" s="32"/>
      <c r="AD29" s="32"/>
      <c r="AE29" s="32"/>
    </row>
    <row r="30" spans="1:31" s="2" customFormat="1" ht="12" customHeight="1">
      <c r="A30" s="32"/>
      <c r="B30" s="37"/>
      <c r="C30" s="32"/>
      <c r="D30" s="110" t="s">
        <v>34</v>
      </c>
      <c r="E30" s="32"/>
      <c r="F30" s="32"/>
      <c r="G30" s="32"/>
      <c r="H30" s="32"/>
      <c r="I30" s="32"/>
      <c r="J30" s="32"/>
      <c r="K30" s="32"/>
      <c r="L30" s="111"/>
      <c r="S30" s="32"/>
      <c r="T30" s="32"/>
      <c r="U30" s="32"/>
      <c r="V30" s="32"/>
      <c r="W30" s="32"/>
      <c r="X30" s="32"/>
      <c r="Y30" s="32"/>
      <c r="Z30" s="32"/>
      <c r="AA30" s="32"/>
      <c r="AB30" s="32"/>
      <c r="AC30" s="32"/>
      <c r="AD30" s="32"/>
      <c r="AE30" s="32"/>
    </row>
    <row r="31" spans="1:31" s="8" customFormat="1" ht="14.45" customHeight="1">
      <c r="A31" s="113"/>
      <c r="B31" s="114"/>
      <c r="C31" s="113"/>
      <c r="D31" s="113"/>
      <c r="E31" s="708" t="s">
        <v>19</v>
      </c>
      <c r="F31" s="708"/>
      <c r="G31" s="708"/>
      <c r="H31" s="708"/>
      <c r="I31" s="113"/>
      <c r="J31" s="113"/>
      <c r="K31" s="113"/>
      <c r="L31" s="115"/>
      <c r="S31" s="113"/>
      <c r="T31" s="113"/>
      <c r="U31" s="113"/>
      <c r="V31" s="113"/>
      <c r="W31" s="113"/>
      <c r="X31" s="113"/>
      <c r="Y31" s="113"/>
      <c r="Z31" s="113"/>
      <c r="AA31" s="113"/>
      <c r="AB31" s="113"/>
      <c r="AC31" s="113"/>
      <c r="AD31" s="113"/>
      <c r="AE31" s="113"/>
    </row>
    <row r="32" spans="1:31" s="2" customFormat="1" ht="6.95" customHeight="1">
      <c r="A32" s="32"/>
      <c r="B32" s="37"/>
      <c r="C32" s="32"/>
      <c r="D32" s="32"/>
      <c r="E32" s="32"/>
      <c r="F32" s="32"/>
      <c r="G32" s="32"/>
      <c r="H32" s="32"/>
      <c r="I32" s="32"/>
      <c r="J32" s="32"/>
      <c r="K32" s="32"/>
      <c r="L32" s="111"/>
      <c r="S32" s="32"/>
      <c r="T32" s="32"/>
      <c r="U32" s="32"/>
      <c r="V32" s="32"/>
      <c r="W32" s="32"/>
      <c r="X32" s="32"/>
      <c r="Y32" s="32"/>
      <c r="Z32" s="32"/>
      <c r="AA32" s="32"/>
      <c r="AB32" s="32"/>
      <c r="AC32" s="32"/>
      <c r="AD32" s="32"/>
      <c r="AE32" s="32"/>
    </row>
    <row r="33" spans="1:31" s="2" customFormat="1" ht="6.95" customHeight="1">
      <c r="A33" s="32"/>
      <c r="B33" s="37"/>
      <c r="C33" s="32"/>
      <c r="D33" s="116"/>
      <c r="E33" s="116"/>
      <c r="F33" s="116"/>
      <c r="G33" s="116"/>
      <c r="H33" s="116"/>
      <c r="I33" s="116"/>
      <c r="J33" s="116"/>
      <c r="K33" s="116"/>
      <c r="L33" s="111"/>
      <c r="S33" s="32"/>
      <c r="T33" s="32"/>
      <c r="U33" s="32"/>
      <c r="V33" s="32"/>
      <c r="W33" s="32"/>
      <c r="X33" s="32"/>
      <c r="Y33" s="32"/>
      <c r="Z33" s="32"/>
      <c r="AA33" s="32"/>
      <c r="AB33" s="32"/>
      <c r="AC33" s="32"/>
      <c r="AD33" s="32"/>
      <c r="AE33" s="32"/>
    </row>
    <row r="34" spans="1:31" s="2" customFormat="1" ht="25.35" customHeight="1">
      <c r="A34" s="32"/>
      <c r="B34" s="37"/>
      <c r="C34" s="32"/>
      <c r="D34" s="117" t="s">
        <v>36</v>
      </c>
      <c r="E34" s="32"/>
      <c r="F34" s="32"/>
      <c r="G34" s="32"/>
      <c r="H34" s="32"/>
      <c r="I34" s="32"/>
      <c r="J34" s="118">
        <f>ROUND(J93,2)</f>
        <v>0</v>
      </c>
      <c r="K34" s="32"/>
      <c r="L34" s="111"/>
      <c r="S34" s="32"/>
      <c r="T34" s="32"/>
      <c r="U34" s="32"/>
      <c r="V34" s="32"/>
      <c r="W34" s="32"/>
      <c r="X34" s="32"/>
      <c r="Y34" s="32"/>
      <c r="Z34" s="32"/>
      <c r="AA34" s="32"/>
      <c r="AB34" s="32"/>
      <c r="AC34" s="32"/>
      <c r="AD34" s="32"/>
      <c r="AE34" s="32"/>
    </row>
    <row r="35" spans="1:31" s="2" customFormat="1" ht="6.95" customHeight="1">
      <c r="A35" s="32"/>
      <c r="B35" s="37"/>
      <c r="C35" s="32"/>
      <c r="D35" s="116"/>
      <c r="E35" s="116"/>
      <c r="F35" s="116"/>
      <c r="G35" s="116"/>
      <c r="H35" s="116"/>
      <c r="I35" s="116"/>
      <c r="J35" s="116"/>
      <c r="K35" s="116"/>
      <c r="L35" s="111"/>
      <c r="S35" s="32"/>
      <c r="T35" s="32"/>
      <c r="U35" s="32"/>
      <c r="V35" s="32"/>
      <c r="W35" s="32"/>
      <c r="X35" s="32"/>
      <c r="Y35" s="32"/>
      <c r="Z35" s="32"/>
      <c r="AA35" s="32"/>
      <c r="AB35" s="32"/>
      <c r="AC35" s="32"/>
      <c r="AD35" s="32"/>
      <c r="AE35" s="32"/>
    </row>
    <row r="36" spans="1:31" s="2" customFormat="1" ht="14.45" customHeight="1">
      <c r="A36" s="32"/>
      <c r="B36" s="37"/>
      <c r="C36" s="32"/>
      <c r="D36" s="32"/>
      <c r="E36" s="32"/>
      <c r="F36" s="119" t="s">
        <v>38</v>
      </c>
      <c r="G36" s="32"/>
      <c r="H36" s="32"/>
      <c r="I36" s="119" t="s">
        <v>37</v>
      </c>
      <c r="J36" s="119" t="s">
        <v>39</v>
      </c>
      <c r="K36" s="32"/>
      <c r="L36" s="111"/>
      <c r="S36" s="32"/>
      <c r="T36" s="32"/>
      <c r="U36" s="32"/>
      <c r="V36" s="32"/>
      <c r="W36" s="32"/>
      <c r="X36" s="32"/>
      <c r="Y36" s="32"/>
      <c r="Z36" s="32"/>
      <c r="AA36" s="32"/>
      <c r="AB36" s="32"/>
      <c r="AC36" s="32"/>
      <c r="AD36" s="32"/>
      <c r="AE36" s="32"/>
    </row>
    <row r="37" spans="1:31" s="2" customFormat="1" ht="14.45" customHeight="1">
      <c r="A37" s="32"/>
      <c r="B37" s="37"/>
      <c r="C37" s="32"/>
      <c r="D37" s="120" t="s">
        <v>40</v>
      </c>
      <c r="E37" s="110" t="s">
        <v>41</v>
      </c>
      <c r="F37" s="121">
        <f>ROUND((SUM(BE93:BE96)),2)</f>
        <v>0</v>
      </c>
      <c r="G37" s="32"/>
      <c r="H37" s="32"/>
      <c r="I37" s="122">
        <v>0.21</v>
      </c>
      <c r="J37" s="121">
        <f>ROUND(((SUM(BE93:BE96))*I37),2)</f>
        <v>0</v>
      </c>
      <c r="K37" s="32"/>
      <c r="L37" s="111"/>
      <c r="S37" s="32"/>
      <c r="T37" s="32"/>
      <c r="U37" s="32"/>
      <c r="V37" s="32"/>
      <c r="W37" s="32"/>
      <c r="X37" s="32"/>
      <c r="Y37" s="32"/>
      <c r="Z37" s="32"/>
      <c r="AA37" s="32"/>
      <c r="AB37" s="32"/>
      <c r="AC37" s="32"/>
      <c r="AD37" s="32"/>
      <c r="AE37" s="32"/>
    </row>
    <row r="38" spans="1:31" s="2" customFormat="1" ht="14.45" customHeight="1">
      <c r="A38" s="32"/>
      <c r="B38" s="37"/>
      <c r="C38" s="32"/>
      <c r="D38" s="32"/>
      <c r="E38" s="110" t="s">
        <v>42</v>
      </c>
      <c r="F38" s="121">
        <f>ROUND((SUM(BF93:BF96)),2)</f>
        <v>0</v>
      </c>
      <c r="G38" s="32"/>
      <c r="H38" s="32"/>
      <c r="I38" s="122">
        <v>0.15</v>
      </c>
      <c r="J38" s="121">
        <f>ROUND(((SUM(BF93:BF96))*I38),2)</f>
        <v>0</v>
      </c>
      <c r="K38" s="32"/>
      <c r="L38" s="111"/>
      <c r="S38" s="32"/>
      <c r="T38" s="32"/>
      <c r="U38" s="32"/>
      <c r="V38" s="32"/>
      <c r="W38" s="32"/>
      <c r="X38" s="32"/>
      <c r="Y38" s="32"/>
      <c r="Z38" s="32"/>
      <c r="AA38" s="32"/>
      <c r="AB38" s="32"/>
      <c r="AC38" s="32"/>
      <c r="AD38" s="32"/>
      <c r="AE38" s="32"/>
    </row>
    <row r="39" spans="1:31" s="2" customFormat="1" ht="14.45" customHeight="1" hidden="1">
      <c r="A39" s="32"/>
      <c r="B39" s="37"/>
      <c r="C39" s="32"/>
      <c r="D39" s="32"/>
      <c r="E39" s="110" t="s">
        <v>43</v>
      </c>
      <c r="F39" s="121">
        <f>ROUND((SUM(BG93:BG96)),2)</f>
        <v>0</v>
      </c>
      <c r="G39" s="32"/>
      <c r="H39" s="32"/>
      <c r="I39" s="122">
        <v>0.21</v>
      </c>
      <c r="J39" s="121">
        <f>0</f>
        <v>0</v>
      </c>
      <c r="K39" s="32"/>
      <c r="L39" s="111"/>
      <c r="S39" s="32"/>
      <c r="T39" s="32"/>
      <c r="U39" s="32"/>
      <c r="V39" s="32"/>
      <c r="W39" s="32"/>
      <c r="X39" s="32"/>
      <c r="Y39" s="32"/>
      <c r="Z39" s="32"/>
      <c r="AA39" s="32"/>
      <c r="AB39" s="32"/>
      <c r="AC39" s="32"/>
      <c r="AD39" s="32"/>
      <c r="AE39" s="32"/>
    </row>
    <row r="40" spans="1:31" s="2" customFormat="1" ht="14.45" customHeight="1" hidden="1">
      <c r="A40" s="32"/>
      <c r="B40" s="37"/>
      <c r="C40" s="32"/>
      <c r="D40" s="32"/>
      <c r="E40" s="110" t="s">
        <v>44</v>
      </c>
      <c r="F40" s="121">
        <f>ROUND((SUM(BH93:BH96)),2)</f>
        <v>0</v>
      </c>
      <c r="G40" s="32"/>
      <c r="H40" s="32"/>
      <c r="I40" s="122">
        <v>0.15</v>
      </c>
      <c r="J40" s="121">
        <f>0</f>
        <v>0</v>
      </c>
      <c r="K40" s="32"/>
      <c r="L40" s="111"/>
      <c r="S40" s="32"/>
      <c r="T40" s="32"/>
      <c r="U40" s="32"/>
      <c r="V40" s="32"/>
      <c r="W40" s="32"/>
      <c r="X40" s="32"/>
      <c r="Y40" s="32"/>
      <c r="Z40" s="32"/>
      <c r="AA40" s="32"/>
      <c r="AB40" s="32"/>
      <c r="AC40" s="32"/>
      <c r="AD40" s="32"/>
      <c r="AE40" s="32"/>
    </row>
    <row r="41" spans="1:31" s="2" customFormat="1" ht="14.45" customHeight="1" hidden="1">
      <c r="A41" s="32"/>
      <c r="B41" s="37"/>
      <c r="C41" s="32"/>
      <c r="D41" s="32"/>
      <c r="E41" s="110" t="s">
        <v>45</v>
      </c>
      <c r="F41" s="121">
        <f>ROUND((SUM(BI93:BI96)),2)</f>
        <v>0</v>
      </c>
      <c r="G41" s="32"/>
      <c r="H41" s="32"/>
      <c r="I41" s="122">
        <v>0</v>
      </c>
      <c r="J41" s="121">
        <f>0</f>
        <v>0</v>
      </c>
      <c r="K41" s="32"/>
      <c r="L41" s="111"/>
      <c r="S41" s="32"/>
      <c r="T41" s="32"/>
      <c r="U41" s="32"/>
      <c r="V41" s="32"/>
      <c r="W41" s="32"/>
      <c r="X41" s="32"/>
      <c r="Y41" s="32"/>
      <c r="Z41" s="32"/>
      <c r="AA41" s="32"/>
      <c r="AB41" s="32"/>
      <c r="AC41" s="32"/>
      <c r="AD41" s="32"/>
      <c r="AE41" s="32"/>
    </row>
    <row r="42" spans="1:31" s="2" customFormat="1" ht="6.95" customHeight="1">
      <c r="A42" s="32"/>
      <c r="B42" s="37"/>
      <c r="C42" s="32"/>
      <c r="D42" s="32"/>
      <c r="E42" s="32"/>
      <c r="F42" s="32"/>
      <c r="G42" s="32"/>
      <c r="H42" s="32"/>
      <c r="I42" s="32"/>
      <c r="J42" s="32"/>
      <c r="K42" s="32"/>
      <c r="L42" s="111"/>
      <c r="S42" s="32"/>
      <c r="T42" s="32"/>
      <c r="U42" s="32"/>
      <c r="V42" s="32"/>
      <c r="W42" s="32"/>
      <c r="X42" s="32"/>
      <c r="Y42" s="32"/>
      <c r="Z42" s="32"/>
      <c r="AA42" s="32"/>
      <c r="AB42" s="32"/>
      <c r="AC42" s="32"/>
      <c r="AD42" s="32"/>
      <c r="AE42" s="32"/>
    </row>
    <row r="43" spans="1:31" s="2" customFormat="1" ht="25.35" customHeight="1">
      <c r="A43" s="32"/>
      <c r="B43" s="37"/>
      <c r="C43" s="123"/>
      <c r="D43" s="124" t="s">
        <v>46</v>
      </c>
      <c r="E43" s="125"/>
      <c r="F43" s="125"/>
      <c r="G43" s="126" t="s">
        <v>47</v>
      </c>
      <c r="H43" s="127" t="s">
        <v>48</v>
      </c>
      <c r="I43" s="125"/>
      <c r="J43" s="128">
        <f>SUM(J34:J41)</f>
        <v>0</v>
      </c>
      <c r="K43" s="129"/>
      <c r="L43" s="111"/>
      <c r="S43" s="32"/>
      <c r="T43" s="32"/>
      <c r="U43" s="32"/>
      <c r="V43" s="32"/>
      <c r="W43" s="32"/>
      <c r="X43" s="32"/>
      <c r="Y43" s="32"/>
      <c r="Z43" s="32"/>
      <c r="AA43" s="32"/>
      <c r="AB43" s="32"/>
      <c r="AC43" s="32"/>
      <c r="AD43" s="32"/>
      <c r="AE43" s="32"/>
    </row>
    <row r="44" spans="1:31" s="2" customFormat="1" ht="14.45" customHeight="1">
      <c r="A44" s="32"/>
      <c r="B44" s="130"/>
      <c r="C44" s="131"/>
      <c r="D44" s="131"/>
      <c r="E44" s="131"/>
      <c r="F44" s="131"/>
      <c r="G44" s="131"/>
      <c r="H44" s="131"/>
      <c r="I44" s="131"/>
      <c r="J44" s="131"/>
      <c r="K44" s="131"/>
      <c r="L44" s="111"/>
      <c r="S44" s="32"/>
      <c r="T44" s="32"/>
      <c r="U44" s="32"/>
      <c r="V44" s="32"/>
      <c r="W44" s="32"/>
      <c r="X44" s="32"/>
      <c r="Y44" s="32"/>
      <c r="Z44" s="32"/>
      <c r="AA44" s="32"/>
      <c r="AB44" s="32"/>
      <c r="AC44" s="32"/>
      <c r="AD44" s="32"/>
      <c r="AE44" s="32"/>
    </row>
    <row r="48" spans="1:31" s="2" customFormat="1" ht="6.95" customHeight="1">
      <c r="A48" s="32"/>
      <c r="B48" s="132"/>
      <c r="C48" s="133"/>
      <c r="D48" s="133"/>
      <c r="E48" s="133"/>
      <c r="F48" s="133"/>
      <c r="G48" s="133"/>
      <c r="H48" s="133"/>
      <c r="I48" s="133"/>
      <c r="J48" s="133"/>
      <c r="K48" s="133"/>
      <c r="L48" s="111"/>
      <c r="S48" s="32"/>
      <c r="T48" s="32"/>
      <c r="U48" s="32"/>
      <c r="V48" s="32"/>
      <c r="W48" s="32"/>
      <c r="X48" s="32"/>
      <c r="Y48" s="32"/>
      <c r="Z48" s="32"/>
      <c r="AA48" s="32"/>
      <c r="AB48" s="32"/>
      <c r="AC48" s="32"/>
      <c r="AD48" s="32"/>
      <c r="AE48" s="32"/>
    </row>
    <row r="49" spans="1:31" s="2" customFormat="1" ht="24.95" customHeight="1">
      <c r="A49" s="32"/>
      <c r="B49" s="33"/>
      <c r="C49" s="21" t="s">
        <v>147</v>
      </c>
      <c r="D49" s="34"/>
      <c r="E49" s="34"/>
      <c r="F49" s="34"/>
      <c r="G49" s="34"/>
      <c r="H49" s="34"/>
      <c r="I49" s="34"/>
      <c r="J49" s="34"/>
      <c r="K49" s="34"/>
      <c r="L49" s="111"/>
      <c r="S49" s="32"/>
      <c r="T49" s="32"/>
      <c r="U49" s="32"/>
      <c r="V49" s="32"/>
      <c r="W49" s="32"/>
      <c r="X49" s="32"/>
      <c r="Y49" s="32"/>
      <c r="Z49" s="32"/>
      <c r="AA49" s="32"/>
      <c r="AB49" s="32"/>
      <c r="AC49" s="32"/>
      <c r="AD49" s="32"/>
      <c r="AE49" s="32"/>
    </row>
    <row r="50" spans="1:31" s="2" customFormat="1" ht="6.95" customHeight="1">
      <c r="A50" s="32"/>
      <c r="B50" s="33"/>
      <c r="C50" s="34"/>
      <c r="D50" s="34"/>
      <c r="E50" s="34"/>
      <c r="F50" s="34"/>
      <c r="G50" s="34"/>
      <c r="H50" s="34"/>
      <c r="I50" s="34"/>
      <c r="J50" s="34"/>
      <c r="K50" s="34"/>
      <c r="L50" s="111"/>
      <c r="S50" s="32"/>
      <c r="T50" s="32"/>
      <c r="U50" s="32"/>
      <c r="V50" s="32"/>
      <c r="W50" s="32"/>
      <c r="X50" s="32"/>
      <c r="Y50" s="32"/>
      <c r="Z50" s="32"/>
      <c r="AA50" s="32"/>
      <c r="AB50" s="32"/>
      <c r="AC50" s="32"/>
      <c r="AD50" s="32"/>
      <c r="AE50" s="32"/>
    </row>
    <row r="51" spans="1:31" s="2" customFormat="1" ht="12" customHeight="1">
      <c r="A51" s="32"/>
      <c r="B51" s="33"/>
      <c r="C51" s="27" t="s">
        <v>16</v>
      </c>
      <c r="D51" s="34"/>
      <c r="E51" s="34"/>
      <c r="F51" s="34"/>
      <c r="G51" s="34"/>
      <c r="H51" s="34"/>
      <c r="I51" s="34"/>
      <c r="J51" s="34"/>
      <c r="K51" s="34"/>
      <c r="L51" s="111"/>
      <c r="S51" s="32"/>
      <c r="T51" s="32"/>
      <c r="U51" s="32"/>
      <c r="V51" s="32"/>
      <c r="W51" s="32"/>
      <c r="X51" s="32"/>
      <c r="Y51" s="32"/>
      <c r="Z51" s="32"/>
      <c r="AA51" s="32"/>
      <c r="AB51" s="32"/>
      <c r="AC51" s="32"/>
      <c r="AD51" s="32"/>
      <c r="AE51" s="32"/>
    </row>
    <row r="52" spans="1:31" s="2" customFormat="1" ht="14.45" customHeight="1">
      <c r="A52" s="32"/>
      <c r="B52" s="33"/>
      <c r="C52" s="34"/>
      <c r="D52" s="34"/>
      <c r="E52" s="700" t="str">
        <f>E7</f>
        <v>Úpravy gastroprovozu Úřadu vlády ČR v 1.pp Strakovy akademie</v>
      </c>
      <c r="F52" s="701"/>
      <c r="G52" s="701"/>
      <c r="H52" s="701"/>
      <c r="I52" s="34"/>
      <c r="J52" s="34"/>
      <c r="K52" s="34"/>
      <c r="L52" s="111"/>
      <c r="S52" s="32"/>
      <c r="T52" s="32"/>
      <c r="U52" s="32"/>
      <c r="V52" s="32"/>
      <c r="W52" s="32"/>
      <c r="X52" s="32"/>
      <c r="Y52" s="32"/>
      <c r="Z52" s="32"/>
      <c r="AA52" s="32"/>
      <c r="AB52" s="32"/>
      <c r="AC52" s="32"/>
      <c r="AD52" s="32"/>
      <c r="AE52" s="32"/>
    </row>
    <row r="53" spans="2:12" s="1" customFormat="1" ht="12" customHeight="1">
      <c r="B53" s="19"/>
      <c r="C53" s="27" t="s">
        <v>142</v>
      </c>
      <c r="D53" s="20"/>
      <c r="E53" s="20"/>
      <c r="F53" s="20"/>
      <c r="G53" s="20"/>
      <c r="H53" s="20"/>
      <c r="I53" s="20"/>
      <c r="J53" s="20"/>
      <c r="K53" s="20"/>
      <c r="L53" s="18"/>
    </row>
    <row r="54" spans="2:12" s="1" customFormat="1" ht="14.45" customHeight="1">
      <c r="B54" s="19"/>
      <c r="C54" s="20"/>
      <c r="D54" s="20"/>
      <c r="E54" s="700" t="s">
        <v>1429</v>
      </c>
      <c r="F54" s="667"/>
      <c r="G54" s="667"/>
      <c r="H54" s="667"/>
      <c r="I54" s="20"/>
      <c r="J54" s="20"/>
      <c r="K54" s="20"/>
      <c r="L54" s="18"/>
    </row>
    <row r="55" spans="2:12" s="1" customFormat="1" ht="12" customHeight="1">
      <c r="B55" s="19"/>
      <c r="C55" s="27" t="s">
        <v>144</v>
      </c>
      <c r="D55" s="20"/>
      <c r="E55" s="20"/>
      <c r="F55" s="20"/>
      <c r="G55" s="20"/>
      <c r="H55" s="20"/>
      <c r="I55" s="20"/>
      <c r="J55" s="20"/>
      <c r="K55" s="20"/>
      <c r="L55" s="18"/>
    </row>
    <row r="56" spans="1:31" s="2" customFormat="1" ht="14.45" customHeight="1">
      <c r="A56" s="32"/>
      <c r="B56" s="33"/>
      <c r="C56" s="34"/>
      <c r="D56" s="34"/>
      <c r="E56" s="746" t="s">
        <v>1472</v>
      </c>
      <c r="F56" s="699"/>
      <c r="G56" s="699"/>
      <c r="H56" s="699"/>
      <c r="I56" s="34"/>
      <c r="J56" s="34"/>
      <c r="K56" s="34"/>
      <c r="L56" s="111"/>
      <c r="S56" s="32"/>
      <c r="T56" s="32"/>
      <c r="U56" s="32"/>
      <c r="V56" s="32"/>
      <c r="W56" s="32"/>
      <c r="X56" s="32"/>
      <c r="Y56" s="32"/>
      <c r="Z56" s="32"/>
      <c r="AA56" s="32"/>
      <c r="AB56" s="32"/>
      <c r="AC56" s="32"/>
      <c r="AD56" s="32"/>
      <c r="AE56" s="32"/>
    </row>
    <row r="57" spans="1:31" s="2" customFormat="1" ht="12" customHeight="1">
      <c r="A57" s="32"/>
      <c r="B57" s="33"/>
      <c r="C57" s="27" t="s">
        <v>1450</v>
      </c>
      <c r="D57" s="34"/>
      <c r="E57" s="34"/>
      <c r="F57" s="34"/>
      <c r="G57" s="34"/>
      <c r="H57" s="34"/>
      <c r="I57" s="34"/>
      <c r="J57" s="34"/>
      <c r="K57" s="34"/>
      <c r="L57" s="111"/>
      <c r="S57" s="32"/>
      <c r="T57" s="32"/>
      <c r="U57" s="32"/>
      <c r="V57" s="32"/>
      <c r="W57" s="32"/>
      <c r="X57" s="32"/>
      <c r="Y57" s="32"/>
      <c r="Z57" s="32"/>
      <c r="AA57" s="32"/>
      <c r="AB57" s="32"/>
      <c r="AC57" s="32"/>
      <c r="AD57" s="32"/>
      <c r="AE57" s="32"/>
    </row>
    <row r="58" spans="1:31" s="2" customFormat="1" ht="14.45" customHeight="1">
      <c r="A58" s="32"/>
      <c r="B58" s="33"/>
      <c r="C58" s="34"/>
      <c r="D58" s="34"/>
      <c r="E58" s="696" t="str">
        <f>E13</f>
        <v>D.1.4.06.3 - Soupis prací - Gastro HACCP</v>
      </c>
      <c r="F58" s="699"/>
      <c r="G58" s="699"/>
      <c r="H58" s="699"/>
      <c r="I58" s="34"/>
      <c r="J58" s="34"/>
      <c r="K58" s="34"/>
      <c r="L58" s="111"/>
      <c r="S58" s="32"/>
      <c r="T58" s="32"/>
      <c r="U58" s="32"/>
      <c r="V58" s="32"/>
      <c r="W58" s="32"/>
      <c r="X58" s="32"/>
      <c r="Y58" s="32"/>
      <c r="Z58" s="32"/>
      <c r="AA58" s="32"/>
      <c r="AB58" s="32"/>
      <c r="AC58" s="32"/>
      <c r="AD58" s="32"/>
      <c r="AE58" s="32"/>
    </row>
    <row r="59" spans="1:31" s="2" customFormat="1" ht="6.95" customHeight="1">
      <c r="A59" s="32"/>
      <c r="B59" s="33"/>
      <c r="C59" s="34"/>
      <c r="D59" s="34"/>
      <c r="E59" s="34"/>
      <c r="F59" s="34"/>
      <c r="G59" s="34"/>
      <c r="H59" s="34"/>
      <c r="I59" s="34"/>
      <c r="J59" s="34"/>
      <c r="K59" s="34"/>
      <c r="L59" s="111"/>
      <c r="S59" s="32"/>
      <c r="T59" s="32"/>
      <c r="U59" s="32"/>
      <c r="V59" s="32"/>
      <c r="W59" s="32"/>
      <c r="X59" s="32"/>
      <c r="Y59" s="32"/>
      <c r="Z59" s="32"/>
      <c r="AA59" s="32"/>
      <c r="AB59" s="32"/>
      <c r="AC59" s="32"/>
      <c r="AD59" s="32"/>
      <c r="AE59" s="32"/>
    </row>
    <row r="60" spans="1:31" s="2" customFormat="1" ht="12" customHeight="1">
      <c r="A60" s="32"/>
      <c r="B60" s="33"/>
      <c r="C60" s="27" t="s">
        <v>21</v>
      </c>
      <c r="D60" s="34"/>
      <c r="E60" s="34"/>
      <c r="F60" s="25" t="str">
        <f>F16</f>
        <v xml:space="preserve"> </v>
      </c>
      <c r="G60" s="34"/>
      <c r="H60" s="34"/>
      <c r="I60" s="27" t="s">
        <v>23</v>
      </c>
      <c r="J60" s="57" t="str">
        <f>IF(J16="","",J16)</f>
        <v>Vyplň údaj</v>
      </c>
      <c r="K60" s="34"/>
      <c r="L60" s="111"/>
      <c r="S60" s="32"/>
      <c r="T60" s="32"/>
      <c r="U60" s="32"/>
      <c r="V60" s="32"/>
      <c r="W60" s="32"/>
      <c r="X60" s="32"/>
      <c r="Y60" s="32"/>
      <c r="Z60" s="32"/>
      <c r="AA60" s="32"/>
      <c r="AB60" s="32"/>
      <c r="AC60" s="32"/>
      <c r="AD60" s="32"/>
      <c r="AE60" s="32"/>
    </row>
    <row r="61" spans="1:31" s="2" customFormat="1" ht="6.95" customHeight="1">
      <c r="A61" s="32"/>
      <c r="B61" s="33"/>
      <c r="C61" s="34"/>
      <c r="D61" s="34"/>
      <c r="E61" s="34"/>
      <c r="F61" s="34"/>
      <c r="G61" s="34"/>
      <c r="H61" s="34"/>
      <c r="I61" s="34"/>
      <c r="J61" s="34"/>
      <c r="K61" s="34"/>
      <c r="L61" s="111"/>
      <c r="S61" s="32"/>
      <c r="T61" s="32"/>
      <c r="U61" s="32"/>
      <c r="V61" s="32"/>
      <c r="W61" s="32"/>
      <c r="X61" s="32"/>
      <c r="Y61" s="32"/>
      <c r="Z61" s="32"/>
      <c r="AA61" s="32"/>
      <c r="AB61" s="32"/>
      <c r="AC61" s="32"/>
      <c r="AD61" s="32"/>
      <c r="AE61" s="32"/>
    </row>
    <row r="62" spans="1:31" s="2" customFormat="1" ht="26.45" customHeight="1">
      <c r="A62" s="32"/>
      <c r="B62" s="33"/>
      <c r="C62" s="27" t="s">
        <v>24</v>
      </c>
      <c r="D62" s="34"/>
      <c r="E62" s="34"/>
      <c r="F62" s="25" t="str">
        <f>E19</f>
        <v xml:space="preserve">Úřad vlády České republiky </v>
      </c>
      <c r="G62" s="34"/>
      <c r="H62" s="34"/>
      <c r="I62" s="27" t="s">
        <v>30</v>
      </c>
      <c r="J62" s="30" t="str">
        <f>E25</f>
        <v>Ateliér Simona Group</v>
      </c>
      <c r="K62" s="34"/>
      <c r="L62" s="111"/>
      <c r="S62" s="32"/>
      <c r="T62" s="32"/>
      <c r="U62" s="32"/>
      <c r="V62" s="32"/>
      <c r="W62" s="32"/>
      <c r="X62" s="32"/>
      <c r="Y62" s="32"/>
      <c r="Z62" s="32"/>
      <c r="AA62" s="32"/>
      <c r="AB62" s="32"/>
      <c r="AC62" s="32"/>
      <c r="AD62" s="32"/>
      <c r="AE62" s="32"/>
    </row>
    <row r="63" spans="1:31" s="2" customFormat="1" ht="26.45" customHeight="1">
      <c r="A63" s="32"/>
      <c r="B63" s="33"/>
      <c r="C63" s="27" t="s">
        <v>28</v>
      </c>
      <c r="D63" s="34"/>
      <c r="E63" s="34"/>
      <c r="F63" s="25" t="str">
        <f>IF(E22="","",E22)</f>
        <v>Vyplň údaj</v>
      </c>
      <c r="G63" s="34"/>
      <c r="H63" s="34"/>
      <c r="I63" s="27" t="s">
        <v>33</v>
      </c>
      <c r="J63" s="30" t="str">
        <f>E28</f>
        <v>Ateliér Simona Group</v>
      </c>
      <c r="K63" s="34"/>
      <c r="L63" s="111"/>
      <c r="S63" s="32"/>
      <c r="T63" s="32"/>
      <c r="U63" s="32"/>
      <c r="V63" s="32"/>
      <c r="W63" s="32"/>
      <c r="X63" s="32"/>
      <c r="Y63" s="32"/>
      <c r="Z63" s="32"/>
      <c r="AA63" s="32"/>
      <c r="AB63" s="32"/>
      <c r="AC63" s="32"/>
      <c r="AD63" s="32"/>
      <c r="AE63" s="32"/>
    </row>
    <row r="64" spans="1:31" s="2" customFormat="1" ht="10.35" customHeight="1">
      <c r="A64" s="32"/>
      <c r="B64" s="33"/>
      <c r="C64" s="34"/>
      <c r="D64" s="34"/>
      <c r="E64" s="34"/>
      <c r="F64" s="34"/>
      <c r="G64" s="34"/>
      <c r="H64" s="34"/>
      <c r="I64" s="34"/>
      <c r="J64" s="34"/>
      <c r="K64" s="34"/>
      <c r="L64" s="111"/>
      <c r="S64" s="32"/>
      <c r="T64" s="32"/>
      <c r="U64" s="32"/>
      <c r="V64" s="32"/>
      <c r="W64" s="32"/>
      <c r="X64" s="32"/>
      <c r="Y64" s="32"/>
      <c r="Z64" s="32"/>
      <c r="AA64" s="32"/>
      <c r="AB64" s="32"/>
      <c r="AC64" s="32"/>
      <c r="AD64" s="32"/>
      <c r="AE64" s="32"/>
    </row>
    <row r="65" spans="1:31" s="2" customFormat="1" ht="29.25" customHeight="1">
      <c r="A65" s="32"/>
      <c r="B65" s="33"/>
      <c r="C65" s="134" t="s">
        <v>148</v>
      </c>
      <c r="D65" s="135"/>
      <c r="E65" s="135"/>
      <c r="F65" s="135"/>
      <c r="G65" s="135"/>
      <c r="H65" s="135"/>
      <c r="I65" s="135"/>
      <c r="J65" s="136" t="s">
        <v>149</v>
      </c>
      <c r="K65" s="135"/>
      <c r="L65" s="111"/>
      <c r="S65" s="32"/>
      <c r="T65" s="32"/>
      <c r="U65" s="32"/>
      <c r="V65" s="32"/>
      <c r="W65" s="32"/>
      <c r="X65" s="32"/>
      <c r="Y65" s="32"/>
      <c r="Z65" s="32"/>
      <c r="AA65" s="32"/>
      <c r="AB65" s="32"/>
      <c r="AC65" s="32"/>
      <c r="AD65" s="32"/>
      <c r="AE65" s="32"/>
    </row>
    <row r="66" spans="1:31" s="2" customFormat="1" ht="10.35" customHeight="1">
      <c r="A66" s="32"/>
      <c r="B66" s="33"/>
      <c r="C66" s="34"/>
      <c r="D66" s="34"/>
      <c r="E66" s="34"/>
      <c r="F66" s="34"/>
      <c r="G66" s="34"/>
      <c r="H66" s="34"/>
      <c r="I66" s="34"/>
      <c r="J66" s="34"/>
      <c r="K66" s="34"/>
      <c r="L66" s="111"/>
      <c r="S66" s="32"/>
      <c r="T66" s="32"/>
      <c r="U66" s="32"/>
      <c r="V66" s="32"/>
      <c r="W66" s="32"/>
      <c r="X66" s="32"/>
      <c r="Y66" s="32"/>
      <c r="Z66" s="32"/>
      <c r="AA66" s="32"/>
      <c r="AB66" s="32"/>
      <c r="AC66" s="32"/>
      <c r="AD66" s="32"/>
      <c r="AE66" s="32"/>
    </row>
    <row r="67" spans="1:47" s="2" customFormat="1" ht="22.9" customHeight="1">
      <c r="A67" s="32"/>
      <c r="B67" s="33"/>
      <c r="C67" s="137" t="s">
        <v>68</v>
      </c>
      <c r="D67" s="34"/>
      <c r="E67" s="34"/>
      <c r="F67" s="34"/>
      <c r="G67" s="34"/>
      <c r="H67" s="34"/>
      <c r="I67" s="34"/>
      <c r="J67" s="75">
        <f>J93</f>
        <v>0</v>
      </c>
      <c r="K67" s="34"/>
      <c r="L67" s="111"/>
      <c r="S67" s="32"/>
      <c r="T67" s="32"/>
      <c r="U67" s="32"/>
      <c r="V67" s="32"/>
      <c r="W67" s="32"/>
      <c r="X67" s="32"/>
      <c r="Y67" s="32"/>
      <c r="Z67" s="32"/>
      <c r="AA67" s="32"/>
      <c r="AB67" s="32"/>
      <c r="AC67" s="32"/>
      <c r="AD67" s="32"/>
      <c r="AE67" s="32"/>
      <c r="AU67" s="15" t="s">
        <v>150</v>
      </c>
    </row>
    <row r="68" spans="2:12" s="9" customFormat="1" ht="24.95" customHeight="1">
      <c r="B68" s="138"/>
      <c r="C68" s="139"/>
      <c r="D68" s="140" t="s">
        <v>161</v>
      </c>
      <c r="E68" s="141"/>
      <c r="F68" s="141"/>
      <c r="G68" s="141"/>
      <c r="H68" s="141"/>
      <c r="I68" s="141"/>
      <c r="J68" s="142">
        <f>J94</f>
        <v>0</v>
      </c>
      <c r="K68" s="139"/>
      <c r="L68" s="143"/>
    </row>
    <row r="69" spans="2:12" s="10" customFormat="1" ht="19.9" customHeight="1">
      <c r="B69" s="144"/>
      <c r="C69" s="95"/>
      <c r="D69" s="145" t="s">
        <v>176</v>
      </c>
      <c r="E69" s="146"/>
      <c r="F69" s="146"/>
      <c r="G69" s="146"/>
      <c r="H69" s="146"/>
      <c r="I69" s="146"/>
      <c r="J69" s="147">
        <f>J95</f>
        <v>0</v>
      </c>
      <c r="K69" s="95"/>
      <c r="L69" s="148"/>
    </row>
    <row r="70" spans="1:31" s="2" customFormat="1" ht="21.75" customHeight="1">
      <c r="A70" s="32"/>
      <c r="B70" s="33"/>
      <c r="C70" s="34"/>
      <c r="D70" s="34"/>
      <c r="E70" s="34"/>
      <c r="F70" s="34"/>
      <c r="G70" s="34"/>
      <c r="H70" s="34"/>
      <c r="I70" s="34"/>
      <c r="J70" s="34"/>
      <c r="K70" s="34"/>
      <c r="L70" s="111"/>
      <c r="S70" s="32"/>
      <c r="T70" s="32"/>
      <c r="U70" s="32"/>
      <c r="V70" s="32"/>
      <c r="W70" s="32"/>
      <c r="X70" s="32"/>
      <c r="Y70" s="32"/>
      <c r="Z70" s="32"/>
      <c r="AA70" s="32"/>
      <c r="AB70" s="32"/>
      <c r="AC70" s="32"/>
      <c r="AD70" s="32"/>
      <c r="AE70" s="32"/>
    </row>
    <row r="71" spans="1:31" s="2" customFormat="1" ht="6.95" customHeight="1">
      <c r="A71" s="32"/>
      <c r="B71" s="45"/>
      <c r="C71" s="46"/>
      <c r="D71" s="46"/>
      <c r="E71" s="46"/>
      <c r="F71" s="46"/>
      <c r="G71" s="46"/>
      <c r="H71" s="46"/>
      <c r="I71" s="46"/>
      <c r="J71" s="46"/>
      <c r="K71" s="46"/>
      <c r="L71" s="111"/>
      <c r="S71" s="32"/>
      <c r="T71" s="32"/>
      <c r="U71" s="32"/>
      <c r="V71" s="32"/>
      <c r="W71" s="32"/>
      <c r="X71" s="32"/>
      <c r="Y71" s="32"/>
      <c r="Z71" s="32"/>
      <c r="AA71" s="32"/>
      <c r="AB71" s="32"/>
      <c r="AC71" s="32"/>
      <c r="AD71" s="32"/>
      <c r="AE71" s="32"/>
    </row>
    <row r="75" spans="1:31" s="2" customFormat="1" ht="6.95" customHeight="1">
      <c r="A75" s="32"/>
      <c r="B75" s="47"/>
      <c r="C75" s="48"/>
      <c r="D75" s="48"/>
      <c r="E75" s="48"/>
      <c r="F75" s="48"/>
      <c r="G75" s="48"/>
      <c r="H75" s="48"/>
      <c r="I75" s="48"/>
      <c r="J75" s="48"/>
      <c r="K75" s="48"/>
      <c r="L75" s="111"/>
      <c r="S75" s="32"/>
      <c r="T75" s="32"/>
      <c r="U75" s="32"/>
      <c r="V75" s="32"/>
      <c r="W75" s="32"/>
      <c r="X75" s="32"/>
      <c r="Y75" s="32"/>
      <c r="Z75" s="32"/>
      <c r="AA75" s="32"/>
      <c r="AB75" s="32"/>
      <c r="AC75" s="32"/>
      <c r="AD75" s="32"/>
      <c r="AE75" s="32"/>
    </row>
    <row r="76" spans="1:31" s="2" customFormat="1" ht="24.95" customHeight="1">
      <c r="A76" s="32"/>
      <c r="B76" s="33"/>
      <c r="C76" s="21" t="s">
        <v>181</v>
      </c>
      <c r="D76" s="34"/>
      <c r="E76" s="34"/>
      <c r="F76" s="34"/>
      <c r="G76" s="34"/>
      <c r="H76" s="34"/>
      <c r="I76" s="34"/>
      <c r="J76" s="34"/>
      <c r="K76" s="34"/>
      <c r="L76" s="111"/>
      <c r="S76" s="32"/>
      <c r="T76" s="32"/>
      <c r="U76" s="32"/>
      <c r="V76" s="32"/>
      <c r="W76" s="32"/>
      <c r="X76" s="32"/>
      <c r="Y76" s="32"/>
      <c r="Z76" s="32"/>
      <c r="AA76" s="32"/>
      <c r="AB76" s="32"/>
      <c r="AC76" s="32"/>
      <c r="AD76" s="32"/>
      <c r="AE76" s="32"/>
    </row>
    <row r="77" spans="1:31" s="2" customFormat="1" ht="6.95" customHeight="1">
      <c r="A77" s="32"/>
      <c r="B77" s="33"/>
      <c r="C77" s="34"/>
      <c r="D77" s="34"/>
      <c r="E77" s="34"/>
      <c r="F77" s="34"/>
      <c r="G77" s="34"/>
      <c r="H77" s="34"/>
      <c r="I77" s="34"/>
      <c r="J77" s="34"/>
      <c r="K77" s="34"/>
      <c r="L77" s="111"/>
      <c r="S77" s="32"/>
      <c r="T77" s="32"/>
      <c r="U77" s="32"/>
      <c r="V77" s="32"/>
      <c r="W77" s="32"/>
      <c r="X77" s="32"/>
      <c r="Y77" s="32"/>
      <c r="Z77" s="32"/>
      <c r="AA77" s="32"/>
      <c r="AB77" s="32"/>
      <c r="AC77" s="32"/>
      <c r="AD77" s="32"/>
      <c r="AE77" s="32"/>
    </row>
    <row r="78" spans="1:31" s="2" customFormat="1" ht="12" customHeight="1">
      <c r="A78" s="32"/>
      <c r="B78" s="33"/>
      <c r="C78" s="27" t="s">
        <v>16</v>
      </c>
      <c r="D78" s="34"/>
      <c r="E78" s="34"/>
      <c r="F78" s="34"/>
      <c r="G78" s="34"/>
      <c r="H78" s="34"/>
      <c r="I78" s="34"/>
      <c r="J78" s="34"/>
      <c r="K78" s="34"/>
      <c r="L78" s="111"/>
      <c r="S78" s="32"/>
      <c r="T78" s="32"/>
      <c r="U78" s="32"/>
      <c r="V78" s="32"/>
      <c r="W78" s="32"/>
      <c r="X78" s="32"/>
      <c r="Y78" s="32"/>
      <c r="Z78" s="32"/>
      <c r="AA78" s="32"/>
      <c r="AB78" s="32"/>
      <c r="AC78" s="32"/>
      <c r="AD78" s="32"/>
      <c r="AE78" s="32"/>
    </row>
    <row r="79" spans="1:31" s="2" customFormat="1" ht="14.45" customHeight="1">
      <c r="A79" s="32"/>
      <c r="B79" s="33"/>
      <c r="C79" s="34"/>
      <c r="D79" s="34"/>
      <c r="E79" s="700" t="str">
        <f>E7</f>
        <v>Úpravy gastroprovozu Úřadu vlády ČR v 1.pp Strakovy akademie</v>
      </c>
      <c r="F79" s="701"/>
      <c r="G79" s="701"/>
      <c r="H79" s="701"/>
      <c r="I79" s="34"/>
      <c r="J79" s="34"/>
      <c r="K79" s="34"/>
      <c r="L79" s="111"/>
      <c r="S79" s="32"/>
      <c r="T79" s="32"/>
      <c r="U79" s="32"/>
      <c r="V79" s="32"/>
      <c r="W79" s="32"/>
      <c r="X79" s="32"/>
      <c r="Y79" s="32"/>
      <c r="Z79" s="32"/>
      <c r="AA79" s="32"/>
      <c r="AB79" s="32"/>
      <c r="AC79" s="32"/>
      <c r="AD79" s="32"/>
      <c r="AE79" s="32"/>
    </row>
    <row r="80" spans="2:12" s="1" customFormat="1" ht="12" customHeight="1">
      <c r="B80" s="19"/>
      <c r="C80" s="27" t="s">
        <v>142</v>
      </c>
      <c r="D80" s="20"/>
      <c r="E80" s="20"/>
      <c r="F80" s="20"/>
      <c r="G80" s="20"/>
      <c r="H80" s="20"/>
      <c r="I80" s="20"/>
      <c r="J80" s="20"/>
      <c r="K80" s="20"/>
      <c r="L80" s="18"/>
    </row>
    <row r="81" spans="2:12" s="1" customFormat="1" ht="14.45" customHeight="1">
      <c r="B81" s="19"/>
      <c r="C81" s="20"/>
      <c r="D81" s="20"/>
      <c r="E81" s="700" t="s">
        <v>1429</v>
      </c>
      <c r="F81" s="667"/>
      <c r="G81" s="667"/>
      <c r="H81" s="667"/>
      <c r="I81" s="20"/>
      <c r="J81" s="20"/>
      <c r="K81" s="20"/>
      <c r="L81" s="18"/>
    </row>
    <row r="82" spans="2:12" s="1" customFormat="1" ht="12" customHeight="1">
      <c r="B82" s="19"/>
      <c r="C82" s="27" t="s">
        <v>144</v>
      </c>
      <c r="D82" s="20"/>
      <c r="E82" s="20"/>
      <c r="F82" s="20"/>
      <c r="G82" s="20"/>
      <c r="H82" s="20"/>
      <c r="I82" s="20"/>
      <c r="J82" s="20"/>
      <c r="K82" s="20"/>
      <c r="L82" s="18"/>
    </row>
    <row r="83" spans="1:31" s="2" customFormat="1" ht="14.45" customHeight="1">
      <c r="A83" s="32"/>
      <c r="B83" s="33"/>
      <c r="C83" s="34"/>
      <c r="D83" s="34"/>
      <c r="E83" s="746" t="s">
        <v>1472</v>
      </c>
      <c r="F83" s="699"/>
      <c r="G83" s="699"/>
      <c r="H83" s="699"/>
      <c r="I83" s="34"/>
      <c r="J83" s="34"/>
      <c r="K83" s="34"/>
      <c r="L83" s="111"/>
      <c r="S83" s="32"/>
      <c r="T83" s="32"/>
      <c r="U83" s="32"/>
      <c r="V83" s="32"/>
      <c r="W83" s="32"/>
      <c r="X83" s="32"/>
      <c r="Y83" s="32"/>
      <c r="Z83" s="32"/>
      <c r="AA83" s="32"/>
      <c r="AB83" s="32"/>
      <c r="AC83" s="32"/>
      <c r="AD83" s="32"/>
      <c r="AE83" s="32"/>
    </row>
    <row r="84" spans="1:31" s="2" customFormat="1" ht="12" customHeight="1">
      <c r="A84" s="32"/>
      <c r="B84" s="33"/>
      <c r="C84" s="27" t="s">
        <v>1450</v>
      </c>
      <c r="D84" s="34"/>
      <c r="E84" s="34"/>
      <c r="F84" s="34"/>
      <c r="G84" s="34"/>
      <c r="H84" s="34"/>
      <c r="I84" s="34"/>
      <c r="J84" s="34"/>
      <c r="K84" s="34"/>
      <c r="L84" s="111"/>
      <c r="S84" s="32"/>
      <c r="T84" s="32"/>
      <c r="U84" s="32"/>
      <c r="V84" s="32"/>
      <c r="W84" s="32"/>
      <c r="X84" s="32"/>
      <c r="Y84" s="32"/>
      <c r="Z84" s="32"/>
      <c r="AA84" s="32"/>
      <c r="AB84" s="32"/>
      <c r="AC84" s="32"/>
      <c r="AD84" s="32"/>
      <c r="AE84" s="32"/>
    </row>
    <row r="85" spans="1:31" s="2" customFormat="1" ht="14.45" customHeight="1">
      <c r="A85" s="32"/>
      <c r="B85" s="33"/>
      <c r="C85" s="34"/>
      <c r="D85" s="34"/>
      <c r="E85" s="696" t="str">
        <f>E13</f>
        <v>D.1.4.06.3 - Soupis prací - Gastro HACCP</v>
      </c>
      <c r="F85" s="699"/>
      <c r="G85" s="699"/>
      <c r="H85" s="699"/>
      <c r="I85" s="34"/>
      <c r="J85" s="34"/>
      <c r="K85" s="34"/>
      <c r="L85" s="111"/>
      <c r="S85" s="32"/>
      <c r="T85" s="32"/>
      <c r="U85" s="32"/>
      <c r="V85" s="32"/>
      <c r="W85" s="32"/>
      <c r="X85" s="32"/>
      <c r="Y85" s="32"/>
      <c r="Z85" s="32"/>
      <c r="AA85" s="32"/>
      <c r="AB85" s="32"/>
      <c r="AC85" s="32"/>
      <c r="AD85" s="32"/>
      <c r="AE85" s="32"/>
    </row>
    <row r="86" spans="1:31" s="2" customFormat="1" ht="6.95" customHeight="1">
      <c r="A86" s="32"/>
      <c r="B86" s="33"/>
      <c r="C86" s="34"/>
      <c r="D86" s="34"/>
      <c r="E86" s="34"/>
      <c r="F86" s="34"/>
      <c r="G86" s="34"/>
      <c r="H86" s="34"/>
      <c r="I86" s="34"/>
      <c r="J86" s="34"/>
      <c r="K86" s="34"/>
      <c r="L86" s="111"/>
      <c r="S86" s="32"/>
      <c r="T86" s="32"/>
      <c r="U86" s="32"/>
      <c r="V86" s="32"/>
      <c r="W86" s="32"/>
      <c r="X86" s="32"/>
      <c r="Y86" s="32"/>
      <c r="Z86" s="32"/>
      <c r="AA86" s="32"/>
      <c r="AB86" s="32"/>
      <c r="AC86" s="32"/>
      <c r="AD86" s="32"/>
      <c r="AE86" s="32"/>
    </row>
    <row r="87" spans="1:31" s="2" customFormat="1" ht="12" customHeight="1">
      <c r="A87" s="32"/>
      <c r="B87" s="33"/>
      <c r="C87" s="27" t="s">
        <v>21</v>
      </c>
      <c r="D87" s="34"/>
      <c r="E87" s="34"/>
      <c r="F87" s="25" t="str">
        <f>F16</f>
        <v xml:space="preserve"> </v>
      </c>
      <c r="G87" s="34"/>
      <c r="H87" s="34"/>
      <c r="I87" s="27" t="s">
        <v>23</v>
      </c>
      <c r="J87" s="57" t="str">
        <f>IF(J16="","",J16)</f>
        <v>Vyplň údaj</v>
      </c>
      <c r="K87" s="34"/>
      <c r="L87" s="111"/>
      <c r="S87" s="32"/>
      <c r="T87" s="32"/>
      <c r="U87" s="32"/>
      <c r="V87" s="32"/>
      <c r="W87" s="32"/>
      <c r="X87" s="32"/>
      <c r="Y87" s="32"/>
      <c r="Z87" s="32"/>
      <c r="AA87" s="32"/>
      <c r="AB87" s="32"/>
      <c r="AC87" s="32"/>
      <c r="AD87" s="32"/>
      <c r="AE87" s="32"/>
    </row>
    <row r="88" spans="1:31" s="2" customFormat="1" ht="6.95" customHeight="1">
      <c r="A88" s="32"/>
      <c r="B88" s="33"/>
      <c r="C88" s="34"/>
      <c r="D88" s="34"/>
      <c r="E88" s="34"/>
      <c r="F88" s="34"/>
      <c r="G88" s="34"/>
      <c r="H88" s="34"/>
      <c r="I88" s="34"/>
      <c r="J88" s="34"/>
      <c r="K88" s="34"/>
      <c r="L88" s="111"/>
      <c r="S88" s="32"/>
      <c r="T88" s="32"/>
      <c r="U88" s="32"/>
      <c r="V88" s="32"/>
      <c r="W88" s="32"/>
      <c r="X88" s="32"/>
      <c r="Y88" s="32"/>
      <c r="Z88" s="32"/>
      <c r="AA88" s="32"/>
      <c r="AB88" s="32"/>
      <c r="AC88" s="32"/>
      <c r="AD88" s="32"/>
      <c r="AE88" s="32"/>
    </row>
    <row r="89" spans="1:31" s="2" customFormat="1" ht="26.45" customHeight="1">
      <c r="A89" s="32"/>
      <c r="B89" s="33"/>
      <c r="C89" s="27" t="s">
        <v>24</v>
      </c>
      <c r="D89" s="34"/>
      <c r="E89" s="34"/>
      <c r="F89" s="25" t="str">
        <f>E19</f>
        <v xml:space="preserve">Úřad vlády České republiky </v>
      </c>
      <c r="G89" s="34"/>
      <c r="H89" s="34"/>
      <c r="I89" s="27" t="s">
        <v>30</v>
      </c>
      <c r="J89" s="30" t="str">
        <f>E25</f>
        <v>Ateliér Simona Group</v>
      </c>
      <c r="K89" s="34"/>
      <c r="L89" s="111"/>
      <c r="S89" s="32"/>
      <c r="T89" s="32"/>
      <c r="U89" s="32"/>
      <c r="V89" s="32"/>
      <c r="W89" s="32"/>
      <c r="X89" s="32"/>
      <c r="Y89" s="32"/>
      <c r="Z89" s="32"/>
      <c r="AA89" s="32"/>
      <c r="AB89" s="32"/>
      <c r="AC89" s="32"/>
      <c r="AD89" s="32"/>
      <c r="AE89" s="32"/>
    </row>
    <row r="90" spans="1:31" s="2" customFormat="1" ht="26.45" customHeight="1">
      <c r="A90" s="32"/>
      <c r="B90" s="33"/>
      <c r="C90" s="27" t="s">
        <v>28</v>
      </c>
      <c r="D90" s="34"/>
      <c r="E90" s="34"/>
      <c r="F90" s="25" t="str">
        <f>IF(E22="","",E22)</f>
        <v>Vyplň údaj</v>
      </c>
      <c r="G90" s="34"/>
      <c r="H90" s="34"/>
      <c r="I90" s="27" t="s">
        <v>33</v>
      </c>
      <c r="J90" s="30" t="str">
        <f>E28</f>
        <v>Ateliér Simona Group</v>
      </c>
      <c r="K90" s="34"/>
      <c r="L90" s="111"/>
      <c r="S90" s="32"/>
      <c r="T90" s="32"/>
      <c r="U90" s="32"/>
      <c r="V90" s="32"/>
      <c r="W90" s="32"/>
      <c r="X90" s="32"/>
      <c r="Y90" s="32"/>
      <c r="Z90" s="32"/>
      <c r="AA90" s="32"/>
      <c r="AB90" s="32"/>
      <c r="AC90" s="32"/>
      <c r="AD90" s="32"/>
      <c r="AE90" s="32"/>
    </row>
    <row r="91" spans="1:31" s="2" customFormat="1" ht="10.35" customHeight="1">
      <c r="A91" s="32"/>
      <c r="B91" s="33"/>
      <c r="C91" s="34"/>
      <c r="D91" s="34"/>
      <c r="E91" s="34"/>
      <c r="F91" s="34"/>
      <c r="G91" s="34"/>
      <c r="H91" s="34"/>
      <c r="I91" s="34"/>
      <c r="J91" s="34"/>
      <c r="K91" s="34"/>
      <c r="L91" s="111"/>
      <c r="S91" s="32"/>
      <c r="T91" s="32"/>
      <c r="U91" s="32"/>
      <c r="V91" s="32"/>
      <c r="W91" s="32"/>
      <c r="X91" s="32"/>
      <c r="Y91" s="32"/>
      <c r="Z91" s="32"/>
      <c r="AA91" s="32"/>
      <c r="AB91" s="32"/>
      <c r="AC91" s="32"/>
      <c r="AD91" s="32"/>
      <c r="AE91" s="32"/>
    </row>
    <row r="92" spans="1:31" s="11" customFormat="1" ht="29.25" customHeight="1">
      <c r="A92" s="149"/>
      <c r="B92" s="150"/>
      <c r="C92" s="151" t="s">
        <v>182</v>
      </c>
      <c r="D92" s="152" t="s">
        <v>55</v>
      </c>
      <c r="E92" s="152" t="s">
        <v>51</v>
      </c>
      <c r="F92" s="152" t="s">
        <v>52</v>
      </c>
      <c r="G92" s="152" t="s">
        <v>183</v>
      </c>
      <c r="H92" s="152" t="s">
        <v>184</v>
      </c>
      <c r="I92" s="152" t="s">
        <v>185</v>
      </c>
      <c r="J92" s="152" t="s">
        <v>149</v>
      </c>
      <c r="K92" s="153" t="s">
        <v>186</v>
      </c>
      <c r="L92" s="154"/>
      <c r="M92" s="66" t="s">
        <v>19</v>
      </c>
      <c r="N92" s="67" t="s">
        <v>40</v>
      </c>
      <c r="O92" s="67" t="s">
        <v>187</v>
      </c>
      <c r="P92" s="67" t="s">
        <v>188</v>
      </c>
      <c r="Q92" s="67" t="s">
        <v>189</v>
      </c>
      <c r="R92" s="67" t="s">
        <v>190</v>
      </c>
      <c r="S92" s="67" t="s">
        <v>191</v>
      </c>
      <c r="T92" s="68" t="s">
        <v>192</v>
      </c>
      <c r="U92" s="149"/>
      <c r="V92" s="149"/>
      <c r="W92" s="149"/>
      <c r="X92" s="149"/>
      <c r="Y92" s="149"/>
      <c r="Z92" s="149"/>
      <c r="AA92" s="149"/>
      <c r="AB92" s="149"/>
      <c r="AC92" s="149"/>
      <c r="AD92" s="149"/>
      <c r="AE92" s="149"/>
    </row>
    <row r="93" spans="1:63" s="2" customFormat="1" ht="22.9" customHeight="1">
      <c r="A93" s="32"/>
      <c r="B93" s="33"/>
      <c r="C93" s="73" t="s">
        <v>193</v>
      </c>
      <c r="D93" s="34"/>
      <c r="E93" s="34"/>
      <c r="F93" s="34"/>
      <c r="G93" s="34"/>
      <c r="H93" s="34"/>
      <c r="I93" s="34"/>
      <c r="J93" s="155">
        <f>BK93</f>
        <v>0</v>
      </c>
      <c r="K93" s="34"/>
      <c r="L93" s="37"/>
      <c r="M93" s="69"/>
      <c r="N93" s="156"/>
      <c r="O93" s="70"/>
      <c r="P93" s="157">
        <f>P94</f>
        <v>0</v>
      </c>
      <c r="Q93" s="70"/>
      <c r="R93" s="157">
        <f>R94</f>
        <v>0</v>
      </c>
      <c r="S93" s="70"/>
      <c r="T93" s="158">
        <f>T94</f>
        <v>0</v>
      </c>
      <c r="U93" s="32"/>
      <c r="V93" s="32"/>
      <c r="W93" s="32"/>
      <c r="X93" s="32"/>
      <c r="Y93" s="32"/>
      <c r="Z93" s="32"/>
      <c r="AA93" s="32"/>
      <c r="AB93" s="32"/>
      <c r="AC93" s="32"/>
      <c r="AD93" s="32"/>
      <c r="AE93" s="32"/>
      <c r="AT93" s="15" t="s">
        <v>69</v>
      </c>
      <c r="AU93" s="15" t="s">
        <v>150</v>
      </c>
      <c r="BK93" s="159">
        <f>BK94</f>
        <v>0</v>
      </c>
    </row>
    <row r="94" spans="2:63" s="12" customFormat="1" ht="25.9" customHeight="1">
      <c r="B94" s="160"/>
      <c r="C94" s="161"/>
      <c r="D94" s="162" t="s">
        <v>69</v>
      </c>
      <c r="E94" s="163" t="s">
        <v>694</v>
      </c>
      <c r="F94" s="163" t="s">
        <v>695</v>
      </c>
      <c r="G94" s="161"/>
      <c r="H94" s="161"/>
      <c r="I94" s="164"/>
      <c r="J94" s="165">
        <f>BK94</f>
        <v>0</v>
      </c>
      <c r="K94" s="161"/>
      <c r="L94" s="166"/>
      <c r="M94" s="167"/>
      <c r="N94" s="168"/>
      <c r="O94" s="168"/>
      <c r="P94" s="169">
        <f>P95</f>
        <v>0</v>
      </c>
      <c r="Q94" s="168"/>
      <c r="R94" s="169">
        <f>R95</f>
        <v>0</v>
      </c>
      <c r="S94" s="168"/>
      <c r="T94" s="170">
        <f>T95</f>
        <v>0</v>
      </c>
      <c r="AR94" s="171" t="s">
        <v>79</v>
      </c>
      <c r="AT94" s="172" t="s">
        <v>69</v>
      </c>
      <c r="AU94" s="172" t="s">
        <v>70</v>
      </c>
      <c r="AY94" s="171" t="s">
        <v>196</v>
      </c>
      <c r="BK94" s="173">
        <f>BK95</f>
        <v>0</v>
      </c>
    </row>
    <row r="95" spans="2:63" s="12" customFormat="1" ht="22.9" customHeight="1">
      <c r="B95" s="160"/>
      <c r="C95" s="161"/>
      <c r="D95" s="162" t="s">
        <v>69</v>
      </c>
      <c r="E95" s="174" t="s">
        <v>1325</v>
      </c>
      <c r="F95" s="174" t="s">
        <v>1326</v>
      </c>
      <c r="G95" s="161"/>
      <c r="H95" s="161"/>
      <c r="I95" s="164"/>
      <c r="J95" s="175">
        <f>BK95</f>
        <v>0</v>
      </c>
      <c r="K95" s="161"/>
      <c r="L95" s="166"/>
      <c r="M95" s="167"/>
      <c r="N95" s="168"/>
      <c r="O95" s="168"/>
      <c r="P95" s="169">
        <f>P96</f>
        <v>0</v>
      </c>
      <c r="Q95" s="168"/>
      <c r="R95" s="169">
        <f>R96</f>
        <v>0</v>
      </c>
      <c r="S95" s="168"/>
      <c r="T95" s="170">
        <f>T96</f>
        <v>0</v>
      </c>
      <c r="AR95" s="171" t="s">
        <v>79</v>
      </c>
      <c r="AT95" s="172" t="s">
        <v>69</v>
      </c>
      <c r="AU95" s="172" t="s">
        <v>77</v>
      </c>
      <c r="AY95" s="171" t="s">
        <v>196</v>
      </c>
      <c r="BK95" s="173">
        <f>BK96</f>
        <v>0</v>
      </c>
    </row>
    <row r="96" spans="1:65" s="2" customFormat="1" ht="13.9" customHeight="1">
      <c r="A96" s="32"/>
      <c r="B96" s="33"/>
      <c r="C96" s="176" t="s">
        <v>77</v>
      </c>
      <c r="D96" s="176" t="s">
        <v>198</v>
      </c>
      <c r="E96" s="177" t="s">
        <v>1484</v>
      </c>
      <c r="F96" s="178" t="s">
        <v>1485</v>
      </c>
      <c r="G96" s="179" t="s">
        <v>1437</v>
      </c>
      <c r="H96" s="180">
        <v>1</v>
      </c>
      <c r="I96" s="181">
        <f>HACCP!L11</f>
        <v>0</v>
      </c>
      <c r="J96" s="182">
        <f>ROUND(I96*H96,2)</f>
        <v>0</v>
      </c>
      <c r="K96" s="178" t="s">
        <v>19</v>
      </c>
      <c r="L96" s="37"/>
      <c r="M96" s="204" t="s">
        <v>19</v>
      </c>
      <c r="N96" s="205" t="s">
        <v>41</v>
      </c>
      <c r="O96" s="206"/>
      <c r="P96" s="207">
        <f>O96*H96</f>
        <v>0</v>
      </c>
      <c r="Q96" s="207">
        <v>0</v>
      </c>
      <c r="R96" s="207">
        <f>Q96*H96</f>
        <v>0</v>
      </c>
      <c r="S96" s="207">
        <v>0</v>
      </c>
      <c r="T96" s="208">
        <f>S96*H96</f>
        <v>0</v>
      </c>
      <c r="U96" s="32"/>
      <c r="V96" s="32"/>
      <c r="W96" s="32"/>
      <c r="X96" s="32"/>
      <c r="Y96" s="32"/>
      <c r="Z96" s="32"/>
      <c r="AA96" s="32"/>
      <c r="AB96" s="32"/>
      <c r="AC96" s="32"/>
      <c r="AD96" s="32"/>
      <c r="AE96" s="32"/>
      <c r="AR96" s="187" t="s">
        <v>270</v>
      </c>
      <c r="AT96" s="187" t="s">
        <v>198</v>
      </c>
      <c r="AU96" s="187" t="s">
        <v>79</v>
      </c>
      <c r="AY96" s="15" t="s">
        <v>196</v>
      </c>
      <c r="BE96" s="188">
        <f>IF(N96="základní",J96,0)</f>
        <v>0</v>
      </c>
      <c r="BF96" s="188">
        <f>IF(N96="snížená",J96,0)</f>
        <v>0</v>
      </c>
      <c r="BG96" s="188">
        <f>IF(N96="zákl. přenesená",J96,0)</f>
        <v>0</v>
      </c>
      <c r="BH96" s="188">
        <f>IF(N96="sníž. přenesená",J96,0)</f>
        <v>0</v>
      </c>
      <c r="BI96" s="188">
        <f>IF(N96="nulová",J96,0)</f>
        <v>0</v>
      </c>
      <c r="BJ96" s="15" t="s">
        <v>77</v>
      </c>
      <c r="BK96" s="188">
        <f>ROUND(I96*H96,2)</f>
        <v>0</v>
      </c>
      <c r="BL96" s="15" t="s">
        <v>270</v>
      </c>
      <c r="BM96" s="187" t="s">
        <v>1486</v>
      </c>
    </row>
    <row r="97" spans="1:31" s="2" customFormat="1" ht="6.95" customHeight="1">
      <c r="A97" s="32"/>
      <c r="B97" s="45"/>
      <c r="C97" s="46"/>
      <c r="D97" s="46"/>
      <c r="E97" s="46"/>
      <c r="F97" s="46"/>
      <c r="G97" s="46"/>
      <c r="H97" s="46"/>
      <c r="I97" s="46"/>
      <c r="J97" s="46"/>
      <c r="K97" s="46"/>
      <c r="L97" s="37"/>
      <c r="M97" s="32"/>
      <c r="O97" s="32"/>
      <c r="P97" s="32"/>
      <c r="Q97" s="32"/>
      <c r="R97" s="32"/>
      <c r="S97" s="32"/>
      <c r="T97" s="32"/>
      <c r="U97" s="32"/>
      <c r="V97" s="32"/>
      <c r="W97" s="32"/>
      <c r="X97" s="32"/>
      <c r="Y97" s="32"/>
      <c r="Z97" s="32"/>
      <c r="AA97" s="32"/>
      <c r="AB97" s="32"/>
      <c r="AC97" s="32"/>
      <c r="AD97" s="32"/>
      <c r="AE97" s="32"/>
    </row>
  </sheetData>
  <sheetProtection algorithmName="SHA-512" hashValue="ggmJI3Cgpl7n5+OePDj1kZ843i9FQszjC/MdZ6rcJGyi+rbkWxo9j2qfNYtPThCLB9K0p9+7htT6eLelGHcl+g==" saltValue="sxn2ZnlB5anLBnhb2w1RJx1qWg3Tv/GUNdT1/poSOmqvA8eCanCjxHMlF+zdleQe8QUHhljaru1lFrNf/RAdxQ==" spinCount="100000" sheet="1" objects="1" scenarios="1" formatColumns="0" formatRows="0" autoFilter="0"/>
  <autoFilter ref="C92:K96"/>
  <mergeCells count="15">
    <mergeCell ref="E79:H79"/>
    <mergeCell ref="E83:H83"/>
    <mergeCell ref="E81:H81"/>
    <mergeCell ref="E85:H85"/>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D47CA-9C03-4C25-B079-476AD58A4C43}">
  <sheetPr>
    <tabColor theme="9" tint="-0.4999699890613556"/>
    <pageSetUpPr fitToPage="1"/>
  </sheetPr>
  <dimension ref="A1:N11"/>
  <sheetViews>
    <sheetView zoomScaleSheetLayoutView="100" workbookViewId="0" topLeftCell="A1">
      <pane ySplit="1" topLeftCell="A2" activePane="bottomLeft" state="frozen"/>
      <selection pane="bottomLeft" activeCell="L11" sqref="L11"/>
    </sheetView>
  </sheetViews>
  <sheetFormatPr defaultColWidth="10.7109375" defaultRowHeight="12"/>
  <cols>
    <col min="1" max="1" width="10.7109375" style="538" customWidth="1"/>
    <col min="2" max="2" width="127.8515625" style="537" customWidth="1"/>
    <col min="3" max="3" width="22.140625" style="538" customWidth="1"/>
    <col min="4" max="4" width="20.00390625" style="538" bestFit="1" customWidth="1"/>
    <col min="5" max="5" width="7.00390625" style="538" bestFit="1" customWidth="1"/>
    <col min="6" max="6" width="9.7109375" style="538" bestFit="1" customWidth="1"/>
    <col min="7" max="7" width="8.7109375" style="538" customWidth="1"/>
    <col min="8" max="8" width="13.7109375" style="538" customWidth="1"/>
    <col min="9" max="9" width="14.140625" style="538" customWidth="1"/>
    <col min="10" max="10" width="17.421875" style="537" bestFit="1" customWidth="1"/>
    <col min="11" max="11" width="6.421875" style="538" bestFit="1" customWidth="1"/>
    <col min="12" max="12" width="19.421875" style="537" bestFit="1" customWidth="1"/>
    <col min="13" max="13" width="6.00390625" style="537" bestFit="1" customWidth="1"/>
    <col min="14" max="14" width="20.8515625" style="537" bestFit="1" customWidth="1"/>
    <col min="15" max="16384" width="10.7109375" style="537" customWidth="1"/>
  </cols>
  <sheetData>
    <row r="1" spans="1:14" ht="30">
      <c r="A1" s="588" t="s">
        <v>2661</v>
      </c>
      <c r="B1" s="587" t="s">
        <v>2660</v>
      </c>
      <c r="C1" s="586" t="s">
        <v>2659</v>
      </c>
      <c r="D1" s="586" t="s">
        <v>2658</v>
      </c>
      <c r="E1" s="585" t="s">
        <v>2657</v>
      </c>
      <c r="F1" s="585" t="s">
        <v>2656</v>
      </c>
      <c r="G1" s="585" t="s">
        <v>2655</v>
      </c>
      <c r="H1" s="585" t="s">
        <v>2654</v>
      </c>
      <c r="I1" s="585" t="s">
        <v>2653</v>
      </c>
      <c r="J1" s="596" t="s">
        <v>2652</v>
      </c>
      <c r="K1" s="584" t="s">
        <v>2651</v>
      </c>
      <c r="L1" s="583" t="s">
        <v>2650</v>
      </c>
      <c r="M1" s="583" t="s">
        <v>40</v>
      </c>
      <c r="N1" s="582" t="s">
        <v>2649</v>
      </c>
    </row>
    <row r="2" spans="1:14" ht="16.5" customHeight="1">
      <c r="A2" s="568"/>
      <c r="B2" s="623" t="s">
        <v>2853</v>
      </c>
      <c r="C2" s="616"/>
      <c r="D2" s="616"/>
      <c r="E2" s="560"/>
      <c r="F2" s="560"/>
      <c r="G2" s="560"/>
      <c r="H2" s="560"/>
      <c r="I2" s="560"/>
      <c r="J2" s="653">
        <v>0</v>
      </c>
      <c r="K2" s="560"/>
      <c r="L2" s="559">
        <f aca="true" t="shared" si="0" ref="L2:L10">K2*J2</f>
        <v>0</v>
      </c>
      <c r="M2" s="558">
        <v>21</v>
      </c>
      <c r="N2" s="557">
        <f aca="true" t="shared" si="1" ref="N2:N10">L2*(1+(M2/100))</f>
        <v>0</v>
      </c>
    </row>
    <row r="3" spans="1:14" ht="69.75" customHeight="1">
      <c r="A3" s="564" t="s">
        <v>2852</v>
      </c>
      <c r="B3" s="617" t="s">
        <v>2851</v>
      </c>
      <c r="C3" s="616"/>
      <c r="D3" s="616"/>
      <c r="E3" s="560"/>
      <c r="F3" s="560"/>
      <c r="G3" s="560"/>
      <c r="H3" s="560"/>
      <c r="I3" s="560"/>
      <c r="J3" s="620">
        <v>0</v>
      </c>
      <c r="K3" s="560">
        <v>1</v>
      </c>
      <c r="L3" s="559">
        <f t="shared" si="0"/>
        <v>0</v>
      </c>
      <c r="M3" s="558">
        <v>21</v>
      </c>
      <c r="N3" s="557">
        <f t="shared" si="1"/>
        <v>0</v>
      </c>
    </row>
    <row r="4" spans="1:14" ht="16.5" customHeight="1">
      <c r="A4" s="564" t="s">
        <v>2850</v>
      </c>
      <c r="B4" s="617" t="s">
        <v>2849</v>
      </c>
      <c r="C4" s="616"/>
      <c r="D4" s="616"/>
      <c r="E4" s="560"/>
      <c r="F4" s="560"/>
      <c r="G4" s="560"/>
      <c r="H4" s="560"/>
      <c r="I4" s="560"/>
      <c r="J4" s="620">
        <v>0</v>
      </c>
      <c r="K4" s="560">
        <v>1</v>
      </c>
      <c r="L4" s="559">
        <f t="shared" si="0"/>
        <v>0</v>
      </c>
      <c r="M4" s="558">
        <v>21</v>
      </c>
      <c r="N4" s="557">
        <f t="shared" si="1"/>
        <v>0</v>
      </c>
    </row>
    <row r="5" spans="1:14" ht="16.5" customHeight="1">
      <c r="A5" s="564" t="s">
        <v>2848</v>
      </c>
      <c r="B5" s="617" t="s">
        <v>2847</v>
      </c>
      <c r="C5" s="616"/>
      <c r="D5" s="616"/>
      <c r="E5" s="560"/>
      <c r="F5" s="560"/>
      <c r="G5" s="560"/>
      <c r="H5" s="560"/>
      <c r="I5" s="560"/>
      <c r="J5" s="620">
        <v>0</v>
      </c>
      <c r="K5" s="560">
        <v>15</v>
      </c>
      <c r="L5" s="559">
        <f t="shared" si="0"/>
        <v>0</v>
      </c>
      <c r="M5" s="558">
        <v>21</v>
      </c>
      <c r="N5" s="557">
        <f t="shared" si="1"/>
        <v>0</v>
      </c>
    </row>
    <row r="6" spans="1:14" ht="16.5" customHeight="1">
      <c r="A6" s="564" t="s">
        <v>2846</v>
      </c>
      <c r="B6" s="617" t="s">
        <v>2845</v>
      </c>
      <c r="C6" s="616"/>
      <c r="D6" s="616"/>
      <c r="E6" s="560"/>
      <c r="F6" s="560"/>
      <c r="G6" s="560"/>
      <c r="H6" s="560"/>
      <c r="I6" s="560"/>
      <c r="J6" s="620">
        <v>0</v>
      </c>
      <c r="K6" s="560">
        <v>5</v>
      </c>
      <c r="L6" s="559">
        <f t="shared" si="0"/>
        <v>0</v>
      </c>
      <c r="M6" s="558">
        <v>21</v>
      </c>
      <c r="N6" s="557">
        <f t="shared" si="1"/>
        <v>0</v>
      </c>
    </row>
    <row r="7" spans="1:14" ht="16.5" customHeight="1">
      <c r="A7" s="564" t="s">
        <v>2844</v>
      </c>
      <c r="B7" s="617" t="s">
        <v>2843</v>
      </c>
      <c r="C7" s="616"/>
      <c r="D7" s="616"/>
      <c r="E7" s="560"/>
      <c r="F7" s="560"/>
      <c r="G7" s="560"/>
      <c r="H7" s="560"/>
      <c r="I7" s="560"/>
      <c r="J7" s="620">
        <v>0</v>
      </c>
      <c r="K7" s="560">
        <v>1</v>
      </c>
      <c r="L7" s="559">
        <f t="shared" si="0"/>
        <v>0</v>
      </c>
      <c r="M7" s="558">
        <v>21</v>
      </c>
      <c r="N7" s="557">
        <f t="shared" si="1"/>
        <v>0</v>
      </c>
    </row>
    <row r="8" spans="1:14" ht="16.5" customHeight="1">
      <c r="A8" s="564" t="s">
        <v>2842</v>
      </c>
      <c r="B8" s="617" t="s">
        <v>2841</v>
      </c>
      <c r="C8" s="616"/>
      <c r="D8" s="616"/>
      <c r="E8" s="560"/>
      <c r="F8" s="560"/>
      <c r="G8" s="560"/>
      <c r="H8" s="560"/>
      <c r="I8" s="560"/>
      <c r="J8" s="620">
        <v>0</v>
      </c>
      <c r="K8" s="560">
        <v>1</v>
      </c>
      <c r="L8" s="559">
        <f t="shared" si="0"/>
        <v>0</v>
      </c>
      <c r="M8" s="558">
        <v>21</v>
      </c>
      <c r="N8" s="557">
        <f t="shared" si="1"/>
        <v>0</v>
      </c>
    </row>
    <row r="9" spans="1:14" ht="332.25" customHeight="1">
      <c r="A9" s="564"/>
      <c r="B9" s="622" t="s">
        <v>2840</v>
      </c>
      <c r="C9" s="616"/>
      <c r="D9" s="616"/>
      <c r="E9" s="560"/>
      <c r="F9" s="560"/>
      <c r="G9" s="560"/>
      <c r="H9" s="560"/>
      <c r="I9" s="560"/>
      <c r="J9" s="620">
        <v>0</v>
      </c>
      <c r="K9" s="560"/>
      <c r="L9" s="559">
        <f t="shared" si="0"/>
        <v>0</v>
      </c>
      <c r="M9" s="558">
        <v>21</v>
      </c>
      <c r="N9" s="557">
        <f t="shared" si="1"/>
        <v>0</v>
      </c>
    </row>
    <row r="10" spans="1:14" ht="16.5" customHeight="1" thickBot="1">
      <c r="A10" s="556" t="s">
        <v>2839</v>
      </c>
      <c r="B10" s="615" t="s">
        <v>2838</v>
      </c>
      <c r="C10" s="614"/>
      <c r="D10" s="614"/>
      <c r="E10" s="553"/>
      <c r="F10" s="553"/>
      <c r="G10" s="553"/>
      <c r="H10" s="553"/>
      <c r="I10" s="553"/>
      <c r="J10" s="621">
        <v>0</v>
      </c>
      <c r="K10" s="553">
        <v>15</v>
      </c>
      <c r="L10" s="552">
        <f t="shared" si="0"/>
        <v>0</v>
      </c>
      <c r="M10" s="551">
        <v>21</v>
      </c>
      <c r="N10" s="550">
        <f t="shared" si="1"/>
        <v>0</v>
      </c>
    </row>
    <row r="11" spans="2:14" ht="30">
      <c r="B11" s="549" t="s">
        <v>2837</v>
      </c>
      <c r="C11" s="546"/>
      <c r="D11" s="546"/>
      <c r="L11" s="548">
        <f>SUM(L2:L10)</f>
        <v>0</v>
      </c>
      <c r="N11" s="548">
        <f>SUM(N2:N10)</f>
        <v>0</v>
      </c>
    </row>
  </sheetData>
  <sheetProtection algorithmName="SHA-512" hashValue="zRutwlhYp8debjOb6SDcTcKAB8DKe623LnK2hJtZFqHakdg3/LDZPP33iDxLWhKCWVUwpcjSFulc4seeLMFAXQ==" saltValue="Qc8sIkxelqIpENV+25k7kg==" spinCount="100000" sheet="1" objects="1" scenarios="1"/>
  <printOptions horizontalCentered="1"/>
  <pageMargins left="0.5118110236220472" right="0.5118110236220472" top="0.7874015748031497" bottom="0.7874015748031497" header="0.31496062992125984" footer="0.31496062992125984"/>
  <pageSetup fitToHeight="9" fitToWidth="1" horizontalDpi="600" verticalDpi="600" orientation="landscape" paperSize="9" scale="56" r:id="rId1"/>
  <headerFooter>
    <oddHeader>&amp;LČeská republika - Úřad vlády ČRGastroprovoz Úřadu vlády ČR v 1.PP Strakovy akademie&amp;CPoložkový rozpočet HACCP&amp;R11/2019</oddHeader>
    <oddFooter>&amp;C&amp;P/&amp;N&amp;RD.2.2.2</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tint="-0.4999699890613556"/>
    <pageSetUpPr fitToPage="1"/>
  </sheetPr>
  <dimension ref="A2:BM97"/>
  <sheetViews>
    <sheetView showGridLines="0" workbookViewId="0" topLeftCell="A75">
      <selection activeCell="K102" sqref="K102"/>
    </sheetView>
  </sheetViews>
  <sheetFormatPr defaultColWidth="9.140625" defaultRowHeight="12"/>
  <cols>
    <col min="1" max="1" width="8.8515625" style="1" customWidth="1"/>
    <col min="2" max="2" width="1.1484375" style="1" customWidth="1"/>
    <col min="3" max="4" width="4.421875" style="1" customWidth="1"/>
    <col min="5" max="5" width="18.28125" style="1" customWidth="1"/>
    <col min="6" max="6" width="108.00390625" style="1" customWidth="1"/>
    <col min="7" max="7" width="8.00390625" style="1" customWidth="1"/>
    <col min="8" max="8" width="12.28125" style="1" customWidth="1"/>
    <col min="9" max="11" width="21.421875" style="1" customWidth="1"/>
    <col min="12" max="12" width="10.00390625" style="1" customWidth="1"/>
    <col min="13" max="13" width="11.421875" style="1" hidden="1" customWidth="1"/>
    <col min="14" max="14" width="9.140625" style="1" hidden="1" customWidth="1"/>
    <col min="15" max="20" width="15.140625" style="1" hidden="1" customWidth="1"/>
    <col min="21" max="21" width="17.421875" style="1" hidden="1" customWidth="1"/>
    <col min="22" max="22" width="13.140625" style="1" customWidth="1"/>
    <col min="23" max="23" width="17.421875" style="1" customWidth="1"/>
    <col min="24" max="24" width="13.140625" style="1" customWidth="1"/>
    <col min="25" max="25" width="16.00390625" style="1" customWidth="1"/>
    <col min="26" max="26" width="11.7109375" style="1" customWidth="1"/>
    <col min="27" max="27" width="16.00390625" style="1" customWidth="1"/>
    <col min="28" max="28" width="17.421875" style="1" customWidth="1"/>
    <col min="29" max="29" width="11.7109375" style="1" customWidth="1"/>
    <col min="30" max="30" width="16.00390625" style="1" customWidth="1"/>
    <col min="31" max="31" width="17.421875" style="1" customWidth="1"/>
    <col min="44" max="65" width="9.140625" style="1" hidden="1" customWidth="1"/>
  </cols>
  <sheetData>
    <row r="1" ht="12"/>
    <row r="2" spans="12:46" s="1" customFormat="1" ht="36.95" customHeight="1">
      <c r="L2" s="682"/>
      <c r="M2" s="682"/>
      <c r="N2" s="682"/>
      <c r="O2" s="682"/>
      <c r="P2" s="682"/>
      <c r="Q2" s="682"/>
      <c r="R2" s="682"/>
      <c r="S2" s="682"/>
      <c r="T2" s="682"/>
      <c r="U2" s="682"/>
      <c r="V2" s="682"/>
      <c r="AT2" s="15" t="s">
        <v>129</v>
      </c>
    </row>
    <row r="3" spans="2:46" s="1" customFormat="1" ht="6.95" customHeight="1">
      <c r="B3" s="106"/>
      <c r="C3" s="107"/>
      <c r="D3" s="107"/>
      <c r="E3" s="107"/>
      <c r="F3" s="107"/>
      <c r="G3" s="107"/>
      <c r="H3" s="107"/>
      <c r="I3" s="107"/>
      <c r="J3" s="107"/>
      <c r="K3" s="107"/>
      <c r="L3" s="18"/>
      <c r="AT3" s="15" t="s">
        <v>79</v>
      </c>
    </row>
    <row r="4" spans="2:46" s="1" customFormat="1" ht="24.95" customHeight="1">
      <c r="B4" s="18"/>
      <c r="D4" s="108" t="s">
        <v>141</v>
      </c>
      <c r="L4" s="18"/>
      <c r="M4" s="109" t="s">
        <v>10</v>
      </c>
      <c r="AT4" s="15" t="s">
        <v>4</v>
      </c>
    </row>
    <row r="5" spans="2:12" s="1" customFormat="1" ht="6.95" customHeight="1">
      <c r="B5" s="18"/>
      <c r="L5" s="18"/>
    </row>
    <row r="6" spans="2:12" s="1" customFormat="1" ht="12" customHeight="1">
      <c r="B6" s="18"/>
      <c r="D6" s="110" t="s">
        <v>16</v>
      </c>
      <c r="L6" s="18"/>
    </row>
    <row r="7" spans="2:12" s="1" customFormat="1" ht="14.45" customHeight="1">
      <c r="B7" s="18"/>
      <c r="E7" s="702" t="str">
        <f>'Rekapitulace stavby'!K6</f>
        <v>Úpravy gastroprovozu Úřadu vlády ČR v 1.pp Strakovy akademie</v>
      </c>
      <c r="F7" s="703"/>
      <c r="G7" s="703"/>
      <c r="H7" s="703"/>
      <c r="L7" s="18"/>
    </row>
    <row r="8" spans="2:12" ht="12.75">
      <c r="B8" s="18"/>
      <c r="D8" s="110" t="s">
        <v>142</v>
      </c>
      <c r="L8" s="18"/>
    </row>
    <row r="9" spans="2:12" s="1" customFormat="1" ht="14.45" customHeight="1">
      <c r="B9" s="18"/>
      <c r="E9" s="702" t="s">
        <v>1429</v>
      </c>
      <c r="F9" s="682"/>
      <c r="G9" s="682"/>
      <c r="H9" s="682"/>
      <c r="L9" s="18"/>
    </row>
    <row r="10" spans="2:12" s="1" customFormat="1" ht="12" customHeight="1">
      <c r="B10" s="18"/>
      <c r="D10" s="110" t="s">
        <v>144</v>
      </c>
      <c r="L10" s="18"/>
    </row>
    <row r="11" spans="1:31" s="2" customFormat="1" ht="14.45" customHeight="1">
      <c r="A11" s="32"/>
      <c r="B11" s="37"/>
      <c r="C11" s="32"/>
      <c r="D11" s="32"/>
      <c r="E11" s="747" t="s">
        <v>1472</v>
      </c>
      <c r="F11" s="704"/>
      <c r="G11" s="704"/>
      <c r="H11" s="704"/>
      <c r="I11" s="32"/>
      <c r="J11" s="32"/>
      <c r="K11" s="32"/>
      <c r="L11" s="111"/>
      <c r="S11" s="32"/>
      <c r="T11" s="32"/>
      <c r="U11" s="32"/>
      <c r="V11" s="32"/>
      <c r="W11" s="32"/>
      <c r="X11" s="32"/>
      <c r="Y11" s="32"/>
      <c r="Z11" s="32"/>
      <c r="AA11" s="32"/>
      <c r="AB11" s="32"/>
      <c r="AC11" s="32"/>
      <c r="AD11" s="32"/>
      <c r="AE11" s="32"/>
    </row>
    <row r="12" spans="1:31" s="2" customFormat="1" ht="12" customHeight="1">
      <c r="A12" s="32"/>
      <c r="B12" s="37"/>
      <c r="C12" s="32"/>
      <c r="D12" s="110" t="s">
        <v>1450</v>
      </c>
      <c r="E12" s="32"/>
      <c r="F12" s="32"/>
      <c r="G12" s="32"/>
      <c r="H12" s="32"/>
      <c r="I12" s="32"/>
      <c r="J12" s="32"/>
      <c r="K12" s="32"/>
      <c r="L12" s="111"/>
      <c r="S12" s="32"/>
      <c r="T12" s="32"/>
      <c r="U12" s="32"/>
      <c r="V12" s="32"/>
      <c r="W12" s="32"/>
      <c r="X12" s="32"/>
      <c r="Y12" s="32"/>
      <c r="Z12" s="32"/>
      <c r="AA12" s="32"/>
      <c r="AB12" s="32"/>
      <c r="AC12" s="32"/>
      <c r="AD12" s="32"/>
      <c r="AE12" s="32"/>
    </row>
    <row r="13" spans="1:31" s="2" customFormat="1" ht="14.45" customHeight="1">
      <c r="A13" s="32"/>
      <c r="B13" s="37"/>
      <c r="C13" s="32"/>
      <c r="D13" s="32"/>
      <c r="E13" s="705" t="s">
        <v>1487</v>
      </c>
      <c r="F13" s="704"/>
      <c r="G13" s="704"/>
      <c r="H13" s="704"/>
      <c r="I13" s="32"/>
      <c r="J13" s="32"/>
      <c r="K13" s="32"/>
      <c r="L13" s="111"/>
      <c r="S13" s="32"/>
      <c r="T13" s="32"/>
      <c r="U13" s="32"/>
      <c r="V13" s="32"/>
      <c r="W13" s="32"/>
      <c r="X13" s="32"/>
      <c r="Y13" s="32"/>
      <c r="Z13" s="32"/>
      <c r="AA13" s="32"/>
      <c r="AB13" s="32"/>
      <c r="AC13" s="32"/>
      <c r="AD13" s="32"/>
      <c r="AE13" s="32"/>
    </row>
    <row r="14" spans="1:31" s="2" customFormat="1" ht="12">
      <c r="A14" s="32"/>
      <c r="B14" s="37"/>
      <c r="C14" s="32"/>
      <c r="D14" s="32"/>
      <c r="E14" s="32"/>
      <c r="F14" s="32"/>
      <c r="G14" s="32"/>
      <c r="H14" s="32"/>
      <c r="I14" s="32"/>
      <c r="J14" s="32"/>
      <c r="K14" s="32"/>
      <c r="L14" s="111"/>
      <c r="S14" s="32"/>
      <c r="T14" s="32"/>
      <c r="U14" s="32"/>
      <c r="V14" s="32"/>
      <c r="W14" s="32"/>
      <c r="X14" s="32"/>
      <c r="Y14" s="32"/>
      <c r="Z14" s="32"/>
      <c r="AA14" s="32"/>
      <c r="AB14" s="32"/>
      <c r="AC14" s="32"/>
      <c r="AD14" s="32"/>
      <c r="AE14" s="32"/>
    </row>
    <row r="15" spans="1:31" s="2" customFormat="1" ht="12" customHeight="1">
      <c r="A15" s="32"/>
      <c r="B15" s="37"/>
      <c r="C15" s="32"/>
      <c r="D15" s="110" t="s">
        <v>18</v>
      </c>
      <c r="E15" s="32"/>
      <c r="F15" s="101" t="s">
        <v>19</v>
      </c>
      <c r="G15" s="32"/>
      <c r="H15" s="32"/>
      <c r="I15" s="110" t="s">
        <v>20</v>
      </c>
      <c r="J15" s="101" t="s">
        <v>19</v>
      </c>
      <c r="K15" s="32"/>
      <c r="L15" s="111"/>
      <c r="S15" s="32"/>
      <c r="T15" s="32"/>
      <c r="U15" s="32"/>
      <c r="V15" s="32"/>
      <c r="W15" s="32"/>
      <c r="X15" s="32"/>
      <c r="Y15" s="32"/>
      <c r="Z15" s="32"/>
      <c r="AA15" s="32"/>
      <c r="AB15" s="32"/>
      <c r="AC15" s="32"/>
      <c r="AD15" s="32"/>
      <c r="AE15" s="32"/>
    </row>
    <row r="16" spans="1:31" s="2" customFormat="1" ht="12" customHeight="1">
      <c r="A16" s="32"/>
      <c r="B16" s="37"/>
      <c r="C16" s="32"/>
      <c r="D16" s="110" t="s">
        <v>21</v>
      </c>
      <c r="E16" s="32"/>
      <c r="F16" s="101" t="s">
        <v>146</v>
      </c>
      <c r="G16" s="32"/>
      <c r="H16" s="32"/>
      <c r="I16" s="110" t="s">
        <v>23</v>
      </c>
      <c r="J16" s="112" t="str">
        <f>'Rekapitulace stavby'!AN8</f>
        <v>Vyplň údaj</v>
      </c>
      <c r="K16" s="32"/>
      <c r="L16" s="111"/>
      <c r="S16" s="32"/>
      <c r="T16" s="32"/>
      <c r="U16" s="32"/>
      <c r="V16" s="32"/>
      <c r="W16" s="32"/>
      <c r="X16" s="32"/>
      <c r="Y16" s="32"/>
      <c r="Z16" s="32"/>
      <c r="AA16" s="32"/>
      <c r="AB16" s="32"/>
      <c r="AC16" s="32"/>
      <c r="AD16" s="32"/>
      <c r="AE16" s="32"/>
    </row>
    <row r="17" spans="1:31" s="2" customFormat="1" ht="10.9" customHeight="1">
      <c r="A17" s="32"/>
      <c r="B17" s="37"/>
      <c r="C17" s="32"/>
      <c r="D17" s="32"/>
      <c r="E17" s="32"/>
      <c r="F17" s="32"/>
      <c r="G17" s="32"/>
      <c r="H17" s="32"/>
      <c r="I17" s="32"/>
      <c r="J17" s="32"/>
      <c r="K17" s="32"/>
      <c r="L17" s="111"/>
      <c r="S17" s="32"/>
      <c r="T17" s="32"/>
      <c r="U17" s="32"/>
      <c r="V17" s="32"/>
      <c r="W17" s="32"/>
      <c r="X17" s="32"/>
      <c r="Y17" s="32"/>
      <c r="Z17" s="32"/>
      <c r="AA17" s="32"/>
      <c r="AB17" s="32"/>
      <c r="AC17" s="32"/>
      <c r="AD17" s="32"/>
      <c r="AE17" s="32"/>
    </row>
    <row r="18" spans="1:31" s="2" customFormat="1" ht="12" customHeight="1">
      <c r="A18" s="32"/>
      <c r="B18" s="37"/>
      <c r="C18" s="32"/>
      <c r="D18" s="110" t="s">
        <v>24</v>
      </c>
      <c r="E18" s="32"/>
      <c r="F18" s="32"/>
      <c r="G18" s="32"/>
      <c r="H18" s="32"/>
      <c r="I18" s="110" t="s">
        <v>25</v>
      </c>
      <c r="J18" s="101" t="s">
        <v>19</v>
      </c>
      <c r="K18" s="32"/>
      <c r="L18" s="111"/>
      <c r="S18" s="32"/>
      <c r="T18" s="32"/>
      <c r="U18" s="32"/>
      <c r="V18" s="32"/>
      <c r="W18" s="32"/>
      <c r="X18" s="32"/>
      <c r="Y18" s="32"/>
      <c r="Z18" s="32"/>
      <c r="AA18" s="32"/>
      <c r="AB18" s="32"/>
      <c r="AC18" s="32"/>
      <c r="AD18" s="32"/>
      <c r="AE18" s="32"/>
    </row>
    <row r="19" spans="1:31" s="2" customFormat="1" ht="18" customHeight="1">
      <c r="A19" s="32"/>
      <c r="B19" s="37"/>
      <c r="C19" s="32"/>
      <c r="D19" s="32"/>
      <c r="E19" s="101" t="s">
        <v>26</v>
      </c>
      <c r="F19" s="32"/>
      <c r="G19" s="32"/>
      <c r="H19" s="32"/>
      <c r="I19" s="110" t="s">
        <v>27</v>
      </c>
      <c r="J19" s="101" t="s">
        <v>19</v>
      </c>
      <c r="K19" s="32"/>
      <c r="L19" s="111"/>
      <c r="S19" s="32"/>
      <c r="T19" s="32"/>
      <c r="U19" s="32"/>
      <c r="V19" s="32"/>
      <c r="W19" s="32"/>
      <c r="X19" s="32"/>
      <c r="Y19" s="32"/>
      <c r="Z19" s="32"/>
      <c r="AA19" s="32"/>
      <c r="AB19" s="32"/>
      <c r="AC19" s="32"/>
      <c r="AD19" s="32"/>
      <c r="AE19" s="32"/>
    </row>
    <row r="20" spans="1:31" s="2" customFormat="1" ht="6.95" customHeight="1">
      <c r="A20" s="32"/>
      <c r="B20" s="37"/>
      <c r="C20" s="32"/>
      <c r="D20" s="32"/>
      <c r="E20" s="32"/>
      <c r="F20" s="32"/>
      <c r="G20" s="32"/>
      <c r="H20" s="32"/>
      <c r="I20" s="32"/>
      <c r="J20" s="32"/>
      <c r="K20" s="32"/>
      <c r="L20" s="111"/>
      <c r="S20" s="32"/>
      <c r="T20" s="32"/>
      <c r="U20" s="32"/>
      <c r="V20" s="32"/>
      <c r="W20" s="32"/>
      <c r="X20" s="32"/>
      <c r="Y20" s="32"/>
      <c r="Z20" s="32"/>
      <c r="AA20" s="32"/>
      <c r="AB20" s="32"/>
      <c r="AC20" s="32"/>
      <c r="AD20" s="32"/>
      <c r="AE20" s="32"/>
    </row>
    <row r="21" spans="1:31" s="2" customFormat="1" ht="12" customHeight="1">
      <c r="A21" s="32"/>
      <c r="B21" s="37"/>
      <c r="C21" s="32"/>
      <c r="D21" s="110" t="s">
        <v>28</v>
      </c>
      <c r="E21" s="32"/>
      <c r="F21" s="32"/>
      <c r="G21" s="32"/>
      <c r="H21" s="32"/>
      <c r="I21" s="110" t="s">
        <v>25</v>
      </c>
      <c r="J21" s="28" t="str">
        <f>'Rekapitulace stavby'!AN13</f>
        <v>Vyplň údaj</v>
      </c>
      <c r="K21" s="32"/>
      <c r="L21" s="111"/>
      <c r="S21" s="32"/>
      <c r="T21" s="32"/>
      <c r="U21" s="32"/>
      <c r="V21" s="32"/>
      <c r="W21" s="32"/>
      <c r="X21" s="32"/>
      <c r="Y21" s="32"/>
      <c r="Z21" s="32"/>
      <c r="AA21" s="32"/>
      <c r="AB21" s="32"/>
      <c r="AC21" s="32"/>
      <c r="AD21" s="32"/>
      <c r="AE21" s="32"/>
    </row>
    <row r="22" spans="1:31" s="2" customFormat="1" ht="18" customHeight="1">
      <c r="A22" s="32"/>
      <c r="B22" s="37"/>
      <c r="C22" s="32"/>
      <c r="D22" s="32"/>
      <c r="E22" s="706" t="str">
        <f>'Rekapitulace stavby'!E14</f>
        <v>Vyplň údaj</v>
      </c>
      <c r="F22" s="707"/>
      <c r="G22" s="707"/>
      <c r="H22" s="707"/>
      <c r="I22" s="110" t="s">
        <v>27</v>
      </c>
      <c r="J22" s="28" t="str">
        <f>'Rekapitulace stavby'!AN14</f>
        <v>Vyplň údaj</v>
      </c>
      <c r="K22" s="32"/>
      <c r="L22" s="111"/>
      <c r="S22" s="32"/>
      <c r="T22" s="32"/>
      <c r="U22" s="32"/>
      <c r="V22" s="32"/>
      <c r="W22" s="32"/>
      <c r="X22" s="32"/>
      <c r="Y22" s="32"/>
      <c r="Z22" s="32"/>
      <c r="AA22" s="32"/>
      <c r="AB22" s="32"/>
      <c r="AC22" s="32"/>
      <c r="AD22" s="32"/>
      <c r="AE22" s="32"/>
    </row>
    <row r="23" spans="1:31" s="2" customFormat="1" ht="6.95" customHeight="1">
      <c r="A23" s="32"/>
      <c r="B23" s="37"/>
      <c r="C23" s="32"/>
      <c r="D23" s="32"/>
      <c r="E23" s="32"/>
      <c r="F23" s="32"/>
      <c r="G23" s="32"/>
      <c r="H23" s="32"/>
      <c r="I23" s="32"/>
      <c r="J23" s="32"/>
      <c r="K23" s="32"/>
      <c r="L23" s="111"/>
      <c r="S23" s="32"/>
      <c r="T23" s="32"/>
      <c r="U23" s="32"/>
      <c r="V23" s="32"/>
      <c r="W23" s="32"/>
      <c r="X23" s="32"/>
      <c r="Y23" s="32"/>
      <c r="Z23" s="32"/>
      <c r="AA23" s="32"/>
      <c r="AB23" s="32"/>
      <c r="AC23" s="32"/>
      <c r="AD23" s="32"/>
      <c r="AE23" s="32"/>
    </row>
    <row r="24" spans="1:31" s="2" customFormat="1" ht="12" customHeight="1">
      <c r="A24" s="32"/>
      <c r="B24" s="37"/>
      <c r="C24" s="32"/>
      <c r="D24" s="110" t="s">
        <v>30</v>
      </c>
      <c r="E24" s="32"/>
      <c r="F24" s="32"/>
      <c r="G24" s="32"/>
      <c r="H24" s="32"/>
      <c r="I24" s="110" t="s">
        <v>25</v>
      </c>
      <c r="J24" s="101" t="s">
        <v>19</v>
      </c>
      <c r="K24" s="32"/>
      <c r="L24" s="111"/>
      <c r="S24" s="32"/>
      <c r="T24" s="32"/>
      <c r="U24" s="32"/>
      <c r="V24" s="32"/>
      <c r="W24" s="32"/>
      <c r="X24" s="32"/>
      <c r="Y24" s="32"/>
      <c r="Z24" s="32"/>
      <c r="AA24" s="32"/>
      <c r="AB24" s="32"/>
      <c r="AC24" s="32"/>
      <c r="AD24" s="32"/>
      <c r="AE24" s="32"/>
    </row>
    <row r="25" spans="1:31" s="2" customFormat="1" ht="18" customHeight="1">
      <c r="A25" s="32"/>
      <c r="B25" s="37"/>
      <c r="C25" s="32"/>
      <c r="D25" s="32"/>
      <c r="E25" s="101" t="s">
        <v>31</v>
      </c>
      <c r="F25" s="32"/>
      <c r="G25" s="32"/>
      <c r="H25" s="32"/>
      <c r="I25" s="110" t="s">
        <v>27</v>
      </c>
      <c r="J25" s="101" t="s">
        <v>19</v>
      </c>
      <c r="K25" s="32"/>
      <c r="L25" s="111"/>
      <c r="S25" s="32"/>
      <c r="T25" s="32"/>
      <c r="U25" s="32"/>
      <c r="V25" s="32"/>
      <c r="W25" s="32"/>
      <c r="X25" s="32"/>
      <c r="Y25" s="32"/>
      <c r="Z25" s="32"/>
      <c r="AA25" s="32"/>
      <c r="AB25" s="32"/>
      <c r="AC25" s="32"/>
      <c r="AD25" s="32"/>
      <c r="AE25" s="32"/>
    </row>
    <row r="26" spans="1:31" s="2" customFormat="1" ht="6.95" customHeight="1">
      <c r="A26" s="32"/>
      <c r="B26" s="37"/>
      <c r="C26" s="32"/>
      <c r="D26" s="32"/>
      <c r="E26" s="32"/>
      <c r="F26" s="32"/>
      <c r="G26" s="32"/>
      <c r="H26" s="32"/>
      <c r="I26" s="32"/>
      <c r="J26" s="32"/>
      <c r="K26" s="32"/>
      <c r="L26" s="111"/>
      <c r="S26" s="32"/>
      <c r="T26" s="32"/>
      <c r="U26" s="32"/>
      <c r="V26" s="32"/>
      <c r="W26" s="32"/>
      <c r="X26" s="32"/>
      <c r="Y26" s="32"/>
      <c r="Z26" s="32"/>
      <c r="AA26" s="32"/>
      <c r="AB26" s="32"/>
      <c r="AC26" s="32"/>
      <c r="AD26" s="32"/>
      <c r="AE26" s="32"/>
    </row>
    <row r="27" spans="1:31" s="2" customFormat="1" ht="12" customHeight="1">
      <c r="A27" s="32"/>
      <c r="B27" s="37"/>
      <c r="C27" s="32"/>
      <c r="D27" s="110" t="s">
        <v>33</v>
      </c>
      <c r="E27" s="32"/>
      <c r="F27" s="32"/>
      <c r="G27" s="32"/>
      <c r="H27" s="32"/>
      <c r="I27" s="110" t="s">
        <v>25</v>
      </c>
      <c r="J27" s="101" t="s">
        <v>19</v>
      </c>
      <c r="K27" s="32"/>
      <c r="L27" s="111"/>
      <c r="S27" s="32"/>
      <c r="T27" s="32"/>
      <c r="U27" s="32"/>
      <c r="V27" s="32"/>
      <c r="W27" s="32"/>
      <c r="X27" s="32"/>
      <c r="Y27" s="32"/>
      <c r="Z27" s="32"/>
      <c r="AA27" s="32"/>
      <c r="AB27" s="32"/>
      <c r="AC27" s="32"/>
      <c r="AD27" s="32"/>
      <c r="AE27" s="32"/>
    </row>
    <row r="28" spans="1:31" s="2" customFormat="1" ht="18" customHeight="1">
      <c r="A28" s="32"/>
      <c r="B28" s="37"/>
      <c r="C28" s="32"/>
      <c r="D28" s="32"/>
      <c r="E28" s="101" t="s">
        <v>31</v>
      </c>
      <c r="F28" s="32"/>
      <c r="G28" s="32"/>
      <c r="H28" s="32"/>
      <c r="I28" s="110" t="s">
        <v>27</v>
      </c>
      <c r="J28" s="101" t="s">
        <v>19</v>
      </c>
      <c r="K28" s="32"/>
      <c r="L28" s="111"/>
      <c r="S28" s="32"/>
      <c r="T28" s="32"/>
      <c r="U28" s="32"/>
      <c r="V28" s="32"/>
      <c r="W28" s="32"/>
      <c r="X28" s="32"/>
      <c r="Y28" s="32"/>
      <c r="Z28" s="32"/>
      <c r="AA28" s="32"/>
      <c r="AB28" s="32"/>
      <c r="AC28" s="32"/>
      <c r="AD28" s="32"/>
      <c r="AE28" s="32"/>
    </row>
    <row r="29" spans="1:31" s="2" customFormat="1" ht="6.95" customHeight="1">
      <c r="A29" s="32"/>
      <c r="B29" s="37"/>
      <c r="C29" s="32"/>
      <c r="D29" s="32"/>
      <c r="E29" s="32"/>
      <c r="F29" s="32"/>
      <c r="G29" s="32"/>
      <c r="H29" s="32"/>
      <c r="I29" s="32"/>
      <c r="J29" s="32"/>
      <c r="K29" s="32"/>
      <c r="L29" s="111"/>
      <c r="S29" s="32"/>
      <c r="T29" s="32"/>
      <c r="U29" s="32"/>
      <c r="V29" s="32"/>
      <c r="W29" s="32"/>
      <c r="X29" s="32"/>
      <c r="Y29" s="32"/>
      <c r="Z29" s="32"/>
      <c r="AA29" s="32"/>
      <c r="AB29" s="32"/>
      <c r="AC29" s="32"/>
      <c r="AD29" s="32"/>
      <c r="AE29" s="32"/>
    </row>
    <row r="30" spans="1:31" s="2" customFormat="1" ht="12" customHeight="1">
      <c r="A30" s="32"/>
      <c r="B30" s="37"/>
      <c r="C30" s="32"/>
      <c r="D30" s="110" t="s">
        <v>34</v>
      </c>
      <c r="E30" s="32"/>
      <c r="F30" s="32"/>
      <c r="G30" s="32"/>
      <c r="H30" s="32"/>
      <c r="I30" s="32"/>
      <c r="J30" s="32"/>
      <c r="K30" s="32"/>
      <c r="L30" s="111"/>
      <c r="S30" s="32"/>
      <c r="T30" s="32"/>
      <c r="U30" s="32"/>
      <c r="V30" s="32"/>
      <c r="W30" s="32"/>
      <c r="X30" s="32"/>
      <c r="Y30" s="32"/>
      <c r="Z30" s="32"/>
      <c r="AA30" s="32"/>
      <c r="AB30" s="32"/>
      <c r="AC30" s="32"/>
      <c r="AD30" s="32"/>
      <c r="AE30" s="32"/>
    </row>
    <row r="31" spans="1:31" s="8" customFormat="1" ht="14.45" customHeight="1">
      <c r="A31" s="113"/>
      <c r="B31" s="114"/>
      <c r="C31" s="113"/>
      <c r="D31" s="113"/>
      <c r="E31" s="708" t="s">
        <v>19</v>
      </c>
      <c r="F31" s="708"/>
      <c r="G31" s="708"/>
      <c r="H31" s="708"/>
      <c r="I31" s="113"/>
      <c r="J31" s="113"/>
      <c r="K31" s="113"/>
      <c r="L31" s="115"/>
      <c r="S31" s="113"/>
      <c r="T31" s="113"/>
      <c r="U31" s="113"/>
      <c r="V31" s="113"/>
      <c r="W31" s="113"/>
      <c r="X31" s="113"/>
      <c r="Y31" s="113"/>
      <c r="Z31" s="113"/>
      <c r="AA31" s="113"/>
      <c r="AB31" s="113"/>
      <c r="AC31" s="113"/>
      <c r="AD31" s="113"/>
      <c r="AE31" s="113"/>
    </row>
    <row r="32" spans="1:31" s="2" customFormat="1" ht="6.95" customHeight="1">
      <c r="A32" s="32"/>
      <c r="B32" s="37"/>
      <c r="C32" s="32"/>
      <c r="D32" s="32"/>
      <c r="E32" s="32"/>
      <c r="F32" s="32"/>
      <c r="G32" s="32"/>
      <c r="H32" s="32"/>
      <c r="I32" s="32"/>
      <c r="J32" s="32"/>
      <c r="K32" s="32"/>
      <c r="L32" s="111"/>
      <c r="S32" s="32"/>
      <c r="T32" s="32"/>
      <c r="U32" s="32"/>
      <c r="V32" s="32"/>
      <c r="W32" s="32"/>
      <c r="X32" s="32"/>
      <c r="Y32" s="32"/>
      <c r="Z32" s="32"/>
      <c r="AA32" s="32"/>
      <c r="AB32" s="32"/>
      <c r="AC32" s="32"/>
      <c r="AD32" s="32"/>
      <c r="AE32" s="32"/>
    </row>
    <row r="33" spans="1:31" s="2" customFormat="1" ht="6.95" customHeight="1">
      <c r="A33" s="32"/>
      <c r="B33" s="37"/>
      <c r="C33" s="32"/>
      <c r="D33" s="116"/>
      <c r="E33" s="116"/>
      <c r="F33" s="116"/>
      <c r="G33" s="116"/>
      <c r="H33" s="116"/>
      <c r="I33" s="116"/>
      <c r="J33" s="116"/>
      <c r="K33" s="116"/>
      <c r="L33" s="111"/>
      <c r="S33" s="32"/>
      <c r="T33" s="32"/>
      <c r="U33" s="32"/>
      <c r="V33" s="32"/>
      <c r="W33" s="32"/>
      <c r="X33" s="32"/>
      <c r="Y33" s="32"/>
      <c r="Z33" s="32"/>
      <c r="AA33" s="32"/>
      <c r="AB33" s="32"/>
      <c r="AC33" s="32"/>
      <c r="AD33" s="32"/>
      <c r="AE33" s="32"/>
    </row>
    <row r="34" spans="1:31" s="2" customFormat="1" ht="25.35" customHeight="1">
      <c r="A34" s="32"/>
      <c r="B34" s="37"/>
      <c r="C34" s="32"/>
      <c r="D34" s="117" t="s">
        <v>36</v>
      </c>
      <c r="E34" s="32"/>
      <c r="F34" s="32"/>
      <c r="G34" s="32"/>
      <c r="H34" s="32"/>
      <c r="I34" s="32"/>
      <c r="J34" s="118">
        <f>ROUND(J93,2)</f>
        <v>0</v>
      </c>
      <c r="K34" s="32"/>
      <c r="L34" s="111"/>
      <c r="S34" s="32"/>
      <c r="T34" s="32"/>
      <c r="U34" s="32"/>
      <c r="V34" s="32"/>
      <c r="W34" s="32"/>
      <c r="X34" s="32"/>
      <c r="Y34" s="32"/>
      <c r="Z34" s="32"/>
      <c r="AA34" s="32"/>
      <c r="AB34" s="32"/>
      <c r="AC34" s="32"/>
      <c r="AD34" s="32"/>
      <c r="AE34" s="32"/>
    </row>
    <row r="35" spans="1:31" s="2" customFormat="1" ht="6.95" customHeight="1">
      <c r="A35" s="32"/>
      <c r="B35" s="37"/>
      <c r="C35" s="32"/>
      <c r="D35" s="116"/>
      <c r="E35" s="116"/>
      <c r="F35" s="116"/>
      <c r="G35" s="116"/>
      <c r="H35" s="116"/>
      <c r="I35" s="116"/>
      <c r="J35" s="116"/>
      <c r="K35" s="116"/>
      <c r="L35" s="111"/>
      <c r="S35" s="32"/>
      <c r="T35" s="32"/>
      <c r="U35" s="32"/>
      <c r="V35" s="32"/>
      <c r="W35" s="32"/>
      <c r="X35" s="32"/>
      <c r="Y35" s="32"/>
      <c r="Z35" s="32"/>
      <c r="AA35" s="32"/>
      <c r="AB35" s="32"/>
      <c r="AC35" s="32"/>
      <c r="AD35" s="32"/>
      <c r="AE35" s="32"/>
    </row>
    <row r="36" spans="1:31" s="2" customFormat="1" ht="14.45" customHeight="1">
      <c r="A36" s="32"/>
      <c r="B36" s="37"/>
      <c r="C36" s="32"/>
      <c r="D36" s="32"/>
      <c r="E36" s="32"/>
      <c r="F36" s="119" t="s">
        <v>38</v>
      </c>
      <c r="G36" s="32"/>
      <c r="H36" s="32"/>
      <c r="I36" s="119" t="s">
        <v>37</v>
      </c>
      <c r="J36" s="119" t="s">
        <v>39</v>
      </c>
      <c r="K36" s="32"/>
      <c r="L36" s="111"/>
      <c r="S36" s="32"/>
      <c r="T36" s="32"/>
      <c r="U36" s="32"/>
      <c r="V36" s="32"/>
      <c r="W36" s="32"/>
      <c r="X36" s="32"/>
      <c r="Y36" s="32"/>
      <c r="Z36" s="32"/>
      <c r="AA36" s="32"/>
      <c r="AB36" s="32"/>
      <c r="AC36" s="32"/>
      <c r="AD36" s="32"/>
      <c r="AE36" s="32"/>
    </row>
    <row r="37" spans="1:31" s="2" customFormat="1" ht="14.45" customHeight="1">
      <c r="A37" s="32"/>
      <c r="B37" s="37"/>
      <c r="C37" s="32"/>
      <c r="D37" s="120" t="s">
        <v>40</v>
      </c>
      <c r="E37" s="110" t="s">
        <v>41</v>
      </c>
      <c r="F37" s="121">
        <f>ROUND((SUM(BE93:BE96)),2)</f>
        <v>0</v>
      </c>
      <c r="G37" s="32"/>
      <c r="H37" s="32"/>
      <c r="I37" s="122">
        <v>0.21</v>
      </c>
      <c r="J37" s="121">
        <f>ROUND(((SUM(BE93:BE96))*I37),2)</f>
        <v>0</v>
      </c>
      <c r="K37" s="32"/>
      <c r="L37" s="111"/>
      <c r="S37" s="32"/>
      <c r="T37" s="32"/>
      <c r="U37" s="32"/>
      <c r="V37" s="32"/>
      <c r="W37" s="32"/>
      <c r="X37" s="32"/>
      <c r="Y37" s="32"/>
      <c r="Z37" s="32"/>
      <c r="AA37" s="32"/>
      <c r="AB37" s="32"/>
      <c r="AC37" s="32"/>
      <c r="AD37" s="32"/>
      <c r="AE37" s="32"/>
    </row>
    <row r="38" spans="1:31" s="2" customFormat="1" ht="14.45" customHeight="1">
      <c r="A38" s="32"/>
      <c r="B38" s="37"/>
      <c r="C38" s="32"/>
      <c r="D38" s="32"/>
      <c r="E38" s="110" t="s">
        <v>42</v>
      </c>
      <c r="F38" s="121">
        <f>ROUND((SUM(BF93:BF96)),2)</f>
        <v>0</v>
      </c>
      <c r="G38" s="32"/>
      <c r="H38" s="32"/>
      <c r="I38" s="122">
        <v>0.15</v>
      </c>
      <c r="J38" s="121">
        <f>ROUND(((SUM(BF93:BF96))*I38),2)</f>
        <v>0</v>
      </c>
      <c r="K38" s="32"/>
      <c r="L38" s="111"/>
      <c r="S38" s="32"/>
      <c r="T38" s="32"/>
      <c r="U38" s="32"/>
      <c r="V38" s="32"/>
      <c r="W38" s="32"/>
      <c r="X38" s="32"/>
      <c r="Y38" s="32"/>
      <c r="Z38" s="32"/>
      <c r="AA38" s="32"/>
      <c r="AB38" s="32"/>
      <c r="AC38" s="32"/>
      <c r="AD38" s="32"/>
      <c r="AE38" s="32"/>
    </row>
    <row r="39" spans="1:31" s="2" customFormat="1" ht="14.45" customHeight="1" hidden="1">
      <c r="A39" s="32"/>
      <c r="B39" s="37"/>
      <c r="C39" s="32"/>
      <c r="D39" s="32"/>
      <c r="E39" s="110" t="s">
        <v>43</v>
      </c>
      <c r="F39" s="121">
        <f>ROUND((SUM(BG93:BG96)),2)</f>
        <v>0</v>
      </c>
      <c r="G39" s="32"/>
      <c r="H39" s="32"/>
      <c r="I39" s="122">
        <v>0.21</v>
      </c>
      <c r="J39" s="121">
        <f>0</f>
        <v>0</v>
      </c>
      <c r="K39" s="32"/>
      <c r="L39" s="111"/>
      <c r="S39" s="32"/>
      <c r="T39" s="32"/>
      <c r="U39" s="32"/>
      <c r="V39" s="32"/>
      <c r="W39" s="32"/>
      <c r="X39" s="32"/>
      <c r="Y39" s="32"/>
      <c r="Z39" s="32"/>
      <c r="AA39" s="32"/>
      <c r="AB39" s="32"/>
      <c r="AC39" s="32"/>
      <c r="AD39" s="32"/>
      <c r="AE39" s="32"/>
    </row>
    <row r="40" spans="1:31" s="2" customFormat="1" ht="14.45" customHeight="1" hidden="1">
      <c r="A40" s="32"/>
      <c r="B40" s="37"/>
      <c r="C40" s="32"/>
      <c r="D40" s="32"/>
      <c r="E40" s="110" t="s">
        <v>44</v>
      </c>
      <c r="F40" s="121">
        <f>ROUND((SUM(BH93:BH96)),2)</f>
        <v>0</v>
      </c>
      <c r="G40" s="32"/>
      <c r="H40" s="32"/>
      <c r="I40" s="122">
        <v>0.15</v>
      </c>
      <c r="J40" s="121">
        <f>0</f>
        <v>0</v>
      </c>
      <c r="K40" s="32"/>
      <c r="L40" s="111"/>
      <c r="S40" s="32"/>
      <c r="T40" s="32"/>
      <c r="U40" s="32"/>
      <c r="V40" s="32"/>
      <c r="W40" s="32"/>
      <c r="X40" s="32"/>
      <c r="Y40" s="32"/>
      <c r="Z40" s="32"/>
      <c r="AA40" s="32"/>
      <c r="AB40" s="32"/>
      <c r="AC40" s="32"/>
      <c r="AD40" s="32"/>
      <c r="AE40" s="32"/>
    </row>
    <row r="41" spans="1:31" s="2" customFormat="1" ht="14.45" customHeight="1" hidden="1">
      <c r="A41" s="32"/>
      <c r="B41" s="37"/>
      <c r="C41" s="32"/>
      <c r="D41" s="32"/>
      <c r="E41" s="110" t="s">
        <v>45</v>
      </c>
      <c r="F41" s="121">
        <f>ROUND((SUM(BI93:BI96)),2)</f>
        <v>0</v>
      </c>
      <c r="G41" s="32"/>
      <c r="H41" s="32"/>
      <c r="I41" s="122">
        <v>0</v>
      </c>
      <c r="J41" s="121">
        <f>0</f>
        <v>0</v>
      </c>
      <c r="K41" s="32"/>
      <c r="L41" s="111"/>
      <c r="S41" s="32"/>
      <c r="T41" s="32"/>
      <c r="U41" s="32"/>
      <c r="V41" s="32"/>
      <c r="W41" s="32"/>
      <c r="X41" s="32"/>
      <c r="Y41" s="32"/>
      <c r="Z41" s="32"/>
      <c r="AA41" s="32"/>
      <c r="AB41" s="32"/>
      <c r="AC41" s="32"/>
      <c r="AD41" s="32"/>
      <c r="AE41" s="32"/>
    </row>
    <row r="42" spans="1:31" s="2" customFormat="1" ht="6.95" customHeight="1">
      <c r="A42" s="32"/>
      <c r="B42" s="37"/>
      <c r="C42" s="32"/>
      <c r="D42" s="32"/>
      <c r="E42" s="32"/>
      <c r="F42" s="32"/>
      <c r="G42" s="32"/>
      <c r="H42" s="32"/>
      <c r="I42" s="32"/>
      <c r="J42" s="32"/>
      <c r="K42" s="32"/>
      <c r="L42" s="111"/>
      <c r="S42" s="32"/>
      <c r="T42" s="32"/>
      <c r="U42" s="32"/>
      <c r="V42" s="32"/>
      <c r="W42" s="32"/>
      <c r="X42" s="32"/>
      <c r="Y42" s="32"/>
      <c r="Z42" s="32"/>
      <c r="AA42" s="32"/>
      <c r="AB42" s="32"/>
      <c r="AC42" s="32"/>
      <c r="AD42" s="32"/>
      <c r="AE42" s="32"/>
    </row>
    <row r="43" spans="1:31" s="2" customFormat="1" ht="25.35" customHeight="1">
      <c r="A43" s="32"/>
      <c r="B43" s="37"/>
      <c r="C43" s="123"/>
      <c r="D43" s="124" t="s">
        <v>46</v>
      </c>
      <c r="E43" s="125"/>
      <c r="F43" s="125"/>
      <c r="G43" s="126" t="s">
        <v>47</v>
      </c>
      <c r="H43" s="127" t="s">
        <v>48</v>
      </c>
      <c r="I43" s="125"/>
      <c r="J43" s="128">
        <f>SUM(J34:J41)</f>
        <v>0</v>
      </c>
      <c r="K43" s="129"/>
      <c r="L43" s="111"/>
      <c r="S43" s="32"/>
      <c r="T43" s="32"/>
      <c r="U43" s="32"/>
      <c r="V43" s="32"/>
      <c r="W43" s="32"/>
      <c r="X43" s="32"/>
      <c r="Y43" s="32"/>
      <c r="Z43" s="32"/>
      <c r="AA43" s="32"/>
      <c r="AB43" s="32"/>
      <c r="AC43" s="32"/>
      <c r="AD43" s="32"/>
      <c r="AE43" s="32"/>
    </row>
    <row r="44" spans="1:31" s="2" customFormat="1" ht="14.45" customHeight="1">
      <c r="A44" s="32"/>
      <c r="B44" s="130"/>
      <c r="C44" s="131"/>
      <c r="D44" s="131"/>
      <c r="E44" s="131"/>
      <c r="F44" s="131"/>
      <c r="G44" s="131"/>
      <c r="H44" s="131"/>
      <c r="I44" s="131"/>
      <c r="J44" s="131"/>
      <c r="K44" s="131"/>
      <c r="L44" s="111"/>
      <c r="S44" s="32"/>
      <c r="T44" s="32"/>
      <c r="U44" s="32"/>
      <c r="V44" s="32"/>
      <c r="W44" s="32"/>
      <c r="X44" s="32"/>
      <c r="Y44" s="32"/>
      <c r="Z44" s="32"/>
      <c r="AA44" s="32"/>
      <c r="AB44" s="32"/>
      <c r="AC44" s="32"/>
      <c r="AD44" s="32"/>
      <c r="AE44" s="32"/>
    </row>
    <row r="48" spans="1:31" s="2" customFormat="1" ht="6.95" customHeight="1">
      <c r="A48" s="32"/>
      <c r="B48" s="132"/>
      <c r="C48" s="133"/>
      <c r="D48" s="133"/>
      <c r="E48" s="133"/>
      <c r="F48" s="133"/>
      <c r="G48" s="133"/>
      <c r="H48" s="133"/>
      <c r="I48" s="133"/>
      <c r="J48" s="133"/>
      <c r="K48" s="133"/>
      <c r="L48" s="111"/>
      <c r="S48" s="32"/>
      <c r="T48" s="32"/>
      <c r="U48" s="32"/>
      <c r="V48" s="32"/>
      <c r="W48" s="32"/>
      <c r="X48" s="32"/>
      <c r="Y48" s="32"/>
      <c r="Z48" s="32"/>
      <c r="AA48" s="32"/>
      <c r="AB48" s="32"/>
      <c r="AC48" s="32"/>
      <c r="AD48" s="32"/>
      <c r="AE48" s="32"/>
    </row>
    <row r="49" spans="1:31" s="2" customFormat="1" ht="24.95" customHeight="1">
      <c r="A49" s="32"/>
      <c r="B49" s="33"/>
      <c r="C49" s="21" t="s">
        <v>147</v>
      </c>
      <c r="D49" s="34"/>
      <c r="E49" s="34"/>
      <c r="F49" s="34"/>
      <c r="G49" s="34"/>
      <c r="H49" s="34"/>
      <c r="I49" s="34"/>
      <c r="J49" s="34"/>
      <c r="K49" s="34"/>
      <c r="L49" s="111"/>
      <c r="S49" s="32"/>
      <c r="T49" s="32"/>
      <c r="U49" s="32"/>
      <c r="V49" s="32"/>
      <c r="W49" s="32"/>
      <c r="X49" s="32"/>
      <c r="Y49" s="32"/>
      <c r="Z49" s="32"/>
      <c r="AA49" s="32"/>
      <c r="AB49" s="32"/>
      <c r="AC49" s="32"/>
      <c r="AD49" s="32"/>
      <c r="AE49" s="32"/>
    </row>
    <row r="50" spans="1:31" s="2" customFormat="1" ht="6.95" customHeight="1">
      <c r="A50" s="32"/>
      <c r="B50" s="33"/>
      <c r="C50" s="34"/>
      <c r="D50" s="34"/>
      <c r="E50" s="34"/>
      <c r="F50" s="34"/>
      <c r="G50" s="34"/>
      <c r="H50" s="34"/>
      <c r="I50" s="34"/>
      <c r="J50" s="34"/>
      <c r="K50" s="34"/>
      <c r="L50" s="111"/>
      <c r="S50" s="32"/>
      <c r="T50" s="32"/>
      <c r="U50" s="32"/>
      <c r="V50" s="32"/>
      <c r="W50" s="32"/>
      <c r="X50" s="32"/>
      <c r="Y50" s="32"/>
      <c r="Z50" s="32"/>
      <c r="AA50" s="32"/>
      <c r="AB50" s="32"/>
      <c r="AC50" s="32"/>
      <c r="AD50" s="32"/>
      <c r="AE50" s="32"/>
    </row>
    <row r="51" spans="1:31" s="2" customFormat="1" ht="12" customHeight="1">
      <c r="A51" s="32"/>
      <c r="B51" s="33"/>
      <c r="C51" s="27" t="s">
        <v>16</v>
      </c>
      <c r="D51" s="34"/>
      <c r="E51" s="34"/>
      <c r="F51" s="34"/>
      <c r="G51" s="34"/>
      <c r="H51" s="34"/>
      <c r="I51" s="34"/>
      <c r="J51" s="34"/>
      <c r="K51" s="34"/>
      <c r="L51" s="111"/>
      <c r="S51" s="32"/>
      <c r="T51" s="32"/>
      <c r="U51" s="32"/>
      <c r="V51" s="32"/>
      <c r="W51" s="32"/>
      <c r="X51" s="32"/>
      <c r="Y51" s="32"/>
      <c r="Z51" s="32"/>
      <c r="AA51" s="32"/>
      <c r="AB51" s="32"/>
      <c r="AC51" s="32"/>
      <c r="AD51" s="32"/>
      <c r="AE51" s="32"/>
    </row>
    <row r="52" spans="1:31" s="2" customFormat="1" ht="14.45" customHeight="1">
      <c r="A52" s="32"/>
      <c r="B52" s="33"/>
      <c r="C52" s="34"/>
      <c r="D52" s="34"/>
      <c r="E52" s="700" t="str">
        <f>E7</f>
        <v>Úpravy gastroprovozu Úřadu vlády ČR v 1.pp Strakovy akademie</v>
      </c>
      <c r="F52" s="701"/>
      <c r="G52" s="701"/>
      <c r="H52" s="701"/>
      <c r="I52" s="34"/>
      <c r="J52" s="34"/>
      <c r="K52" s="34"/>
      <c r="L52" s="111"/>
      <c r="S52" s="32"/>
      <c r="T52" s="32"/>
      <c r="U52" s="32"/>
      <c r="V52" s="32"/>
      <c r="W52" s="32"/>
      <c r="X52" s="32"/>
      <c r="Y52" s="32"/>
      <c r="Z52" s="32"/>
      <c r="AA52" s="32"/>
      <c r="AB52" s="32"/>
      <c r="AC52" s="32"/>
      <c r="AD52" s="32"/>
      <c r="AE52" s="32"/>
    </row>
    <row r="53" spans="2:12" s="1" customFormat="1" ht="12" customHeight="1">
      <c r="B53" s="19"/>
      <c r="C53" s="27" t="s">
        <v>142</v>
      </c>
      <c r="D53" s="20"/>
      <c r="E53" s="20"/>
      <c r="F53" s="20"/>
      <c r="G53" s="20"/>
      <c r="H53" s="20"/>
      <c r="I53" s="20"/>
      <c r="J53" s="20"/>
      <c r="K53" s="20"/>
      <c r="L53" s="18"/>
    </row>
    <row r="54" spans="2:12" s="1" customFormat="1" ht="14.45" customHeight="1">
      <c r="B54" s="19"/>
      <c r="C54" s="20"/>
      <c r="D54" s="20"/>
      <c r="E54" s="700" t="s">
        <v>1429</v>
      </c>
      <c r="F54" s="667"/>
      <c r="G54" s="667"/>
      <c r="H54" s="667"/>
      <c r="I54" s="20"/>
      <c r="J54" s="20"/>
      <c r="K54" s="20"/>
      <c r="L54" s="18"/>
    </row>
    <row r="55" spans="2:12" s="1" customFormat="1" ht="12" customHeight="1">
      <c r="B55" s="19"/>
      <c r="C55" s="27" t="s">
        <v>144</v>
      </c>
      <c r="D55" s="20"/>
      <c r="E55" s="20"/>
      <c r="F55" s="20"/>
      <c r="G55" s="20"/>
      <c r="H55" s="20"/>
      <c r="I55" s="20"/>
      <c r="J55" s="20"/>
      <c r="K55" s="20"/>
      <c r="L55" s="18"/>
    </row>
    <row r="56" spans="1:31" s="2" customFormat="1" ht="14.45" customHeight="1">
      <c r="A56" s="32"/>
      <c r="B56" s="33"/>
      <c r="C56" s="34"/>
      <c r="D56" s="34"/>
      <c r="E56" s="746" t="s">
        <v>1472</v>
      </c>
      <c r="F56" s="699"/>
      <c r="G56" s="699"/>
      <c r="H56" s="699"/>
      <c r="I56" s="34"/>
      <c r="J56" s="34"/>
      <c r="K56" s="34"/>
      <c r="L56" s="111"/>
      <c r="S56" s="32"/>
      <c r="T56" s="32"/>
      <c r="U56" s="32"/>
      <c r="V56" s="32"/>
      <c r="W56" s="32"/>
      <c r="X56" s="32"/>
      <c r="Y56" s="32"/>
      <c r="Z56" s="32"/>
      <c r="AA56" s="32"/>
      <c r="AB56" s="32"/>
      <c r="AC56" s="32"/>
      <c r="AD56" s="32"/>
      <c r="AE56" s="32"/>
    </row>
    <row r="57" spans="1:31" s="2" customFormat="1" ht="12" customHeight="1">
      <c r="A57" s="32"/>
      <c r="B57" s="33"/>
      <c r="C57" s="27" t="s">
        <v>1450</v>
      </c>
      <c r="D57" s="34"/>
      <c r="E57" s="34"/>
      <c r="F57" s="34"/>
      <c r="G57" s="34"/>
      <c r="H57" s="34"/>
      <c r="I57" s="34"/>
      <c r="J57" s="34"/>
      <c r="K57" s="34"/>
      <c r="L57" s="111"/>
      <c r="S57" s="32"/>
      <c r="T57" s="32"/>
      <c r="U57" s="32"/>
      <c r="V57" s="32"/>
      <c r="W57" s="32"/>
      <c r="X57" s="32"/>
      <c r="Y57" s="32"/>
      <c r="Z57" s="32"/>
      <c r="AA57" s="32"/>
      <c r="AB57" s="32"/>
      <c r="AC57" s="32"/>
      <c r="AD57" s="32"/>
      <c r="AE57" s="32"/>
    </row>
    <row r="58" spans="1:31" s="2" customFormat="1" ht="14.45" customHeight="1">
      <c r="A58" s="32"/>
      <c r="B58" s="33"/>
      <c r="C58" s="34"/>
      <c r="D58" s="34"/>
      <c r="E58" s="696" t="str">
        <f>E13</f>
        <v>D.1.4.06.4 - Soupis prací - Gastro demontáž</v>
      </c>
      <c r="F58" s="699"/>
      <c r="G58" s="699"/>
      <c r="H58" s="699"/>
      <c r="I58" s="34"/>
      <c r="J58" s="34"/>
      <c r="K58" s="34"/>
      <c r="L58" s="111"/>
      <c r="S58" s="32"/>
      <c r="T58" s="32"/>
      <c r="U58" s="32"/>
      <c r="V58" s="32"/>
      <c r="W58" s="32"/>
      <c r="X58" s="32"/>
      <c r="Y58" s="32"/>
      <c r="Z58" s="32"/>
      <c r="AA58" s="32"/>
      <c r="AB58" s="32"/>
      <c r="AC58" s="32"/>
      <c r="AD58" s="32"/>
      <c r="AE58" s="32"/>
    </row>
    <row r="59" spans="1:31" s="2" customFormat="1" ht="6.95" customHeight="1">
      <c r="A59" s="32"/>
      <c r="B59" s="33"/>
      <c r="C59" s="34"/>
      <c r="D59" s="34"/>
      <c r="E59" s="34"/>
      <c r="F59" s="34"/>
      <c r="G59" s="34"/>
      <c r="H59" s="34"/>
      <c r="I59" s="34"/>
      <c r="J59" s="34"/>
      <c r="K59" s="34"/>
      <c r="L59" s="111"/>
      <c r="S59" s="32"/>
      <c r="T59" s="32"/>
      <c r="U59" s="32"/>
      <c r="V59" s="32"/>
      <c r="W59" s="32"/>
      <c r="X59" s="32"/>
      <c r="Y59" s="32"/>
      <c r="Z59" s="32"/>
      <c r="AA59" s="32"/>
      <c r="AB59" s="32"/>
      <c r="AC59" s="32"/>
      <c r="AD59" s="32"/>
      <c r="AE59" s="32"/>
    </row>
    <row r="60" spans="1:31" s="2" customFormat="1" ht="12" customHeight="1">
      <c r="A60" s="32"/>
      <c r="B60" s="33"/>
      <c r="C60" s="27" t="s">
        <v>21</v>
      </c>
      <c r="D60" s="34"/>
      <c r="E60" s="34"/>
      <c r="F60" s="25" t="str">
        <f>F16</f>
        <v xml:space="preserve"> </v>
      </c>
      <c r="G60" s="34"/>
      <c r="H60" s="34"/>
      <c r="I60" s="27" t="s">
        <v>23</v>
      </c>
      <c r="J60" s="57" t="str">
        <f>IF(J16="","",J16)</f>
        <v>Vyplň údaj</v>
      </c>
      <c r="K60" s="34"/>
      <c r="L60" s="111"/>
      <c r="S60" s="32"/>
      <c r="T60" s="32"/>
      <c r="U60" s="32"/>
      <c r="V60" s="32"/>
      <c r="W60" s="32"/>
      <c r="X60" s="32"/>
      <c r="Y60" s="32"/>
      <c r="Z60" s="32"/>
      <c r="AA60" s="32"/>
      <c r="AB60" s="32"/>
      <c r="AC60" s="32"/>
      <c r="AD60" s="32"/>
      <c r="AE60" s="32"/>
    </row>
    <row r="61" spans="1:31" s="2" customFormat="1" ht="6.95" customHeight="1">
      <c r="A61" s="32"/>
      <c r="B61" s="33"/>
      <c r="C61" s="34"/>
      <c r="D61" s="34"/>
      <c r="E61" s="34"/>
      <c r="F61" s="34"/>
      <c r="G61" s="34"/>
      <c r="H61" s="34"/>
      <c r="I61" s="34"/>
      <c r="J61" s="34"/>
      <c r="K61" s="34"/>
      <c r="L61" s="111"/>
      <c r="S61" s="32"/>
      <c r="T61" s="32"/>
      <c r="U61" s="32"/>
      <c r="V61" s="32"/>
      <c r="W61" s="32"/>
      <c r="X61" s="32"/>
      <c r="Y61" s="32"/>
      <c r="Z61" s="32"/>
      <c r="AA61" s="32"/>
      <c r="AB61" s="32"/>
      <c r="AC61" s="32"/>
      <c r="AD61" s="32"/>
      <c r="AE61" s="32"/>
    </row>
    <row r="62" spans="1:31" s="2" customFormat="1" ht="26.45" customHeight="1">
      <c r="A62" s="32"/>
      <c r="B62" s="33"/>
      <c r="C62" s="27" t="s">
        <v>24</v>
      </c>
      <c r="D62" s="34"/>
      <c r="E62" s="34"/>
      <c r="F62" s="25" t="str">
        <f>E19</f>
        <v xml:space="preserve">Úřad vlády České republiky </v>
      </c>
      <c r="G62" s="34"/>
      <c r="H62" s="34"/>
      <c r="I62" s="27" t="s">
        <v>30</v>
      </c>
      <c r="J62" s="30" t="str">
        <f>E25</f>
        <v>Ateliér Simona Group</v>
      </c>
      <c r="K62" s="34"/>
      <c r="L62" s="111"/>
      <c r="S62" s="32"/>
      <c r="T62" s="32"/>
      <c r="U62" s="32"/>
      <c r="V62" s="32"/>
      <c r="W62" s="32"/>
      <c r="X62" s="32"/>
      <c r="Y62" s="32"/>
      <c r="Z62" s="32"/>
      <c r="AA62" s="32"/>
      <c r="AB62" s="32"/>
      <c r="AC62" s="32"/>
      <c r="AD62" s="32"/>
      <c r="AE62" s="32"/>
    </row>
    <row r="63" spans="1:31" s="2" customFormat="1" ht="26.45" customHeight="1">
      <c r="A63" s="32"/>
      <c r="B63" s="33"/>
      <c r="C63" s="27" t="s">
        <v>28</v>
      </c>
      <c r="D63" s="34"/>
      <c r="E63" s="34"/>
      <c r="F63" s="25" t="str">
        <f>IF(E22="","",E22)</f>
        <v>Vyplň údaj</v>
      </c>
      <c r="G63" s="34"/>
      <c r="H63" s="34"/>
      <c r="I63" s="27" t="s">
        <v>33</v>
      </c>
      <c r="J63" s="30" t="str">
        <f>E28</f>
        <v>Ateliér Simona Group</v>
      </c>
      <c r="K63" s="34"/>
      <c r="L63" s="111"/>
      <c r="S63" s="32"/>
      <c r="T63" s="32"/>
      <c r="U63" s="32"/>
      <c r="V63" s="32"/>
      <c r="W63" s="32"/>
      <c r="X63" s="32"/>
      <c r="Y63" s="32"/>
      <c r="Z63" s="32"/>
      <c r="AA63" s="32"/>
      <c r="AB63" s="32"/>
      <c r="AC63" s="32"/>
      <c r="AD63" s="32"/>
      <c r="AE63" s="32"/>
    </row>
    <row r="64" spans="1:31" s="2" customFormat="1" ht="10.35" customHeight="1">
      <c r="A64" s="32"/>
      <c r="B64" s="33"/>
      <c r="C64" s="34"/>
      <c r="D64" s="34"/>
      <c r="E64" s="34"/>
      <c r="F64" s="34"/>
      <c r="G64" s="34"/>
      <c r="H64" s="34"/>
      <c r="I64" s="34"/>
      <c r="J64" s="34"/>
      <c r="K64" s="34"/>
      <c r="L64" s="111"/>
      <c r="S64" s="32"/>
      <c r="T64" s="32"/>
      <c r="U64" s="32"/>
      <c r="V64" s="32"/>
      <c r="W64" s="32"/>
      <c r="X64" s="32"/>
      <c r="Y64" s="32"/>
      <c r="Z64" s="32"/>
      <c r="AA64" s="32"/>
      <c r="AB64" s="32"/>
      <c r="AC64" s="32"/>
      <c r="AD64" s="32"/>
      <c r="AE64" s="32"/>
    </row>
    <row r="65" spans="1:31" s="2" customFormat="1" ht="29.25" customHeight="1">
      <c r="A65" s="32"/>
      <c r="B65" s="33"/>
      <c r="C65" s="134" t="s">
        <v>148</v>
      </c>
      <c r="D65" s="135"/>
      <c r="E65" s="135"/>
      <c r="F65" s="135"/>
      <c r="G65" s="135"/>
      <c r="H65" s="135"/>
      <c r="I65" s="135"/>
      <c r="J65" s="136" t="s">
        <v>149</v>
      </c>
      <c r="K65" s="135"/>
      <c r="L65" s="111"/>
      <c r="S65" s="32"/>
      <c r="T65" s="32"/>
      <c r="U65" s="32"/>
      <c r="V65" s="32"/>
      <c r="W65" s="32"/>
      <c r="X65" s="32"/>
      <c r="Y65" s="32"/>
      <c r="Z65" s="32"/>
      <c r="AA65" s="32"/>
      <c r="AB65" s="32"/>
      <c r="AC65" s="32"/>
      <c r="AD65" s="32"/>
      <c r="AE65" s="32"/>
    </row>
    <row r="66" spans="1:31" s="2" customFormat="1" ht="10.35" customHeight="1">
      <c r="A66" s="32"/>
      <c r="B66" s="33"/>
      <c r="C66" s="34"/>
      <c r="D66" s="34"/>
      <c r="E66" s="34"/>
      <c r="F66" s="34"/>
      <c r="G66" s="34"/>
      <c r="H66" s="34"/>
      <c r="I66" s="34"/>
      <c r="J66" s="34"/>
      <c r="K66" s="34"/>
      <c r="L66" s="111"/>
      <c r="S66" s="32"/>
      <c r="T66" s="32"/>
      <c r="U66" s="32"/>
      <c r="V66" s="32"/>
      <c r="W66" s="32"/>
      <c r="X66" s="32"/>
      <c r="Y66" s="32"/>
      <c r="Z66" s="32"/>
      <c r="AA66" s="32"/>
      <c r="AB66" s="32"/>
      <c r="AC66" s="32"/>
      <c r="AD66" s="32"/>
      <c r="AE66" s="32"/>
    </row>
    <row r="67" spans="1:47" s="2" customFormat="1" ht="22.9" customHeight="1">
      <c r="A67" s="32"/>
      <c r="B67" s="33"/>
      <c r="C67" s="137" t="s">
        <v>68</v>
      </c>
      <c r="D67" s="34"/>
      <c r="E67" s="34"/>
      <c r="F67" s="34"/>
      <c r="G67" s="34"/>
      <c r="H67" s="34"/>
      <c r="I67" s="34"/>
      <c r="J67" s="75">
        <f>J93</f>
        <v>0</v>
      </c>
      <c r="K67" s="34"/>
      <c r="L67" s="111"/>
      <c r="S67" s="32"/>
      <c r="T67" s="32"/>
      <c r="U67" s="32"/>
      <c r="V67" s="32"/>
      <c r="W67" s="32"/>
      <c r="X67" s="32"/>
      <c r="Y67" s="32"/>
      <c r="Z67" s="32"/>
      <c r="AA67" s="32"/>
      <c r="AB67" s="32"/>
      <c r="AC67" s="32"/>
      <c r="AD67" s="32"/>
      <c r="AE67" s="32"/>
      <c r="AU67" s="15" t="s">
        <v>150</v>
      </c>
    </row>
    <row r="68" spans="2:12" s="9" customFormat="1" ht="24.95" customHeight="1">
      <c r="B68" s="138"/>
      <c r="C68" s="139"/>
      <c r="D68" s="140" t="s">
        <v>161</v>
      </c>
      <c r="E68" s="141"/>
      <c r="F68" s="141"/>
      <c r="G68" s="141"/>
      <c r="H68" s="141"/>
      <c r="I68" s="141"/>
      <c r="J68" s="142">
        <f>J94</f>
        <v>0</v>
      </c>
      <c r="K68" s="139"/>
      <c r="L68" s="143"/>
    </row>
    <row r="69" spans="2:12" s="10" customFormat="1" ht="19.9" customHeight="1">
      <c r="B69" s="144"/>
      <c r="C69" s="95"/>
      <c r="D69" s="145" t="s">
        <v>176</v>
      </c>
      <c r="E69" s="146"/>
      <c r="F69" s="146"/>
      <c r="G69" s="146"/>
      <c r="H69" s="146"/>
      <c r="I69" s="146"/>
      <c r="J69" s="147">
        <f>J95</f>
        <v>0</v>
      </c>
      <c r="K69" s="95"/>
      <c r="L69" s="148"/>
    </row>
    <row r="70" spans="1:31" s="2" customFormat="1" ht="21.75" customHeight="1">
      <c r="A70" s="32"/>
      <c r="B70" s="33"/>
      <c r="C70" s="34"/>
      <c r="D70" s="34"/>
      <c r="E70" s="34"/>
      <c r="F70" s="34"/>
      <c r="G70" s="34"/>
      <c r="H70" s="34"/>
      <c r="I70" s="34"/>
      <c r="J70" s="34"/>
      <c r="K70" s="34"/>
      <c r="L70" s="111"/>
      <c r="S70" s="32"/>
      <c r="T70" s="32"/>
      <c r="U70" s="32"/>
      <c r="V70" s="32"/>
      <c r="W70" s="32"/>
      <c r="X70" s="32"/>
      <c r="Y70" s="32"/>
      <c r="Z70" s="32"/>
      <c r="AA70" s="32"/>
      <c r="AB70" s="32"/>
      <c r="AC70" s="32"/>
      <c r="AD70" s="32"/>
      <c r="AE70" s="32"/>
    </row>
    <row r="71" spans="1:31" s="2" customFormat="1" ht="6.95" customHeight="1">
      <c r="A71" s="32"/>
      <c r="B71" s="45"/>
      <c r="C71" s="46"/>
      <c r="D71" s="46"/>
      <c r="E71" s="46"/>
      <c r="F71" s="46"/>
      <c r="G71" s="46"/>
      <c r="H71" s="46"/>
      <c r="I71" s="46"/>
      <c r="J71" s="46"/>
      <c r="K71" s="46"/>
      <c r="L71" s="111"/>
      <c r="S71" s="32"/>
      <c r="T71" s="32"/>
      <c r="U71" s="32"/>
      <c r="V71" s="32"/>
      <c r="W71" s="32"/>
      <c r="X71" s="32"/>
      <c r="Y71" s="32"/>
      <c r="Z71" s="32"/>
      <c r="AA71" s="32"/>
      <c r="AB71" s="32"/>
      <c r="AC71" s="32"/>
      <c r="AD71" s="32"/>
      <c r="AE71" s="32"/>
    </row>
    <row r="75" spans="1:31" s="2" customFormat="1" ht="6.95" customHeight="1">
      <c r="A75" s="32"/>
      <c r="B75" s="47"/>
      <c r="C75" s="48"/>
      <c r="D75" s="48"/>
      <c r="E75" s="48"/>
      <c r="F75" s="48"/>
      <c r="G75" s="48"/>
      <c r="H75" s="48"/>
      <c r="I75" s="48"/>
      <c r="J75" s="48"/>
      <c r="K75" s="48"/>
      <c r="L75" s="111"/>
      <c r="S75" s="32"/>
      <c r="T75" s="32"/>
      <c r="U75" s="32"/>
      <c r="V75" s="32"/>
      <c r="W75" s="32"/>
      <c r="X75" s="32"/>
      <c r="Y75" s="32"/>
      <c r="Z75" s="32"/>
      <c r="AA75" s="32"/>
      <c r="AB75" s="32"/>
      <c r="AC75" s="32"/>
      <c r="AD75" s="32"/>
      <c r="AE75" s="32"/>
    </row>
    <row r="76" spans="1:31" s="2" customFormat="1" ht="24.95" customHeight="1">
      <c r="A76" s="32"/>
      <c r="B76" s="33"/>
      <c r="C76" s="21" t="s">
        <v>181</v>
      </c>
      <c r="D76" s="34"/>
      <c r="E76" s="34"/>
      <c r="F76" s="34"/>
      <c r="G76" s="34"/>
      <c r="H76" s="34"/>
      <c r="I76" s="34"/>
      <c r="J76" s="34"/>
      <c r="K76" s="34"/>
      <c r="L76" s="111"/>
      <c r="S76" s="32"/>
      <c r="T76" s="32"/>
      <c r="U76" s="32"/>
      <c r="V76" s="32"/>
      <c r="W76" s="32"/>
      <c r="X76" s="32"/>
      <c r="Y76" s="32"/>
      <c r="Z76" s="32"/>
      <c r="AA76" s="32"/>
      <c r="AB76" s="32"/>
      <c r="AC76" s="32"/>
      <c r="AD76" s="32"/>
      <c r="AE76" s="32"/>
    </row>
    <row r="77" spans="1:31" s="2" customFormat="1" ht="6.95" customHeight="1">
      <c r="A77" s="32"/>
      <c r="B77" s="33"/>
      <c r="C77" s="34"/>
      <c r="D77" s="34"/>
      <c r="E77" s="34"/>
      <c r="F77" s="34"/>
      <c r="G77" s="34"/>
      <c r="H77" s="34"/>
      <c r="I77" s="34"/>
      <c r="J77" s="34"/>
      <c r="K77" s="34"/>
      <c r="L77" s="111"/>
      <c r="S77" s="32"/>
      <c r="T77" s="32"/>
      <c r="U77" s="32"/>
      <c r="V77" s="32"/>
      <c r="W77" s="32"/>
      <c r="X77" s="32"/>
      <c r="Y77" s="32"/>
      <c r="Z77" s="32"/>
      <c r="AA77" s="32"/>
      <c r="AB77" s="32"/>
      <c r="AC77" s="32"/>
      <c r="AD77" s="32"/>
      <c r="AE77" s="32"/>
    </row>
    <row r="78" spans="1:31" s="2" customFormat="1" ht="12" customHeight="1">
      <c r="A78" s="32"/>
      <c r="B78" s="33"/>
      <c r="C78" s="27" t="s">
        <v>16</v>
      </c>
      <c r="D78" s="34"/>
      <c r="E78" s="34"/>
      <c r="F78" s="34"/>
      <c r="G78" s="34"/>
      <c r="H78" s="34"/>
      <c r="I78" s="34"/>
      <c r="J78" s="34"/>
      <c r="K78" s="34"/>
      <c r="L78" s="111"/>
      <c r="S78" s="32"/>
      <c r="T78" s="32"/>
      <c r="U78" s="32"/>
      <c r="V78" s="32"/>
      <c r="W78" s="32"/>
      <c r="X78" s="32"/>
      <c r="Y78" s="32"/>
      <c r="Z78" s="32"/>
      <c r="AA78" s="32"/>
      <c r="AB78" s="32"/>
      <c r="AC78" s="32"/>
      <c r="AD78" s="32"/>
      <c r="AE78" s="32"/>
    </row>
    <row r="79" spans="1:31" s="2" customFormat="1" ht="14.45" customHeight="1">
      <c r="A79" s="32"/>
      <c r="B79" s="33"/>
      <c r="C79" s="34"/>
      <c r="D79" s="34"/>
      <c r="E79" s="700" t="str">
        <f>E7</f>
        <v>Úpravy gastroprovozu Úřadu vlády ČR v 1.pp Strakovy akademie</v>
      </c>
      <c r="F79" s="701"/>
      <c r="G79" s="701"/>
      <c r="H79" s="701"/>
      <c r="I79" s="34"/>
      <c r="J79" s="34"/>
      <c r="K79" s="34"/>
      <c r="L79" s="111"/>
      <c r="S79" s="32"/>
      <c r="T79" s="32"/>
      <c r="U79" s="32"/>
      <c r="V79" s="32"/>
      <c r="W79" s="32"/>
      <c r="X79" s="32"/>
      <c r="Y79" s="32"/>
      <c r="Z79" s="32"/>
      <c r="AA79" s="32"/>
      <c r="AB79" s="32"/>
      <c r="AC79" s="32"/>
      <c r="AD79" s="32"/>
      <c r="AE79" s="32"/>
    </row>
    <row r="80" spans="2:12" s="1" customFormat="1" ht="12" customHeight="1">
      <c r="B80" s="19"/>
      <c r="C80" s="27" t="s">
        <v>142</v>
      </c>
      <c r="D80" s="20"/>
      <c r="E80" s="20"/>
      <c r="F80" s="20"/>
      <c r="G80" s="20"/>
      <c r="H80" s="20"/>
      <c r="I80" s="20"/>
      <c r="J80" s="20"/>
      <c r="K80" s="20"/>
      <c r="L80" s="18"/>
    </row>
    <row r="81" spans="2:12" s="1" customFormat="1" ht="14.45" customHeight="1">
      <c r="B81" s="19"/>
      <c r="C81" s="20"/>
      <c r="D81" s="20"/>
      <c r="E81" s="700" t="s">
        <v>1429</v>
      </c>
      <c r="F81" s="667"/>
      <c r="G81" s="667"/>
      <c r="H81" s="667"/>
      <c r="I81" s="20"/>
      <c r="J81" s="20"/>
      <c r="K81" s="20"/>
      <c r="L81" s="18"/>
    </row>
    <row r="82" spans="2:12" s="1" customFormat="1" ht="12" customHeight="1">
      <c r="B82" s="19"/>
      <c r="C82" s="27" t="s">
        <v>144</v>
      </c>
      <c r="D82" s="20"/>
      <c r="E82" s="20"/>
      <c r="F82" s="20"/>
      <c r="G82" s="20"/>
      <c r="H82" s="20"/>
      <c r="I82" s="20"/>
      <c r="J82" s="20"/>
      <c r="K82" s="20"/>
      <c r="L82" s="18"/>
    </row>
    <row r="83" spans="1:31" s="2" customFormat="1" ht="14.45" customHeight="1">
      <c r="A83" s="32"/>
      <c r="B83" s="33"/>
      <c r="C83" s="34"/>
      <c r="D83" s="34"/>
      <c r="E83" s="746" t="s">
        <v>1472</v>
      </c>
      <c r="F83" s="699"/>
      <c r="G83" s="699"/>
      <c r="H83" s="699"/>
      <c r="I83" s="34"/>
      <c r="J83" s="34"/>
      <c r="K83" s="34"/>
      <c r="L83" s="111"/>
      <c r="S83" s="32"/>
      <c r="T83" s="32"/>
      <c r="U83" s="32"/>
      <c r="V83" s="32"/>
      <c r="W83" s="32"/>
      <c r="X83" s="32"/>
      <c r="Y83" s="32"/>
      <c r="Z83" s="32"/>
      <c r="AA83" s="32"/>
      <c r="AB83" s="32"/>
      <c r="AC83" s="32"/>
      <c r="AD83" s="32"/>
      <c r="AE83" s="32"/>
    </row>
    <row r="84" spans="1:31" s="2" customFormat="1" ht="12" customHeight="1">
      <c r="A84" s="32"/>
      <c r="B84" s="33"/>
      <c r="C84" s="27" t="s">
        <v>1450</v>
      </c>
      <c r="D84" s="34"/>
      <c r="E84" s="34"/>
      <c r="F84" s="34"/>
      <c r="G84" s="34"/>
      <c r="H84" s="34"/>
      <c r="I84" s="34"/>
      <c r="J84" s="34"/>
      <c r="K84" s="34"/>
      <c r="L84" s="111"/>
      <c r="S84" s="32"/>
      <c r="T84" s="32"/>
      <c r="U84" s="32"/>
      <c r="V84" s="32"/>
      <c r="W84" s="32"/>
      <c r="X84" s="32"/>
      <c r="Y84" s="32"/>
      <c r="Z84" s="32"/>
      <c r="AA84" s="32"/>
      <c r="AB84" s="32"/>
      <c r="AC84" s="32"/>
      <c r="AD84" s="32"/>
      <c r="AE84" s="32"/>
    </row>
    <row r="85" spans="1:31" s="2" customFormat="1" ht="14.45" customHeight="1">
      <c r="A85" s="32"/>
      <c r="B85" s="33"/>
      <c r="C85" s="34"/>
      <c r="D85" s="34"/>
      <c r="E85" s="696" t="str">
        <f>E13</f>
        <v>D.1.4.06.4 - Soupis prací - Gastro demontáž</v>
      </c>
      <c r="F85" s="699"/>
      <c r="G85" s="699"/>
      <c r="H85" s="699"/>
      <c r="I85" s="34"/>
      <c r="J85" s="34"/>
      <c r="K85" s="34"/>
      <c r="L85" s="111"/>
      <c r="S85" s="32"/>
      <c r="T85" s="32"/>
      <c r="U85" s="32"/>
      <c r="V85" s="32"/>
      <c r="W85" s="32"/>
      <c r="X85" s="32"/>
      <c r="Y85" s="32"/>
      <c r="Z85" s="32"/>
      <c r="AA85" s="32"/>
      <c r="AB85" s="32"/>
      <c r="AC85" s="32"/>
      <c r="AD85" s="32"/>
      <c r="AE85" s="32"/>
    </row>
    <row r="86" spans="1:31" s="2" customFormat="1" ht="6.95" customHeight="1">
      <c r="A86" s="32"/>
      <c r="B86" s="33"/>
      <c r="C86" s="34"/>
      <c r="D86" s="34"/>
      <c r="E86" s="34"/>
      <c r="F86" s="34"/>
      <c r="G86" s="34"/>
      <c r="H86" s="34"/>
      <c r="I86" s="34"/>
      <c r="J86" s="34"/>
      <c r="K86" s="34"/>
      <c r="L86" s="111"/>
      <c r="S86" s="32"/>
      <c r="T86" s="32"/>
      <c r="U86" s="32"/>
      <c r="V86" s="32"/>
      <c r="W86" s="32"/>
      <c r="X86" s="32"/>
      <c r="Y86" s="32"/>
      <c r="Z86" s="32"/>
      <c r="AA86" s="32"/>
      <c r="AB86" s="32"/>
      <c r="AC86" s="32"/>
      <c r="AD86" s="32"/>
      <c r="AE86" s="32"/>
    </row>
    <row r="87" spans="1:31" s="2" customFormat="1" ht="12" customHeight="1">
      <c r="A87" s="32"/>
      <c r="B87" s="33"/>
      <c r="C87" s="27" t="s">
        <v>21</v>
      </c>
      <c r="D87" s="34"/>
      <c r="E87" s="34"/>
      <c r="F87" s="25" t="str">
        <f>F16</f>
        <v xml:space="preserve"> </v>
      </c>
      <c r="G87" s="34"/>
      <c r="H87" s="34"/>
      <c r="I87" s="27" t="s">
        <v>23</v>
      </c>
      <c r="J87" s="57" t="str">
        <f>IF(J16="","",J16)</f>
        <v>Vyplň údaj</v>
      </c>
      <c r="K87" s="34"/>
      <c r="L87" s="111"/>
      <c r="S87" s="32"/>
      <c r="T87" s="32"/>
      <c r="U87" s="32"/>
      <c r="V87" s="32"/>
      <c r="W87" s="32"/>
      <c r="X87" s="32"/>
      <c r="Y87" s="32"/>
      <c r="Z87" s="32"/>
      <c r="AA87" s="32"/>
      <c r="AB87" s="32"/>
      <c r="AC87" s="32"/>
      <c r="AD87" s="32"/>
      <c r="AE87" s="32"/>
    </row>
    <row r="88" spans="1:31" s="2" customFormat="1" ht="6.95" customHeight="1">
      <c r="A88" s="32"/>
      <c r="B88" s="33"/>
      <c r="C88" s="34"/>
      <c r="D88" s="34"/>
      <c r="E88" s="34"/>
      <c r="F88" s="34"/>
      <c r="G88" s="34"/>
      <c r="H88" s="34"/>
      <c r="I88" s="34"/>
      <c r="J88" s="34"/>
      <c r="K88" s="34"/>
      <c r="L88" s="111"/>
      <c r="S88" s="32"/>
      <c r="T88" s="32"/>
      <c r="U88" s="32"/>
      <c r="V88" s="32"/>
      <c r="W88" s="32"/>
      <c r="X88" s="32"/>
      <c r="Y88" s="32"/>
      <c r="Z88" s="32"/>
      <c r="AA88" s="32"/>
      <c r="AB88" s="32"/>
      <c r="AC88" s="32"/>
      <c r="AD88" s="32"/>
      <c r="AE88" s="32"/>
    </row>
    <row r="89" spans="1:31" s="2" customFormat="1" ht="26.45" customHeight="1">
      <c r="A89" s="32"/>
      <c r="B89" s="33"/>
      <c r="C89" s="27" t="s">
        <v>24</v>
      </c>
      <c r="D89" s="34"/>
      <c r="E89" s="34"/>
      <c r="F89" s="25" t="str">
        <f>E19</f>
        <v xml:space="preserve">Úřad vlády České republiky </v>
      </c>
      <c r="G89" s="34"/>
      <c r="H89" s="34"/>
      <c r="I89" s="27" t="s">
        <v>30</v>
      </c>
      <c r="J89" s="30" t="str">
        <f>E25</f>
        <v>Ateliér Simona Group</v>
      </c>
      <c r="K89" s="34"/>
      <c r="L89" s="111"/>
      <c r="S89" s="32"/>
      <c r="T89" s="32"/>
      <c r="U89" s="32"/>
      <c r="V89" s="32"/>
      <c r="W89" s="32"/>
      <c r="X89" s="32"/>
      <c r="Y89" s="32"/>
      <c r="Z89" s="32"/>
      <c r="AA89" s="32"/>
      <c r="AB89" s="32"/>
      <c r="AC89" s="32"/>
      <c r="AD89" s="32"/>
      <c r="AE89" s="32"/>
    </row>
    <row r="90" spans="1:31" s="2" customFormat="1" ht="26.45" customHeight="1">
      <c r="A90" s="32"/>
      <c r="B90" s="33"/>
      <c r="C90" s="27" t="s">
        <v>28</v>
      </c>
      <c r="D90" s="34"/>
      <c r="E90" s="34"/>
      <c r="F90" s="25" t="str">
        <f>IF(E22="","",E22)</f>
        <v>Vyplň údaj</v>
      </c>
      <c r="G90" s="34"/>
      <c r="H90" s="34"/>
      <c r="I90" s="27" t="s">
        <v>33</v>
      </c>
      <c r="J90" s="30" t="str">
        <f>E28</f>
        <v>Ateliér Simona Group</v>
      </c>
      <c r="K90" s="34"/>
      <c r="L90" s="111"/>
      <c r="S90" s="32"/>
      <c r="T90" s="32"/>
      <c r="U90" s="32"/>
      <c r="V90" s="32"/>
      <c r="W90" s="32"/>
      <c r="X90" s="32"/>
      <c r="Y90" s="32"/>
      <c r="Z90" s="32"/>
      <c r="AA90" s="32"/>
      <c r="AB90" s="32"/>
      <c r="AC90" s="32"/>
      <c r="AD90" s="32"/>
      <c r="AE90" s="32"/>
    </row>
    <row r="91" spans="1:31" s="2" customFormat="1" ht="10.35" customHeight="1">
      <c r="A91" s="32"/>
      <c r="B91" s="33"/>
      <c r="C91" s="34"/>
      <c r="D91" s="34"/>
      <c r="E91" s="34"/>
      <c r="F91" s="34"/>
      <c r="G91" s="34"/>
      <c r="H91" s="34"/>
      <c r="I91" s="34"/>
      <c r="J91" s="34"/>
      <c r="K91" s="34"/>
      <c r="L91" s="111"/>
      <c r="S91" s="32"/>
      <c r="T91" s="32"/>
      <c r="U91" s="32"/>
      <c r="V91" s="32"/>
      <c r="W91" s="32"/>
      <c r="X91" s="32"/>
      <c r="Y91" s="32"/>
      <c r="Z91" s="32"/>
      <c r="AA91" s="32"/>
      <c r="AB91" s="32"/>
      <c r="AC91" s="32"/>
      <c r="AD91" s="32"/>
      <c r="AE91" s="32"/>
    </row>
    <row r="92" spans="1:31" s="11" customFormat="1" ht="29.25" customHeight="1">
      <c r="A92" s="149"/>
      <c r="B92" s="150"/>
      <c r="C92" s="151" t="s">
        <v>182</v>
      </c>
      <c r="D92" s="152" t="s">
        <v>55</v>
      </c>
      <c r="E92" s="152" t="s">
        <v>51</v>
      </c>
      <c r="F92" s="152" t="s">
        <v>52</v>
      </c>
      <c r="G92" s="152" t="s">
        <v>183</v>
      </c>
      <c r="H92" s="152" t="s">
        <v>184</v>
      </c>
      <c r="I92" s="152" t="s">
        <v>185</v>
      </c>
      <c r="J92" s="152" t="s">
        <v>149</v>
      </c>
      <c r="K92" s="153" t="s">
        <v>186</v>
      </c>
      <c r="L92" s="154"/>
      <c r="M92" s="66" t="s">
        <v>19</v>
      </c>
      <c r="N92" s="67" t="s">
        <v>40</v>
      </c>
      <c r="O92" s="67" t="s">
        <v>187</v>
      </c>
      <c r="P92" s="67" t="s">
        <v>188</v>
      </c>
      <c r="Q92" s="67" t="s">
        <v>189</v>
      </c>
      <c r="R92" s="67" t="s">
        <v>190</v>
      </c>
      <c r="S92" s="67" t="s">
        <v>191</v>
      </c>
      <c r="T92" s="68" t="s">
        <v>192</v>
      </c>
      <c r="U92" s="149"/>
      <c r="V92" s="149"/>
      <c r="W92" s="149"/>
      <c r="X92" s="149"/>
      <c r="Y92" s="149"/>
      <c r="Z92" s="149"/>
      <c r="AA92" s="149"/>
      <c r="AB92" s="149"/>
      <c r="AC92" s="149"/>
      <c r="AD92" s="149"/>
      <c r="AE92" s="149"/>
    </row>
    <row r="93" spans="1:63" s="2" customFormat="1" ht="22.9" customHeight="1">
      <c r="A93" s="32"/>
      <c r="B93" s="33"/>
      <c r="C93" s="73" t="s">
        <v>193</v>
      </c>
      <c r="D93" s="34"/>
      <c r="E93" s="34"/>
      <c r="F93" s="34"/>
      <c r="G93" s="34"/>
      <c r="H93" s="34"/>
      <c r="I93" s="34"/>
      <c r="J93" s="155">
        <f>BK93</f>
        <v>0</v>
      </c>
      <c r="K93" s="34"/>
      <c r="L93" s="37"/>
      <c r="M93" s="69"/>
      <c r="N93" s="156"/>
      <c r="O93" s="70"/>
      <c r="P93" s="157">
        <f>P94</f>
        <v>0</v>
      </c>
      <c r="Q93" s="70"/>
      <c r="R93" s="157">
        <f>R94</f>
        <v>0</v>
      </c>
      <c r="S93" s="70"/>
      <c r="T93" s="158">
        <f>T94</f>
        <v>0</v>
      </c>
      <c r="U93" s="32"/>
      <c r="V93" s="32"/>
      <c r="W93" s="32"/>
      <c r="X93" s="32"/>
      <c r="Y93" s="32"/>
      <c r="Z93" s="32"/>
      <c r="AA93" s="32"/>
      <c r="AB93" s="32"/>
      <c r="AC93" s="32"/>
      <c r="AD93" s="32"/>
      <c r="AE93" s="32"/>
      <c r="AT93" s="15" t="s">
        <v>69</v>
      </c>
      <c r="AU93" s="15" t="s">
        <v>150</v>
      </c>
      <c r="BK93" s="159">
        <f>BK94</f>
        <v>0</v>
      </c>
    </row>
    <row r="94" spans="2:63" s="12" customFormat="1" ht="25.9" customHeight="1">
      <c r="B94" s="160"/>
      <c r="C94" s="161"/>
      <c r="D94" s="162" t="s">
        <v>69</v>
      </c>
      <c r="E94" s="163" t="s">
        <v>694</v>
      </c>
      <c r="F94" s="163" t="s">
        <v>695</v>
      </c>
      <c r="G94" s="161"/>
      <c r="H94" s="161"/>
      <c r="I94" s="164"/>
      <c r="J94" s="165">
        <f>BK94</f>
        <v>0</v>
      </c>
      <c r="K94" s="161"/>
      <c r="L94" s="166"/>
      <c r="M94" s="167"/>
      <c r="N94" s="168"/>
      <c r="O94" s="168"/>
      <c r="P94" s="169">
        <f>P95</f>
        <v>0</v>
      </c>
      <c r="Q94" s="168"/>
      <c r="R94" s="169">
        <f>R95</f>
        <v>0</v>
      </c>
      <c r="S94" s="168"/>
      <c r="T94" s="170">
        <f>T95</f>
        <v>0</v>
      </c>
      <c r="AR94" s="171" t="s">
        <v>79</v>
      </c>
      <c r="AT94" s="172" t="s">
        <v>69</v>
      </c>
      <c r="AU94" s="172" t="s">
        <v>70</v>
      </c>
      <c r="AY94" s="171" t="s">
        <v>196</v>
      </c>
      <c r="BK94" s="173">
        <f>BK95</f>
        <v>0</v>
      </c>
    </row>
    <row r="95" spans="2:63" s="12" customFormat="1" ht="22.9" customHeight="1">
      <c r="B95" s="160"/>
      <c r="C95" s="161"/>
      <c r="D95" s="162" t="s">
        <v>69</v>
      </c>
      <c r="E95" s="174" t="s">
        <v>1325</v>
      </c>
      <c r="F95" s="174" t="s">
        <v>1326</v>
      </c>
      <c r="G95" s="161"/>
      <c r="H95" s="161"/>
      <c r="I95" s="164"/>
      <c r="J95" s="175">
        <f>BK95</f>
        <v>0</v>
      </c>
      <c r="K95" s="161"/>
      <c r="L95" s="166"/>
      <c r="M95" s="167"/>
      <c r="N95" s="168"/>
      <c r="O95" s="168"/>
      <c r="P95" s="169">
        <f>P96</f>
        <v>0</v>
      </c>
      <c r="Q95" s="168"/>
      <c r="R95" s="169">
        <f>R96</f>
        <v>0</v>
      </c>
      <c r="S95" s="168"/>
      <c r="T95" s="170">
        <f>T96</f>
        <v>0</v>
      </c>
      <c r="AR95" s="171" t="s">
        <v>79</v>
      </c>
      <c r="AT95" s="172" t="s">
        <v>69</v>
      </c>
      <c r="AU95" s="172" t="s">
        <v>77</v>
      </c>
      <c r="AY95" s="171" t="s">
        <v>196</v>
      </c>
      <c r="BK95" s="173">
        <f>BK96</f>
        <v>0</v>
      </c>
    </row>
    <row r="96" spans="1:65" s="2" customFormat="1" ht="13.9" customHeight="1">
      <c r="A96" s="32"/>
      <c r="B96" s="33"/>
      <c r="C96" s="176" t="s">
        <v>77</v>
      </c>
      <c r="D96" s="176" t="s">
        <v>198</v>
      </c>
      <c r="E96" s="177" t="s">
        <v>1488</v>
      </c>
      <c r="F96" s="178" t="s">
        <v>1489</v>
      </c>
      <c r="G96" s="179" t="s">
        <v>1437</v>
      </c>
      <c r="H96" s="180">
        <v>1</v>
      </c>
      <c r="I96" s="181">
        <f>'G-DEM'!G185</f>
        <v>0</v>
      </c>
      <c r="J96" s="182">
        <f>ROUND(I96*H96,2)</f>
        <v>0</v>
      </c>
      <c r="K96" s="178" t="s">
        <v>19</v>
      </c>
      <c r="L96" s="37"/>
      <c r="M96" s="204" t="s">
        <v>19</v>
      </c>
      <c r="N96" s="205" t="s">
        <v>41</v>
      </c>
      <c r="O96" s="206"/>
      <c r="P96" s="207">
        <f>O96*H96</f>
        <v>0</v>
      </c>
      <c r="Q96" s="207">
        <v>0</v>
      </c>
      <c r="R96" s="207">
        <f>Q96*H96</f>
        <v>0</v>
      </c>
      <c r="S96" s="207">
        <v>0</v>
      </c>
      <c r="T96" s="208">
        <f>S96*H96</f>
        <v>0</v>
      </c>
      <c r="U96" s="32"/>
      <c r="V96" s="32"/>
      <c r="W96" s="32"/>
      <c r="X96" s="32"/>
      <c r="Y96" s="32"/>
      <c r="Z96" s="32"/>
      <c r="AA96" s="32"/>
      <c r="AB96" s="32"/>
      <c r="AC96" s="32"/>
      <c r="AD96" s="32"/>
      <c r="AE96" s="32"/>
      <c r="AR96" s="187" t="s">
        <v>270</v>
      </c>
      <c r="AT96" s="187" t="s">
        <v>198</v>
      </c>
      <c r="AU96" s="187" t="s">
        <v>79</v>
      </c>
      <c r="AY96" s="15" t="s">
        <v>196</v>
      </c>
      <c r="BE96" s="188">
        <f>IF(N96="základní",J96,0)</f>
        <v>0</v>
      </c>
      <c r="BF96" s="188">
        <f>IF(N96="snížená",J96,0)</f>
        <v>0</v>
      </c>
      <c r="BG96" s="188">
        <f>IF(N96="zákl. přenesená",J96,0)</f>
        <v>0</v>
      </c>
      <c r="BH96" s="188">
        <f>IF(N96="sníž. přenesená",J96,0)</f>
        <v>0</v>
      </c>
      <c r="BI96" s="188">
        <f>IF(N96="nulová",J96,0)</f>
        <v>0</v>
      </c>
      <c r="BJ96" s="15" t="s">
        <v>77</v>
      </c>
      <c r="BK96" s="188">
        <f>ROUND(I96*H96,2)</f>
        <v>0</v>
      </c>
      <c r="BL96" s="15" t="s">
        <v>270</v>
      </c>
      <c r="BM96" s="187" t="s">
        <v>1490</v>
      </c>
    </row>
    <row r="97" spans="1:31" s="2" customFormat="1" ht="6.95" customHeight="1">
      <c r="A97" s="32"/>
      <c r="B97" s="45"/>
      <c r="C97" s="46"/>
      <c r="D97" s="46"/>
      <c r="E97" s="46"/>
      <c r="F97" s="46"/>
      <c r="G97" s="46"/>
      <c r="H97" s="46"/>
      <c r="I97" s="46"/>
      <c r="J97" s="46"/>
      <c r="K97" s="46"/>
      <c r="L97" s="37"/>
      <c r="M97" s="32"/>
      <c r="O97" s="32"/>
      <c r="P97" s="32"/>
      <c r="Q97" s="32"/>
      <c r="R97" s="32"/>
      <c r="S97" s="32"/>
      <c r="T97" s="32"/>
      <c r="U97" s="32"/>
      <c r="V97" s="32"/>
      <c r="W97" s="32"/>
      <c r="X97" s="32"/>
      <c r="Y97" s="32"/>
      <c r="Z97" s="32"/>
      <c r="AA97" s="32"/>
      <c r="AB97" s="32"/>
      <c r="AC97" s="32"/>
      <c r="AD97" s="32"/>
      <c r="AE97" s="32"/>
    </row>
  </sheetData>
  <sheetProtection algorithmName="SHA-512" hashValue="4Tycey2bWvb+5udqVlny0L9R++Wy+23a9QLVpNcRXcM6KrJ31OMTKvtu/wDWPgxDRMjbvow7eMSRBUMEabdriw==" saltValue="RgH4cpT4g837q/jST0x0JgQULmFkP3UjJRldIHVigJ9ElFHf+v/praEXstNglarHUB/DMY0uaBI6IvuLkeW8bg==" spinCount="100000" sheet="1" objects="1" scenarios="1" formatColumns="0" formatRows="0" autoFilter="0"/>
  <autoFilter ref="C92:K96"/>
  <mergeCells count="15">
    <mergeCell ref="E79:H79"/>
    <mergeCell ref="E83:H83"/>
    <mergeCell ref="E81:H81"/>
    <mergeCell ref="E85:H85"/>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A4061-13AD-47AC-8AC7-7D66C9839786}">
  <sheetPr>
    <tabColor theme="8" tint="-0.4999699890613556"/>
  </sheetPr>
  <dimension ref="B1:I185"/>
  <sheetViews>
    <sheetView zoomScaleSheetLayoutView="100" workbookViewId="0" topLeftCell="A1">
      <pane ySplit="2" topLeftCell="A168" activePane="bottomLeft" state="frozen"/>
      <selection pane="bottomLeft" activeCell="I181" sqref="I181"/>
    </sheetView>
  </sheetViews>
  <sheetFormatPr defaultColWidth="13.28125" defaultRowHeight="12"/>
  <cols>
    <col min="1" max="1" width="5.8515625" style="538" customWidth="1"/>
    <col min="2" max="2" width="15.8515625" style="537" customWidth="1"/>
    <col min="3" max="3" width="59.140625" style="537" customWidth="1"/>
    <col min="4" max="4" width="18.7109375" style="537" customWidth="1"/>
    <col min="5" max="5" width="13.8515625" style="624" bestFit="1" customWidth="1"/>
    <col min="6" max="6" width="13.28125" style="538" customWidth="1"/>
    <col min="7" max="7" width="16.7109375" style="538" bestFit="1" customWidth="1"/>
    <col min="8" max="8" width="13.28125" style="538" customWidth="1"/>
    <col min="9" max="9" width="16.7109375" style="538" bestFit="1" customWidth="1"/>
    <col min="10" max="256" width="13.28125" style="537" customWidth="1"/>
    <col min="257" max="257" width="5.8515625" style="537" customWidth="1"/>
    <col min="258" max="258" width="15.8515625" style="537" customWidth="1"/>
    <col min="259" max="259" width="59.140625" style="537" customWidth="1"/>
    <col min="260" max="260" width="18.7109375" style="537" customWidth="1"/>
    <col min="261" max="512" width="13.28125" style="537" customWidth="1"/>
    <col min="513" max="513" width="5.8515625" style="537" customWidth="1"/>
    <col min="514" max="514" width="15.8515625" style="537" customWidth="1"/>
    <col min="515" max="515" width="59.140625" style="537" customWidth="1"/>
    <col min="516" max="516" width="18.7109375" style="537" customWidth="1"/>
    <col min="517" max="768" width="13.28125" style="537" customWidth="1"/>
    <col min="769" max="769" width="5.8515625" style="537" customWidth="1"/>
    <col min="770" max="770" width="15.8515625" style="537" customWidth="1"/>
    <col min="771" max="771" width="59.140625" style="537" customWidth="1"/>
    <col min="772" max="772" width="18.7109375" style="537" customWidth="1"/>
    <col min="773" max="1024" width="13.28125" style="537" customWidth="1"/>
    <col min="1025" max="1025" width="5.8515625" style="537" customWidth="1"/>
    <col min="1026" max="1026" width="15.8515625" style="537" customWidth="1"/>
    <col min="1027" max="1027" width="59.140625" style="537" customWidth="1"/>
    <col min="1028" max="1028" width="18.7109375" style="537" customWidth="1"/>
    <col min="1029" max="1280" width="13.28125" style="537" customWidth="1"/>
    <col min="1281" max="1281" width="5.8515625" style="537" customWidth="1"/>
    <col min="1282" max="1282" width="15.8515625" style="537" customWidth="1"/>
    <col min="1283" max="1283" width="59.140625" style="537" customWidth="1"/>
    <col min="1284" max="1284" width="18.7109375" style="537" customWidth="1"/>
    <col min="1285" max="1536" width="13.28125" style="537" customWidth="1"/>
    <col min="1537" max="1537" width="5.8515625" style="537" customWidth="1"/>
    <col min="1538" max="1538" width="15.8515625" style="537" customWidth="1"/>
    <col min="1539" max="1539" width="59.140625" style="537" customWidth="1"/>
    <col min="1540" max="1540" width="18.7109375" style="537" customWidth="1"/>
    <col min="1541" max="1792" width="13.28125" style="537" customWidth="1"/>
    <col min="1793" max="1793" width="5.8515625" style="537" customWidth="1"/>
    <col min="1794" max="1794" width="15.8515625" style="537" customWidth="1"/>
    <col min="1795" max="1795" width="59.140625" style="537" customWidth="1"/>
    <col min="1796" max="1796" width="18.7109375" style="537" customWidth="1"/>
    <col min="1797" max="2048" width="13.28125" style="537" customWidth="1"/>
    <col min="2049" max="2049" width="5.8515625" style="537" customWidth="1"/>
    <col min="2050" max="2050" width="15.8515625" style="537" customWidth="1"/>
    <col min="2051" max="2051" width="59.140625" style="537" customWidth="1"/>
    <col min="2052" max="2052" width="18.7109375" style="537" customWidth="1"/>
    <col min="2053" max="2304" width="13.28125" style="537" customWidth="1"/>
    <col min="2305" max="2305" width="5.8515625" style="537" customWidth="1"/>
    <col min="2306" max="2306" width="15.8515625" style="537" customWidth="1"/>
    <col min="2307" max="2307" width="59.140625" style="537" customWidth="1"/>
    <col min="2308" max="2308" width="18.7109375" style="537" customWidth="1"/>
    <col min="2309" max="2560" width="13.28125" style="537" customWidth="1"/>
    <col min="2561" max="2561" width="5.8515625" style="537" customWidth="1"/>
    <col min="2562" max="2562" width="15.8515625" style="537" customWidth="1"/>
    <col min="2563" max="2563" width="59.140625" style="537" customWidth="1"/>
    <col min="2564" max="2564" width="18.7109375" style="537" customWidth="1"/>
    <col min="2565" max="2816" width="13.28125" style="537" customWidth="1"/>
    <col min="2817" max="2817" width="5.8515625" style="537" customWidth="1"/>
    <col min="2818" max="2818" width="15.8515625" style="537" customWidth="1"/>
    <col min="2819" max="2819" width="59.140625" style="537" customWidth="1"/>
    <col min="2820" max="2820" width="18.7109375" style="537" customWidth="1"/>
    <col min="2821" max="3072" width="13.28125" style="537" customWidth="1"/>
    <col min="3073" max="3073" width="5.8515625" style="537" customWidth="1"/>
    <col min="3074" max="3074" width="15.8515625" style="537" customWidth="1"/>
    <col min="3075" max="3075" width="59.140625" style="537" customWidth="1"/>
    <col min="3076" max="3076" width="18.7109375" style="537" customWidth="1"/>
    <col min="3077" max="3328" width="13.28125" style="537" customWidth="1"/>
    <col min="3329" max="3329" width="5.8515625" style="537" customWidth="1"/>
    <col min="3330" max="3330" width="15.8515625" style="537" customWidth="1"/>
    <col min="3331" max="3331" width="59.140625" style="537" customWidth="1"/>
    <col min="3332" max="3332" width="18.7109375" style="537" customWidth="1"/>
    <col min="3333" max="3584" width="13.28125" style="537" customWidth="1"/>
    <col min="3585" max="3585" width="5.8515625" style="537" customWidth="1"/>
    <col min="3586" max="3586" width="15.8515625" style="537" customWidth="1"/>
    <col min="3587" max="3587" width="59.140625" style="537" customWidth="1"/>
    <col min="3588" max="3588" width="18.7109375" style="537" customWidth="1"/>
    <col min="3589" max="3840" width="13.28125" style="537" customWidth="1"/>
    <col min="3841" max="3841" width="5.8515625" style="537" customWidth="1"/>
    <col min="3842" max="3842" width="15.8515625" style="537" customWidth="1"/>
    <col min="3843" max="3843" width="59.140625" style="537" customWidth="1"/>
    <col min="3844" max="3844" width="18.7109375" style="537" customWidth="1"/>
    <col min="3845" max="4096" width="13.28125" style="537" customWidth="1"/>
    <col min="4097" max="4097" width="5.8515625" style="537" customWidth="1"/>
    <col min="4098" max="4098" width="15.8515625" style="537" customWidth="1"/>
    <col min="4099" max="4099" width="59.140625" style="537" customWidth="1"/>
    <col min="4100" max="4100" width="18.7109375" style="537" customWidth="1"/>
    <col min="4101" max="4352" width="13.28125" style="537" customWidth="1"/>
    <col min="4353" max="4353" width="5.8515625" style="537" customWidth="1"/>
    <col min="4354" max="4354" width="15.8515625" style="537" customWidth="1"/>
    <col min="4355" max="4355" width="59.140625" style="537" customWidth="1"/>
    <col min="4356" max="4356" width="18.7109375" style="537" customWidth="1"/>
    <col min="4357" max="4608" width="13.28125" style="537" customWidth="1"/>
    <col min="4609" max="4609" width="5.8515625" style="537" customWidth="1"/>
    <col min="4610" max="4610" width="15.8515625" style="537" customWidth="1"/>
    <col min="4611" max="4611" width="59.140625" style="537" customWidth="1"/>
    <col min="4612" max="4612" width="18.7109375" style="537" customWidth="1"/>
    <col min="4613" max="4864" width="13.28125" style="537" customWidth="1"/>
    <col min="4865" max="4865" width="5.8515625" style="537" customWidth="1"/>
    <col min="4866" max="4866" width="15.8515625" style="537" customWidth="1"/>
    <col min="4867" max="4867" width="59.140625" style="537" customWidth="1"/>
    <col min="4868" max="4868" width="18.7109375" style="537" customWidth="1"/>
    <col min="4869" max="5120" width="13.28125" style="537" customWidth="1"/>
    <col min="5121" max="5121" width="5.8515625" style="537" customWidth="1"/>
    <col min="5122" max="5122" width="15.8515625" style="537" customWidth="1"/>
    <col min="5123" max="5123" width="59.140625" style="537" customWidth="1"/>
    <col min="5124" max="5124" width="18.7109375" style="537" customWidth="1"/>
    <col min="5125" max="5376" width="13.28125" style="537" customWidth="1"/>
    <col min="5377" max="5377" width="5.8515625" style="537" customWidth="1"/>
    <col min="5378" max="5378" width="15.8515625" style="537" customWidth="1"/>
    <col min="5379" max="5379" width="59.140625" style="537" customWidth="1"/>
    <col min="5380" max="5380" width="18.7109375" style="537" customWidth="1"/>
    <col min="5381" max="5632" width="13.28125" style="537" customWidth="1"/>
    <col min="5633" max="5633" width="5.8515625" style="537" customWidth="1"/>
    <col min="5634" max="5634" width="15.8515625" style="537" customWidth="1"/>
    <col min="5635" max="5635" width="59.140625" style="537" customWidth="1"/>
    <col min="5636" max="5636" width="18.7109375" style="537" customWidth="1"/>
    <col min="5637" max="5888" width="13.28125" style="537" customWidth="1"/>
    <col min="5889" max="5889" width="5.8515625" style="537" customWidth="1"/>
    <col min="5890" max="5890" width="15.8515625" style="537" customWidth="1"/>
    <col min="5891" max="5891" width="59.140625" style="537" customWidth="1"/>
    <col min="5892" max="5892" width="18.7109375" style="537" customWidth="1"/>
    <col min="5893" max="6144" width="13.28125" style="537" customWidth="1"/>
    <col min="6145" max="6145" width="5.8515625" style="537" customWidth="1"/>
    <col min="6146" max="6146" width="15.8515625" style="537" customWidth="1"/>
    <col min="6147" max="6147" width="59.140625" style="537" customWidth="1"/>
    <col min="6148" max="6148" width="18.7109375" style="537" customWidth="1"/>
    <col min="6149" max="6400" width="13.28125" style="537" customWidth="1"/>
    <col min="6401" max="6401" width="5.8515625" style="537" customWidth="1"/>
    <col min="6402" max="6402" width="15.8515625" style="537" customWidth="1"/>
    <col min="6403" max="6403" width="59.140625" style="537" customWidth="1"/>
    <col min="6404" max="6404" width="18.7109375" style="537" customWidth="1"/>
    <col min="6405" max="6656" width="13.28125" style="537" customWidth="1"/>
    <col min="6657" max="6657" width="5.8515625" style="537" customWidth="1"/>
    <col min="6658" max="6658" width="15.8515625" style="537" customWidth="1"/>
    <col min="6659" max="6659" width="59.140625" style="537" customWidth="1"/>
    <col min="6660" max="6660" width="18.7109375" style="537" customWidth="1"/>
    <col min="6661" max="6912" width="13.28125" style="537" customWidth="1"/>
    <col min="6913" max="6913" width="5.8515625" style="537" customWidth="1"/>
    <col min="6914" max="6914" width="15.8515625" style="537" customWidth="1"/>
    <col min="6915" max="6915" width="59.140625" style="537" customWidth="1"/>
    <col min="6916" max="6916" width="18.7109375" style="537" customWidth="1"/>
    <col min="6917" max="7168" width="13.28125" style="537" customWidth="1"/>
    <col min="7169" max="7169" width="5.8515625" style="537" customWidth="1"/>
    <col min="7170" max="7170" width="15.8515625" style="537" customWidth="1"/>
    <col min="7171" max="7171" width="59.140625" style="537" customWidth="1"/>
    <col min="7172" max="7172" width="18.7109375" style="537" customWidth="1"/>
    <col min="7173" max="7424" width="13.28125" style="537" customWidth="1"/>
    <col min="7425" max="7425" width="5.8515625" style="537" customWidth="1"/>
    <col min="7426" max="7426" width="15.8515625" style="537" customWidth="1"/>
    <col min="7427" max="7427" width="59.140625" style="537" customWidth="1"/>
    <col min="7428" max="7428" width="18.7109375" style="537" customWidth="1"/>
    <col min="7429" max="7680" width="13.28125" style="537" customWidth="1"/>
    <col min="7681" max="7681" width="5.8515625" style="537" customWidth="1"/>
    <col min="7682" max="7682" width="15.8515625" style="537" customWidth="1"/>
    <col min="7683" max="7683" width="59.140625" style="537" customWidth="1"/>
    <col min="7684" max="7684" width="18.7109375" style="537" customWidth="1"/>
    <col min="7685" max="7936" width="13.28125" style="537" customWidth="1"/>
    <col min="7937" max="7937" width="5.8515625" style="537" customWidth="1"/>
    <col min="7938" max="7938" width="15.8515625" style="537" customWidth="1"/>
    <col min="7939" max="7939" width="59.140625" style="537" customWidth="1"/>
    <col min="7940" max="7940" width="18.7109375" style="537" customWidth="1"/>
    <col min="7941" max="8192" width="13.28125" style="537" customWidth="1"/>
    <col min="8193" max="8193" width="5.8515625" style="537" customWidth="1"/>
    <col min="8194" max="8194" width="15.8515625" style="537" customWidth="1"/>
    <col min="8195" max="8195" width="59.140625" style="537" customWidth="1"/>
    <col min="8196" max="8196" width="18.7109375" style="537" customWidth="1"/>
    <col min="8197" max="8448" width="13.28125" style="537" customWidth="1"/>
    <col min="8449" max="8449" width="5.8515625" style="537" customWidth="1"/>
    <col min="8450" max="8450" width="15.8515625" style="537" customWidth="1"/>
    <col min="8451" max="8451" width="59.140625" style="537" customWidth="1"/>
    <col min="8452" max="8452" width="18.7109375" style="537" customWidth="1"/>
    <col min="8453" max="8704" width="13.28125" style="537" customWidth="1"/>
    <col min="8705" max="8705" width="5.8515625" style="537" customWidth="1"/>
    <col min="8706" max="8706" width="15.8515625" style="537" customWidth="1"/>
    <col min="8707" max="8707" width="59.140625" style="537" customWidth="1"/>
    <col min="8708" max="8708" width="18.7109375" style="537" customWidth="1"/>
    <col min="8709" max="8960" width="13.28125" style="537" customWidth="1"/>
    <col min="8961" max="8961" width="5.8515625" style="537" customWidth="1"/>
    <col min="8962" max="8962" width="15.8515625" style="537" customWidth="1"/>
    <col min="8963" max="8963" width="59.140625" style="537" customWidth="1"/>
    <col min="8964" max="8964" width="18.7109375" style="537" customWidth="1"/>
    <col min="8965" max="9216" width="13.28125" style="537" customWidth="1"/>
    <col min="9217" max="9217" width="5.8515625" style="537" customWidth="1"/>
    <col min="9218" max="9218" width="15.8515625" style="537" customWidth="1"/>
    <col min="9219" max="9219" width="59.140625" style="537" customWidth="1"/>
    <col min="9220" max="9220" width="18.7109375" style="537" customWidth="1"/>
    <col min="9221" max="9472" width="13.28125" style="537" customWidth="1"/>
    <col min="9473" max="9473" width="5.8515625" style="537" customWidth="1"/>
    <col min="9474" max="9474" width="15.8515625" style="537" customWidth="1"/>
    <col min="9475" max="9475" width="59.140625" style="537" customWidth="1"/>
    <col min="9476" max="9476" width="18.7109375" style="537" customWidth="1"/>
    <col min="9477" max="9728" width="13.28125" style="537" customWidth="1"/>
    <col min="9729" max="9729" width="5.8515625" style="537" customWidth="1"/>
    <col min="9730" max="9730" width="15.8515625" style="537" customWidth="1"/>
    <col min="9731" max="9731" width="59.140625" style="537" customWidth="1"/>
    <col min="9732" max="9732" width="18.7109375" style="537" customWidth="1"/>
    <col min="9733" max="9984" width="13.28125" style="537" customWidth="1"/>
    <col min="9985" max="9985" width="5.8515625" style="537" customWidth="1"/>
    <col min="9986" max="9986" width="15.8515625" style="537" customWidth="1"/>
    <col min="9987" max="9987" width="59.140625" style="537" customWidth="1"/>
    <col min="9988" max="9988" width="18.7109375" style="537" customWidth="1"/>
    <col min="9989" max="10240" width="13.28125" style="537" customWidth="1"/>
    <col min="10241" max="10241" width="5.8515625" style="537" customWidth="1"/>
    <col min="10242" max="10242" width="15.8515625" style="537" customWidth="1"/>
    <col min="10243" max="10243" width="59.140625" style="537" customWidth="1"/>
    <col min="10244" max="10244" width="18.7109375" style="537" customWidth="1"/>
    <col min="10245" max="10496" width="13.28125" style="537" customWidth="1"/>
    <col min="10497" max="10497" width="5.8515625" style="537" customWidth="1"/>
    <col min="10498" max="10498" width="15.8515625" style="537" customWidth="1"/>
    <col min="10499" max="10499" width="59.140625" style="537" customWidth="1"/>
    <col min="10500" max="10500" width="18.7109375" style="537" customWidth="1"/>
    <col min="10501" max="10752" width="13.28125" style="537" customWidth="1"/>
    <col min="10753" max="10753" width="5.8515625" style="537" customWidth="1"/>
    <col min="10754" max="10754" width="15.8515625" style="537" customWidth="1"/>
    <col min="10755" max="10755" width="59.140625" style="537" customWidth="1"/>
    <col min="10756" max="10756" width="18.7109375" style="537" customWidth="1"/>
    <col min="10757" max="11008" width="13.28125" style="537" customWidth="1"/>
    <col min="11009" max="11009" width="5.8515625" style="537" customWidth="1"/>
    <col min="11010" max="11010" width="15.8515625" style="537" customWidth="1"/>
    <col min="11011" max="11011" width="59.140625" style="537" customWidth="1"/>
    <col min="11012" max="11012" width="18.7109375" style="537" customWidth="1"/>
    <col min="11013" max="11264" width="13.28125" style="537" customWidth="1"/>
    <col min="11265" max="11265" width="5.8515625" style="537" customWidth="1"/>
    <col min="11266" max="11266" width="15.8515625" style="537" customWidth="1"/>
    <col min="11267" max="11267" width="59.140625" style="537" customWidth="1"/>
    <col min="11268" max="11268" width="18.7109375" style="537" customWidth="1"/>
    <col min="11269" max="11520" width="13.28125" style="537" customWidth="1"/>
    <col min="11521" max="11521" width="5.8515625" style="537" customWidth="1"/>
    <col min="11522" max="11522" width="15.8515625" style="537" customWidth="1"/>
    <col min="11523" max="11523" width="59.140625" style="537" customWidth="1"/>
    <col min="11524" max="11524" width="18.7109375" style="537" customWidth="1"/>
    <col min="11525" max="11776" width="13.28125" style="537" customWidth="1"/>
    <col min="11777" max="11777" width="5.8515625" style="537" customWidth="1"/>
    <col min="11778" max="11778" width="15.8515625" style="537" customWidth="1"/>
    <col min="11779" max="11779" width="59.140625" style="537" customWidth="1"/>
    <col min="11780" max="11780" width="18.7109375" style="537" customWidth="1"/>
    <col min="11781" max="12032" width="13.28125" style="537" customWidth="1"/>
    <col min="12033" max="12033" width="5.8515625" style="537" customWidth="1"/>
    <col min="12034" max="12034" width="15.8515625" style="537" customWidth="1"/>
    <col min="12035" max="12035" width="59.140625" style="537" customWidth="1"/>
    <col min="12036" max="12036" width="18.7109375" style="537" customWidth="1"/>
    <col min="12037" max="12288" width="13.28125" style="537" customWidth="1"/>
    <col min="12289" max="12289" width="5.8515625" style="537" customWidth="1"/>
    <col min="12290" max="12290" width="15.8515625" style="537" customWidth="1"/>
    <col min="12291" max="12291" width="59.140625" style="537" customWidth="1"/>
    <col min="12292" max="12292" width="18.7109375" style="537" customWidth="1"/>
    <col min="12293" max="12544" width="13.28125" style="537" customWidth="1"/>
    <col min="12545" max="12545" width="5.8515625" style="537" customWidth="1"/>
    <col min="12546" max="12546" width="15.8515625" style="537" customWidth="1"/>
    <col min="12547" max="12547" width="59.140625" style="537" customWidth="1"/>
    <col min="12548" max="12548" width="18.7109375" style="537" customWidth="1"/>
    <col min="12549" max="12800" width="13.28125" style="537" customWidth="1"/>
    <col min="12801" max="12801" width="5.8515625" style="537" customWidth="1"/>
    <col min="12802" max="12802" width="15.8515625" style="537" customWidth="1"/>
    <col min="12803" max="12803" width="59.140625" style="537" customWidth="1"/>
    <col min="12804" max="12804" width="18.7109375" style="537" customWidth="1"/>
    <col min="12805" max="13056" width="13.28125" style="537" customWidth="1"/>
    <col min="13057" max="13057" width="5.8515625" style="537" customWidth="1"/>
    <col min="13058" max="13058" width="15.8515625" style="537" customWidth="1"/>
    <col min="13059" max="13059" width="59.140625" style="537" customWidth="1"/>
    <col min="13060" max="13060" width="18.7109375" style="537" customWidth="1"/>
    <col min="13061" max="13312" width="13.28125" style="537" customWidth="1"/>
    <col min="13313" max="13313" width="5.8515625" style="537" customWidth="1"/>
    <col min="13314" max="13314" width="15.8515625" style="537" customWidth="1"/>
    <col min="13315" max="13315" width="59.140625" style="537" customWidth="1"/>
    <col min="13316" max="13316" width="18.7109375" style="537" customWidth="1"/>
    <col min="13317" max="13568" width="13.28125" style="537" customWidth="1"/>
    <col min="13569" max="13569" width="5.8515625" style="537" customWidth="1"/>
    <col min="13570" max="13570" width="15.8515625" style="537" customWidth="1"/>
    <col min="13571" max="13571" width="59.140625" style="537" customWidth="1"/>
    <col min="13572" max="13572" width="18.7109375" style="537" customWidth="1"/>
    <col min="13573" max="13824" width="13.28125" style="537" customWidth="1"/>
    <col min="13825" max="13825" width="5.8515625" style="537" customWidth="1"/>
    <col min="13826" max="13826" width="15.8515625" style="537" customWidth="1"/>
    <col min="13827" max="13827" width="59.140625" style="537" customWidth="1"/>
    <col min="13828" max="13828" width="18.7109375" style="537" customWidth="1"/>
    <col min="13829" max="14080" width="13.28125" style="537" customWidth="1"/>
    <col min="14081" max="14081" width="5.8515625" style="537" customWidth="1"/>
    <col min="14082" max="14082" width="15.8515625" style="537" customWidth="1"/>
    <col min="14083" max="14083" width="59.140625" style="537" customWidth="1"/>
    <col min="14084" max="14084" width="18.7109375" style="537" customWidth="1"/>
    <col min="14085" max="14336" width="13.28125" style="537" customWidth="1"/>
    <col min="14337" max="14337" width="5.8515625" style="537" customWidth="1"/>
    <col min="14338" max="14338" width="15.8515625" style="537" customWidth="1"/>
    <col min="14339" max="14339" width="59.140625" style="537" customWidth="1"/>
    <col min="14340" max="14340" width="18.7109375" style="537" customWidth="1"/>
    <col min="14341" max="14592" width="13.28125" style="537" customWidth="1"/>
    <col min="14593" max="14593" width="5.8515625" style="537" customWidth="1"/>
    <col min="14594" max="14594" width="15.8515625" style="537" customWidth="1"/>
    <col min="14595" max="14595" width="59.140625" style="537" customWidth="1"/>
    <col min="14596" max="14596" width="18.7109375" style="537" customWidth="1"/>
    <col min="14597" max="14848" width="13.28125" style="537" customWidth="1"/>
    <col min="14849" max="14849" width="5.8515625" style="537" customWidth="1"/>
    <col min="14850" max="14850" width="15.8515625" style="537" customWidth="1"/>
    <col min="14851" max="14851" width="59.140625" style="537" customWidth="1"/>
    <col min="14852" max="14852" width="18.7109375" style="537" customWidth="1"/>
    <col min="14853" max="15104" width="13.28125" style="537" customWidth="1"/>
    <col min="15105" max="15105" width="5.8515625" style="537" customWidth="1"/>
    <col min="15106" max="15106" width="15.8515625" style="537" customWidth="1"/>
    <col min="15107" max="15107" width="59.140625" style="537" customWidth="1"/>
    <col min="15108" max="15108" width="18.7109375" style="537" customWidth="1"/>
    <col min="15109" max="15360" width="13.28125" style="537" customWidth="1"/>
    <col min="15361" max="15361" width="5.8515625" style="537" customWidth="1"/>
    <col min="15362" max="15362" width="15.8515625" style="537" customWidth="1"/>
    <col min="15363" max="15363" width="59.140625" style="537" customWidth="1"/>
    <col min="15364" max="15364" width="18.7109375" style="537" customWidth="1"/>
    <col min="15365" max="15616" width="13.28125" style="537" customWidth="1"/>
    <col min="15617" max="15617" width="5.8515625" style="537" customWidth="1"/>
    <col min="15618" max="15618" width="15.8515625" style="537" customWidth="1"/>
    <col min="15619" max="15619" width="59.140625" style="537" customWidth="1"/>
    <col min="15620" max="15620" width="18.7109375" style="537" customWidth="1"/>
    <col min="15621" max="15872" width="13.28125" style="537" customWidth="1"/>
    <col min="15873" max="15873" width="5.8515625" style="537" customWidth="1"/>
    <col min="15874" max="15874" width="15.8515625" style="537" customWidth="1"/>
    <col min="15875" max="15875" width="59.140625" style="537" customWidth="1"/>
    <col min="15876" max="15876" width="18.7109375" style="537" customWidth="1"/>
    <col min="15877" max="16128" width="13.28125" style="537" customWidth="1"/>
    <col min="16129" max="16129" width="5.8515625" style="537" customWidth="1"/>
    <col min="16130" max="16130" width="15.8515625" style="537" customWidth="1"/>
    <col min="16131" max="16131" width="59.140625" style="537" customWidth="1"/>
    <col min="16132" max="16132" width="18.7109375" style="537" customWidth="1"/>
    <col min="16133" max="16384" width="13.28125" style="537" customWidth="1"/>
  </cols>
  <sheetData>
    <row r="1" spans="2:9" ht="15.75" customHeight="1">
      <c r="B1" s="580"/>
      <c r="C1" s="634" t="s">
        <v>3114</v>
      </c>
      <c r="D1" s="580"/>
      <c r="E1" s="639"/>
      <c r="F1" s="560"/>
      <c r="G1" s="560"/>
      <c r="H1" s="560"/>
      <c r="I1" s="560"/>
    </row>
    <row r="2" spans="2:9" ht="51.75" customHeight="1">
      <c r="B2" s="633" t="s">
        <v>3113</v>
      </c>
      <c r="C2" s="633" t="s">
        <v>3112</v>
      </c>
      <c r="D2" s="633" t="s">
        <v>3111</v>
      </c>
      <c r="E2" s="638" t="s">
        <v>2652</v>
      </c>
      <c r="F2" s="632" t="s">
        <v>2651</v>
      </c>
      <c r="G2" s="638" t="s">
        <v>2650</v>
      </c>
      <c r="H2" s="638" t="s">
        <v>40</v>
      </c>
      <c r="I2" s="638" t="s">
        <v>2649</v>
      </c>
    </row>
    <row r="3" spans="2:9" ht="15.75" customHeight="1">
      <c r="B3" s="630" t="s">
        <v>3110</v>
      </c>
      <c r="C3" s="629" t="s">
        <v>3109</v>
      </c>
      <c r="D3" s="628">
        <v>33970</v>
      </c>
      <c r="E3" s="639">
        <v>0</v>
      </c>
      <c r="F3" s="560">
        <v>1</v>
      </c>
      <c r="G3" s="627">
        <f>F3*E3</f>
        <v>0</v>
      </c>
      <c r="H3" s="560">
        <v>21</v>
      </c>
      <c r="I3" s="627">
        <f aca="true" t="shared" si="0" ref="I3:I66">G3*1.21</f>
        <v>0</v>
      </c>
    </row>
    <row r="4" spans="2:9" ht="15.75" customHeight="1">
      <c r="B4" s="630" t="s">
        <v>3108</v>
      </c>
      <c r="C4" s="629" t="s">
        <v>3107</v>
      </c>
      <c r="D4" s="628">
        <v>37235</v>
      </c>
      <c r="E4" s="639">
        <v>0</v>
      </c>
      <c r="F4" s="560">
        <v>1</v>
      </c>
      <c r="G4" s="627">
        <f aca="true" t="shared" si="1" ref="G4:G25">F4*E4</f>
        <v>0</v>
      </c>
      <c r="H4" s="560">
        <v>21</v>
      </c>
      <c r="I4" s="627">
        <f t="shared" si="0"/>
        <v>0</v>
      </c>
    </row>
    <row r="5" spans="2:9" ht="15.75" customHeight="1">
      <c r="B5" s="630" t="s">
        <v>3106</v>
      </c>
      <c r="C5" s="629" t="s">
        <v>3105</v>
      </c>
      <c r="D5" s="628">
        <v>34768</v>
      </c>
      <c r="E5" s="639">
        <v>0</v>
      </c>
      <c r="F5" s="560">
        <v>1</v>
      </c>
      <c r="G5" s="627">
        <f t="shared" si="1"/>
        <v>0</v>
      </c>
      <c r="H5" s="560">
        <v>21</v>
      </c>
      <c r="I5" s="627">
        <f t="shared" si="0"/>
        <v>0</v>
      </c>
    </row>
    <row r="6" spans="2:9" ht="15.75" customHeight="1">
      <c r="B6" s="630" t="s">
        <v>3104</v>
      </c>
      <c r="C6" s="629" t="s">
        <v>3103</v>
      </c>
      <c r="D6" s="628">
        <v>35185</v>
      </c>
      <c r="E6" s="639">
        <v>0</v>
      </c>
      <c r="F6" s="560">
        <v>1</v>
      </c>
      <c r="G6" s="627">
        <f t="shared" si="1"/>
        <v>0</v>
      </c>
      <c r="H6" s="560">
        <v>21</v>
      </c>
      <c r="I6" s="627">
        <f t="shared" si="0"/>
        <v>0</v>
      </c>
    </row>
    <row r="7" spans="2:9" ht="15.75" customHeight="1">
      <c r="B7" s="630" t="s">
        <v>3102</v>
      </c>
      <c r="C7" s="629" t="s">
        <v>3100</v>
      </c>
      <c r="D7" s="628">
        <v>36543</v>
      </c>
      <c r="E7" s="639">
        <v>0</v>
      </c>
      <c r="F7" s="560">
        <v>1</v>
      </c>
      <c r="G7" s="627">
        <f t="shared" si="1"/>
        <v>0</v>
      </c>
      <c r="H7" s="560">
        <v>21</v>
      </c>
      <c r="I7" s="627">
        <f t="shared" si="0"/>
        <v>0</v>
      </c>
    </row>
    <row r="8" spans="2:9" ht="15.75" customHeight="1">
      <c r="B8" s="630" t="s">
        <v>3101</v>
      </c>
      <c r="C8" s="629" t="s">
        <v>3100</v>
      </c>
      <c r="D8" s="628">
        <v>36543</v>
      </c>
      <c r="E8" s="639">
        <v>0</v>
      </c>
      <c r="F8" s="560">
        <v>1</v>
      </c>
      <c r="G8" s="627">
        <f t="shared" si="1"/>
        <v>0</v>
      </c>
      <c r="H8" s="560">
        <v>21</v>
      </c>
      <c r="I8" s="627">
        <f t="shared" si="0"/>
        <v>0</v>
      </c>
    </row>
    <row r="9" spans="2:9" ht="15.75" customHeight="1">
      <c r="B9" s="630" t="s">
        <v>3099</v>
      </c>
      <c r="C9" s="629" t="s">
        <v>3098</v>
      </c>
      <c r="D9" s="628">
        <v>36543</v>
      </c>
      <c r="E9" s="639">
        <v>0</v>
      </c>
      <c r="F9" s="560">
        <v>1</v>
      </c>
      <c r="G9" s="627">
        <f t="shared" si="1"/>
        <v>0</v>
      </c>
      <c r="H9" s="560">
        <v>21</v>
      </c>
      <c r="I9" s="627">
        <f t="shared" si="0"/>
        <v>0</v>
      </c>
    </row>
    <row r="10" spans="2:9" ht="15.75" customHeight="1">
      <c r="B10" s="630" t="s">
        <v>3097</v>
      </c>
      <c r="C10" s="629" t="s">
        <v>3096</v>
      </c>
      <c r="D10" s="628">
        <v>35166</v>
      </c>
      <c r="E10" s="639">
        <v>0</v>
      </c>
      <c r="F10" s="560">
        <v>1</v>
      </c>
      <c r="G10" s="627">
        <f t="shared" si="1"/>
        <v>0</v>
      </c>
      <c r="H10" s="560">
        <v>21</v>
      </c>
      <c r="I10" s="627">
        <f t="shared" si="0"/>
        <v>0</v>
      </c>
    </row>
    <row r="11" spans="2:9" ht="15.75" customHeight="1">
      <c r="B11" s="630" t="s">
        <v>3095</v>
      </c>
      <c r="C11" s="629" t="s">
        <v>3094</v>
      </c>
      <c r="D11" s="628">
        <v>36543</v>
      </c>
      <c r="E11" s="639">
        <v>0</v>
      </c>
      <c r="F11" s="560">
        <v>1</v>
      </c>
      <c r="G11" s="627">
        <f t="shared" si="1"/>
        <v>0</v>
      </c>
      <c r="H11" s="560">
        <v>21</v>
      </c>
      <c r="I11" s="627">
        <f t="shared" si="0"/>
        <v>0</v>
      </c>
    </row>
    <row r="12" spans="2:9" ht="15.75" customHeight="1">
      <c r="B12" s="630" t="s">
        <v>3093</v>
      </c>
      <c r="C12" s="629" t="s">
        <v>3092</v>
      </c>
      <c r="D12" s="628">
        <v>37235</v>
      </c>
      <c r="E12" s="639">
        <v>0</v>
      </c>
      <c r="F12" s="560">
        <v>1</v>
      </c>
      <c r="G12" s="627">
        <f t="shared" si="1"/>
        <v>0</v>
      </c>
      <c r="H12" s="560">
        <v>21</v>
      </c>
      <c r="I12" s="627">
        <f t="shared" si="0"/>
        <v>0</v>
      </c>
    </row>
    <row r="13" spans="2:9" ht="15.75" customHeight="1">
      <c r="B13" s="630" t="s">
        <v>3091</v>
      </c>
      <c r="C13" s="629" t="s">
        <v>3090</v>
      </c>
      <c r="D13" s="628">
        <v>36543</v>
      </c>
      <c r="E13" s="639">
        <v>0</v>
      </c>
      <c r="F13" s="560">
        <v>1</v>
      </c>
      <c r="G13" s="627">
        <f t="shared" si="1"/>
        <v>0</v>
      </c>
      <c r="H13" s="560">
        <v>21</v>
      </c>
      <c r="I13" s="627">
        <f t="shared" si="0"/>
        <v>0</v>
      </c>
    </row>
    <row r="14" spans="2:9" ht="15.75" customHeight="1">
      <c r="B14" s="630" t="s">
        <v>3089</v>
      </c>
      <c r="C14" s="629" t="s">
        <v>3085</v>
      </c>
      <c r="D14" s="628">
        <v>41841</v>
      </c>
      <c r="E14" s="639">
        <v>0</v>
      </c>
      <c r="F14" s="560">
        <v>1</v>
      </c>
      <c r="G14" s="627">
        <f t="shared" si="1"/>
        <v>0</v>
      </c>
      <c r="H14" s="560">
        <v>21</v>
      </c>
      <c r="I14" s="627">
        <f t="shared" si="0"/>
        <v>0</v>
      </c>
    </row>
    <row r="15" spans="2:9" ht="15.75" customHeight="1">
      <c r="B15" s="630" t="s">
        <v>3088</v>
      </c>
      <c r="C15" s="629" t="s">
        <v>3085</v>
      </c>
      <c r="D15" s="628">
        <v>41841</v>
      </c>
      <c r="E15" s="639">
        <v>0</v>
      </c>
      <c r="F15" s="560">
        <v>1</v>
      </c>
      <c r="G15" s="627">
        <f t="shared" si="1"/>
        <v>0</v>
      </c>
      <c r="H15" s="560">
        <v>21</v>
      </c>
      <c r="I15" s="627">
        <f t="shared" si="0"/>
        <v>0</v>
      </c>
    </row>
    <row r="16" spans="2:9" ht="15.75" customHeight="1">
      <c r="B16" s="630" t="s">
        <v>3087</v>
      </c>
      <c r="C16" s="629" t="s">
        <v>3085</v>
      </c>
      <c r="D16" s="628">
        <v>41841</v>
      </c>
      <c r="E16" s="639">
        <v>0</v>
      </c>
      <c r="F16" s="560">
        <v>1</v>
      </c>
      <c r="G16" s="627">
        <f t="shared" si="1"/>
        <v>0</v>
      </c>
      <c r="H16" s="560">
        <v>21</v>
      </c>
      <c r="I16" s="627">
        <f t="shared" si="0"/>
        <v>0</v>
      </c>
    </row>
    <row r="17" spans="2:9" ht="15.75" customHeight="1">
      <c r="B17" s="630" t="s">
        <v>3086</v>
      </c>
      <c r="C17" s="629" t="s">
        <v>3085</v>
      </c>
      <c r="D17" s="628">
        <v>41841</v>
      </c>
      <c r="E17" s="639">
        <v>0</v>
      </c>
      <c r="F17" s="560">
        <v>1</v>
      </c>
      <c r="G17" s="627">
        <f t="shared" si="1"/>
        <v>0</v>
      </c>
      <c r="H17" s="560">
        <v>21</v>
      </c>
      <c r="I17" s="627">
        <f t="shared" si="0"/>
        <v>0</v>
      </c>
    </row>
    <row r="18" spans="2:9" ht="15.75" customHeight="1">
      <c r="B18" s="630" t="s">
        <v>3084</v>
      </c>
      <c r="C18" s="629" t="s">
        <v>3083</v>
      </c>
      <c r="D18" s="628">
        <v>41680</v>
      </c>
      <c r="E18" s="639">
        <v>0</v>
      </c>
      <c r="F18" s="560">
        <v>1</v>
      </c>
      <c r="G18" s="627">
        <f t="shared" si="1"/>
        <v>0</v>
      </c>
      <c r="H18" s="560">
        <v>21</v>
      </c>
      <c r="I18" s="627">
        <f t="shared" si="0"/>
        <v>0</v>
      </c>
    </row>
    <row r="19" spans="2:9" ht="15.75" customHeight="1">
      <c r="B19" s="630" t="s">
        <v>3082</v>
      </c>
      <c r="C19" s="629" t="s">
        <v>3081</v>
      </c>
      <c r="D19" s="628">
        <v>38282</v>
      </c>
      <c r="E19" s="639">
        <v>0</v>
      </c>
      <c r="F19" s="560">
        <v>1</v>
      </c>
      <c r="G19" s="627">
        <f t="shared" si="1"/>
        <v>0</v>
      </c>
      <c r="H19" s="560">
        <v>21</v>
      </c>
      <c r="I19" s="627">
        <f t="shared" si="0"/>
        <v>0</v>
      </c>
    </row>
    <row r="20" spans="2:9" ht="15.75" customHeight="1">
      <c r="B20" s="630" t="s">
        <v>3080</v>
      </c>
      <c r="C20" s="629" t="s">
        <v>3079</v>
      </c>
      <c r="D20" s="628">
        <v>37812</v>
      </c>
      <c r="E20" s="639">
        <v>0</v>
      </c>
      <c r="F20" s="560">
        <v>1</v>
      </c>
      <c r="G20" s="627">
        <f t="shared" si="1"/>
        <v>0</v>
      </c>
      <c r="H20" s="560">
        <v>21</v>
      </c>
      <c r="I20" s="627">
        <f t="shared" si="0"/>
        <v>0</v>
      </c>
    </row>
    <row r="21" spans="2:9" ht="15.75" customHeight="1">
      <c r="B21" s="630" t="s">
        <v>3078</v>
      </c>
      <c r="C21" s="629" t="s">
        <v>3077</v>
      </c>
      <c r="D21" s="628">
        <v>37812</v>
      </c>
      <c r="E21" s="639">
        <v>0</v>
      </c>
      <c r="F21" s="560">
        <v>1</v>
      </c>
      <c r="G21" s="627">
        <f t="shared" si="1"/>
        <v>0</v>
      </c>
      <c r="H21" s="560">
        <v>21</v>
      </c>
      <c r="I21" s="627">
        <f t="shared" si="0"/>
        <v>0</v>
      </c>
    </row>
    <row r="22" spans="2:9" ht="15.75" customHeight="1">
      <c r="B22" s="630" t="s">
        <v>3076</v>
      </c>
      <c r="C22" s="629" t="s">
        <v>3075</v>
      </c>
      <c r="D22" s="628">
        <v>37812</v>
      </c>
      <c r="E22" s="639">
        <v>0</v>
      </c>
      <c r="F22" s="560">
        <v>1</v>
      </c>
      <c r="G22" s="627">
        <f t="shared" si="1"/>
        <v>0</v>
      </c>
      <c r="H22" s="560">
        <v>21</v>
      </c>
      <c r="I22" s="627">
        <f t="shared" si="0"/>
        <v>0</v>
      </c>
    </row>
    <row r="23" spans="2:9" ht="15.75" customHeight="1">
      <c r="B23" s="630" t="s">
        <v>3074</v>
      </c>
      <c r="C23" s="629" t="s">
        <v>3073</v>
      </c>
      <c r="D23" s="628">
        <v>39388</v>
      </c>
      <c r="E23" s="639">
        <v>0</v>
      </c>
      <c r="F23" s="560">
        <v>1</v>
      </c>
      <c r="G23" s="627">
        <f t="shared" si="1"/>
        <v>0</v>
      </c>
      <c r="H23" s="560">
        <v>21</v>
      </c>
      <c r="I23" s="627">
        <f t="shared" si="0"/>
        <v>0</v>
      </c>
    </row>
    <row r="24" spans="2:9" ht="15.75" customHeight="1">
      <c r="B24" s="630" t="s">
        <v>3072</v>
      </c>
      <c r="C24" s="629" t="s">
        <v>3071</v>
      </c>
      <c r="D24" s="628">
        <v>33970</v>
      </c>
      <c r="E24" s="639">
        <v>0</v>
      </c>
      <c r="F24" s="560">
        <v>1</v>
      </c>
      <c r="G24" s="627">
        <f t="shared" si="1"/>
        <v>0</v>
      </c>
      <c r="H24" s="560">
        <v>21</v>
      </c>
      <c r="I24" s="627">
        <f t="shared" si="0"/>
        <v>0</v>
      </c>
    </row>
    <row r="25" spans="2:9" ht="15.75" customHeight="1">
      <c r="B25" s="630" t="s">
        <v>3070</v>
      </c>
      <c r="C25" s="629" t="s">
        <v>3069</v>
      </c>
      <c r="D25" s="628">
        <v>39583</v>
      </c>
      <c r="E25" s="639">
        <v>0</v>
      </c>
      <c r="F25" s="560">
        <v>1</v>
      </c>
      <c r="G25" s="627">
        <f t="shared" si="1"/>
        <v>0</v>
      </c>
      <c r="H25" s="560">
        <v>21</v>
      </c>
      <c r="I25" s="627">
        <f t="shared" si="0"/>
        <v>0</v>
      </c>
    </row>
    <row r="26" spans="2:9" ht="15.75" customHeight="1">
      <c r="B26" s="630" t="s">
        <v>3068</v>
      </c>
      <c r="C26" s="629" t="s">
        <v>3067</v>
      </c>
      <c r="D26" s="628">
        <v>33970</v>
      </c>
      <c r="E26" s="639">
        <v>0</v>
      </c>
      <c r="F26" s="560">
        <v>1</v>
      </c>
      <c r="G26" s="627">
        <f>F26*E26</f>
        <v>0</v>
      </c>
      <c r="H26" s="560">
        <v>21</v>
      </c>
      <c r="I26" s="627">
        <f t="shared" si="0"/>
        <v>0</v>
      </c>
    </row>
    <row r="27" spans="2:9" ht="26.25">
      <c r="B27" s="630" t="s">
        <v>3066</v>
      </c>
      <c r="C27" s="631" t="s">
        <v>3065</v>
      </c>
      <c r="D27" s="628">
        <v>39430</v>
      </c>
      <c r="E27" s="639">
        <v>0</v>
      </c>
      <c r="F27" s="560">
        <v>1</v>
      </c>
      <c r="G27" s="627">
        <f aca="true" t="shared" si="2" ref="G27:G90">F27*E27</f>
        <v>0</v>
      </c>
      <c r="H27" s="560">
        <v>21</v>
      </c>
      <c r="I27" s="627">
        <f t="shared" si="0"/>
        <v>0</v>
      </c>
    </row>
    <row r="28" spans="2:9" ht="15.75" customHeight="1">
      <c r="B28" s="630" t="s">
        <v>3064</v>
      </c>
      <c r="C28" s="629" t="s">
        <v>3063</v>
      </c>
      <c r="D28" s="628">
        <v>39338</v>
      </c>
      <c r="E28" s="639">
        <v>0</v>
      </c>
      <c r="F28" s="560">
        <v>1</v>
      </c>
      <c r="G28" s="627">
        <f t="shared" si="2"/>
        <v>0</v>
      </c>
      <c r="H28" s="560">
        <v>21</v>
      </c>
      <c r="I28" s="627">
        <f t="shared" si="0"/>
        <v>0</v>
      </c>
    </row>
    <row r="29" spans="2:9" ht="15.75" customHeight="1">
      <c r="B29" s="630" t="s">
        <v>3062</v>
      </c>
      <c r="C29" s="629" t="s">
        <v>3060</v>
      </c>
      <c r="D29" s="628">
        <v>35185</v>
      </c>
      <c r="E29" s="639">
        <v>0</v>
      </c>
      <c r="F29" s="560">
        <v>1</v>
      </c>
      <c r="G29" s="627">
        <f t="shared" si="2"/>
        <v>0</v>
      </c>
      <c r="H29" s="560">
        <v>21</v>
      </c>
      <c r="I29" s="627">
        <f t="shared" si="0"/>
        <v>0</v>
      </c>
    </row>
    <row r="30" spans="2:9" ht="15.75" customHeight="1">
      <c r="B30" s="630" t="s">
        <v>3061</v>
      </c>
      <c r="C30" s="629" t="s">
        <v>3060</v>
      </c>
      <c r="D30" s="628">
        <v>35185</v>
      </c>
      <c r="E30" s="639">
        <v>0</v>
      </c>
      <c r="F30" s="560">
        <v>1</v>
      </c>
      <c r="G30" s="627">
        <f t="shared" si="2"/>
        <v>0</v>
      </c>
      <c r="H30" s="560">
        <v>21</v>
      </c>
      <c r="I30" s="627">
        <f t="shared" si="0"/>
        <v>0</v>
      </c>
    </row>
    <row r="31" spans="2:9" ht="15.75" customHeight="1">
      <c r="B31" s="630" t="s">
        <v>3059</v>
      </c>
      <c r="C31" s="629" t="s">
        <v>3058</v>
      </c>
      <c r="D31" s="628">
        <v>36543</v>
      </c>
      <c r="E31" s="639">
        <v>0</v>
      </c>
      <c r="F31" s="560">
        <v>1</v>
      </c>
      <c r="G31" s="627">
        <f t="shared" si="2"/>
        <v>0</v>
      </c>
      <c r="H31" s="560">
        <v>21</v>
      </c>
      <c r="I31" s="627">
        <f t="shared" si="0"/>
        <v>0</v>
      </c>
    </row>
    <row r="32" spans="2:9" ht="15.75" customHeight="1">
      <c r="B32" s="630" t="s">
        <v>3057</v>
      </c>
      <c r="C32" s="629" t="s">
        <v>3056</v>
      </c>
      <c r="D32" s="628">
        <v>36543</v>
      </c>
      <c r="E32" s="639">
        <v>0</v>
      </c>
      <c r="F32" s="560">
        <v>1</v>
      </c>
      <c r="G32" s="627">
        <f t="shared" si="2"/>
        <v>0</v>
      </c>
      <c r="H32" s="560">
        <v>21</v>
      </c>
      <c r="I32" s="627">
        <f t="shared" si="0"/>
        <v>0</v>
      </c>
    </row>
    <row r="33" spans="2:9" ht="15.75" customHeight="1">
      <c r="B33" s="630" t="s">
        <v>3055</v>
      </c>
      <c r="C33" s="629" t="s">
        <v>3054</v>
      </c>
      <c r="D33" s="628">
        <v>34768</v>
      </c>
      <c r="E33" s="639">
        <v>0</v>
      </c>
      <c r="F33" s="560">
        <v>1</v>
      </c>
      <c r="G33" s="627">
        <f t="shared" si="2"/>
        <v>0</v>
      </c>
      <c r="H33" s="560">
        <v>21</v>
      </c>
      <c r="I33" s="627">
        <f t="shared" si="0"/>
        <v>0</v>
      </c>
    </row>
    <row r="34" spans="2:9" ht="15.75" customHeight="1">
      <c r="B34" s="630" t="s">
        <v>3053</v>
      </c>
      <c r="C34" s="629" t="s">
        <v>3049</v>
      </c>
      <c r="D34" s="628">
        <v>34059</v>
      </c>
      <c r="E34" s="639">
        <v>0</v>
      </c>
      <c r="F34" s="560">
        <v>1</v>
      </c>
      <c r="G34" s="627">
        <f t="shared" si="2"/>
        <v>0</v>
      </c>
      <c r="H34" s="560">
        <v>21</v>
      </c>
      <c r="I34" s="627">
        <f t="shared" si="0"/>
        <v>0</v>
      </c>
    </row>
    <row r="35" spans="2:9" ht="15.75" customHeight="1">
      <c r="B35" s="630" t="s">
        <v>3052</v>
      </c>
      <c r="C35" s="629" t="s">
        <v>3049</v>
      </c>
      <c r="D35" s="628">
        <v>34059</v>
      </c>
      <c r="E35" s="639">
        <v>0</v>
      </c>
      <c r="F35" s="560">
        <v>1</v>
      </c>
      <c r="G35" s="627">
        <f t="shared" si="2"/>
        <v>0</v>
      </c>
      <c r="H35" s="560">
        <v>21</v>
      </c>
      <c r="I35" s="627">
        <f t="shared" si="0"/>
        <v>0</v>
      </c>
    </row>
    <row r="36" spans="2:9" ht="15.75" customHeight="1">
      <c r="B36" s="630" t="s">
        <v>3051</v>
      </c>
      <c r="C36" s="629" t="s">
        <v>3049</v>
      </c>
      <c r="D36" s="628">
        <v>38554</v>
      </c>
      <c r="E36" s="639">
        <v>0</v>
      </c>
      <c r="F36" s="560">
        <v>1</v>
      </c>
      <c r="G36" s="627">
        <f t="shared" si="2"/>
        <v>0</v>
      </c>
      <c r="H36" s="560">
        <v>21</v>
      </c>
      <c r="I36" s="627">
        <f t="shared" si="0"/>
        <v>0</v>
      </c>
    </row>
    <row r="37" spans="2:9" ht="15.75" customHeight="1">
      <c r="B37" s="630" t="s">
        <v>3050</v>
      </c>
      <c r="C37" s="629" t="s">
        <v>3049</v>
      </c>
      <c r="D37" s="628">
        <v>38554</v>
      </c>
      <c r="E37" s="639">
        <v>0</v>
      </c>
      <c r="F37" s="560">
        <v>1</v>
      </c>
      <c r="G37" s="627">
        <f t="shared" si="2"/>
        <v>0</v>
      </c>
      <c r="H37" s="560">
        <v>21</v>
      </c>
      <c r="I37" s="627">
        <f t="shared" si="0"/>
        <v>0</v>
      </c>
    </row>
    <row r="38" spans="2:9" ht="15.75" customHeight="1">
      <c r="B38" s="630" t="s">
        <v>3048</v>
      </c>
      <c r="C38" s="629" t="s">
        <v>3047</v>
      </c>
      <c r="D38" s="628">
        <v>35185</v>
      </c>
      <c r="E38" s="639">
        <v>0</v>
      </c>
      <c r="F38" s="560">
        <v>1</v>
      </c>
      <c r="G38" s="627">
        <f t="shared" si="2"/>
        <v>0</v>
      </c>
      <c r="H38" s="560">
        <v>21</v>
      </c>
      <c r="I38" s="627">
        <f t="shared" si="0"/>
        <v>0</v>
      </c>
    </row>
    <row r="39" spans="2:9" ht="15.75" customHeight="1">
      <c r="B39" s="630" t="s">
        <v>3046</v>
      </c>
      <c r="C39" s="629" t="s">
        <v>3045</v>
      </c>
      <c r="D39" s="628">
        <v>33970</v>
      </c>
      <c r="E39" s="639">
        <v>0</v>
      </c>
      <c r="F39" s="560">
        <v>1</v>
      </c>
      <c r="G39" s="627">
        <f t="shared" si="2"/>
        <v>0</v>
      </c>
      <c r="H39" s="560">
        <v>21</v>
      </c>
      <c r="I39" s="627">
        <f t="shared" si="0"/>
        <v>0</v>
      </c>
    </row>
    <row r="40" spans="2:9" ht="15.75" customHeight="1">
      <c r="B40" s="630" t="s">
        <v>3044</v>
      </c>
      <c r="C40" s="629" t="s">
        <v>3043</v>
      </c>
      <c r="D40" s="628">
        <v>35166</v>
      </c>
      <c r="E40" s="639">
        <v>0</v>
      </c>
      <c r="F40" s="560">
        <v>1</v>
      </c>
      <c r="G40" s="627">
        <f t="shared" si="2"/>
        <v>0</v>
      </c>
      <c r="H40" s="560">
        <v>21</v>
      </c>
      <c r="I40" s="627">
        <f t="shared" si="0"/>
        <v>0</v>
      </c>
    </row>
    <row r="41" spans="2:9" ht="15.75" customHeight="1">
      <c r="B41" s="630" t="s">
        <v>3042</v>
      </c>
      <c r="C41" s="629" t="s">
        <v>3036</v>
      </c>
      <c r="D41" s="628">
        <v>37974</v>
      </c>
      <c r="E41" s="639">
        <v>0</v>
      </c>
      <c r="F41" s="560">
        <v>1</v>
      </c>
      <c r="G41" s="627">
        <f t="shared" si="2"/>
        <v>0</v>
      </c>
      <c r="H41" s="560">
        <v>21</v>
      </c>
      <c r="I41" s="627">
        <f t="shared" si="0"/>
        <v>0</v>
      </c>
    </row>
    <row r="42" spans="2:9" ht="15.75" customHeight="1">
      <c r="B42" s="630" t="s">
        <v>3041</v>
      </c>
      <c r="C42" s="629" t="s">
        <v>3036</v>
      </c>
      <c r="D42" s="628">
        <v>37974</v>
      </c>
      <c r="E42" s="639">
        <v>0</v>
      </c>
      <c r="F42" s="560">
        <v>1</v>
      </c>
      <c r="G42" s="627">
        <f t="shared" si="2"/>
        <v>0</v>
      </c>
      <c r="H42" s="560">
        <v>21</v>
      </c>
      <c r="I42" s="627">
        <f t="shared" si="0"/>
        <v>0</v>
      </c>
    </row>
    <row r="43" spans="2:9" ht="15.75" customHeight="1">
      <c r="B43" s="630" t="s">
        <v>3040</v>
      </c>
      <c r="C43" s="629" t="s">
        <v>3036</v>
      </c>
      <c r="D43" s="628">
        <v>37974</v>
      </c>
      <c r="E43" s="639">
        <v>0</v>
      </c>
      <c r="F43" s="560">
        <v>1</v>
      </c>
      <c r="G43" s="627">
        <f t="shared" si="2"/>
        <v>0</v>
      </c>
      <c r="H43" s="560">
        <v>21</v>
      </c>
      <c r="I43" s="627">
        <f t="shared" si="0"/>
        <v>0</v>
      </c>
    </row>
    <row r="44" spans="2:9" ht="15.75" customHeight="1">
      <c r="B44" s="630" t="s">
        <v>3039</v>
      </c>
      <c r="C44" s="629" t="s">
        <v>3036</v>
      </c>
      <c r="D44" s="628">
        <v>37974</v>
      </c>
      <c r="E44" s="639">
        <v>0</v>
      </c>
      <c r="F44" s="560">
        <v>1</v>
      </c>
      <c r="G44" s="627">
        <f t="shared" si="2"/>
        <v>0</v>
      </c>
      <c r="H44" s="560">
        <v>21</v>
      </c>
      <c r="I44" s="627">
        <f t="shared" si="0"/>
        <v>0</v>
      </c>
    </row>
    <row r="45" spans="2:9" ht="15.75" customHeight="1">
      <c r="B45" s="630" t="s">
        <v>3038</v>
      </c>
      <c r="C45" s="629" t="s">
        <v>3036</v>
      </c>
      <c r="D45" s="628">
        <v>37974</v>
      </c>
      <c r="E45" s="639">
        <v>0</v>
      </c>
      <c r="F45" s="560">
        <v>1</v>
      </c>
      <c r="G45" s="627">
        <f t="shared" si="2"/>
        <v>0</v>
      </c>
      <c r="H45" s="560">
        <v>21</v>
      </c>
      <c r="I45" s="627">
        <f t="shared" si="0"/>
        <v>0</v>
      </c>
    </row>
    <row r="46" spans="2:9" ht="15.75" customHeight="1">
      <c r="B46" s="630" t="s">
        <v>3037</v>
      </c>
      <c r="C46" s="629" t="s">
        <v>3036</v>
      </c>
      <c r="D46" s="628">
        <v>37974</v>
      </c>
      <c r="E46" s="639">
        <v>0</v>
      </c>
      <c r="F46" s="560">
        <v>1</v>
      </c>
      <c r="G46" s="627">
        <f t="shared" si="2"/>
        <v>0</v>
      </c>
      <c r="H46" s="560">
        <v>21</v>
      </c>
      <c r="I46" s="627">
        <f t="shared" si="0"/>
        <v>0</v>
      </c>
    </row>
    <row r="47" spans="2:9" ht="15.75" customHeight="1">
      <c r="B47" s="630" t="s">
        <v>3035</v>
      </c>
      <c r="C47" s="629" t="s">
        <v>3032</v>
      </c>
      <c r="D47" s="628">
        <v>35166</v>
      </c>
      <c r="E47" s="639">
        <v>0</v>
      </c>
      <c r="F47" s="560">
        <v>1</v>
      </c>
      <c r="G47" s="627">
        <f t="shared" si="2"/>
        <v>0</v>
      </c>
      <c r="H47" s="560">
        <v>21</v>
      </c>
      <c r="I47" s="627">
        <f t="shared" si="0"/>
        <v>0</v>
      </c>
    </row>
    <row r="48" spans="2:9" ht="15.75" customHeight="1">
      <c r="B48" s="630" t="s">
        <v>3034</v>
      </c>
      <c r="C48" s="629" t="s">
        <v>3032</v>
      </c>
      <c r="D48" s="628">
        <v>35166</v>
      </c>
      <c r="E48" s="639">
        <v>0</v>
      </c>
      <c r="F48" s="560">
        <v>1</v>
      </c>
      <c r="G48" s="627">
        <f t="shared" si="2"/>
        <v>0</v>
      </c>
      <c r="H48" s="560">
        <v>21</v>
      </c>
      <c r="I48" s="627">
        <f t="shared" si="0"/>
        <v>0</v>
      </c>
    </row>
    <row r="49" spans="2:9" ht="15.75" customHeight="1">
      <c r="B49" s="630" t="s">
        <v>3033</v>
      </c>
      <c r="C49" s="629" t="s">
        <v>3032</v>
      </c>
      <c r="D49" s="628">
        <v>35166</v>
      </c>
      <c r="E49" s="639">
        <v>0</v>
      </c>
      <c r="F49" s="560">
        <v>1</v>
      </c>
      <c r="G49" s="627">
        <f t="shared" si="2"/>
        <v>0</v>
      </c>
      <c r="H49" s="560">
        <v>21</v>
      </c>
      <c r="I49" s="627">
        <f t="shared" si="0"/>
        <v>0</v>
      </c>
    </row>
    <row r="50" spans="2:9" ht="15.75" customHeight="1">
      <c r="B50" s="630" t="s">
        <v>3031</v>
      </c>
      <c r="C50" s="629" t="s">
        <v>3030</v>
      </c>
      <c r="D50" s="628">
        <v>37231</v>
      </c>
      <c r="E50" s="639">
        <v>0</v>
      </c>
      <c r="F50" s="560">
        <v>1</v>
      </c>
      <c r="G50" s="627">
        <f>F50*E50</f>
        <v>0</v>
      </c>
      <c r="H50" s="560">
        <v>21</v>
      </c>
      <c r="I50" s="627">
        <f t="shared" si="0"/>
        <v>0</v>
      </c>
    </row>
    <row r="51" spans="2:9" ht="15.75" customHeight="1">
      <c r="B51" s="630" t="s">
        <v>3029</v>
      </c>
      <c r="C51" s="629" t="s">
        <v>3026</v>
      </c>
      <c r="D51" s="628">
        <v>34768</v>
      </c>
      <c r="E51" s="639">
        <v>0</v>
      </c>
      <c r="F51" s="560">
        <v>1</v>
      </c>
      <c r="G51" s="627">
        <f t="shared" si="2"/>
        <v>0</v>
      </c>
      <c r="H51" s="560">
        <v>21</v>
      </c>
      <c r="I51" s="627">
        <f t="shared" si="0"/>
        <v>0</v>
      </c>
    </row>
    <row r="52" spans="2:9" ht="15.75" customHeight="1">
      <c r="B52" s="630" t="s">
        <v>3028</v>
      </c>
      <c r="C52" s="629" t="s">
        <v>3026</v>
      </c>
      <c r="D52" s="628">
        <v>34768</v>
      </c>
      <c r="E52" s="639">
        <v>0</v>
      </c>
      <c r="F52" s="560">
        <v>1</v>
      </c>
      <c r="G52" s="627">
        <f t="shared" si="2"/>
        <v>0</v>
      </c>
      <c r="H52" s="560">
        <v>21</v>
      </c>
      <c r="I52" s="627">
        <f t="shared" si="0"/>
        <v>0</v>
      </c>
    </row>
    <row r="53" spans="2:9" ht="15.75" customHeight="1">
      <c r="B53" s="630" t="s">
        <v>3027</v>
      </c>
      <c r="C53" s="629" t="s">
        <v>3026</v>
      </c>
      <c r="D53" s="628">
        <v>34768</v>
      </c>
      <c r="E53" s="639">
        <v>0</v>
      </c>
      <c r="F53" s="560">
        <v>1</v>
      </c>
      <c r="G53" s="627">
        <f t="shared" si="2"/>
        <v>0</v>
      </c>
      <c r="H53" s="560">
        <v>21</v>
      </c>
      <c r="I53" s="627">
        <f t="shared" si="0"/>
        <v>0</v>
      </c>
    </row>
    <row r="54" spans="2:9" ht="15.75" customHeight="1">
      <c r="B54" s="630" t="s">
        <v>3025</v>
      </c>
      <c r="C54" s="629" t="s">
        <v>3023</v>
      </c>
      <c r="D54" s="628">
        <v>33970</v>
      </c>
      <c r="E54" s="639">
        <v>0</v>
      </c>
      <c r="F54" s="560">
        <v>1</v>
      </c>
      <c r="G54" s="627">
        <f t="shared" si="2"/>
        <v>0</v>
      </c>
      <c r="H54" s="560">
        <v>21</v>
      </c>
      <c r="I54" s="627">
        <f t="shared" si="0"/>
        <v>0</v>
      </c>
    </row>
    <row r="55" spans="2:9" ht="15.75" customHeight="1">
      <c r="B55" s="630" t="s">
        <v>3024</v>
      </c>
      <c r="C55" s="629" t="s">
        <v>3023</v>
      </c>
      <c r="D55" s="628">
        <v>33970</v>
      </c>
      <c r="E55" s="639">
        <v>0</v>
      </c>
      <c r="F55" s="560">
        <v>1</v>
      </c>
      <c r="G55" s="627">
        <f t="shared" si="2"/>
        <v>0</v>
      </c>
      <c r="H55" s="560">
        <v>21</v>
      </c>
      <c r="I55" s="627">
        <f t="shared" si="0"/>
        <v>0</v>
      </c>
    </row>
    <row r="56" spans="2:9" ht="15.75" customHeight="1">
      <c r="B56" s="630" t="s">
        <v>3022</v>
      </c>
      <c r="C56" s="629" t="s">
        <v>3021</v>
      </c>
      <c r="D56" s="628">
        <v>40518</v>
      </c>
      <c r="E56" s="639">
        <v>0</v>
      </c>
      <c r="F56" s="560">
        <v>1</v>
      </c>
      <c r="G56" s="627">
        <f t="shared" si="2"/>
        <v>0</v>
      </c>
      <c r="H56" s="560">
        <v>21</v>
      </c>
      <c r="I56" s="627">
        <f t="shared" si="0"/>
        <v>0</v>
      </c>
    </row>
    <row r="57" spans="2:9" ht="15.75" customHeight="1">
      <c r="B57" s="630" t="s">
        <v>3020</v>
      </c>
      <c r="C57" s="629" t="s">
        <v>3019</v>
      </c>
      <c r="D57" s="628">
        <v>41809</v>
      </c>
      <c r="E57" s="639">
        <v>0</v>
      </c>
      <c r="F57" s="560">
        <v>1</v>
      </c>
      <c r="G57" s="627">
        <f t="shared" si="2"/>
        <v>0</v>
      </c>
      <c r="H57" s="560">
        <v>21</v>
      </c>
      <c r="I57" s="627">
        <f t="shared" si="0"/>
        <v>0</v>
      </c>
    </row>
    <row r="58" spans="2:9" ht="15.75" customHeight="1">
      <c r="B58" s="630" t="s">
        <v>3018</v>
      </c>
      <c r="C58" s="629" t="s">
        <v>3017</v>
      </c>
      <c r="D58" s="628">
        <v>41759</v>
      </c>
      <c r="E58" s="639">
        <v>0</v>
      </c>
      <c r="F58" s="560">
        <v>1</v>
      </c>
      <c r="G58" s="627">
        <f t="shared" si="2"/>
        <v>0</v>
      </c>
      <c r="H58" s="560">
        <v>21</v>
      </c>
      <c r="I58" s="627">
        <f t="shared" si="0"/>
        <v>0</v>
      </c>
    </row>
    <row r="59" spans="2:9" ht="15.75" customHeight="1">
      <c r="B59" s="630" t="s">
        <v>3016</v>
      </c>
      <c r="C59" s="629" t="s">
        <v>3015</v>
      </c>
      <c r="D59" s="628">
        <v>41809</v>
      </c>
      <c r="E59" s="639">
        <v>0</v>
      </c>
      <c r="F59" s="560">
        <v>1</v>
      </c>
      <c r="G59" s="627">
        <f t="shared" si="2"/>
        <v>0</v>
      </c>
      <c r="H59" s="560">
        <v>21</v>
      </c>
      <c r="I59" s="627">
        <f t="shared" si="0"/>
        <v>0</v>
      </c>
    </row>
    <row r="60" spans="2:9" ht="15.75" customHeight="1">
      <c r="B60" s="630" t="s">
        <v>3014</v>
      </c>
      <c r="C60" s="629" t="s">
        <v>3013</v>
      </c>
      <c r="D60" s="628">
        <v>33878</v>
      </c>
      <c r="E60" s="639">
        <v>0</v>
      </c>
      <c r="F60" s="560">
        <v>1</v>
      </c>
      <c r="G60" s="627">
        <f t="shared" si="2"/>
        <v>0</v>
      </c>
      <c r="H60" s="560">
        <v>21</v>
      </c>
      <c r="I60" s="627">
        <f t="shared" si="0"/>
        <v>0</v>
      </c>
    </row>
    <row r="61" spans="2:9" ht="15.75" customHeight="1">
      <c r="B61" s="630" t="s">
        <v>3012</v>
      </c>
      <c r="C61" s="629" t="s">
        <v>3011</v>
      </c>
      <c r="D61" s="628">
        <v>42804</v>
      </c>
      <c r="E61" s="639">
        <v>0</v>
      </c>
      <c r="F61" s="560">
        <v>1</v>
      </c>
      <c r="G61" s="627">
        <f t="shared" si="2"/>
        <v>0</v>
      </c>
      <c r="H61" s="560">
        <v>21</v>
      </c>
      <c r="I61" s="627">
        <f t="shared" si="0"/>
        <v>0</v>
      </c>
    </row>
    <row r="62" spans="2:9" ht="15.75" customHeight="1">
      <c r="B62" s="630" t="s">
        <v>3010</v>
      </c>
      <c r="C62" s="629" t="s">
        <v>3009</v>
      </c>
      <c r="D62" s="628">
        <v>36542</v>
      </c>
      <c r="E62" s="639">
        <v>0</v>
      </c>
      <c r="F62" s="560">
        <v>1</v>
      </c>
      <c r="G62" s="627">
        <f t="shared" si="2"/>
        <v>0</v>
      </c>
      <c r="H62" s="560">
        <v>21</v>
      </c>
      <c r="I62" s="627">
        <f t="shared" si="0"/>
        <v>0</v>
      </c>
    </row>
    <row r="63" spans="2:9" ht="15.75" customHeight="1">
      <c r="B63" s="630" t="s">
        <v>3008</v>
      </c>
      <c r="C63" s="629" t="s">
        <v>2995</v>
      </c>
      <c r="D63" s="628">
        <v>36543</v>
      </c>
      <c r="E63" s="639">
        <v>0</v>
      </c>
      <c r="F63" s="560">
        <v>1</v>
      </c>
      <c r="G63" s="627">
        <f t="shared" si="2"/>
        <v>0</v>
      </c>
      <c r="H63" s="560">
        <v>21</v>
      </c>
      <c r="I63" s="627">
        <f t="shared" si="0"/>
        <v>0</v>
      </c>
    </row>
    <row r="64" spans="2:9" ht="15.75" customHeight="1">
      <c r="B64" s="630" t="s">
        <v>3007</v>
      </c>
      <c r="C64" s="629" t="s">
        <v>2995</v>
      </c>
      <c r="D64" s="628">
        <v>36543</v>
      </c>
      <c r="E64" s="639">
        <v>0</v>
      </c>
      <c r="F64" s="560">
        <v>1</v>
      </c>
      <c r="G64" s="627">
        <f t="shared" si="2"/>
        <v>0</v>
      </c>
      <c r="H64" s="560">
        <v>21</v>
      </c>
      <c r="I64" s="627">
        <f t="shared" si="0"/>
        <v>0</v>
      </c>
    </row>
    <row r="65" spans="2:9" ht="15.75" customHeight="1">
      <c r="B65" s="630" t="s">
        <v>3006</v>
      </c>
      <c r="C65" s="629" t="s">
        <v>2995</v>
      </c>
      <c r="D65" s="628">
        <v>36543</v>
      </c>
      <c r="E65" s="639">
        <v>0</v>
      </c>
      <c r="F65" s="560">
        <v>1</v>
      </c>
      <c r="G65" s="627">
        <f t="shared" si="2"/>
        <v>0</v>
      </c>
      <c r="H65" s="560">
        <v>21</v>
      </c>
      <c r="I65" s="627">
        <f t="shared" si="0"/>
        <v>0</v>
      </c>
    </row>
    <row r="66" spans="2:9" ht="15.75" customHeight="1">
      <c r="B66" s="630" t="s">
        <v>3005</v>
      </c>
      <c r="C66" s="629" t="s">
        <v>2995</v>
      </c>
      <c r="D66" s="628">
        <v>36543</v>
      </c>
      <c r="E66" s="639">
        <v>0</v>
      </c>
      <c r="F66" s="560">
        <v>1</v>
      </c>
      <c r="G66" s="627">
        <f t="shared" si="2"/>
        <v>0</v>
      </c>
      <c r="H66" s="560">
        <v>21</v>
      </c>
      <c r="I66" s="627">
        <f t="shared" si="0"/>
        <v>0</v>
      </c>
    </row>
    <row r="67" spans="2:9" ht="15.75" customHeight="1">
      <c r="B67" s="630" t="s">
        <v>3004</v>
      </c>
      <c r="C67" s="629" t="s">
        <v>2995</v>
      </c>
      <c r="D67" s="628">
        <v>36543</v>
      </c>
      <c r="E67" s="639">
        <v>0</v>
      </c>
      <c r="F67" s="560">
        <v>1</v>
      </c>
      <c r="G67" s="627">
        <f t="shared" si="2"/>
        <v>0</v>
      </c>
      <c r="H67" s="560">
        <v>21</v>
      </c>
      <c r="I67" s="627">
        <f aca="true" t="shared" si="3" ref="I67:I130">G67*1.21</f>
        <v>0</v>
      </c>
    </row>
    <row r="68" spans="2:9" ht="15.75" customHeight="1">
      <c r="B68" s="630" t="s">
        <v>3003</v>
      </c>
      <c r="C68" s="629" t="s">
        <v>2995</v>
      </c>
      <c r="D68" s="628">
        <v>36543</v>
      </c>
      <c r="E68" s="639">
        <v>0</v>
      </c>
      <c r="F68" s="560">
        <v>1</v>
      </c>
      <c r="G68" s="627">
        <f t="shared" si="2"/>
        <v>0</v>
      </c>
      <c r="H68" s="560">
        <v>21</v>
      </c>
      <c r="I68" s="627">
        <f t="shared" si="3"/>
        <v>0</v>
      </c>
    </row>
    <row r="69" spans="2:9" ht="15.75" customHeight="1">
      <c r="B69" s="630" t="s">
        <v>3002</v>
      </c>
      <c r="C69" s="629" t="s">
        <v>2995</v>
      </c>
      <c r="D69" s="628">
        <v>36543</v>
      </c>
      <c r="E69" s="639">
        <v>0</v>
      </c>
      <c r="F69" s="560">
        <v>1</v>
      </c>
      <c r="G69" s="627">
        <f t="shared" si="2"/>
        <v>0</v>
      </c>
      <c r="H69" s="560">
        <v>21</v>
      </c>
      <c r="I69" s="627">
        <f t="shared" si="3"/>
        <v>0</v>
      </c>
    </row>
    <row r="70" spans="2:9" ht="15.75" customHeight="1">
      <c r="B70" s="630" t="s">
        <v>3001</v>
      </c>
      <c r="C70" s="629" t="s">
        <v>2995</v>
      </c>
      <c r="D70" s="628">
        <v>36543</v>
      </c>
      <c r="E70" s="639">
        <v>0</v>
      </c>
      <c r="F70" s="560">
        <v>1</v>
      </c>
      <c r="G70" s="627">
        <f t="shared" si="2"/>
        <v>0</v>
      </c>
      <c r="H70" s="560">
        <v>21</v>
      </c>
      <c r="I70" s="627">
        <f t="shared" si="3"/>
        <v>0</v>
      </c>
    </row>
    <row r="71" spans="2:9" ht="15.75" customHeight="1">
      <c r="B71" s="630" t="s">
        <v>3000</v>
      </c>
      <c r="C71" s="629" t="s">
        <v>2995</v>
      </c>
      <c r="D71" s="628">
        <v>36543</v>
      </c>
      <c r="E71" s="639">
        <v>0</v>
      </c>
      <c r="F71" s="560">
        <v>1</v>
      </c>
      <c r="G71" s="627">
        <f>F71*E71</f>
        <v>0</v>
      </c>
      <c r="H71" s="560">
        <v>21</v>
      </c>
      <c r="I71" s="627">
        <f t="shared" si="3"/>
        <v>0</v>
      </c>
    </row>
    <row r="72" spans="2:9" ht="15.75" customHeight="1">
      <c r="B72" s="630" t="s">
        <v>2999</v>
      </c>
      <c r="C72" s="629" t="s">
        <v>2995</v>
      </c>
      <c r="D72" s="628">
        <v>36543</v>
      </c>
      <c r="E72" s="639">
        <v>0</v>
      </c>
      <c r="F72" s="560">
        <v>1</v>
      </c>
      <c r="G72" s="627">
        <f t="shared" si="2"/>
        <v>0</v>
      </c>
      <c r="H72" s="560">
        <v>21</v>
      </c>
      <c r="I72" s="627">
        <f t="shared" si="3"/>
        <v>0</v>
      </c>
    </row>
    <row r="73" spans="2:9" ht="15.75" customHeight="1">
      <c r="B73" s="630" t="s">
        <v>2998</v>
      </c>
      <c r="C73" s="629" t="s">
        <v>2995</v>
      </c>
      <c r="D73" s="628">
        <v>36543</v>
      </c>
      <c r="E73" s="639">
        <v>0</v>
      </c>
      <c r="F73" s="560">
        <v>1</v>
      </c>
      <c r="G73" s="627">
        <f t="shared" si="2"/>
        <v>0</v>
      </c>
      <c r="H73" s="560">
        <v>21</v>
      </c>
      <c r="I73" s="627">
        <f t="shared" si="3"/>
        <v>0</v>
      </c>
    </row>
    <row r="74" spans="2:9" ht="15.75" customHeight="1">
      <c r="B74" s="630" t="s">
        <v>2997</v>
      </c>
      <c r="C74" s="629" t="s">
        <v>2995</v>
      </c>
      <c r="D74" s="628">
        <v>36543</v>
      </c>
      <c r="E74" s="639">
        <v>0</v>
      </c>
      <c r="F74" s="560">
        <v>1</v>
      </c>
      <c r="G74" s="627">
        <f t="shared" si="2"/>
        <v>0</v>
      </c>
      <c r="H74" s="560">
        <v>21</v>
      </c>
      <c r="I74" s="627">
        <f t="shared" si="3"/>
        <v>0</v>
      </c>
    </row>
    <row r="75" spans="2:9" ht="15.75" customHeight="1">
      <c r="B75" s="630" t="s">
        <v>2996</v>
      </c>
      <c r="C75" s="629" t="s">
        <v>2995</v>
      </c>
      <c r="D75" s="628">
        <v>36543</v>
      </c>
      <c r="E75" s="639">
        <v>0</v>
      </c>
      <c r="F75" s="560">
        <v>1</v>
      </c>
      <c r="G75" s="627">
        <f t="shared" si="2"/>
        <v>0</v>
      </c>
      <c r="H75" s="560">
        <v>21</v>
      </c>
      <c r="I75" s="627">
        <f t="shared" si="3"/>
        <v>0</v>
      </c>
    </row>
    <row r="76" spans="2:9" ht="15.75" customHeight="1">
      <c r="B76" s="630" t="s">
        <v>2994</v>
      </c>
      <c r="C76" s="629" t="s">
        <v>2992</v>
      </c>
      <c r="D76" s="628">
        <v>36543</v>
      </c>
      <c r="E76" s="639">
        <v>0</v>
      </c>
      <c r="F76" s="560">
        <v>1</v>
      </c>
      <c r="G76" s="627">
        <f t="shared" si="2"/>
        <v>0</v>
      </c>
      <c r="H76" s="560">
        <v>21</v>
      </c>
      <c r="I76" s="627">
        <f t="shared" si="3"/>
        <v>0</v>
      </c>
    </row>
    <row r="77" spans="2:9" ht="15.75" customHeight="1">
      <c r="B77" s="630" t="s">
        <v>2993</v>
      </c>
      <c r="C77" s="629" t="s">
        <v>2992</v>
      </c>
      <c r="D77" s="628">
        <v>36543</v>
      </c>
      <c r="E77" s="639">
        <v>0</v>
      </c>
      <c r="F77" s="560">
        <v>1</v>
      </c>
      <c r="G77" s="627">
        <f t="shared" si="2"/>
        <v>0</v>
      </c>
      <c r="H77" s="560">
        <v>21</v>
      </c>
      <c r="I77" s="627">
        <f t="shared" si="3"/>
        <v>0</v>
      </c>
    </row>
    <row r="78" spans="2:9" ht="15.75" customHeight="1">
      <c r="B78" s="630" t="s">
        <v>2991</v>
      </c>
      <c r="C78" s="629" t="s">
        <v>2990</v>
      </c>
      <c r="D78" s="628">
        <v>36543</v>
      </c>
      <c r="E78" s="639">
        <v>0</v>
      </c>
      <c r="F78" s="560">
        <v>1</v>
      </c>
      <c r="G78" s="627">
        <f t="shared" si="2"/>
        <v>0</v>
      </c>
      <c r="H78" s="560">
        <v>21</v>
      </c>
      <c r="I78" s="627">
        <f t="shared" si="3"/>
        <v>0</v>
      </c>
    </row>
    <row r="79" spans="2:9" ht="15.75" customHeight="1">
      <c r="B79" s="630" t="s">
        <v>2989</v>
      </c>
      <c r="C79" s="629" t="s">
        <v>2988</v>
      </c>
      <c r="D79" s="628">
        <v>35185</v>
      </c>
      <c r="E79" s="639">
        <v>0</v>
      </c>
      <c r="F79" s="560">
        <v>1</v>
      </c>
      <c r="G79" s="627">
        <f t="shared" si="2"/>
        <v>0</v>
      </c>
      <c r="H79" s="560">
        <v>21</v>
      </c>
      <c r="I79" s="627">
        <f t="shared" si="3"/>
        <v>0</v>
      </c>
    </row>
    <row r="80" spans="2:9" ht="15.75" customHeight="1">
      <c r="B80" s="630" t="s">
        <v>2987</v>
      </c>
      <c r="C80" s="629" t="s">
        <v>2986</v>
      </c>
      <c r="D80" s="628">
        <v>36543</v>
      </c>
      <c r="E80" s="639">
        <v>0</v>
      </c>
      <c r="F80" s="560">
        <v>1</v>
      </c>
      <c r="G80" s="627">
        <f t="shared" si="2"/>
        <v>0</v>
      </c>
      <c r="H80" s="560">
        <v>21</v>
      </c>
      <c r="I80" s="627">
        <f t="shared" si="3"/>
        <v>0</v>
      </c>
    </row>
    <row r="81" spans="2:9" ht="15.75" customHeight="1">
      <c r="B81" s="630" t="s">
        <v>2985</v>
      </c>
      <c r="C81" s="629" t="s">
        <v>2984</v>
      </c>
      <c r="D81" s="628">
        <v>35166</v>
      </c>
      <c r="E81" s="639">
        <v>0</v>
      </c>
      <c r="F81" s="560">
        <v>1</v>
      </c>
      <c r="G81" s="627">
        <f t="shared" si="2"/>
        <v>0</v>
      </c>
      <c r="H81" s="560">
        <v>21</v>
      </c>
      <c r="I81" s="627">
        <f t="shared" si="3"/>
        <v>0</v>
      </c>
    </row>
    <row r="82" spans="2:9" ht="15.75" customHeight="1">
      <c r="B82" s="630" t="s">
        <v>2983</v>
      </c>
      <c r="C82" s="629" t="s">
        <v>2982</v>
      </c>
      <c r="D82" s="628">
        <v>36181</v>
      </c>
      <c r="E82" s="639">
        <v>0</v>
      </c>
      <c r="F82" s="560">
        <v>1</v>
      </c>
      <c r="G82" s="627">
        <f t="shared" si="2"/>
        <v>0</v>
      </c>
      <c r="H82" s="560">
        <v>21</v>
      </c>
      <c r="I82" s="627">
        <f t="shared" si="3"/>
        <v>0</v>
      </c>
    </row>
    <row r="83" spans="2:9" ht="15.75" customHeight="1">
      <c r="B83" s="630" t="s">
        <v>2981</v>
      </c>
      <c r="C83" s="629" t="s">
        <v>2980</v>
      </c>
      <c r="D83" s="628">
        <v>33970</v>
      </c>
      <c r="E83" s="639">
        <v>0</v>
      </c>
      <c r="F83" s="560">
        <v>1</v>
      </c>
      <c r="G83" s="627">
        <f t="shared" si="2"/>
        <v>0</v>
      </c>
      <c r="H83" s="560">
        <v>21</v>
      </c>
      <c r="I83" s="627">
        <f t="shared" si="3"/>
        <v>0</v>
      </c>
    </row>
    <row r="84" spans="2:9" ht="15.75" customHeight="1">
      <c r="B84" s="630" t="s">
        <v>2979</v>
      </c>
      <c r="C84" s="629" t="s">
        <v>2978</v>
      </c>
      <c r="D84" s="628">
        <v>36543</v>
      </c>
      <c r="E84" s="639">
        <v>0</v>
      </c>
      <c r="F84" s="560">
        <v>1</v>
      </c>
      <c r="G84" s="627">
        <f t="shared" si="2"/>
        <v>0</v>
      </c>
      <c r="H84" s="560">
        <v>21</v>
      </c>
      <c r="I84" s="627">
        <f t="shared" si="3"/>
        <v>0</v>
      </c>
    </row>
    <row r="85" spans="2:9" ht="15.75" customHeight="1">
      <c r="B85" s="630" t="s">
        <v>2977</v>
      </c>
      <c r="C85" s="629" t="s">
        <v>2976</v>
      </c>
      <c r="D85" s="628">
        <v>35817</v>
      </c>
      <c r="E85" s="639">
        <v>0</v>
      </c>
      <c r="F85" s="560">
        <v>1</v>
      </c>
      <c r="G85" s="627">
        <f t="shared" si="2"/>
        <v>0</v>
      </c>
      <c r="H85" s="560">
        <v>21</v>
      </c>
      <c r="I85" s="627">
        <f t="shared" si="3"/>
        <v>0</v>
      </c>
    </row>
    <row r="86" spans="2:9" ht="15.75" customHeight="1">
      <c r="B86" s="630" t="s">
        <v>2975</v>
      </c>
      <c r="C86" s="629" t="s">
        <v>2974</v>
      </c>
      <c r="D86" s="628">
        <v>42717</v>
      </c>
      <c r="E86" s="639">
        <v>0</v>
      </c>
      <c r="F86" s="560">
        <v>1</v>
      </c>
      <c r="G86" s="627">
        <f t="shared" si="2"/>
        <v>0</v>
      </c>
      <c r="H86" s="560">
        <v>21</v>
      </c>
      <c r="I86" s="627">
        <f t="shared" si="3"/>
        <v>0</v>
      </c>
    </row>
    <row r="87" spans="2:9" ht="15.75" customHeight="1">
      <c r="B87" s="630" t="s">
        <v>2973</v>
      </c>
      <c r="C87" s="629" t="s">
        <v>2972</v>
      </c>
      <c r="D87" s="628">
        <v>35166</v>
      </c>
      <c r="E87" s="639">
        <v>0</v>
      </c>
      <c r="F87" s="560">
        <v>1</v>
      </c>
      <c r="G87" s="627">
        <f t="shared" si="2"/>
        <v>0</v>
      </c>
      <c r="H87" s="560">
        <v>21</v>
      </c>
      <c r="I87" s="627">
        <f t="shared" si="3"/>
        <v>0</v>
      </c>
    </row>
    <row r="88" spans="2:9" ht="15.75" customHeight="1">
      <c r="B88" s="630" t="s">
        <v>2971</v>
      </c>
      <c r="C88" s="629" t="s">
        <v>2956</v>
      </c>
      <c r="D88" s="628">
        <v>36556</v>
      </c>
      <c r="E88" s="639">
        <v>0</v>
      </c>
      <c r="F88" s="560">
        <v>1</v>
      </c>
      <c r="G88" s="627">
        <f t="shared" si="2"/>
        <v>0</v>
      </c>
      <c r="H88" s="560">
        <v>21</v>
      </c>
      <c r="I88" s="627">
        <f t="shared" si="3"/>
        <v>0</v>
      </c>
    </row>
    <row r="89" spans="2:9" ht="15.75" customHeight="1">
      <c r="B89" s="630" t="s">
        <v>2970</v>
      </c>
      <c r="C89" s="629" t="s">
        <v>2956</v>
      </c>
      <c r="D89" s="628">
        <v>36556</v>
      </c>
      <c r="E89" s="639">
        <v>0</v>
      </c>
      <c r="F89" s="560">
        <v>1</v>
      </c>
      <c r="G89" s="627">
        <f t="shared" si="2"/>
        <v>0</v>
      </c>
      <c r="H89" s="560">
        <v>21</v>
      </c>
      <c r="I89" s="627">
        <f t="shared" si="3"/>
        <v>0</v>
      </c>
    </row>
    <row r="90" spans="2:9" ht="15.75" customHeight="1">
      <c r="B90" s="630" t="s">
        <v>2969</v>
      </c>
      <c r="C90" s="629" t="s">
        <v>2956</v>
      </c>
      <c r="D90" s="628">
        <v>36556</v>
      </c>
      <c r="E90" s="639">
        <v>0</v>
      </c>
      <c r="F90" s="560">
        <v>1</v>
      </c>
      <c r="G90" s="627">
        <f t="shared" si="2"/>
        <v>0</v>
      </c>
      <c r="H90" s="560">
        <v>21</v>
      </c>
      <c r="I90" s="627">
        <f t="shared" si="3"/>
        <v>0</v>
      </c>
    </row>
    <row r="91" spans="2:9" ht="15.75" customHeight="1">
      <c r="B91" s="630" t="s">
        <v>2968</v>
      </c>
      <c r="C91" s="629" t="s">
        <v>2956</v>
      </c>
      <c r="D91" s="628">
        <v>36556</v>
      </c>
      <c r="E91" s="639">
        <v>0</v>
      </c>
      <c r="F91" s="560">
        <v>1</v>
      </c>
      <c r="G91" s="627">
        <f aca="true" t="shared" si="4" ref="G91:G92">F91*E91</f>
        <v>0</v>
      </c>
      <c r="H91" s="560">
        <v>21</v>
      </c>
      <c r="I91" s="627">
        <f t="shared" si="3"/>
        <v>0</v>
      </c>
    </row>
    <row r="92" spans="2:9" ht="15.75" customHeight="1">
      <c r="B92" s="630" t="s">
        <v>2967</v>
      </c>
      <c r="C92" s="629" t="s">
        <v>2956</v>
      </c>
      <c r="D92" s="628">
        <v>36556</v>
      </c>
      <c r="E92" s="639">
        <v>0</v>
      </c>
      <c r="F92" s="560">
        <v>1</v>
      </c>
      <c r="G92" s="627">
        <f t="shared" si="4"/>
        <v>0</v>
      </c>
      <c r="H92" s="560">
        <v>21</v>
      </c>
      <c r="I92" s="627">
        <f t="shared" si="3"/>
        <v>0</v>
      </c>
    </row>
    <row r="93" spans="2:9" ht="15.75" customHeight="1">
      <c r="B93" s="630" t="s">
        <v>2966</v>
      </c>
      <c r="C93" s="629" t="s">
        <v>2956</v>
      </c>
      <c r="D93" s="628">
        <v>36556</v>
      </c>
      <c r="E93" s="639">
        <v>0</v>
      </c>
      <c r="F93" s="560">
        <v>1</v>
      </c>
      <c r="G93" s="627">
        <f>F93*E93</f>
        <v>0</v>
      </c>
      <c r="H93" s="560">
        <v>21</v>
      </c>
      <c r="I93" s="627">
        <f t="shared" si="3"/>
        <v>0</v>
      </c>
    </row>
    <row r="94" spans="2:9" ht="15.75" customHeight="1">
      <c r="B94" s="630" t="s">
        <v>2965</v>
      </c>
      <c r="C94" s="629" t="s">
        <v>2956</v>
      </c>
      <c r="D94" s="628">
        <v>36556</v>
      </c>
      <c r="E94" s="639">
        <v>0</v>
      </c>
      <c r="F94" s="560">
        <v>1</v>
      </c>
      <c r="G94" s="627">
        <f aca="true" t="shared" si="5" ref="G94:G112">F94*E94</f>
        <v>0</v>
      </c>
      <c r="H94" s="560">
        <v>21</v>
      </c>
      <c r="I94" s="627">
        <f t="shared" si="3"/>
        <v>0</v>
      </c>
    </row>
    <row r="95" spans="2:9" ht="15.75" customHeight="1">
      <c r="B95" s="630" t="s">
        <v>2964</v>
      </c>
      <c r="C95" s="629" t="s">
        <v>2956</v>
      </c>
      <c r="D95" s="628">
        <v>36556</v>
      </c>
      <c r="E95" s="639">
        <v>0</v>
      </c>
      <c r="F95" s="560">
        <v>1</v>
      </c>
      <c r="G95" s="627">
        <f t="shared" si="5"/>
        <v>0</v>
      </c>
      <c r="H95" s="560">
        <v>21</v>
      </c>
      <c r="I95" s="627">
        <f t="shared" si="3"/>
        <v>0</v>
      </c>
    </row>
    <row r="96" spans="2:9" ht="15.75" customHeight="1">
      <c r="B96" s="630" t="s">
        <v>2963</v>
      </c>
      <c r="C96" s="629" t="s">
        <v>2956</v>
      </c>
      <c r="D96" s="628">
        <v>36556</v>
      </c>
      <c r="E96" s="639">
        <v>0</v>
      </c>
      <c r="F96" s="560">
        <v>1</v>
      </c>
      <c r="G96" s="627">
        <f t="shared" si="5"/>
        <v>0</v>
      </c>
      <c r="H96" s="560">
        <v>21</v>
      </c>
      <c r="I96" s="627">
        <f t="shared" si="3"/>
        <v>0</v>
      </c>
    </row>
    <row r="97" spans="2:9" ht="15.75" customHeight="1">
      <c r="B97" s="630" t="s">
        <v>2962</v>
      </c>
      <c r="C97" s="629" t="s">
        <v>2956</v>
      </c>
      <c r="D97" s="628">
        <v>36556</v>
      </c>
      <c r="E97" s="639">
        <v>0</v>
      </c>
      <c r="F97" s="560">
        <v>1</v>
      </c>
      <c r="G97" s="627">
        <f t="shared" si="5"/>
        <v>0</v>
      </c>
      <c r="H97" s="560">
        <v>21</v>
      </c>
      <c r="I97" s="627">
        <f t="shared" si="3"/>
        <v>0</v>
      </c>
    </row>
    <row r="98" spans="2:9" ht="15.75" customHeight="1">
      <c r="B98" s="630" t="s">
        <v>2961</v>
      </c>
      <c r="C98" s="629" t="s">
        <v>2956</v>
      </c>
      <c r="D98" s="628">
        <v>36556</v>
      </c>
      <c r="E98" s="639">
        <v>0</v>
      </c>
      <c r="F98" s="560">
        <v>1</v>
      </c>
      <c r="G98" s="627">
        <f t="shared" si="5"/>
        <v>0</v>
      </c>
      <c r="H98" s="560">
        <v>21</v>
      </c>
      <c r="I98" s="627">
        <f t="shared" si="3"/>
        <v>0</v>
      </c>
    </row>
    <row r="99" spans="2:9" ht="15.75" customHeight="1">
      <c r="B99" s="630" t="s">
        <v>2960</v>
      </c>
      <c r="C99" s="629" t="s">
        <v>2956</v>
      </c>
      <c r="D99" s="628">
        <v>36556</v>
      </c>
      <c r="E99" s="639">
        <v>0</v>
      </c>
      <c r="F99" s="560">
        <v>1</v>
      </c>
      <c r="G99" s="627">
        <f t="shared" si="5"/>
        <v>0</v>
      </c>
      <c r="H99" s="560">
        <v>21</v>
      </c>
      <c r="I99" s="627">
        <f t="shared" si="3"/>
        <v>0</v>
      </c>
    </row>
    <row r="100" spans="2:9" ht="15.75" customHeight="1">
      <c r="B100" s="630" t="s">
        <v>2959</v>
      </c>
      <c r="C100" s="629" t="s">
        <v>2956</v>
      </c>
      <c r="D100" s="628">
        <v>36556</v>
      </c>
      <c r="E100" s="639">
        <v>0</v>
      </c>
      <c r="F100" s="560">
        <v>1</v>
      </c>
      <c r="G100" s="627">
        <f t="shared" si="5"/>
        <v>0</v>
      </c>
      <c r="H100" s="560">
        <v>21</v>
      </c>
      <c r="I100" s="627">
        <f t="shared" si="3"/>
        <v>0</v>
      </c>
    </row>
    <row r="101" spans="2:9" ht="15.75" customHeight="1">
      <c r="B101" s="630" t="s">
        <v>2958</v>
      </c>
      <c r="C101" s="629" t="s">
        <v>2956</v>
      </c>
      <c r="D101" s="628">
        <v>36556</v>
      </c>
      <c r="E101" s="639">
        <v>0</v>
      </c>
      <c r="F101" s="560">
        <v>1</v>
      </c>
      <c r="G101" s="627">
        <f t="shared" si="5"/>
        <v>0</v>
      </c>
      <c r="H101" s="560">
        <v>21</v>
      </c>
      <c r="I101" s="627">
        <f t="shared" si="3"/>
        <v>0</v>
      </c>
    </row>
    <row r="102" spans="2:9" ht="15.75" customHeight="1">
      <c r="B102" s="630" t="s">
        <v>2957</v>
      </c>
      <c r="C102" s="629" t="s">
        <v>2956</v>
      </c>
      <c r="D102" s="628">
        <v>36556</v>
      </c>
      <c r="E102" s="639">
        <v>0</v>
      </c>
      <c r="F102" s="560">
        <v>1</v>
      </c>
      <c r="G102" s="627">
        <f t="shared" si="5"/>
        <v>0</v>
      </c>
      <c r="H102" s="560">
        <v>21</v>
      </c>
      <c r="I102" s="627">
        <f t="shared" si="3"/>
        <v>0</v>
      </c>
    </row>
    <row r="103" spans="2:9" ht="15.75" customHeight="1">
      <c r="B103" s="630" t="s">
        <v>2955</v>
      </c>
      <c r="C103" s="629" t="s">
        <v>2954</v>
      </c>
      <c r="D103" s="628">
        <v>43398</v>
      </c>
      <c r="E103" s="639">
        <v>0</v>
      </c>
      <c r="F103" s="560">
        <v>1</v>
      </c>
      <c r="G103" s="627">
        <f t="shared" si="5"/>
        <v>0</v>
      </c>
      <c r="H103" s="560">
        <v>21</v>
      </c>
      <c r="I103" s="627">
        <f t="shared" si="3"/>
        <v>0</v>
      </c>
    </row>
    <row r="104" spans="2:9" ht="15.75" customHeight="1">
      <c r="B104" s="630" t="s">
        <v>2953</v>
      </c>
      <c r="C104" s="629" t="s">
        <v>2952</v>
      </c>
      <c r="D104" s="628">
        <v>40715</v>
      </c>
      <c r="E104" s="639">
        <v>0</v>
      </c>
      <c r="F104" s="560">
        <v>1</v>
      </c>
      <c r="G104" s="627">
        <f t="shared" si="5"/>
        <v>0</v>
      </c>
      <c r="H104" s="560">
        <v>21</v>
      </c>
      <c r="I104" s="627">
        <f t="shared" si="3"/>
        <v>0</v>
      </c>
    </row>
    <row r="105" spans="2:9" ht="15.75" customHeight="1">
      <c r="B105" s="630" t="s">
        <v>2951</v>
      </c>
      <c r="C105" s="629" t="s">
        <v>2950</v>
      </c>
      <c r="D105" s="628">
        <v>36059</v>
      </c>
      <c r="E105" s="639">
        <v>0</v>
      </c>
      <c r="F105" s="560">
        <v>1</v>
      </c>
      <c r="G105" s="627">
        <f t="shared" si="5"/>
        <v>0</v>
      </c>
      <c r="H105" s="560">
        <v>21</v>
      </c>
      <c r="I105" s="627">
        <f t="shared" si="3"/>
        <v>0</v>
      </c>
    </row>
    <row r="106" spans="2:9" ht="15.75" customHeight="1">
      <c r="B106" s="630" t="s">
        <v>2949</v>
      </c>
      <c r="C106" s="629" t="s">
        <v>2948</v>
      </c>
      <c r="D106" s="628">
        <v>36542</v>
      </c>
      <c r="E106" s="639">
        <v>0</v>
      </c>
      <c r="F106" s="560">
        <v>1</v>
      </c>
      <c r="G106" s="627">
        <f t="shared" si="5"/>
        <v>0</v>
      </c>
      <c r="H106" s="560">
        <v>21</v>
      </c>
      <c r="I106" s="627">
        <f t="shared" si="3"/>
        <v>0</v>
      </c>
    </row>
    <row r="107" spans="2:9" ht="15.75" customHeight="1">
      <c r="B107" s="630" t="s">
        <v>2947</v>
      </c>
      <c r="C107" s="629" t="s">
        <v>2946</v>
      </c>
      <c r="D107" s="628">
        <v>36542</v>
      </c>
      <c r="E107" s="639">
        <v>0</v>
      </c>
      <c r="F107" s="560">
        <v>1</v>
      </c>
      <c r="G107" s="627">
        <f t="shared" si="5"/>
        <v>0</v>
      </c>
      <c r="H107" s="560">
        <v>21</v>
      </c>
      <c r="I107" s="627">
        <f t="shared" si="3"/>
        <v>0</v>
      </c>
    </row>
    <row r="108" spans="2:9" ht="15.75" customHeight="1">
      <c r="B108" s="630" t="s">
        <v>2945</v>
      </c>
      <c r="C108" s="629" t="s">
        <v>2944</v>
      </c>
      <c r="D108" s="628">
        <v>34824</v>
      </c>
      <c r="E108" s="639">
        <v>0</v>
      </c>
      <c r="F108" s="560">
        <v>1</v>
      </c>
      <c r="G108" s="627">
        <f t="shared" si="5"/>
        <v>0</v>
      </c>
      <c r="H108" s="560">
        <v>21</v>
      </c>
      <c r="I108" s="627">
        <f t="shared" si="3"/>
        <v>0</v>
      </c>
    </row>
    <row r="109" spans="2:9" ht="15.75" customHeight="1">
      <c r="B109" s="630" t="s">
        <v>2943</v>
      </c>
      <c r="C109" s="629" t="s">
        <v>2941</v>
      </c>
      <c r="D109" s="628">
        <v>36543</v>
      </c>
      <c r="E109" s="639">
        <v>0</v>
      </c>
      <c r="F109" s="560">
        <v>1</v>
      </c>
      <c r="G109" s="627">
        <f t="shared" si="5"/>
        <v>0</v>
      </c>
      <c r="H109" s="560">
        <v>21</v>
      </c>
      <c r="I109" s="627">
        <f t="shared" si="3"/>
        <v>0</v>
      </c>
    </row>
    <row r="110" spans="2:9" ht="15.75" customHeight="1">
      <c r="B110" s="630" t="s">
        <v>2942</v>
      </c>
      <c r="C110" s="629" t="s">
        <v>2941</v>
      </c>
      <c r="D110" s="628">
        <v>36543</v>
      </c>
      <c r="E110" s="639">
        <v>0</v>
      </c>
      <c r="F110" s="560">
        <v>1</v>
      </c>
      <c r="G110" s="627">
        <f t="shared" si="5"/>
        <v>0</v>
      </c>
      <c r="H110" s="560">
        <v>21</v>
      </c>
      <c r="I110" s="627">
        <f t="shared" si="3"/>
        <v>0</v>
      </c>
    </row>
    <row r="111" spans="2:9" ht="15.75" customHeight="1">
      <c r="B111" s="630" t="s">
        <v>2940</v>
      </c>
      <c r="C111" s="629" t="s">
        <v>2939</v>
      </c>
      <c r="D111" s="628">
        <v>36881</v>
      </c>
      <c r="E111" s="639">
        <v>0</v>
      </c>
      <c r="F111" s="560">
        <v>1</v>
      </c>
      <c r="G111" s="627">
        <f t="shared" si="5"/>
        <v>0</v>
      </c>
      <c r="H111" s="560">
        <v>21</v>
      </c>
      <c r="I111" s="627">
        <f t="shared" si="3"/>
        <v>0</v>
      </c>
    </row>
    <row r="112" spans="2:9" ht="15.75" customHeight="1">
      <c r="B112" s="630" t="s">
        <v>2938</v>
      </c>
      <c r="C112" s="629" t="s">
        <v>2937</v>
      </c>
      <c r="D112" s="628">
        <v>35185</v>
      </c>
      <c r="E112" s="639">
        <v>0</v>
      </c>
      <c r="F112" s="560">
        <v>1</v>
      </c>
      <c r="G112" s="627">
        <f t="shared" si="5"/>
        <v>0</v>
      </c>
      <c r="H112" s="560">
        <v>21</v>
      </c>
      <c r="I112" s="627">
        <f t="shared" si="3"/>
        <v>0</v>
      </c>
    </row>
    <row r="113" spans="2:9" ht="15.75" customHeight="1">
      <c r="B113" s="630" t="s">
        <v>2936</v>
      </c>
      <c r="C113" s="629" t="s">
        <v>2935</v>
      </c>
      <c r="D113" s="628">
        <v>43455</v>
      </c>
      <c r="E113" s="639">
        <v>0</v>
      </c>
      <c r="F113" s="560">
        <v>1</v>
      </c>
      <c r="G113" s="627">
        <f>F113*E113</f>
        <v>0</v>
      </c>
      <c r="H113" s="560">
        <v>21</v>
      </c>
      <c r="I113" s="627">
        <f t="shared" si="3"/>
        <v>0</v>
      </c>
    </row>
    <row r="114" spans="2:9" ht="15.75" customHeight="1">
      <c r="B114" s="630" t="s">
        <v>2934</v>
      </c>
      <c r="C114" s="629" t="s">
        <v>2933</v>
      </c>
      <c r="D114" s="628">
        <v>33970</v>
      </c>
      <c r="E114" s="639">
        <v>0</v>
      </c>
      <c r="F114" s="560">
        <v>1</v>
      </c>
      <c r="G114" s="627">
        <f aca="true" t="shared" si="6" ref="G114:G134">F114*E114</f>
        <v>0</v>
      </c>
      <c r="H114" s="560">
        <v>21</v>
      </c>
      <c r="I114" s="627">
        <f t="shared" si="3"/>
        <v>0</v>
      </c>
    </row>
    <row r="115" spans="2:9" ht="15.75" customHeight="1">
      <c r="B115" s="630" t="s">
        <v>2932</v>
      </c>
      <c r="C115" s="629" t="s">
        <v>2931</v>
      </c>
      <c r="D115" s="628">
        <v>35166</v>
      </c>
      <c r="E115" s="639">
        <v>0</v>
      </c>
      <c r="F115" s="560">
        <v>1</v>
      </c>
      <c r="G115" s="627">
        <f t="shared" si="6"/>
        <v>0</v>
      </c>
      <c r="H115" s="560">
        <v>21</v>
      </c>
      <c r="I115" s="627">
        <f t="shared" si="3"/>
        <v>0</v>
      </c>
    </row>
    <row r="116" spans="2:9" ht="15.75" customHeight="1">
      <c r="B116" s="630" t="s">
        <v>2930</v>
      </c>
      <c r="C116" s="629" t="s">
        <v>2929</v>
      </c>
      <c r="D116" s="628">
        <v>36181</v>
      </c>
      <c r="E116" s="639">
        <v>0</v>
      </c>
      <c r="F116" s="560">
        <v>1</v>
      </c>
      <c r="G116" s="627">
        <f t="shared" si="6"/>
        <v>0</v>
      </c>
      <c r="H116" s="560">
        <v>21</v>
      </c>
      <c r="I116" s="627">
        <f t="shared" si="3"/>
        <v>0</v>
      </c>
    </row>
    <row r="117" spans="2:9" ht="15.75" customHeight="1">
      <c r="B117" s="630" t="s">
        <v>2928</v>
      </c>
      <c r="C117" s="629" t="s">
        <v>2927</v>
      </c>
      <c r="D117" s="628">
        <v>36543</v>
      </c>
      <c r="E117" s="639">
        <v>0</v>
      </c>
      <c r="F117" s="560">
        <v>1</v>
      </c>
      <c r="G117" s="627">
        <f t="shared" si="6"/>
        <v>0</v>
      </c>
      <c r="H117" s="560">
        <v>21</v>
      </c>
      <c r="I117" s="627">
        <f t="shared" si="3"/>
        <v>0</v>
      </c>
    </row>
    <row r="118" spans="2:9" ht="15.75" customHeight="1">
      <c r="B118" s="630" t="s">
        <v>2926</v>
      </c>
      <c r="C118" s="629" t="s">
        <v>2915</v>
      </c>
      <c r="D118" s="628">
        <v>33970</v>
      </c>
      <c r="E118" s="639">
        <v>0</v>
      </c>
      <c r="F118" s="560">
        <v>1</v>
      </c>
      <c r="G118" s="627">
        <f t="shared" si="6"/>
        <v>0</v>
      </c>
      <c r="H118" s="560">
        <v>21</v>
      </c>
      <c r="I118" s="627">
        <f t="shared" si="3"/>
        <v>0</v>
      </c>
    </row>
    <row r="119" spans="2:9" ht="15.75" customHeight="1">
      <c r="B119" s="630" t="s">
        <v>2925</v>
      </c>
      <c r="C119" s="629" t="s">
        <v>2915</v>
      </c>
      <c r="D119" s="628">
        <v>33970</v>
      </c>
      <c r="E119" s="639">
        <v>0</v>
      </c>
      <c r="F119" s="560">
        <v>1</v>
      </c>
      <c r="G119" s="627">
        <f t="shared" si="6"/>
        <v>0</v>
      </c>
      <c r="H119" s="560">
        <v>21</v>
      </c>
      <c r="I119" s="627">
        <f t="shared" si="3"/>
        <v>0</v>
      </c>
    </row>
    <row r="120" spans="2:9" ht="15.75" customHeight="1">
      <c r="B120" s="630" t="s">
        <v>2924</v>
      </c>
      <c r="C120" s="629" t="s">
        <v>2915</v>
      </c>
      <c r="D120" s="628">
        <v>33970</v>
      </c>
      <c r="E120" s="639">
        <v>0</v>
      </c>
      <c r="F120" s="560">
        <v>1</v>
      </c>
      <c r="G120" s="627">
        <f t="shared" si="6"/>
        <v>0</v>
      </c>
      <c r="H120" s="560">
        <v>21</v>
      </c>
      <c r="I120" s="627">
        <f t="shared" si="3"/>
        <v>0</v>
      </c>
    </row>
    <row r="121" spans="2:9" ht="15.75" customHeight="1">
      <c r="B121" s="630" t="s">
        <v>2923</v>
      </c>
      <c r="C121" s="629" t="s">
        <v>2915</v>
      </c>
      <c r="D121" s="628">
        <v>33970</v>
      </c>
      <c r="E121" s="639">
        <v>0</v>
      </c>
      <c r="F121" s="560">
        <v>1</v>
      </c>
      <c r="G121" s="627">
        <f t="shared" si="6"/>
        <v>0</v>
      </c>
      <c r="H121" s="560">
        <v>21</v>
      </c>
      <c r="I121" s="627">
        <f t="shared" si="3"/>
        <v>0</v>
      </c>
    </row>
    <row r="122" spans="2:9" ht="15.75" customHeight="1">
      <c r="B122" s="630" t="s">
        <v>2922</v>
      </c>
      <c r="C122" s="629" t="s">
        <v>2915</v>
      </c>
      <c r="D122" s="628">
        <v>33970</v>
      </c>
      <c r="E122" s="639">
        <v>0</v>
      </c>
      <c r="F122" s="560">
        <v>1</v>
      </c>
      <c r="G122" s="627">
        <f t="shared" si="6"/>
        <v>0</v>
      </c>
      <c r="H122" s="560">
        <v>21</v>
      </c>
      <c r="I122" s="627">
        <f t="shared" si="3"/>
        <v>0</v>
      </c>
    </row>
    <row r="123" spans="2:9" ht="15.75" customHeight="1">
      <c r="B123" s="630" t="s">
        <v>2921</v>
      </c>
      <c r="C123" s="629" t="s">
        <v>2915</v>
      </c>
      <c r="D123" s="628">
        <v>33970</v>
      </c>
      <c r="E123" s="639">
        <v>0</v>
      </c>
      <c r="F123" s="560">
        <v>1</v>
      </c>
      <c r="G123" s="627">
        <f t="shared" si="6"/>
        <v>0</v>
      </c>
      <c r="H123" s="560">
        <v>21</v>
      </c>
      <c r="I123" s="627">
        <f t="shared" si="3"/>
        <v>0</v>
      </c>
    </row>
    <row r="124" spans="2:9" ht="15.75" customHeight="1">
      <c r="B124" s="630" t="s">
        <v>2920</v>
      </c>
      <c r="C124" s="629" t="s">
        <v>2915</v>
      </c>
      <c r="D124" s="628">
        <v>33970</v>
      </c>
      <c r="E124" s="639">
        <v>0</v>
      </c>
      <c r="F124" s="560">
        <v>1</v>
      </c>
      <c r="G124" s="627">
        <f t="shared" si="6"/>
        <v>0</v>
      </c>
      <c r="H124" s="560">
        <v>21</v>
      </c>
      <c r="I124" s="627">
        <f t="shared" si="3"/>
        <v>0</v>
      </c>
    </row>
    <row r="125" spans="2:9" ht="15.75" customHeight="1">
      <c r="B125" s="630" t="s">
        <v>2919</v>
      </c>
      <c r="C125" s="629" t="s">
        <v>2915</v>
      </c>
      <c r="D125" s="628">
        <v>33970</v>
      </c>
      <c r="E125" s="639">
        <v>0</v>
      </c>
      <c r="F125" s="560">
        <v>1</v>
      </c>
      <c r="G125" s="627">
        <f t="shared" si="6"/>
        <v>0</v>
      </c>
      <c r="H125" s="560">
        <v>21</v>
      </c>
      <c r="I125" s="627">
        <f t="shared" si="3"/>
        <v>0</v>
      </c>
    </row>
    <row r="126" spans="2:9" ht="15.75" customHeight="1">
      <c r="B126" s="630" t="s">
        <v>2918</v>
      </c>
      <c r="C126" s="629" t="s">
        <v>2915</v>
      </c>
      <c r="D126" s="628">
        <v>33970</v>
      </c>
      <c r="E126" s="639">
        <v>0</v>
      </c>
      <c r="F126" s="560">
        <v>1</v>
      </c>
      <c r="G126" s="627">
        <f t="shared" si="6"/>
        <v>0</v>
      </c>
      <c r="H126" s="560">
        <v>21</v>
      </c>
      <c r="I126" s="627">
        <f t="shared" si="3"/>
        <v>0</v>
      </c>
    </row>
    <row r="127" spans="2:9" ht="15.75" customHeight="1">
      <c r="B127" s="630" t="s">
        <v>2917</v>
      </c>
      <c r="C127" s="629" t="s">
        <v>2915</v>
      </c>
      <c r="D127" s="628">
        <v>33970</v>
      </c>
      <c r="E127" s="639">
        <v>0</v>
      </c>
      <c r="F127" s="560">
        <v>1</v>
      </c>
      <c r="G127" s="627">
        <f t="shared" si="6"/>
        <v>0</v>
      </c>
      <c r="H127" s="560">
        <v>21</v>
      </c>
      <c r="I127" s="627">
        <f t="shared" si="3"/>
        <v>0</v>
      </c>
    </row>
    <row r="128" spans="2:9" ht="15.75" customHeight="1">
      <c r="B128" s="630" t="s">
        <v>2916</v>
      </c>
      <c r="C128" s="629" t="s">
        <v>2915</v>
      </c>
      <c r="D128" s="628">
        <v>33970</v>
      </c>
      <c r="E128" s="639">
        <v>0</v>
      </c>
      <c r="F128" s="560">
        <v>1</v>
      </c>
      <c r="G128" s="627">
        <f t="shared" si="6"/>
        <v>0</v>
      </c>
      <c r="H128" s="560">
        <v>21</v>
      </c>
      <c r="I128" s="627">
        <f t="shared" si="3"/>
        <v>0</v>
      </c>
    </row>
    <row r="129" spans="2:9" ht="15.75" customHeight="1">
      <c r="B129" s="630" t="s">
        <v>2914</v>
      </c>
      <c r="C129" s="629" t="s">
        <v>2862</v>
      </c>
      <c r="D129" s="628">
        <v>36543</v>
      </c>
      <c r="E129" s="639">
        <v>0</v>
      </c>
      <c r="F129" s="560">
        <v>1</v>
      </c>
      <c r="G129" s="627">
        <f t="shared" si="6"/>
        <v>0</v>
      </c>
      <c r="H129" s="560">
        <v>21</v>
      </c>
      <c r="I129" s="627">
        <f t="shared" si="3"/>
        <v>0</v>
      </c>
    </row>
    <row r="130" spans="2:9" ht="15.75" customHeight="1">
      <c r="B130" s="630" t="s">
        <v>2913</v>
      </c>
      <c r="C130" s="629" t="s">
        <v>2862</v>
      </c>
      <c r="D130" s="628">
        <v>36543</v>
      </c>
      <c r="E130" s="639">
        <v>0</v>
      </c>
      <c r="F130" s="560">
        <v>1</v>
      </c>
      <c r="G130" s="627">
        <f t="shared" si="6"/>
        <v>0</v>
      </c>
      <c r="H130" s="560">
        <v>21</v>
      </c>
      <c r="I130" s="627">
        <f t="shared" si="3"/>
        <v>0</v>
      </c>
    </row>
    <row r="131" spans="2:9" ht="15.75" customHeight="1">
      <c r="B131" s="630" t="s">
        <v>2912</v>
      </c>
      <c r="C131" s="629" t="s">
        <v>2862</v>
      </c>
      <c r="D131" s="628">
        <v>36543</v>
      </c>
      <c r="E131" s="639">
        <v>0</v>
      </c>
      <c r="F131" s="560">
        <v>1</v>
      </c>
      <c r="G131" s="627">
        <f t="shared" si="6"/>
        <v>0</v>
      </c>
      <c r="H131" s="560">
        <v>21</v>
      </c>
      <c r="I131" s="627">
        <f aca="true" t="shared" si="7" ref="I131:I184">G131*1.21</f>
        <v>0</v>
      </c>
    </row>
    <row r="132" spans="2:9" ht="15.75" customHeight="1">
      <c r="B132" s="630" t="s">
        <v>2911</v>
      </c>
      <c r="C132" s="629" t="s">
        <v>2862</v>
      </c>
      <c r="D132" s="628">
        <v>36543</v>
      </c>
      <c r="E132" s="639">
        <v>0</v>
      </c>
      <c r="F132" s="560">
        <v>1</v>
      </c>
      <c r="G132" s="627">
        <f t="shared" si="6"/>
        <v>0</v>
      </c>
      <c r="H132" s="560">
        <v>21</v>
      </c>
      <c r="I132" s="627">
        <f t="shared" si="7"/>
        <v>0</v>
      </c>
    </row>
    <row r="133" spans="2:9" ht="15.75" customHeight="1">
      <c r="B133" s="630" t="s">
        <v>2910</v>
      </c>
      <c r="C133" s="629" t="s">
        <v>2862</v>
      </c>
      <c r="D133" s="628">
        <v>36543</v>
      </c>
      <c r="E133" s="639">
        <v>0</v>
      </c>
      <c r="F133" s="560">
        <v>1</v>
      </c>
      <c r="G133" s="627">
        <f t="shared" si="6"/>
        <v>0</v>
      </c>
      <c r="H133" s="560">
        <v>21</v>
      </c>
      <c r="I133" s="627">
        <f t="shared" si="7"/>
        <v>0</v>
      </c>
    </row>
    <row r="134" spans="2:9" ht="15.75" customHeight="1">
      <c r="B134" s="630" t="s">
        <v>2909</v>
      </c>
      <c r="C134" s="629" t="s">
        <v>2862</v>
      </c>
      <c r="D134" s="628">
        <v>36543</v>
      </c>
      <c r="E134" s="639">
        <v>0</v>
      </c>
      <c r="F134" s="560">
        <v>1</v>
      </c>
      <c r="G134" s="627">
        <f t="shared" si="6"/>
        <v>0</v>
      </c>
      <c r="H134" s="560">
        <v>21</v>
      </c>
      <c r="I134" s="627">
        <f t="shared" si="7"/>
        <v>0</v>
      </c>
    </row>
    <row r="135" spans="2:9" ht="15.75" customHeight="1">
      <c r="B135" s="630" t="s">
        <v>2908</v>
      </c>
      <c r="C135" s="629" t="s">
        <v>2862</v>
      </c>
      <c r="D135" s="628">
        <v>36543</v>
      </c>
      <c r="E135" s="639">
        <v>0</v>
      </c>
      <c r="F135" s="560">
        <v>1</v>
      </c>
      <c r="G135" s="627">
        <f>F135*E135</f>
        <v>0</v>
      </c>
      <c r="H135" s="560">
        <v>21</v>
      </c>
      <c r="I135" s="627">
        <f t="shared" si="7"/>
        <v>0</v>
      </c>
    </row>
    <row r="136" spans="2:9" ht="15.75" customHeight="1">
      <c r="B136" s="630" t="s">
        <v>2907</v>
      </c>
      <c r="C136" s="629" t="s">
        <v>2862</v>
      </c>
      <c r="D136" s="628">
        <v>36543</v>
      </c>
      <c r="E136" s="639">
        <v>0</v>
      </c>
      <c r="F136" s="560">
        <v>1</v>
      </c>
      <c r="G136" s="627">
        <f aca="true" t="shared" si="8" ref="G136:G158">F136*E136</f>
        <v>0</v>
      </c>
      <c r="H136" s="560">
        <v>21</v>
      </c>
      <c r="I136" s="627">
        <f t="shared" si="7"/>
        <v>0</v>
      </c>
    </row>
    <row r="137" spans="2:9" ht="15.75" customHeight="1">
      <c r="B137" s="630" t="s">
        <v>2906</v>
      </c>
      <c r="C137" s="629" t="s">
        <v>2862</v>
      </c>
      <c r="D137" s="628">
        <v>36543</v>
      </c>
      <c r="E137" s="639">
        <v>0</v>
      </c>
      <c r="F137" s="560">
        <v>1</v>
      </c>
      <c r="G137" s="627">
        <f t="shared" si="8"/>
        <v>0</v>
      </c>
      <c r="H137" s="560">
        <v>21</v>
      </c>
      <c r="I137" s="627">
        <f t="shared" si="7"/>
        <v>0</v>
      </c>
    </row>
    <row r="138" spans="2:9" ht="15.75" customHeight="1">
      <c r="B138" s="630" t="s">
        <v>2905</v>
      </c>
      <c r="C138" s="629" t="s">
        <v>2862</v>
      </c>
      <c r="D138" s="628">
        <v>36543</v>
      </c>
      <c r="E138" s="639">
        <v>0</v>
      </c>
      <c r="F138" s="560">
        <v>1</v>
      </c>
      <c r="G138" s="627">
        <f t="shared" si="8"/>
        <v>0</v>
      </c>
      <c r="H138" s="560">
        <v>21</v>
      </c>
      <c r="I138" s="627">
        <f t="shared" si="7"/>
        <v>0</v>
      </c>
    </row>
    <row r="139" spans="2:9" ht="15.75" customHeight="1">
      <c r="B139" s="630" t="s">
        <v>2904</v>
      </c>
      <c r="C139" s="629" t="s">
        <v>2862</v>
      </c>
      <c r="D139" s="628">
        <v>36543</v>
      </c>
      <c r="E139" s="639">
        <v>0</v>
      </c>
      <c r="F139" s="560">
        <v>1</v>
      </c>
      <c r="G139" s="627">
        <f t="shared" si="8"/>
        <v>0</v>
      </c>
      <c r="H139" s="560">
        <v>21</v>
      </c>
      <c r="I139" s="627">
        <f t="shared" si="7"/>
        <v>0</v>
      </c>
    </row>
    <row r="140" spans="2:9" ht="15.75" customHeight="1">
      <c r="B140" s="630" t="s">
        <v>2903</v>
      </c>
      <c r="C140" s="629" t="s">
        <v>2862</v>
      </c>
      <c r="D140" s="628">
        <v>36543</v>
      </c>
      <c r="E140" s="639">
        <v>0</v>
      </c>
      <c r="F140" s="560">
        <v>1</v>
      </c>
      <c r="G140" s="627">
        <f t="shared" si="8"/>
        <v>0</v>
      </c>
      <c r="H140" s="560">
        <v>21</v>
      </c>
      <c r="I140" s="627">
        <f t="shared" si="7"/>
        <v>0</v>
      </c>
    </row>
    <row r="141" spans="2:9" ht="15.75" customHeight="1">
      <c r="B141" s="630" t="s">
        <v>2902</v>
      </c>
      <c r="C141" s="629" t="s">
        <v>2862</v>
      </c>
      <c r="D141" s="628">
        <v>36543</v>
      </c>
      <c r="E141" s="639">
        <v>0</v>
      </c>
      <c r="F141" s="560">
        <v>1</v>
      </c>
      <c r="G141" s="627">
        <f t="shared" si="8"/>
        <v>0</v>
      </c>
      <c r="H141" s="560">
        <v>21</v>
      </c>
      <c r="I141" s="627">
        <f t="shared" si="7"/>
        <v>0</v>
      </c>
    </row>
    <row r="142" spans="2:9" ht="15.75" customHeight="1">
      <c r="B142" s="630" t="s">
        <v>2901</v>
      </c>
      <c r="C142" s="629" t="s">
        <v>2862</v>
      </c>
      <c r="D142" s="628">
        <v>36543</v>
      </c>
      <c r="E142" s="639">
        <v>0</v>
      </c>
      <c r="F142" s="560">
        <v>1</v>
      </c>
      <c r="G142" s="627">
        <f t="shared" si="8"/>
        <v>0</v>
      </c>
      <c r="H142" s="560">
        <v>21</v>
      </c>
      <c r="I142" s="627">
        <f t="shared" si="7"/>
        <v>0</v>
      </c>
    </row>
    <row r="143" spans="2:9" ht="15.75" customHeight="1">
      <c r="B143" s="630" t="s">
        <v>2900</v>
      </c>
      <c r="C143" s="629" t="s">
        <v>2862</v>
      </c>
      <c r="D143" s="628">
        <v>36543</v>
      </c>
      <c r="E143" s="639">
        <v>0</v>
      </c>
      <c r="F143" s="560">
        <v>1</v>
      </c>
      <c r="G143" s="627">
        <f t="shared" si="8"/>
        <v>0</v>
      </c>
      <c r="H143" s="560">
        <v>21</v>
      </c>
      <c r="I143" s="627">
        <f t="shared" si="7"/>
        <v>0</v>
      </c>
    </row>
    <row r="144" spans="2:9" ht="15.75" customHeight="1">
      <c r="B144" s="630" t="s">
        <v>2899</v>
      </c>
      <c r="C144" s="629" t="s">
        <v>2862</v>
      </c>
      <c r="D144" s="628">
        <v>36543</v>
      </c>
      <c r="E144" s="639">
        <v>0</v>
      </c>
      <c r="F144" s="560">
        <v>1</v>
      </c>
      <c r="G144" s="627">
        <f t="shared" si="8"/>
        <v>0</v>
      </c>
      <c r="H144" s="560">
        <v>21</v>
      </c>
      <c r="I144" s="627">
        <f t="shared" si="7"/>
        <v>0</v>
      </c>
    </row>
    <row r="145" spans="2:9" ht="15.75" customHeight="1">
      <c r="B145" s="630" t="s">
        <v>2898</v>
      </c>
      <c r="C145" s="629" t="s">
        <v>2862</v>
      </c>
      <c r="D145" s="628">
        <v>36543</v>
      </c>
      <c r="E145" s="639">
        <v>0</v>
      </c>
      <c r="F145" s="560">
        <v>1</v>
      </c>
      <c r="G145" s="627">
        <f t="shared" si="8"/>
        <v>0</v>
      </c>
      <c r="H145" s="560">
        <v>21</v>
      </c>
      <c r="I145" s="627">
        <f t="shared" si="7"/>
        <v>0</v>
      </c>
    </row>
    <row r="146" spans="2:9" ht="15.75" customHeight="1">
      <c r="B146" s="630" t="s">
        <v>2897</v>
      </c>
      <c r="C146" s="629" t="s">
        <v>2862</v>
      </c>
      <c r="D146" s="628">
        <v>36543</v>
      </c>
      <c r="E146" s="639">
        <v>0</v>
      </c>
      <c r="F146" s="560">
        <v>1</v>
      </c>
      <c r="G146" s="627">
        <f t="shared" si="8"/>
        <v>0</v>
      </c>
      <c r="H146" s="560">
        <v>21</v>
      </c>
      <c r="I146" s="627">
        <f t="shared" si="7"/>
        <v>0</v>
      </c>
    </row>
    <row r="147" spans="2:9" ht="15.75" customHeight="1">
      <c r="B147" s="630" t="s">
        <v>2896</v>
      </c>
      <c r="C147" s="629" t="s">
        <v>2862</v>
      </c>
      <c r="D147" s="628">
        <v>36543</v>
      </c>
      <c r="E147" s="639">
        <v>0</v>
      </c>
      <c r="F147" s="560">
        <v>1</v>
      </c>
      <c r="G147" s="627">
        <f t="shared" si="8"/>
        <v>0</v>
      </c>
      <c r="H147" s="560">
        <v>21</v>
      </c>
      <c r="I147" s="627">
        <f t="shared" si="7"/>
        <v>0</v>
      </c>
    </row>
    <row r="148" spans="2:9" ht="15.75" customHeight="1">
      <c r="B148" s="630" t="s">
        <v>2895</v>
      </c>
      <c r="C148" s="629" t="s">
        <v>2862</v>
      </c>
      <c r="D148" s="628">
        <v>36543</v>
      </c>
      <c r="E148" s="639">
        <v>0</v>
      </c>
      <c r="F148" s="560">
        <v>1</v>
      </c>
      <c r="G148" s="627">
        <f t="shared" si="8"/>
        <v>0</v>
      </c>
      <c r="H148" s="560">
        <v>21</v>
      </c>
      <c r="I148" s="627">
        <f t="shared" si="7"/>
        <v>0</v>
      </c>
    </row>
    <row r="149" spans="2:9" ht="15.75" customHeight="1">
      <c r="B149" s="630" t="s">
        <v>2894</v>
      </c>
      <c r="C149" s="629" t="s">
        <v>2862</v>
      </c>
      <c r="D149" s="628">
        <v>36543</v>
      </c>
      <c r="E149" s="639">
        <v>0</v>
      </c>
      <c r="F149" s="560">
        <v>1</v>
      </c>
      <c r="G149" s="627">
        <f t="shared" si="8"/>
        <v>0</v>
      </c>
      <c r="H149" s="560">
        <v>21</v>
      </c>
      <c r="I149" s="627">
        <f t="shared" si="7"/>
        <v>0</v>
      </c>
    </row>
    <row r="150" spans="2:9" ht="15.75" customHeight="1">
      <c r="B150" s="630" t="s">
        <v>2893</v>
      </c>
      <c r="C150" s="629" t="s">
        <v>2862</v>
      </c>
      <c r="D150" s="628">
        <v>36543</v>
      </c>
      <c r="E150" s="639">
        <v>0</v>
      </c>
      <c r="F150" s="560">
        <v>1</v>
      </c>
      <c r="G150" s="627">
        <f t="shared" si="8"/>
        <v>0</v>
      </c>
      <c r="H150" s="560">
        <v>21</v>
      </c>
      <c r="I150" s="627">
        <f t="shared" si="7"/>
        <v>0</v>
      </c>
    </row>
    <row r="151" spans="2:9" ht="15.75" customHeight="1">
      <c r="B151" s="630" t="s">
        <v>2892</v>
      </c>
      <c r="C151" s="629" t="s">
        <v>2862</v>
      </c>
      <c r="D151" s="628">
        <v>36543</v>
      </c>
      <c r="E151" s="639">
        <v>0</v>
      </c>
      <c r="F151" s="560">
        <v>1</v>
      </c>
      <c r="G151" s="627">
        <f t="shared" si="8"/>
        <v>0</v>
      </c>
      <c r="H151" s="560">
        <v>21</v>
      </c>
      <c r="I151" s="627">
        <f t="shared" si="7"/>
        <v>0</v>
      </c>
    </row>
    <row r="152" spans="2:9" ht="15.75" customHeight="1">
      <c r="B152" s="630" t="s">
        <v>2891</v>
      </c>
      <c r="C152" s="629" t="s">
        <v>2862</v>
      </c>
      <c r="D152" s="628">
        <v>36543</v>
      </c>
      <c r="E152" s="639">
        <v>0</v>
      </c>
      <c r="F152" s="560">
        <v>1</v>
      </c>
      <c r="G152" s="627">
        <f t="shared" si="8"/>
        <v>0</v>
      </c>
      <c r="H152" s="560">
        <v>21</v>
      </c>
      <c r="I152" s="627">
        <f t="shared" si="7"/>
        <v>0</v>
      </c>
    </row>
    <row r="153" spans="2:9" ht="15.75" customHeight="1">
      <c r="B153" s="630" t="s">
        <v>2890</v>
      </c>
      <c r="C153" s="629" t="s">
        <v>2862</v>
      </c>
      <c r="D153" s="628">
        <v>36543</v>
      </c>
      <c r="E153" s="639">
        <v>0</v>
      </c>
      <c r="F153" s="560">
        <v>1</v>
      </c>
      <c r="G153" s="627">
        <f t="shared" si="8"/>
        <v>0</v>
      </c>
      <c r="H153" s="560">
        <v>21</v>
      </c>
      <c r="I153" s="627">
        <f t="shared" si="7"/>
        <v>0</v>
      </c>
    </row>
    <row r="154" spans="2:9" ht="15.75" customHeight="1">
      <c r="B154" s="630" t="s">
        <v>2889</v>
      </c>
      <c r="C154" s="629" t="s">
        <v>2862</v>
      </c>
      <c r="D154" s="628">
        <v>36543</v>
      </c>
      <c r="E154" s="639">
        <v>0</v>
      </c>
      <c r="F154" s="560">
        <v>1</v>
      </c>
      <c r="G154" s="627">
        <f t="shared" si="8"/>
        <v>0</v>
      </c>
      <c r="H154" s="560">
        <v>21</v>
      </c>
      <c r="I154" s="627">
        <f t="shared" si="7"/>
        <v>0</v>
      </c>
    </row>
    <row r="155" spans="2:9" ht="15.75" customHeight="1">
      <c r="B155" s="630" t="s">
        <v>2888</v>
      </c>
      <c r="C155" s="629" t="s">
        <v>2862</v>
      </c>
      <c r="D155" s="628">
        <v>36543</v>
      </c>
      <c r="E155" s="639">
        <v>0</v>
      </c>
      <c r="F155" s="560">
        <v>1</v>
      </c>
      <c r="G155" s="627">
        <f t="shared" si="8"/>
        <v>0</v>
      </c>
      <c r="H155" s="560">
        <v>21</v>
      </c>
      <c r="I155" s="627">
        <f t="shared" si="7"/>
        <v>0</v>
      </c>
    </row>
    <row r="156" spans="2:9" ht="15.75" customHeight="1">
      <c r="B156" s="630" t="s">
        <v>2887</v>
      </c>
      <c r="C156" s="629" t="s">
        <v>2862</v>
      </c>
      <c r="D156" s="628">
        <v>36543</v>
      </c>
      <c r="E156" s="639">
        <v>0</v>
      </c>
      <c r="F156" s="560">
        <v>1</v>
      </c>
      <c r="G156" s="627">
        <f t="shared" si="8"/>
        <v>0</v>
      </c>
      <c r="H156" s="560">
        <v>21</v>
      </c>
      <c r="I156" s="627">
        <f t="shared" si="7"/>
        <v>0</v>
      </c>
    </row>
    <row r="157" spans="2:9" ht="15.75" customHeight="1">
      <c r="B157" s="630" t="s">
        <v>2886</v>
      </c>
      <c r="C157" s="629" t="s">
        <v>2862</v>
      </c>
      <c r="D157" s="628">
        <v>36543</v>
      </c>
      <c r="E157" s="639">
        <v>0</v>
      </c>
      <c r="F157" s="560">
        <v>1</v>
      </c>
      <c r="G157" s="627">
        <f t="shared" si="8"/>
        <v>0</v>
      </c>
      <c r="H157" s="560">
        <v>21</v>
      </c>
      <c r="I157" s="627">
        <f t="shared" si="7"/>
        <v>0</v>
      </c>
    </row>
    <row r="158" spans="2:9" ht="15.75" customHeight="1">
      <c r="B158" s="630" t="s">
        <v>2885</v>
      </c>
      <c r="C158" s="629" t="s">
        <v>2862</v>
      </c>
      <c r="D158" s="628">
        <v>36543</v>
      </c>
      <c r="E158" s="639">
        <v>0</v>
      </c>
      <c r="F158" s="560">
        <v>1</v>
      </c>
      <c r="G158" s="627">
        <f t="shared" si="8"/>
        <v>0</v>
      </c>
      <c r="H158" s="560">
        <v>21</v>
      </c>
      <c r="I158" s="627">
        <f t="shared" si="7"/>
        <v>0</v>
      </c>
    </row>
    <row r="159" spans="2:9" ht="15.75" customHeight="1">
      <c r="B159" s="630" t="s">
        <v>2884</v>
      </c>
      <c r="C159" s="629" t="s">
        <v>2862</v>
      </c>
      <c r="D159" s="628">
        <v>36543</v>
      </c>
      <c r="E159" s="639">
        <v>0</v>
      </c>
      <c r="F159" s="560">
        <v>1</v>
      </c>
      <c r="G159" s="627">
        <f>F159*E159</f>
        <v>0</v>
      </c>
      <c r="H159" s="560">
        <v>21</v>
      </c>
      <c r="I159" s="627">
        <f t="shared" si="7"/>
        <v>0</v>
      </c>
    </row>
    <row r="160" spans="2:9" ht="15.75" customHeight="1">
      <c r="B160" s="630" t="s">
        <v>2883</v>
      </c>
      <c r="C160" s="629" t="s">
        <v>2862</v>
      </c>
      <c r="D160" s="628">
        <v>36543</v>
      </c>
      <c r="E160" s="639">
        <v>0</v>
      </c>
      <c r="F160" s="560">
        <v>1</v>
      </c>
      <c r="G160" s="627">
        <f>F160*E160</f>
        <v>0</v>
      </c>
      <c r="H160" s="560">
        <v>21</v>
      </c>
      <c r="I160" s="627">
        <f t="shared" si="7"/>
        <v>0</v>
      </c>
    </row>
    <row r="161" spans="2:9" ht="15.75" customHeight="1">
      <c r="B161" s="630" t="s">
        <v>2882</v>
      </c>
      <c r="C161" s="629" t="s">
        <v>2862</v>
      </c>
      <c r="D161" s="628">
        <v>36543</v>
      </c>
      <c r="E161" s="639">
        <v>0</v>
      </c>
      <c r="F161" s="560">
        <v>1</v>
      </c>
      <c r="G161" s="627">
        <f aca="true" t="shared" si="9" ref="G161:G182">F161*E161</f>
        <v>0</v>
      </c>
      <c r="H161" s="560">
        <v>21</v>
      </c>
      <c r="I161" s="627">
        <f t="shared" si="7"/>
        <v>0</v>
      </c>
    </row>
    <row r="162" spans="2:9" ht="15.75" customHeight="1">
      <c r="B162" s="630" t="s">
        <v>2881</v>
      </c>
      <c r="C162" s="629" t="s">
        <v>2862</v>
      </c>
      <c r="D162" s="628">
        <v>36543</v>
      </c>
      <c r="E162" s="639">
        <v>0</v>
      </c>
      <c r="F162" s="560">
        <v>1</v>
      </c>
      <c r="G162" s="627">
        <f t="shared" si="9"/>
        <v>0</v>
      </c>
      <c r="H162" s="560">
        <v>21</v>
      </c>
      <c r="I162" s="627">
        <f t="shared" si="7"/>
        <v>0</v>
      </c>
    </row>
    <row r="163" spans="2:9" ht="15.75" customHeight="1">
      <c r="B163" s="630" t="s">
        <v>2880</v>
      </c>
      <c r="C163" s="629" t="s">
        <v>2862</v>
      </c>
      <c r="D163" s="628">
        <v>36543</v>
      </c>
      <c r="E163" s="639">
        <v>0</v>
      </c>
      <c r="F163" s="560">
        <v>1</v>
      </c>
      <c r="G163" s="627">
        <f t="shared" si="9"/>
        <v>0</v>
      </c>
      <c r="H163" s="560">
        <v>21</v>
      </c>
      <c r="I163" s="627">
        <f t="shared" si="7"/>
        <v>0</v>
      </c>
    </row>
    <row r="164" spans="2:9" ht="15.75" customHeight="1">
      <c r="B164" s="630" t="s">
        <v>2879</v>
      </c>
      <c r="C164" s="629" t="s">
        <v>2862</v>
      </c>
      <c r="D164" s="628">
        <v>36543</v>
      </c>
      <c r="E164" s="639">
        <v>0</v>
      </c>
      <c r="F164" s="560">
        <v>1</v>
      </c>
      <c r="G164" s="627">
        <f t="shared" si="9"/>
        <v>0</v>
      </c>
      <c r="H164" s="560">
        <v>21</v>
      </c>
      <c r="I164" s="627">
        <f t="shared" si="7"/>
        <v>0</v>
      </c>
    </row>
    <row r="165" spans="2:9" ht="15.75" customHeight="1">
      <c r="B165" s="630" t="s">
        <v>2878</v>
      </c>
      <c r="C165" s="629" t="s">
        <v>2862</v>
      </c>
      <c r="D165" s="628">
        <v>36543</v>
      </c>
      <c r="E165" s="639">
        <v>0</v>
      </c>
      <c r="F165" s="560">
        <v>1</v>
      </c>
      <c r="G165" s="627">
        <f t="shared" si="9"/>
        <v>0</v>
      </c>
      <c r="H165" s="560">
        <v>21</v>
      </c>
      <c r="I165" s="627">
        <f t="shared" si="7"/>
        <v>0</v>
      </c>
    </row>
    <row r="166" spans="2:9" ht="15.75" customHeight="1">
      <c r="B166" s="630" t="s">
        <v>2877</v>
      </c>
      <c r="C166" s="629" t="s">
        <v>2862</v>
      </c>
      <c r="D166" s="628">
        <v>36543</v>
      </c>
      <c r="E166" s="639">
        <v>0</v>
      </c>
      <c r="F166" s="560">
        <v>1</v>
      </c>
      <c r="G166" s="627">
        <f t="shared" si="9"/>
        <v>0</v>
      </c>
      <c r="H166" s="560">
        <v>21</v>
      </c>
      <c r="I166" s="627">
        <f t="shared" si="7"/>
        <v>0</v>
      </c>
    </row>
    <row r="167" spans="2:9" ht="15.75" customHeight="1">
      <c r="B167" s="630" t="s">
        <v>2876</v>
      </c>
      <c r="C167" s="629" t="s">
        <v>2862</v>
      </c>
      <c r="D167" s="628">
        <v>36543</v>
      </c>
      <c r="E167" s="639">
        <v>0</v>
      </c>
      <c r="F167" s="560">
        <v>1</v>
      </c>
      <c r="G167" s="627">
        <f t="shared" si="9"/>
        <v>0</v>
      </c>
      <c r="H167" s="560">
        <v>21</v>
      </c>
      <c r="I167" s="627">
        <f t="shared" si="7"/>
        <v>0</v>
      </c>
    </row>
    <row r="168" spans="2:9" ht="15.75" customHeight="1">
      <c r="B168" s="630" t="s">
        <v>2875</v>
      </c>
      <c r="C168" s="629" t="s">
        <v>2862</v>
      </c>
      <c r="D168" s="628">
        <v>36543</v>
      </c>
      <c r="E168" s="639">
        <v>0</v>
      </c>
      <c r="F168" s="560">
        <v>1</v>
      </c>
      <c r="G168" s="627">
        <f t="shared" si="9"/>
        <v>0</v>
      </c>
      <c r="H168" s="560">
        <v>21</v>
      </c>
      <c r="I168" s="627">
        <f t="shared" si="7"/>
        <v>0</v>
      </c>
    </row>
    <row r="169" spans="2:9" ht="15.75" customHeight="1">
      <c r="B169" s="630" t="s">
        <v>2874</v>
      </c>
      <c r="C169" s="629" t="s">
        <v>2862</v>
      </c>
      <c r="D169" s="628">
        <v>36543</v>
      </c>
      <c r="E169" s="639">
        <v>0</v>
      </c>
      <c r="F169" s="560">
        <v>1</v>
      </c>
      <c r="G169" s="627">
        <f t="shared" si="9"/>
        <v>0</v>
      </c>
      <c r="H169" s="560">
        <v>21</v>
      </c>
      <c r="I169" s="627">
        <f t="shared" si="7"/>
        <v>0</v>
      </c>
    </row>
    <row r="170" spans="2:9" ht="15.75" customHeight="1">
      <c r="B170" s="630" t="s">
        <v>2873</v>
      </c>
      <c r="C170" s="629" t="s">
        <v>2862</v>
      </c>
      <c r="D170" s="628">
        <v>36543</v>
      </c>
      <c r="E170" s="639">
        <v>0</v>
      </c>
      <c r="F170" s="560">
        <v>1</v>
      </c>
      <c r="G170" s="627">
        <f t="shared" si="9"/>
        <v>0</v>
      </c>
      <c r="H170" s="560">
        <v>21</v>
      </c>
      <c r="I170" s="627">
        <f t="shared" si="7"/>
        <v>0</v>
      </c>
    </row>
    <row r="171" spans="2:9" ht="15.75" customHeight="1">
      <c r="B171" s="630" t="s">
        <v>2872</v>
      </c>
      <c r="C171" s="629" t="s">
        <v>2862</v>
      </c>
      <c r="D171" s="628">
        <v>36543</v>
      </c>
      <c r="E171" s="639">
        <v>0</v>
      </c>
      <c r="F171" s="560">
        <v>1</v>
      </c>
      <c r="G171" s="627">
        <f t="shared" si="9"/>
        <v>0</v>
      </c>
      <c r="H171" s="560">
        <v>21</v>
      </c>
      <c r="I171" s="627">
        <f t="shared" si="7"/>
        <v>0</v>
      </c>
    </row>
    <row r="172" spans="2:9" ht="15.75" customHeight="1">
      <c r="B172" s="630" t="s">
        <v>2871</v>
      </c>
      <c r="C172" s="629" t="s">
        <v>2862</v>
      </c>
      <c r="D172" s="628">
        <v>36543</v>
      </c>
      <c r="E172" s="639">
        <v>0</v>
      </c>
      <c r="F172" s="560">
        <v>1</v>
      </c>
      <c r="G172" s="627">
        <f t="shared" si="9"/>
        <v>0</v>
      </c>
      <c r="H172" s="560">
        <v>21</v>
      </c>
      <c r="I172" s="627">
        <f t="shared" si="7"/>
        <v>0</v>
      </c>
    </row>
    <row r="173" spans="2:9" ht="15.75" customHeight="1">
      <c r="B173" s="630" t="s">
        <v>2870</v>
      </c>
      <c r="C173" s="629" t="s">
        <v>2862</v>
      </c>
      <c r="D173" s="628">
        <v>36543</v>
      </c>
      <c r="E173" s="639">
        <v>0</v>
      </c>
      <c r="F173" s="560">
        <v>1</v>
      </c>
      <c r="G173" s="627">
        <f t="shared" si="9"/>
        <v>0</v>
      </c>
      <c r="H173" s="560">
        <v>21</v>
      </c>
      <c r="I173" s="627">
        <f t="shared" si="7"/>
        <v>0</v>
      </c>
    </row>
    <row r="174" spans="2:9" ht="15.75" customHeight="1">
      <c r="B174" s="630" t="s">
        <v>2869</v>
      </c>
      <c r="C174" s="629" t="s">
        <v>2862</v>
      </c>
      <c r="D174" s="628">
        <v>36543</v>
      </c>
      <c r="E174" s="639">
        <v>0</v>
      </c>
      <c r="F174" s="560">
        <v>1</v>
      </c>
      <c r="G174" s="627">
        <f t="shared" si="9"/>
        <v>0</v>
      </c>
      <c r="H174" s="560">
        <v>21</v>
      </c>
      <c r="I174" s="627">
        <f t="shared" si="7"/>
        <v>0</v>
      </c>
    </row>
    <row r="175" spans="2:9" ht="15.75" customHeight="1">
      <c r="B175" s="630" t="s">
        <v>2868</v>
      </c>
      <c r="C175" s="629" t="s">
        <v>2862</v>
      </c>
      <c r="D175" s="628">
        <v>36543</v>
      </c>
      <c r="E175" s="639">
        <v>0</v>
      </c>
      <c r="F175" s="560">
        <v>1</v>
      </c>
      <c r="G175" s="627">
        <f t="shared" si="9"/>
        <v>0</v>
      </c>
      <c r="H175" s="560">
        <v>21</v>
      </c>
      <c r="I175" s="627">
        <f t="shared" si="7"/>
        <v>0</v>
      </c>
    </row>
    <row r="176" spans="2:9" ht="15.75" customHeight="1">
      <c r="B176" s="630" t="s">
        <v>2867</v>
      </c>
      <c r="C176" s="629" t="s">
        <v>2862</v>
      </c>
      <c r="D176" s="628">
        <v>36543</v>
      </c>
      <c r="E176" s="639">
        <v>0</v>
      </c>
      <c r="F176" s="560">
        <v>1</v>
      </c>
      <c r="G176" s="627">
        <f t="shared" si="9"/>
        <v>0</v>
      </c>
      <c r="H176" s="560">
        <v>21</v>
      </c>
      <c r="I176" s="627">
        <f t="shared" si="7"/>
        <v>0</v>
      </c>
    </row>
    <row r="177" spans="2:9" ht="15.75" customHeight="1">
      <c r="B177" s="630" t="s">
        <v>2866</v>
      </c>
      <c r="C177" s="629" t="s">
        <v>2862</v>
      </c>
      <c r="D177" s="628">
        <v>36543</v>
      </c>
      <c r="E177" s="639">
        <v>0</v>
      </c>
      <c r="F177" s="560">
        <v>1</v>
      </c>
      <c r="G177" s="627">
        <f t="shared" si="9"/>
        <v>0</v>
      </c>
      <c r="H177" s="560">
        <v>21</v>
      </c>
      <c r="I177" s="627">
        <f t="shared" si="7"/>
        <v>0</v>
      </c>
    </row>
    <row r="178" spans="2:9" ht="15.75" customHeight="1">
      <c r="B178" s="630" t="s">
        <v>2865</v>
      </c>
      <c r="C178" s="629" t="s">
        <v>2862</v>
      </c>
      <c r="D178" s="628">
        <v>36543</v>
      </c>
      <c r="E178" s="639">
        <v>0</v>
      </c>
      <c r="F178" s="560">
        <v>1</v>
      </c>
      <c r="G178" s="627">
        <f t="shared" si="9"/>
        <v>0</v>
      </c>
      <c r="H178" s="560">
        <v>21</v>
      </c>
      <c r="I178" s="627">
        <f t="shared" si="7"/>
        <v>0</v>
      </c>
    </row>
    <row r="179" spans="2:9" ht="15.75" customHeight="1">
      <c r="B179" s="630" t="s">
        <v>2864</v>
      </c>
      <c r="C179" s="629" t="s">
        <v>2862</v>
      </c>
      <c r="D179" s="628">
        <v>36543</v>
      </c>
      <c r="E179" s="639">
        <v>0</v>
      </c>
      <c r="F179" s="560">
        <v>1</v>
      </c>
      <c r="G179" s="627">
        <f t="shared" si="9"/>
        <v>0</v>
      </c>
      <c r="H179" s="560">
        <v>21</v>
      </c>
      <c r="I179" s="627">
        <f t="shared" si="7"/>
        <v>0</v>
      </c>
    </row>
    <row r="180" spans="2:9" ht="15.75" customHeight="1">
      <c r="B180" s="630" t="s">
        <v>2863</v>
      </c>
      <c r="C180" s="629" t="s">
        <v>2862</v>
      </c>
      <c r="D180" s="628">
        <v>36543</v>
      </c>
      <c r="E180" s="639">
        <v>0</v>
      </c>
      <c r="F180" s="560">
        <v>1</v>
      </c>
      <c r="G180" s="627">
        <f t="shared" si="9"/>
        <v>0</v>
      </c>
      <c r="H180" s="560">
        <v>21</v>
      </c>
      <c r="I180" s="627">
        <f t="shared" si="7"/>
        <v>0</v>
      </c>
    </row>
    <row r="181" spans="2:9" ht="15.75" customHeight="1">
      <c r="B181" s="630" t="s">
        <v>2861</v>
      </c>
      <c r="C181" s="629" t="s">
        <v>2860</v>
      </c>
      <c r="D181" s="628">
        <v>43045</v>
      </c>
      <c r="E181" s="639">
        <v>0</v>
      </c>
      <c r="F181" s="560">
        <v>1</v>
      </c>
      <c r="G181" s="627">
        <f t="shared" si="9"/>
        <v>0</v>
      </c>
      <c r="H181" s="560">
        <v>21</v>
      </c>
      <c r="I181" s="627">
        <f t="shared" si="7"/>
        <v>0</v>
      </c>
    </row>
    <row r="182" spans="2:9" ht="15.75" customHeight="1">
      <c r="B182" s="630" t="s">
        <v>2859</v>
      </c>
      <c r="C182" s="629" t="s">
        <v>2858</v>
      </c>
      <c r="D182" s="628">
        <v>41759</v>
      </c>
      <c r="E182" s="639">
        <v>0</v>
      </c>
      <c r="F182" s="560">
        <v>1</v>
      </c>
      <c r="G182" s="627">
        <f t="shared" si="9"/>
        <v>0</v>
      </c>
      <c r="H182" s="560">
        <v>21</v>
      </c>
      <c r="I182" s="627">
        <f t="shared" si="7"/>
        <v>0</v>
      </c>
    </row>
    <row r="183" spans="2:9" ht="15.75" customHeight="1">
      <c r="B183" s="630" t="s">
        <v>2857</v>
      </c>
      <c r="C183" s="629" t="s">
        <v>2856</v>
      </c>
      <c r="D183" s="628">
        <v>42114</v>
      </c>
      <c r="E183" s="639">
        <v>0</v>
      </c>
      <c r="F183" s="560">
        <v>1</v>
      </c>
      <c r="G183" s="627">
        <f>F183*E183</f>
        <v>0</v>
      </c>
      <c r="H183" s="560">
        <v>21</v>
      </c>
      <c r="I183" s="627">
        <f t="shared" si="7"/>
        <v>0</v>
      </c>
    </row>
    <row r="184" spans="2:9" ht="15.75" customHeight="1">
      <c r="B184" s="630" t="s">
        <v>2855</v>
      </c>
      <c r="C184" s="629" t="s">
        <v>2854</v>
      </c>
      <c r="D184" s="628">
        <v>40842</v>
      </c>
      <c r="E184" s="639">
        <v>0</v>
      </c>
      <c r="F184" s="560">
        <v>1</v>
      </c>
      <c r="G184" s="627">
        <f aca="true" t="shared" si="10" ref="G184">F184*E184</f>
        <v>0</v>
      </c>
      <c r="H184" s="560">
        <v>21</v>
      </c>
      <c r="I184" s="627">
        <f t="shared" si="7"/>
        <v>0</v>
      </c>
    </row>
    <row r="185" spans="3:9" ht="12">
      <c r="C185" s="626" t="s">
        <v>1946</v>
      </c>
      <c r="E185" s="637"/>
      <c r="G185" s="625">
        <f>SUM(G3:G184)</f>
        <v>0</v>
      </c>
      <c r="I185" s="625">
        <f>SUM(I3:I184)</f>
        <v>0</v>
      </c>
    </row>
  </sheetData>
  <sheetProtection algorithmName="SHA-512" hashValue="0R6C6+Lw9RI15o4674ArPEF/QW8iqJUi1yr5OpZUa4ATumIP8ROGisD5eAFEaQC08TE7Xy+p7agxsY8Me+GaSA==" saltValue="y7lu5cMlWbuCOub2a1UyLg==" spinCount="100000" sheet="1" objects="1" scenarios="1"/>
  <printOptions/>
  <pageMargins left="0.7086614173228347" right="0.7086614173228347" top="0.7874015748031497" bottom="0.7874015748031497" header="0.31496062992125984" footer="0.31496062992125984"/>
  <pageSetup horizontalDpi="600" verticalDpi="600" orientation="portrait" paperSize="9" scale="58" r:id="rId1"/>
  <headerFooter>
    <oddHeader>&amp;LČeská republika - Úřad vlády ČR
Gastroprovoz Úřadu vlády ČR v 1.PP Strakovy akademie&amp;CPoložkový rozpočet demontáže stáv. zařízení vč. ekologické likvidace&amp;R11/2019</oddHeader>
    <oddFooter>&amp;C&amp;P/&amp;N&amp;RD.2.2.5</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3" tint="0.39998000860214233"/>
    <pageSetUpPr fitToPage="1"/>
  </sheetPr>
  <dimension ref="A2:BM97"/>
  <sheetViews>
    <sheetView showGridLines="0" workbookViewId="0" topLeftCell="A72">
      <selection activeCell="I96" sqref="I96"/>
    </sheetView>
  </sheetViews>
  <sheetFormatPr defaultColWidth="9.140625" defaultRowHeight="12"/>
  <cols>
    <col min="1" max="1" width="8.8515625" style="1" customWidth="1"/>
    <col min="2" max="2" width="1.1484375" style="1" customWidth="1"/>
    <col min="3" max="4" width="4.421875" style="1" customWidth="1"/>
    <col min="5" max="5" width="18.28125" style="1" customWidth="1"/>
    <col min="6" max="6" width="108.00390625" style="1" customWidth="1"/>
    <col min="7" max="7" width="8.00390625" style="1" customWidth="1"/>
    <col min="8" max="8" width="12.28125" style="1" customWidth="1"/>
    <col min="9" max="11" width="21.421875" style="1" customWidth="1"/>
    <col min="12" max="12" width="10.00390625" style="1" customWidth="1"/>
    <col min="13" max="13" width="11.421875" style="1" hidden="1" customWidth="1"/>
    <col min="14" max="14" width="9.140625" style="1" hidden="1" customWidth="1"/>
    <col min="15" max="20" width="15.140625" style="1" hidden="1" customWidth="1"/>
    <col min="21" max="21" width="17.421875" style="1" hidden="1" customWidth="1"/>
    <col min="22" max="22" width="13.140625" style="1" customWidth="1"/>
    <col min="23" max="23" width="17.421875" style="1" customWidth="1"/>
    <col min="24" max="24" width="13.140625" style="1" customWidth="1"/>
    <col min="25" max="25" width="16.00390625" style="1" customWidth="1"/>
    <col min="26" max="26" width="11.7109375" style="1" customWidth="1"/>
    <col min="27" max="27" width="16.00390625" style="1" customWidth="1"/>
    <col min="28" max="28" width="17.421875" style="1" customWidth="1"/>
    <col min="29" max="29" width="11.7109375" style="1" customWidth="1"/>
    <col min="30" max="30" width="16.00390625" style="1" customWidth="1"/>
    <col min="31" max="31" width="17.421875" style="1" customWidth="1"/>
    <col min="44" max="65" width="9.140625" style="1" hidden="1" customWidth="1"/>
  </cols>
  <sheetData>
    <row r="1" ht="12"/>
    <row r="2" spans="12:46" s="1" customFormat="1" ht="36.95" customHeight="1">
      <c r="L2" s="682"/>
      <c r="M2" s="682"/>
      <c r="N2" s="682"/>
      <c r="O2" s="682"/>
      <c r="P2" s="682"/>
      <c r="Q2" s="682"/>
      <c r="R2" s="682"/>
      <c r="S2" s="682"/>
      <c r="T2" s="682"/>
      <c r="U2" s="682"/>
      <c r="V2" s="682"/>
      <c r="AT2" s="15" t="s">
        <v>132</v>
      </c>
    </row>
    <row r="3" spans="2:46" s="1" customFormat="1" ht="6.95" customHeight="1">
      <c r="B3" s="106"/>
      <c r="C3" s="107"/>
      <c r="D3" s="107"/>
      <c r="E3" s="107"/>
      <c r="F3" s="107"/>
      <c r="G3" s="107"/>
      <c r="H3" s="107"/>
      <c r="I3" s="107"/>
      <c r="J3" s="107"/>
      <c r="K3" s="107"/>
      <c r="L3" s="18"/>
      <c r="AT3" s="15" t="s">
        <v>79</v>
      </c>
    </row>
    <row r="4" spans="2:46" s="1" customFormat="1" ht="24.95" customHeight="1">
      <c r="B4" s="18"/>
      <c r="D4" s="108" t="s">
        <v>141</v>
      </c>
      <c r="L4" s="18"/>
      <c r="M4" s="109" t="s">
        <v>10</v>
      </c>
      <c r="AT4" s="15" t="s">
        <v>4</v>
      </c>
    </row>
    <row r="5" spans="2:12" s="1" customFormat="1" ht="6.95" customHeight="1">
      <c r="B5" s="18"/>
      <c r="L5" s="18"/>
    </row>
    <row r="6" spans="2:12" s="1" customFormat="1" ht="12" customHeight="1">
      <c r="B6" s="18"/>
      <c r="D6" s="110" t="s">
        <v>16</v>
      </c>
      <c r="L6" s="18"/>
    </row>
    <row r="7" spans="2:12" s="1" customFormat="1" ht="14.45" customHeight="1">
      <c r="B7" s="18"/>
      <c r="E7" s="702" t="str">
        <f>'Rekapitulace stavby'!K6</f>
        <v>Úpravy gastroprovozu Úřadu vlády ČR v 1.pp Strakovy akademie</v>
      </c>
      <c r="F7" s="703"/>
      <c r="G7" s="703"/>
      <c r="H7" s="703"/>
      <c r="L7" s="18"/>
    </row>
    <row r="8" spans="2:12" ht="12.75">
      <c r="B8" s="18"/>
      <c r="D8" s="110" t="s">
        <v>142</v>
      </c>
      <c r="L8" s="18"/>
    </row>
    <row r="9" spans="2:12" s="1" customFormat="1" ht="14.45" customHeight="1">
      <c r="B9" s="18"/>
      <c r="E9" s="702" t="s">
        <v>1429</v>
      </c>
      <c r="F9" s="682"/>
      <c r="G9" s="682"/>
      <c r="H9" s="682"/>
      <c r="L9" s="18"/>
    </row>
    <row r="10" spans="2:12" s="1" customFormat="1" ht="12" customHeight="1">
      <c r="B10" s="18"/>
      <c r="D10" s="110" t="s">
        <v>144</v>
      </c>
      <c r="L10" s="18"/>
    </row>
    <row r="11" spans="1:31" s="2" customFormat="1" ht="14.45" customHeight="1">
      <c r="A11" s="32"/>
      <c r="B11" s="37"/>
      <c r="C11" s="32"/>
      <c r="D11" s="32"/>
      <c r="E11" s="747" t="s">
        <v>1472</v>
      </c>
      <c r="F11" s="704"/>
      <c r="G11" s="704"/>
      <c r="H11" s="704"/>
      <c r="I11" s="32"/>
      <c r="J11" s="32"/>
      <c r="K11" s="32"/>
      <c r="L11" s="111"/>
      <c r="S11" s="32"/>
      <c r="T11" s="32"/>
      <c r="U11" s="32"/>
      <c r="V11" s="32"/>
      <c r="W11" s="32"/>
      <c r="X11" s="32"/>
      <c r="Y11" s="32"/>
      <c r="Z11" s="32"/>
      <c r="AA11" s="32"/>
      <c r="AB11" s="32"/>
      <c r="AC11" s="32"/>
      <c r="AD11" s="32"/>
      <c r="AE11" s="32"/>
    </row>
    <row r="12" spans="1:31" s="2" customFormat="1" ht="12" customHeight="1">
      <c r="A12" s="32"/>
      <c r="B12" s="37"/>
      <c r="C12" s="32"/>
      <c r="D12" s="110" t="s">
        <v>1450</v>
      </c>
      <c r="E12" s="32"/>
      <c r="F12" s="32"/>
      <c r="G12" s="32"/>
      <c r="H12" s="32"/>
      <c r="I12" s="32"/>
      <c r="J12" s="32"/>
      <c r="K12" s="32"/>
      <c r="L12" s="111"/>
      <c r="S12" s="32"/>
      <c r="T12" s="32"/>
      <c r="U12" s="32"/>
      <c r="V12" s="32"/>
      <c r="W12" s="32"/>
      <c r="X12" s="32"/>
      <c r="Y12" s="32"/>
      <c r="Z12" s="32"/>
      <c r="AA12" s="32"/>
      <c r="AB12" s="32"/>
      <c r="AC12" s="32"/>
      <c r="AD12" s="32"/>
      <c r="AE12" s="32"/>
    </row>
    <row r="13" spans="1:31" s="2" customFormat="1" ht="14.45" customHeight="1">
      <c r="A13" s="32"/>
      <c r="B13" s="37"/>
      <c r="C13" s="32"/>
      <c r="D13" s="32"/>
      <c r="E13" s="705" t="s">
        <v>1491</v>
      </c>
      <c r="F13" s="704"/>
      <c r="G13" s="704"/>
      <c r="H13" s="704"/>
      <c r="I13" s="32"/>
      <c r="J13" s="32"/>
      <c r="K13" s="32"/>
      <c r="L13" s="111"/>
      <c r="S13" s="32"/>
      <c r="T13" s="32"/>
      <c r="U13" s="32"/>
      <c r="V13" s="32"/>
      <c r="W13" s="32"/>
      <c r="X13" s="32"/>
      <c r="Y13" s="32"/>
      <c r="Z13" s="32"/>
      <c r="AA13" s="32"/>
      <c r="AB13" s="32"/>
      <c r="AC13" s="32"/>
      <c r="AD13" s="32"/>
      <c r="AE13" s="32"/>
    </row>
    <row r="14" spans="1:31" s="2" customFormat="1" ht="12">
      <c r="A14" s="32"/>
      <c r="B14" s="37"/>
      <c r="C14" s="32"/>
      <c r="D14" s="32"/>
      <c r="E14" s="32"/>
      <c r="F14" s="32"/>
      <c r="G14" s="32"/>
      <c r="H14" s="32"/>
      <c r="I14" s="32"/>
      <c r="J14" s="32"/>
      <c r="K14" s="32"/>
      <c r="L14" s="111"/>
      <c r="S14" s="32"/>
      <c r="T14" s="32"/>
      <c r="U14" s="32"/>
      <c r="V14" s="32"/>
      <c r="W14" s="32"/>
      <c r="X14" s="32"/>
      <c r="Y14" s="32"/>
      <c r="Z14" s="32"/>
      <c r="AA14" s="32"/>
      <c r="AB14" s="32"/>
      <c r="AC14" s="32"/>
      <c r="AD14" s="32"/>
      <c r="AE14" s="32"/>
    </row>
    <row r="15" spans="1:31" s="2" customFormat="1" ht="12" customHeight="1">
      <c r="A15" s="32"/>
      <c r="B15" s="37"/>
      <c r="C15" s="32"/>
      <c r="D15" s="110" t="s">
        <v>18</v>
      </c>
      <c r="E15" s="32"/>
      <c r="F15" s="101" t="s">
        <v>19</v>
      </c>
      <c r="G15" s="32"/>
      <c r="H15" s="32"/>
      <c r="I15" s="110" t="s">
        <v>20</v>
      </c>
      <c r="J15" s="101" t="s">
        <v>19</v>
      </c>
      <c r="K15" s="32"/>
      <c r="L15" s="111"/>
      <c r="S15" s="32"/>
      <c r="T15" s="32"/>
      <c r="U15" s="32"/>
      <c r="V15" s="32"/>
      <c r="W15" s="32"/>
      <c r="X15" s="32"/>
      <c r="Y15" s="32"/>
      <c r="Z15" s="32"/>
      <c r="AA15" s="32"/>
      <c r="AB15" s="32"/>
      <c r="AC15" s="32"/>
      <c r="AD15" s="32"/>
      <c r="AE15" s="32"/>
    </row>
    <row r="16" spans="1:31" s="2" customFormat="1" ht="12" customHeight="1">
      <c r="A16" s="32"/>
      <c r="B16" s="37"/>
      <c r="C16" s="32"/>
      <c r="D16" s="110" t="s">
        <v>21</v>
      </c>
      <c r="E16" s="32"/>
      <c r="F16" s="101" t="s">
        <v>146</v>
      </c>
      <c r="G16" s="32"/>
      <c r="H16" s="32"/>
      <c r="I16" s="110" t="s">
        <v>23</v>
      </c>
      <c r="J16" s="112" t="str">
        <f>'Rekapitulace stavby'!AN8</f>
        <v>Vyplň údaj</v>
      </c>
      <c r="K16" s="32"/>
      <c r="L16" s="111"/>
      <c r="S16" s="32"/>
      <c r="T16" s="32"/>
      <c r="U16" s="32"/>
      <c r="V16" s="32"/>
      <c r="W16" s="32"/>
      <c r="X16" s="32"/>
      <c r="Y16" s="32"/>
      <c r="Z16" s="32"/>
      <c r="AA16" s="32"/>
      <c r="AB16" s="32"/>
      <c r="AC16" s="32"/>
      <c r="AD16" s="32"/>
      <c r="AE16" s="32"/>
    </row>
    <row r="17" spans="1:31" s="2" customFormat="1" ht="10.9" customHeight="1">
      <c r="A17" s="32"/>
      <c r="B17" s="37"/>
      <c r="C17" s="32"/>
      <c r="D17" s="32"/>
      <c r="E17" s="32"/>
      <c r="F17" s="32"/>
      <c r="G17" s="32"/>
      <c r="H17" s="32"/>
      <c r="I17" s="32"/>
      <c r="J17" s="32"/>
      <c r="K17" s="32"/>
      <c r="L17" s="111"/>
      <c r="S17" s="32"/>
      <c r="T17" s="32"/>
      <c r="U17" s="32"/>
      <c r="V17" s="32"/>
      <c r="W17" s="32"/>
      <c r="X17" s="32"/>
      <c r="Y17" s="32"/>
      <c r="Z17" s="32"/>
      <c r="AA17" s="32"/>
      <c r="AB17" s="32"/>
      <c r="AC17" s="32"/>
      <c r="AD17" s="32"/>
      <c r="AE17" s="32"/>
    </row>
    <row r="18" spans="1:31" s="2" customFormat="1" ht="12" customHeight="1">
      <c r="A18" s="32"/>
      <c r="B18" s="37"/>
      <c r="C18" s="32"/>
      <c r="D18" s="110" t="s">
        <v>24</v>
      </c>
      <c r="E18" s="32"/>
      <c r="F18" s="32"/>
      <c r="G18" s="32"/>
      <c r="H18" s="32"/>
      <c r="I18" s="110" t="s">
        <v>25</v>
      </c>
      <c r="J18" s="101" t="s">
        <v>19</v>
      </c>
      <c r="K18" s="32"/>
      <c r="L18" s="111"/>
      <c r="S18" s="32"/>
      <c r="T18" s="32"/>
      <c r="U18" s="32"/>
      <c r="V18" s="32"/>
      <c r="W18" s="32"/>
      <c r="X18" s="32"/>
      <c r="Y18" s="32"/>
      <c r="Z18" s="32"/>
      <c r="AA18" s="32"/>
      <c r="AB18" s="32"/>
      <c r="AC18" s="32"/>
      <c r="AD18" s="32"/>
      <c r="AE18" s="32"/>
    </row>
    <row r="19" spans="1:31" s="2" customFormat="1" ht="18" customHeight="1">
      <c r="A19" s="32"/>
      <c r="B19" s="37"/>
      <c r="C19" s="32"/>
      <c r="D19" s="32"/>
      <c r="E19" s="101" t="s">
        <v>26</v>
      </c>
      <c r="F19" s="32"/>
      <c r="G19" s="32"/>
      <c r="H19" s="32"/>
      <c r="I19" s="110" t="s">
        <v>27</v>
      </c>
      <c r="J19" s="101" t="s">
        <v>19</v>
      </c>
      <c r="K19" s="32"/>
      <c r="L19" s="111"/>
      <c r="S19" s="32"/>
      <c r="T19" s="32"/>
      <c r="U19" s="32"/>
      <c r="V19" s="32"/>
      <c r="W19" s="32"/>
      <c r="X19" s="32"/>
      <c r="Y19" s="32"/>
      <c r="Z19" s="32"/>
      <c r="AA19" s="32"/>
      <c r="AB19" s="32"/>
      <c r="AC19" s="32"/>
      <c r="AD19" s="32"/>
      <c r="AE19" s="32"/>
    </row>
    <row r="20" spans="1:31" s="2" customFormat="1" ht="6.95" customHeight="1">
      <c r="A20" s="32"/>
      <c r="B20" s="37"/>
      <c r="C20" s="32"/>
      <c r="D20" s="32"/>
      <c r="E20" s="32"/>
      <c r="F20" s="32"/>
      <c r="G20" s="32"/>
      <c r="H20" s="32"/>
      <c r="I20" s="32"/>
      <c r="J20" s="32"/>
      <c r="K20" s="32"/>
      <c r="L20" s="111"/>
      <c r="S20" s="32"/>
      <c r="T20" s="32"/>
      <c r="U20" s="32"/>
      <c r="V20" s="32"/>
      <c r="W20" s="32"/>
      <c r="X20" s="32"/>
      <c r="Y20" s="32"/>
      <c r="Z20" s="32"/>
      <c r="AA20" s="32"/>
      <c r="AB20" s="32"/>
      <c r="AC20" s="32"/>
      <c r="AD20" s="32"/>
      <c r="AE20" s="32"/>
    </row>
    <row r="21" spans="1:31" s="2" customFormat="1" ht="12" customHeight="1">
      <c r="A21" s="32"/>
      <c r="B21" s="37"/>
      <c r="C21" s="32"/>
      <c r="D21" s="110" t="s">
        <v>28</v>
      </c>
      <c r="E21" s="32"/>
      <c r="F21" s="32"/>
      <c r="G21" s="32"/>
      <c r="H21" s="32"/>
      <c r="I21" s="110" t="s">
        <v>25</v>
      </c>
      <c r="J21" s="28" t="str">
        <f>'Rekapitulace stavby'!AN13</f>
        <v>Vyplň údaj</v>
      </c>
      <c r="K21" s="32"/>
      <c r="L21" s="111"/>
      <c r="S21" s="32"/>
      <c r="T21" s="32"/>
      <c r="U21" s="32"/>
      <c r="V21" s="32"/>
      <c r="W21" s="32"/>
      <c r="X21" s="32"/>
      <c r="Y21" s="32"/>
      <c r="Z21" s="32"/>
      <c r="AA21" s="32"/>
      <c r="AB21" s="32"/>
      <c r="AC21" s="32"/>
      <c r="AD21" s="32"/>
      <c r="AE21" s="32"/>
    </row>
    <row r="22" spans="1:31" s="2" customFormat="1" ht="18" customHeight="1">
      <c r="A22" s="32"/>
      <c r="B22" s="37"/>
      <c r="C22" s="32"/>
      <c r="D22" s="32"/>
      <c r="E22" s="706" t="str">
        <f>'Rekapitulace stavby'!E14</f>
        <v>Vyplň údaj</v>
      </c>
      <c r="F22" s="707"/>
      <c r="G22" s="707"/>
      <c r="H22" s="707"/>
      <c r="I22" s="110" t="s">
        <v>27</v>
      </c>
      <c r="J22" s="28" t="str">
        <f>'Rekapitulace stavby'!AN14</f>
        <v>Vyplň údaj</v>
      </c>
      <c r="K22" s="32"/>
      <c r="L22" s="111"/>
      <c r="S22" s="32"/>
      <c r="T22" s="32"/>
      <c r="U22" s="32"/>
      <c r="V22" s="32"/>
      <c r="W22" s="32"/>
      <c r="X22" s="32"/>
      <c r="Y22" s="32"/>
      <c r="Z22" s="32"/>
      <c r="AA22" s="32"/>
      <c r="AB22" s="32"/>
      <c r="AC22" s="32"/>
      <c r="AD22" s="32"/>
      <c r="AE22" s="32"/>
    </row>
    <row r="23" spans="1:31" s="2" customFormat="1" ht="6.95" customHeight="1">
      <c r="A23" s="32"/>
      <c r="B23" s="37"/>
      <c r="C23" s="32"/>
      <c r="D23" s="32"/>
      <c r="E23" s="32"/>
      <c r="F23" s="32"/>
      <c r="G23" s="32"/>
      <c r="H23" s="32"/>
      <c r="I23" s="32"/>
      <c r="J23" s="32"/>
      <c r="K23" s="32"/>
      <c r="L23" s="111"/>
      <c r="S23" s="32"/>
      <c r="T23" s="32"/>
      <c r="U23" s="32"/>
      <c r="V23" s="32"/>
      <c r="W23" s="32"/>
      <c r="X23" s="32"/>
      <c r="Y23" s="32"/>
      <c r="Z23" s="32"/>
      <c r="AA23" s="32"/>
      <c r="AB23" s="32"/>
      <c r="AC23" s="32"/>
      <c r="AD23" s="32"/>
      <c r="AE23" s="32"/>
    </row>
    <row r="24" spans="1:31" s="2" customFormat="1" ht="12" customHeight="1">
      <c r="A24" s="32"/>
      <c r="B24" s="37"/>
      <c r="C24" s="32"/>
      <c r="D24" s="110" t="s">
        <v>30</v>
      </c>
      <c r="E24" s="32"/>
      <c r="F24" s="32"/>
      <c r="G24" s="32"/>
      <c r="H24" s="32"/>
      <c r="I24" s="110" t="s">
        <v>25</v>
      </c>
      <c r="J24" s="101" t="s">
        <v>19</v>
      </c>
      <c r="K24" s="32"/>
      <c r="L24" s="111"/>
      <c r="S24" s="32"/>
      <c r="T24" s="32"/>
      <c r="U24" s="32"/>
      <c r="V24" s="32"/>
      <c r="W24" s="32"/>
      <c r="X24" s="32"/>
      <c r="Y24" s="32"/>
      <c r="Z24" s="32"/>
      <c r="AA24" s="32"/>
      <c r="AB24" s="32"/>
      <c r="AC24" s="32"/>
      <c r="AD24" s="32"/>
      <c r="AE24" s="32"/>
    </row>
    <row r="25" spans="1:31" s="2" customFormat="1" ht="18" customHeight="1">
      <c r="A25" s="32"/>
      <c r="B25" s="37"/>
      <c r="C25" s="32"/>
      <c r="D25" s="32"/>
      <c r="E25" s="101" t="s">
        <v>31</v>
      </c>
      <c r="F25" s="32"/>
      <c r="G25" s="32"/>
      <c r="H25" s="32"/>
      <c r="I25" s="110" t="s">
        <v>27</v>
      </c>
      <c r="J25" s="101" t="s">
        <v>19</v>
      </c>
      <c r="K25" s="32"/>
      <c r="L25" s="111"/>
      <c r="S25" s="32"/>
      <c r="T25" s="32"/>
      <c r="U25" s="32"/>
      <c r="V25" s="32"/>
      <c r="W25" s="32"/>
      <c r="X25" s="32"/>
      <c r="Y25" s="32"/>
      <c r="Z25" s="32"/>
      <c r="AA25" s="32"/>
      <c r="AB25" s="32"/>
      <c r="AC25" s="32"/>
      <c r="AD25" s="32"/>
      <c r="AE25" s="32"/>
    </row>
    <row r="26" spans="1:31" s="2" customFormat="1" ht="6.95" customHeight="1">
      <c r="A26" s="32"/>
      <c r="B26" s="37"/>
      <c r="C26" s="32"/>
      <c r="D26" s="32"/>
      <c r="E26" s="32"/>
      <c r="F26" s="32"/>
      <c r="G26" s="32"/>
      <c r="H26" s="32"/>
      <c r="I26" s="32"/>
      <c r="J26" s="32"/>
      <c r="K26" s="32"/>
      <c r="L26" s="111"/>
      <c r="S26" s="32"/>
      <c r="T26" s="32"/>
      <c r="U26" s="32"/>
      <c r="V26" s="32"/>
      <c r="W26" s="32"/>
      <c r="X26" s="32"/>
      <c r="Y26" s="32"/>
      <c r="Z26" s="32"/>
      <c r="AA26" s="32"/>
      <c r="AB26" s="32"/>
      <c r="AC26" s="32"/>
      <c r="AD26" s="32"/>
      <c r="AE26" s="32"/>
    </row>
    <row r="27" spans="1:31" s="2" customFormat="1" ht="12" customHeight="1">
      <c r="A27" s="32"/>
      <c r="B27" s="37"/>
      <c r="C27" s="32"/>
      <c r="D27" s="110" t="s">
        <v>33</v>
      </c>
      <c r="E27" s="32"/>
      <c r="F27" s="32"/>
      <c r="G27" s="32"/>
      <c r="H27" s="32"/>
      <c r="I27" s="110" t="s">
        <v>25</v>
      </c>
      <c r="J27" s="101" t="s">
        <v>19</v>
      </c>
      <c r="K27" s="32"/>
      <c r="L27" s="111"/>
      <c r="S27" s="32"/>
      <c r="T27" s="32"/>
      <c r="U27" s="32"/>
      <c r="V27" s="32"/>
      <c r="W27" s="32"/>
      <c r="X27" s="32"/>
      <c r="Y27" s="32"/>
      <c r="Z27" s="32"/>
      <c r="AA27" s="32"/>
      <c r="AB27" s="32"/>
      <c r="AC27" s="32"/>
      <c r="AD27" s="32"/>
      <c r="AE27" s="32"/>
    </row>
    <row r="28" spans="1:31" s="2" customFormat="1" ht="18" customHeight="1">
      <c r="A28" s="32"/>
      <c r="B28" s="37"/>
      <c r="C28" s="32"/>
      <c r="D28" s="32"/>
      <c r="E28" s="101" t="s">
        <v>31</v>
      </c>
      <c r="F28" s="32"/>
      <c r="G28" s="32"/>
      <c r="H28" s="32"/>
      <c r="I28" s="110" t="s">
        <v>27</v>
      </c>
      <c r="J28" s="101" t="s">
        <v>19</v>
      </c>
      <c r="K28" s="32"/>
      <c r="L28" s="111"/>
      <c r="S28" s="32"/>
      <c r="T28" s="32"/>
      <c r="U28" s="32"/>
      <c r="V28" s="32"/>
      <c r="W28" s="32"/>
      <c r="X28" s="32"/>
      <c r="Y28" s="32"/>
      <c r="Z28" s="32"/>
      <c r="AA28" s="32"/>
      <c r="AB28" s="32"/>
      <c r="AC28" s="32"/>
      <c r="AD28" s="32"/>
      <c r="AE28" s="32"/>
    </row>
    <row r="29" spans="1:31" s="2" customFormat="1" ht="6.95" customHeight="1">
      <c r="A29" s="32"/>
      <c r="B29" s="37"/>
      <c r="C29" s="32"/>
      <c r="D29" s="32"/>
      <c r="E29" s="32"/>
      <c r="F29" s="32"/>
      <c r="G29" s="32"/>
      <c r="H29" s="32"/>
      <c r="I29" s="32"/>
      <c r="J29" s="32"/>
      <c r="K29" s="32"/>
      <c r="L29" s="111"/>
      <c r="S29" s="32"/>
      <c r="T29" s="32"/>
      <c r="U29" s="32"/>
      <c r="V29" s="32"/>
      <c r="W29" s="32"/>
      <c r="X29" s="32"/>
      <c r="Y29" s="32"/>
      <c r="Z29" s="32"/>
      <c r="AA29" s="32"/>
      <c r="AB29" s="32"/>
      <c r="AC29" s="32"/>
      <c r="AD29" s="32"/>
      <c r="AE29" s="32"/>
    </row>
    <row r="30" spans="1:31" s="2" customFormat="1" ht="12" customHeight="1">
      <c r="A30" s="32"/>
      <c r="B30" s="37"/>
      <c r="C30" s="32"/>
      <c r="D30" s="110" t="s">
        <v>34</v>
      </c>
      <c r="E30" s="32"/>
      <c r="F30" s="32"/>
      <c r="G30" s="32"/>
      <c r="H30" s="32"/>
      <c r="I30" s="32"/>
      <c r="J30" s="32"/>
      <c r="K30" s="32"/>
      <c r="L30" s="111"/>
      <c r="S30" s="32"/>
      <c r="T30" s="32"/>
      <c r="U30" s="32"/>
      <c r="V30" s="32"/>
      <c r="W30" s="32"/>
      <c r="X30" s="32"/>
      <c r="Y30" s="32"/>
      <c r="Z30" s="32"/>
      <c r="AA30" s="32"/>
      <c r="AB30" s="32"/>
      <c r="AC30" s="32"/>
      <c r="AD30" s="32"/>
      <c r="AE30" s="32"/>
    </row>
    <row r="31" spans="1:31" s="8" customFormat="1" ht="14.45" customHeight="1">
      <c r="A31" s="113"/>
      <c r="B31" s="114"/>
      <c r="C31" s="113"/>
      <c r="D31" s="113"/>
      <c r="E31" s="708" t="s">
        <v>19</v>
      </c>
      <c r="F31" s="708"/>
      <c r="G31" s="708"/>
      <c r="H31" s="708"/>
      <c r="I31" s="113"/>
      <c r="J31" s="113"/>
      <c r="K31" s="113"/>
      <c r="L31" s="115"/>
      <c r="S31" s="113"/>
      <c r="T31" s="113"/>
      <c r="U31" s="113"/>
      <c r="V31" s="113"/>
      <c r="W31" s="113"/>
      <c r="X31" s="113"/>
      <c r="Y31" s="113"/>
      <c r="Z31" s="113"/>
      <c r="AA31" s="113"/>
      <c r="AB31" s="113"/>
      <c r="AC31" s="113"/>
      <c r="AD31" s="113"/>
      <c r="AE31" s="113"/>
    </row>
    <row r="32" spans="1:31" s="2" customFormat="1" ht="6.95" customHeight="1">
      <c r="A32" s="32"/>
      <c r="B32" s="37"/>
      <c r="C32" s="32"/>
      <c r="D32" s="32"/>
      <c r="E32" s="32"/>
      <c r="F32" s="32"/>
      <c r="G32" s="32"/>
      <c r="H32" s="32"/>
      <c r="I32" s="32"/>
      <c r="J32" s="32"/>
      <c r="K32" s="32"/>
      <c r="L32" s="111"/>
      <c r="S32" s="32"/>
      <c r="T32" s="32"/>
      <c r="U32" s="32"/>
      <c r="V32" s="32"/>
      <c r="W32" s="32"/>
      <c r="X32" s="32"/>
      <c r="Y32" s="32"/>
      <c r="Z32" s="32"/>
      <c r="AA32" s="32"/>
      <c r="AB32" s="32"/>
      <c r="AC32" s="32"/>
      <c r="AD32" s="32"/>
      <c r="AE32" s="32"/>
    </row>
    <row r="33" spans="1:31" s="2" customFormat="1" ht="6.95" customHeight="1">
      <c r="A33" s="32"/>
      <c r="B33" s="37"/>
      <c r="C33" s="32"/>
      <c r="D33" s="116"/>
      <c r="E33" s="116"/>
      <c r="F33" s="116"/>
      <c r="G33" s="116"/>
      <c r="H33" s="116"/>
      <c r="I33" s="116"/>
      <c r="J33" s="116"/>
      <c r="K33" s="116"/>
      <c r="L33" s="111"/>
      <c r="S33" s="32"/>
      <c r="T33" s="32"/>
      <c r="U33" s="32"/>
      <c r="V33" s="32"/>
      <c r="W33" s="32"/>
      <c r="X33" s="32"/>
      <c r="Y33" s="32"/>
      <c r="Z33" s="32"/>
      <c r="AA33" s="32"/>
      <c r="AB33" s="32"/>
      <c r="AC33" s="32"/>
      <c r="AD33" s="32"/>
      <c r="AE33" s="32"/>
    </row>
    <row r="34" spans="1:31" s="2" customFormat="1" ht="25.35" customHeight="1">
      <c r="A34" s="32"/>
      <c r="B34" s="37"/>
      <c r="C34" s="32"/>
      <c r="D34" s="117" t="s">
        <v>36</v>
      </c>
      <c r="E34" s="32"/>
      <c r="F34" s="32"/>
      <c r="G34" s="32"/>
      <c r="H34" s="32"/>
      <c r="I34" s="32"/>
      <c r="J34" s="118">
        <f>ROUND(J93,2)</f>
        <v>0</v>
      </c>
      <c r="K34" s="32"/>
      <c r="L34" s="111"/>
      <c r="S34" s="32"/>
      <c r="T34" s="32"/>
      <c r="U34" s="32"/>
      <c r="V34" s="32"/>
      <c r="W34" s="32"/>
      <c r="X34" s="32"/>
      <c r="Y34" s="32"/>
      <c r="Z34" s="32"/>
      <c r="AA34" s="32"/>
      <c r="AB34" s="32"/>
      <c r="AC34" s="32"/>
      <c r="AD34" s="32"/>
      <c r="AE34" s="32"/>
    </row>
    <row r="35" spans="1:31" s="2" customFormat="1" ht="6.95" customHeight="1">
      <c r="A35" s="32"/>
      <c r="B35" s="37"/>
      <c r="C35" s="32"/>
      <c r="D35" s="116"/>
      <c r="E35" s="116"/>
      <c r="F35" s="116"/>
      <c r="G35" s="116"/>
      <c r="H35" s="116"/>
      <c r="I35" s="116"/>
      <c r="J35" s="116"/>
      <c r="K35" s="116"/>
      <c r="L35" s="111"/>
      <c r="S35" s="32"/>
      <c r="T35" s="32"/>
      <c r="U35" s="32"/>
      <c r="V35" s="32"/>
      <c r="W35" s="32"/>
      <c r="X35" s="32"/>
      <c r="Y35" s="32"/>
      <c r="Z35" s="32"/>
      <c r="AA35" s="32"/>
      <c r="AB35" s="32"/>
      <c r="AC35" s="32"/>
      <c r="AD35" s="32"/>
      <c r="AE35" s="32"/>
    </row>
    <row r="36" spans="1:31" s="2" customFormat="1" ht="14.45" customHeight="1">
      <c r="A36" s="32"/>
      <c r="B36" s="37"/>
      <c r="C36" s="32"/>
      <c r="D36" s="32"/>
      <c r="E36" s="32"/>
      <c r="F36" s="119" t="s">
        <v>38</v>
      </c>
      <c r="G36" s="32"/>
      <c r="H36" s="32"/>
      <c r="I36" s="119" t="s">
        <v>37</v>
      </c>
      <c r="J36" s="119" t="s">
        <v>39</v>
      </c>
      <c r="K36" s="32"/>
      <c r="L36" s="111"/>
      <c r="S36" s="32"/>
      <c r="T36" s="32"/>
      <c r="U36" s="32"/>
      <c r="V36" s="32"/>
      <c r="W36" s="32"/>
      <c r="X36" s="32"/>
      <c r="Y36" s="32"/>
      <c r="Z36" s="32"/>
      <c r="AA36" s="32"/>
      <c r="AB36" s="32"/>
      <c r="AC36" s="32"/>
      <c r="AD36" s="32"/>
      <c r="AE36" s="32"/>
    </row>
    <row r="37" spans="1:31" s="2" customFormat="1" ht="14.45" customHeight="1">
      <c r="A37" s="32"/>
      <c r="B37" s="37"/>
      <c r="C37" s="32"/>
      <c r="D37" s="120" t="s">
        <v>40</v>
      </c>
      <c r="E37" s="110" t="s">
        <v>41</v>
      </c>
      <c r="F37" s="121">
        <f>ROUND((SUM(BE93:BE96)),2)</f>
        <v>0</v>
      </c>
      <c r="G37" s="32"/>
      <c r="H37" s="32"/>
      <c r="I37" s="122">
        <v>0.21</v>
      </c>
      <c r="J37" s="121">
        <f>ROUND(((SUM(BE93:BE96))*I37),2)</f>
        <v>0</v>
      </c>
      <c r="K37" s="32"/>
      <c r="L37" s="111"/>
      <c r="S37" s="32"/>
      <c r="T37" s="32"/>
      <c r="U37" s="32"/>
      <c r="V37" s="32"/>
      <c r="W37" s="32"/>
      <c r="X37" s="32"/>
      <c r="Y37" s="32"/>
      <c r="Z37" s="32"/>
      <c r="AA37" s="32"/>
      <c r="AB37" s="32"/>
      <c r="AC37" s="32"/>
      <c r="AD37" s="32"/>
      <c r="AE37" s="32"/>
    </row>
    <row r="38" spans="1:31" s="2" customFormat="1" ht="14.45" customHeight="1">
      <c r="A38" s="32"/>
      <c r="B38" s="37"/>
      <c r="C38" s="32"/>
      <c r="D38" s="32"/>
      <c r="E38" s="110" t="s">
        <v>42</v>
      </c>
      <c r="F38" s="121">
        <f>ROUND((SUM(BF93:BF96)),2)</f>
        <v>0</v>
      </c>
      <c r="G38" s="32"/>
      <c r="H38" s="32"/>
      <c r="I38" s="122">
        <v>0.15</v>
      </c>
      <c r="J38" s="121">
        <f>ROUND(((SUM(BF93:BF96))*I38),2)</f>
        <v>0</v>
      </c>
      <c r="K38" s="32"/>
      <c r="L38" s="111"/>
      <c r="S38" s="32"/>
      <c r="T38" s="32"/>
      <c r="U38" s="32"/>
      <c r="V38" s="32"/>
      <c r="W38" s="32"/>
      <c r="X38" s="32"/>
      <c r="Y38" s="32"/>
      <c r="Z38" s="32"/>
      <c r="AA38" s="32"/>
      <c r="AB38" s="32"/>
      <c r="AC38" s="32"/>
      <c r="AD38" s="32"/>
      <c r="AE38" s="32"/>
    </row>
    <row r="39" spans="1:31" s="2" customFormat="1" ht="14.45" customHeight="1" hidden="1">
      <c r="A39" s="32"/>
      <c r="B39" s="37"/>
      <c r="C39" s="32"/>
      <c r="D39" s="32"/>
      <c r="E39" s="110" t="s">
        <v>43</v>
      </c>
      <c r="F39" s="121">
        <f>ROUND((SUM(BG93:BG96)),2)</f>
        <v>0</v>
      </c>
      <c r="G39" s="32"/>
      <c r="H39" s="32"/>
      <c r="I39" s="122">
        <v>0.21</v>
      </c>
      <c r="J39" s="121">
        <f>0</f>
        <v>0</v>
      </c>
      <c r="K39" s="32"/>
      <c r="L39" s="111"/>
      <c r="S39" s="32"/>
      <c r="T39" s="32"/>
      <c r="U39" s="32"/>
      <c r="V39" s="32"/>
      <c r="W39" s="32"/>
      <c r="X39" s="32"/>
      <c r="Y39" s="32"/>
      <c r="Z39" s="32"/>
      <c r="AA39" s="32"/>
      <c r="AB39" s="32"/>
      <c r="AC39" s="32"/>
      <c r="AD39" s="32"/>
      <c r="AE39" s="32"/>
    </row>
    <row r="40" spans="1:31" s="2" customFormat="1" ht="14.45" customHeight="1" hidden="1">
      <c r="A40" s="32"/>
      <c r="B40" s="37"/>
      <c r="C40" s="32"/>
      <c r="D40" s="32"/>
      <c r="E40" s="110" t="s">
        <v>44</v>
      </c>
      <c r="F40" s="121">
        <f>ROUND((SUM(BH93:BH96)),2)</f>
        <v>0</v>
      </c>
      <c r="G40" s="32"/>
      <c r="H40" s="32"/>
      <c r="I40" s="122">
        <v>0.15</v>
      </c>
      <c r="J40" s="121">
        <f>0</f>
        <v>0</v>
      </c>
      <c r="K40" s="32"/>
      <c r="L40" s="111"/>
      <c r="S40" s="32"/>
      <c r="T40" s="32"/>
      <c r="U40" s="32"/>
      <c r="V40" s="32"/>
      <c r="W40" s="32"/>
      <c r="X40" s="32"/>
      <c r="Y40" s="32"/>
      <c r="Z40" s="32"/>
      <c r="AA40" s="32"/>
      <c r="AB40" s="32"/>
      <c r="AC40" s="32"/>
      <c r="AD40" s="32"/>
      <c r="AE40" s="32"/>
    </row>
    <row r="41" spans="1:31" s="2" customFormat="1" ht="14.45" customHeight="1" hidden="1">
      <c r="A41" s="32"/>
      <c r="B41" s="37"/>
      <c r="C41" s="32"/>
      <c r="D41" s="32"/>
      <c r="E41" s="110" t="s">
        <v>45</v>
      </c>
      <c r="F41" s="121">
        <f>ROUND((SUM(BI93:BI96)),2)</f>
        <v>0</v>
      </c>
      <c r="G41" s="32"/>
      <c r="H41" s="32"/>
      <c r="I41" s="122">
        <v>0</v>
      </c>
      <c r="J41" s="121">
        <f>0</f>
        <v>0</v>
      </c>
      <c r="K41" s="32"/>
      <c r="L41" s="111"/>
      <c r="S41" s="32"/>
      <c r="T41" s="32"/>
      <c r="U41" s="32"/>
      <c r="V41" s="32"/>
      <c r="W41" s="32"/>
      <c r="X41" s="32"/>
      <c r="Y41" s="32"/>
      <c r="Z41" s="32"/>
      <c r="AA41" s="32"/>
      <c r="AB41" s="32"/>
      <c r="AC41" s="32"/>
      <c r="AD41" s="32"/>
      <c r="AE41" s="32"/>
    </row>
    <row r="42" spans="1:31" s="2" customFormat="1" ht="6.95" customHeight="1">
      <c r="A42" s="32"/>
      <c r="B42" s="37"/>
      <c r="C42" s="32"/>
      <c r="D42" s="32"/>
      <c r="E42" s="32"/>
      <c r="F42" s="32"/>
      <c r="G42" s="32"/>
      <c r="H42" s="32"/>
      <c r="I42" s="32"/>
      <c r="J42" s="32"/>
      <c r="K42" s="32"/>
      <c r="L42" s="111"/>
      <c r="S42" s="32"/>
      <c r="T42" s="32"/>
      <c r="U42" s="32"/>
      <c r="V42" s="32"/>
      <c r="W42" s="32"/>
      <c r="X42" s="32"/>
      <c r="Y42" s="32"/>
      <c r="Z42" s="32"/>
      <c r="AA42" s="32"/>
      <c r="AB42" s="32"/>
      <c r="AC42" s="32"/>
      <c r="AD42" s="32"/>
      <c r="AE42" s="32"/>
    </row>
    <row r="43" spans="1:31" s="2" customFormat="1" ht="25.35" customHeight="1">
      <c r="A43" s="32"/>
      <c r="B43" s="37"/>
      <c r="C43" s="123"/>
      <c r="D43" s="124" t="s">
        <v>46</v>
      </c>
      <c r="E43" s="125"/>
      <c r="F43" s="125"/>
      <c r="G43" s="126" t="s">
        <v>47</v>
      </c>
      <c r="H43" s="127" t="s">
        <v>48</v>
      </c>
      <c r="I43" s="125"/>
      <c r="J43" s="128">
        <f>SUM(J34:J41)</f>
        <v>0</v>
      </c>
      <c r="K43" s="129"/>
      <c r="L43" s="111"/>
      <c r="S43" s="32"/>
      <c r="T43" s="32"/>
      <c r="U43" s="32"/>
      <c r="V43" s="32"/>
      <c r="W43" s="32"/>
      <c r="X43" s="32"/>
      <c r="Y43" s="32"/>
      <c r="Z43" s="32"/>
      <c r="AA43" s="32"/>
      <c r="AB43" s="32"/>
      <c r="AC43" s="32"/>
      <c r="AD43" s="32"/>
      <c r="AE43" s="32"/>
    </row>
    <row r="44" spans="1:31" s="2" customFormat="1" ht="14.45" customHeight="1">
      <c r="A44" s="32"/>
      <c r="B44" s="130"/>
      <c r="C44" s="131"/>
      <c r="D44" s="131"/>
      <c r="E44" s="131"/>
      <c r="F44" s="131"/>
      <c r="G44" s="131"/>
      <c r="H44" s="131"/>
      <c r="I44" s="131"/>
      <c r="J44" s="131"/>
      <c r="K44" s="131"/>
      <c r="L44" s="111"/>
      <c r="S44" s="32"/>
      <c r="T44" s="32"/>
      <c r="U44" s="32"/>
      <c r="V44" s="32"/>
      <c r="W44" s="32"/>
      <c r="X44" s="32"/>
      <c r="Y44" s="32"/>
      <c r="Z44" s="32"/>
      <c r="AA44" s="32"/>
      <c r="AB44" s="32"/>
      <c r="AC44" s="32"/>
      <c r="AD44" s="32"/>
      <c r="AE44" s="32"/>
    </row>
    <row r="48" spans="1:31" s="2" customFormat="1" ht="6.95" customHeight="1">
      <c r="A48" s="32"/>
      <c r="B48" s="132"/>
      <c r="C48" s="133"/>
      <c r="D48" s="133"/>
      <c r="E48" s="133"/>
      <c r="F48" s="133"/>
      <c r="G48" s="133"/>
      <c r="H48" s="133"/>
      <c r="I48" s="133"/>
      <c r="J48" s="133"/>
      <c r="K48" s="133"/>
      <c r="L48" s="111"/>
      <c r="S48" s="32"/>
      <c r="T48" s="32"/>
      <c r="U48" s="32"/>
      <c r="V48" s="32"/>
      <c r="W48" s="32"/>
      <c r="X48" s="32"/>
      <c r="Y48" s="32"/>
      <c r="Z48" s="32"/>
      <c r="AA48" s="32"/>
      <c r="AB48" s="32"/>
      <c r="AC48" s="32"/>
      <c r="AD48" s="32"/>
      <c r="AE48" s="32"/>
    </row>
    <row r="49" spans="1:31" s="2" customFormat="1" ht="24.95" customHeight="1">
      <c r="A49" s="32"/>
      <c r="B49" s="33"/>
      <c r="C49" s="21" t="s">
        <v>147</v>
      </c>
      <c r="D49" s="34"/>
      <c r="E49" s="34"/>
      <c r="F49" s="34"/>
      <c r="G49" s="34"/>
      <c r="H49" s="34"/>
      <c r="I49" s="34"/>
      <c r="J49" s="34"/>
      <c r="K49" s="34"/>
      <c r="L49" s="111"/>
      <c r="S49" s="32"/>
      <c r="T49" s="32"/>
      <c r="U49" s="32"/>
      <c r="V49" s="32"/>
      <c r="W49" s="32"/>
      <c r="X49" s="32"/>
      <c r="Y49" s="32"/>
      <c r="Z49" s="32"/>
      <c r="AA49" s="32"/>
      <c r="AB49" s="32"/>
      <c r="AC49" s="32"/>
      <c r="AD49" s="32"/>
      <c r="AE49" s="32"/>
    </row>
    <row r="50" spans="1:31" s="2" customFormat="1" ht="6.95" customHeight="1">
      <c r="A50" s="32"/>
      <c r="B50" s="33"/>
      <c r="C50" s="34"/>
      <c r="D50" s="34"/>
      <c r="E50" s="34"/>
      <c r="F50" s="34"/>
      <c r="G50" s="34"/>
      <c r="H50" s="34"/>
      <c r="I50" s="34"/>
      <c r="J50" s="34"/>
      <c r="K50" s="34"/>
      <c r="L50" s="111"/>
      <c r="S50" s="32"/>
      <c r="T50" s="32"/>
      <c r="U50" s="32"/>
      <c r="V50" s="32"/>
      <c r="W50" s="32"/>
      <c r="X50" s="32"/>
      <c r="Y50" s="32"/>
      <c r="Z50" s="32"/>
      <c r="AA50" s="32"/>
      <c r="AB50" s="32"/>
      <c r="AC50" s="32"/>
      <c r="AD50" s="32"/>
      <c r="AE50" s="32"/>
    </row>
    <row r="51" spans="1:31" s="2" customFormat="1" ht="12" customHeight="1">
      <c r="A51" s="32"/>
      <c r="B51" s="33"/>
      <c r="C51" s="27" t="s">
        <v>16</v>
      </c>
      <c r="D51" s="34"/>
      <c r="E51" s="34"/>
      <c r="F51" s="34"/>
      <c r="G51" s="34"/>
      <c r="H51" s="34"/>
      <c r="I51" s="34"/>
      <c r="J51" s="34"/>
      <c r="K51" s="34"/>
      <c r="L51" s="111"/>
      <c r="S51" s="32"/>
      <c r="T51" s="32"/>
      <c r="U51" s="32"/>
      <c r="V51" s="32"/>
      <c r="W51" s="32"/>
      <c r="X51" s="32"/>
      <c r="Y51" s="32"/>
      <c r="Z51" s="32"/>
      <c r="AA51" s="32"/>
      <c r="AB51" s="32"/>
      <c r="AC51" s="32"/>
      <c r="AD51" s="32"/>
      <c r="AE51" s="32"/>
    </row>
    <row r="52" spans="1:31" s="2" customFormat="1" ht="14.45" customHeight="1">
      <c r="A52" s="32"/>
      <c r="B52" s="33"/>
      <c r="C52" s="34"/>
      <c r="D52" s="34"/>
      <c r="E52" s="700" t="str">
        <f>E7</f>
        <v>Úpravy gastroprovozu Úřadu vlády ČR v 1.pp Strakovy akademie</v>
      </c>
      <c r="F52" s="701"/>
      <c r="G52" s="701"/>
      <c r="H52" s="701"/>
      <c r="I52" s="34"/>
      <c r="J52" s="34"/>
      <c r="K52" s="34"/>
      <c r="L52" s="111"/>
      <c r="S52" s="32"/>
      <c r="T52" s="32"/>
      <c r="U52" s="32"/>
      <c r="V52" s="32"/>
      <c r="W52" s="32"/>
      <c r="X52" s="32"/>
      <c r="Y52" s="32"/>
      <c r="Z52" s="32"/>
      <c r="AA52" s="32"/>
      <c r="AB52" s="32"/>
      <c r="AC52" s="32"/>
      <c r="AD52" s="32"/>
      <c r="AE52" s="32"/>
    </row>
    <row r="53" spans="2:12" s="1" customFormat="1" ht="12" customHeight="1">
      <c r="B53" s="19"/>
      <c r="C53" s="27" t="s">
        <v>142</v>
      </c>
      <c r="D53" s="20"/>
      <c r="E53" s="20"/>
      <c r="F53" s="20"/>
      <c r="G53" s="20"/>
      <c r="H53" s="20"/>
      <c r="I53" s="20"/>
      <c r="J53" s="20"/>
      <c r="K53" s="20"/>
      <c r="L53" s="18"/>
    </row>
    <row r="54" spans="2:12" s="1" customFormat="1" ht="14.45" customHeight="1">
      <c r="B54" s="19"/>
      <c r="C54" s="20"/>
      <c r="D54" s="20"/>
      <c r="E54" s="700" t="s">
        <v>1429</v>
      </c>
      <c r="F54" s="667"/>
      <c r="G54" s="667"/>
      <c r="H54" s="667"/>
      <c r="I54" s="20"/>
      <c r="J54" s="20"/>
      <c r="K54" s="20"/>
      <c r="L54" s="18"/>
    </row>
    <row r="55" spans="2:12" s="1" customFormat="1" ht="12" customHeight="1">
      <c r="B55" s="19"/>
      <c r="C55" s="27" t="s">
        <v>144</v>
      </c>
      <c r="D55" s="20"/>
      <c r="E55" s="20"/>
      <c r="F55" s="20"/>
      <c r="G55" s="20"/>
      <c r="H55" s="20"/>
      <c r="I55" s="20"/>
      <c r="J55" s="20"/>
      <c r="K55" s="20"/>
      <c r="L55" s="18"/>
    </row>
    <row r="56" spans="1:31" s="2" customFormat="1" ht="14.45" customHeight="1">
      <c r="A56" s="32"/>
      <c r="B56" s="33"/>
      <c r="C56" s="34"/>
      <c r="D56" s="34"/>
      <c r="E56" s="746" t="s">
        <v>1472</v>
      </c>
      <c r="F56" s="699"/>
      <c r="G56" s="699"/>
      <c r="H56" s="699"/>
      <c r="I56" s="34"/>
      <c r="J56" s="34"/>
      <c r="K56" s="34"/>
      <c r="L56" s="111"/>
      <c r="S56" s="32"/>
      <c r="T56" s="32"/>
      <c r="U56" s="32"/>
      <c r="V56" s="32"/>
      <c r="W56" s="32"/>
      <c r="X56" s="32"/>
      <c r="Y56" s="32"/>
      <c r="Z56" s="32"/>
      <c r="AA56" s="32"/>
      <c r="AB56" s="32"/>
      <c r="AC56" s="32"/>
      <c r="AD56" s="32"/>
      <c r="AE56" s="32"/>
    </row>
    <row r="57" spans="1:31" s="2" customFormat="1" ht="12" customHeight="1">
      <c r="A57" s="32"/>
      <c r="B57" s="33"/>
      <c r="C57" s="27" t="s">
        <v>1450</v>
      </c>
      <c r="D57" s="34"/>
      <c r="E57" s="34"/>
      <c r="F57" s="34"/>
      <c r="G57" s="34"/>
      <c r="H57" s="34"/>
      <c r="I57" s="34"/>
      <c r="J57" s="34"/>
      <c r="K57" s="34"/>
      <c r="L57" s="111"/>
      <c r="S57" s="32"/>
      <c r="T57" s="32"/>
      <c r="U57" s="32"/>
      <c r="V57" s="32"/>
      <c r="W57" s="32"/>
      <c r="X57" s="32"/>
      <c r="Y57" s="32"/>
      <c r="Z57" s="32"/>
      <c r="AA57" s="32"/>
      <c r="AB57" s="32"/>
      <c r="AC57" s="32"/>
      <c r="AD57" s="32"/>
      <c r="AE57" s="32"/>
    </row>
    <row r="58" spans="1:31" s="2" customFormat="1" ht="14.45" customHeight="1">
      <c r="A58" s="32"/>
      <c r="B58" s="33"/>
      <c r="C58" s="34"/>
      <c r="D58" s="34"/>
      <c r="E58" s="696" t="str">
        <f>E13</f>
        <v>D.1.4.06.5 - Soupis prací - Gastro demontáž TG</v>
      </c>
      <c r="F58" s="699"/>
      <c r="G58" s="699"/>
      <c r="H58" s="699"/>
      <c r="I58" s="34"/>
      <c r="J58" s="34"/>
      <c r="K58" s="34"/>
      <c r="L58" s="111"/>
      <c r="S58" s="32"/>
      <c r="T58" s="32"/>
      <c r="U58" s="32"/>
      <c r="V58" s="32"/>
      <c r="W58" s="32"/>
      <c r="X58" s="32"/>
      <c r="Y58" s="32"/>
      <c r="Z58" s="32"/>
      <c r="AA58" s="32"/>
      <c r="AB58" s="32"/>
      <c r="AC58" s="32"/>
      <c r="AD58" s="32"/>
      <c r="AE58" s="32"/>
    </row>
    <row r="59" spans="1:31" s="2" customFormat="1" ht="6.95" customHeight="1">
      <c r="A59" s="32"/>
      <c r="B59" s="33"/>
      <c r="C59" s="34"/>
      <c r="D59" s="34"/>
      <c r="E59" s="34"/>
      <c r="F59" s="34"/>
      <c r="G59" s="34"/>
      <c r="H59" s="34"/>
      <c r="I59" s="34"/>
      <c r="J59" s="34"/>
      <c r="K59" s="34"/>
      <c r="L59" s="111"/>
      <c r="S59" s="32"/>
      <c r="T59" s="32"/>
      <c r="U59" s="32"/>
      <c r="V59" s="32"/>
      <c r="W59" s="32"/>
      <c r="X59" s="32"/>
      <c r="Y59" s="32"/>
      <c r="Z59" s="32"/>
      <c r="AA59" s="32"/>
      <c r="AB59" s="32"/>
      <c r="AC59" s="32"/>
      <c r="AD59" s="32"/>
      <c r="AE59" s="32"/>
    </row>
    <row r="60" spans="1:31" s="2" customFormat="1" ht="12" customHeight="1">
      <c r="A60" s="32"/>
      <c r="B60" s="33"/>
      <c r="C60" s="27" t="s">
        <v>21</v>
      </c>
      <c r="D60" s="34"/>
      <c r="E60" s="34"/>
      <c r="F60" s="25" t="str">
        <f>F16</f>
        <v xml:space="preserve"> </v>
      </c>
      <c r="G60" s="34"/>
      <c r="H60" s="34"/>
      <c r="I60" s="27" t="s">
        <v>23</v>
      </c>
      <c r="J60" s="57" t="str">
        <f>IF(J16="","",J16)</f>
        <v>Vyplň údaj</v>
      </c>
      <c r="K60" s="34"/>
      <c r="L60" s="111"/>
      <c r="S60" s="32"/>
      <c r="T60" s="32"/>
      <c r="U60" s="32"/>
      <c r="V60" s="32"/>
      <c r="W60" s="32"/>
      <c r="X60" s="32"/>
      <c r="Y60" s="32"/>
      <c r="Z60" s="32"/>
      <c r="AA60" s="32"/>
      <c r="AB60" s="32"/>
      <c r="AC60" s="32"/>
      <c r="AD60" s="32"/>
      <c r="AE60" s="32"/>
    </row>
    <row r="61" spans="1:31" s="2" customFormat="1" ht="6.95" customHeight="1">
      <c r="A61" s="32"/>
      <c r="B61" s="33"/>
      <c r="C61" s="34"/>
      <c r="D61" s="34"/>
      <c r="E61" s="34"/>
      <c r="F61" s="34"/>
      <c r="G61" s="34"/>
      <c r="H61" s="34"/>
      <c r="I61" s="34"/>
      <c r="J61" s="34"/>
      <c r="K61" s="34"/>
      <c r="L61" s="111"/>
      <c r="S61" s="32"/>
      <c r="T61" s="32"/>
      <c r="U61" s="32"/>
      <c r="V61" s="32"/>
      <c r="W61" s="32"/>
      <c r="X61" s="32"/>
      <c r="Y61" s="32"/>
      <c r="Z61" s="32"/>
      <c r="AA61" s="32"/>
      <c r="AB61" s="32"/>
      <c r="AC61" s="32"/>
      <c r="AD61" s="32"/>
      <c r="AE61" s="32"/>
    </row>
    <row r="62" spans="1:31" s="2" customFormat="1" ht="26.45" customHeight="1">
      <c r="A62" s="32"/>
      <c r="B62" s="33"/>
      <c r="C62" s="27" t="s">
        <v>24</v>
      </c>
      <c r="D62" s="34"/>
      <c r="E62" s="34"/>
      <c r="F62" s="25" t="str">
        <f>E19</f>
        <v xml:space="preserve">Úřad vlády České republiky </v>
      </c>
      <c r="G62" s="34"/>
      <c r="H62" s="34"/>
      <c r="I62" s="27" t="s">
        <v>30</v>
      </c>
      <c r="J62" s="30" t="str">
        <f>E25</f>
        <v>Ateliér Simona Group</v>
      </c>
      <c r="K62" s="34"/>
      <c r="L62" s="111"/>
      <c r="S62" s="32"/>
      <c r="T62" s="32"/>
      <c r="U62" s="32"/>
      <c r="V62" s="32"/>
      <c r="W62" s="32"/>
      <c r="X62" s="32"/>
      <c r="Y62" s="32"/>
      <c r="Z62" s="32"/>
      <c r="AA62" s="32"/>
      <c r="AB62" s="32"/>
      <c r="AC62" s="32"/>
      <c r="AD62" s="32"/>
      <c r="AE62" s="32"/>
    </row>
    <row r="63" spans="1:31" s="2" customFormat="1" ht="26.45" customHeight="1">
      <c r="A63" s="32"/>
      <c r="B63" s="33"/>
      <c r="C63" s="27" t="s">
        <v>28</v>
      </c>
      <c r="D63" s="34"/>
      <c r="E63" s="34"/>
      <c r="F63" s="25" t="str">
        <f>IF(E22="","",E22)</f>
        <v>Vyplň údaj</v>
      </c>
      <c r="G63" s="34"/>
      <c r="H63" s="34"/>
      <c r="I63" s="27" t="s">
        <v>33</v>
      </c>
      <c r="J63" s="30" t="str">
        <f>E28</f>
        <v>Ateliér Simona Group</v>
      </c>
      <c r="K63" s="34"/>
      <c r="L63" s="111"/>
      <c r="S63" s="32"/>
      <c r="T63" s="32"/>
      <c r="U63" s="32"/>
      <c r="V63" s="32"/>
      <c r="W63" s="32"/>
      <c r="X63" s="32"/>
      <c r="Y63" s="32"/>
      <c r="Z63" s="32"/>
      <c r="AA63" s="32"/>
      <c r="AB63" s="32"/>
      <c r="AC63" s="32"/>
      <c r="AD63" s="32"/>
      <c r="AE63" s="32"/>
    </row>
    <row r="64" spans="1:31" s="2" customFormat="1" ht="10.35" customHeight="1">
      <c r="A64" s="32"/>
      <c r="B64" s="33"/>
      <c r="C64" s="34"/>
      <c r="D64" s="34"/>
      <c r="E64" s="34"/>
      <c r="F64" s="34"/>
      <c r="G64" s="34"/>
      <c r="H64" s="34"/>
      <c r="I64" s="34"/>
      <c r="J64" s="34"/>
      <c r="K64" s="34"/>
      <c r="L64" s="111"/>
      <c r="S64" s="32"/>
      <c r="T64" s="32"/>
      <c r="U64" s="32"/>
      <c r="V64" s="32"/>
      <c r="W64" s="32"/>
      <c r="X64" s="32"/>
      <c r="Y64" s="32"/>
      <c r="Z64" s="32"/>
      <c r="AA64" s="32"/>
      <c r="AB64" s="32"/>
      <c r="AC64" s="32"/>
      <c r="AD64" s="32"/>
      <c r="AE64" s="32"/>
    </row>
    <row r="65" spans="1:31" s="2" customFormat="1" ht="29.25" customHeight="1">
      <c r="A65" s="32"/>
      <c r="B65" s="33"/>
      <c r="C65" s="134" t="s">
        <v>148</v>
      </c>
      <c r="D65" s="135"/>
      <c r="E65" s="135"/>
      <c r="F65" s="135"/>
      <c r="G65" s="135"/>
      <c r="H65" s="135"/>
      <c r="I65" s="135"/>
      <c r="J65" s="136" t="s">
        <v>149</v>
      </c>
      <c r="K65" s="135"/>
      <c r="L65" s="111"/>
      <c r="S65" s="32"/>
      <c r="T65" s="32"/>
      <c r="U65" s="32"/>
      <c r="V65" s="32"/>
      <c r="W65" s="32"/>
      <c r="X65" s="32"/>
      <c r="Y65" s="32"/>
      <c r="Z65" s="32"/>
      <c r="AA65" s="32"/>
      <c r="AB65" s="32"/>
      <c r="AC65" s="32"/>
      <c r="AD65" s="32"/>
      <c r="AE65" s="32"/>
    </row>
    <row r="66" spans="1:31" s="2" customFormat="1" ht="10.35" customHeight="1">
      <c r="A66" s="32"/>
      <c r="B66" s="33"/>
      <c r="C66" s="34"/>
      <c r="D66" s="34"/>
      <c r="E66" s="34"/>
      <c r="F66" s="34"/>
      <c r="G66" s="34"/>
      <c r="H66" s="34"/>
      <c r="I66" s="34"/>
      <c r="J66" s="34"/>
      <c r="K66" s="34"/>
      <c r="L66" s="111"/>
      <c r="S66" s="32"/>
      <c r="T66" s="32"/>
      <c r="U66" s="32"/>
      <c r="V66" s="32"/>
      <c r="W66" s="32"/>
      <c r="X66" s="32"/>
      <c r="Y66" s="32"/>
      <c r="Z66" s="32"/>
      <c r="AA66" s="32"/>
      <c r="AB66" s="32"/>
      <c r="AC66" s="32"/>
      <c r="AD66" s="32"/>
      <c r="AE66" s="32"/>
    </row>
    <row r="67" spans="1:47" s="2" customFormat="1" ht="22.9" customHeight="1">
      <c r="A67" s="32"/>
      <c r="B67" s="33"/>
      <c r="C67" s="137" t="s">
        <v>68</v>
      </c>
      <c r="D67" s="34"/>
      <c r="E67" s="34"/>
      <c r="F67" s="34"/>
      <c r="G67" s="34"/>
      <c r="H67" s="34"/>
      <c r="I67" s="34"/>
      <c r="J67" s="75">
        <f>J93</f>
        <v>0</v>
      </c>
      <c r="K67" s="34"/>
      <c r="L67" s="111"/>
      <c r="S67" s="32"/>
      <c r="T67" s="32"/>
      <c r="U67" s="32"/>
      <c r="V67" s="32"/>
      <c r="W67" s="32"/>
      <c r="X67" s="32"/>
      <c r="Y67" s="32"/>
      <c r="Z67" s="32"/>
      <c r="AA67" s="32"/>
      <c r="AB67" s="32"/>
      <c r="AC67" s="32"/>
      <c r="AD67" s="32"/>
      <c r="AE67" s="32"/>
      <c r="AU67" s="15" t="s">
        <v>150</v>
      </c>
    </row>
    <row r="68" spans="2:12" s="9" customFormat="1" ht="24.95" customHeight="1">
      <c r="B68" s="138"/>
      <c r="C68" s="139"/>
      <c r="D68" s="140" t="s">
        <v>161</v>
      </c>
      <c r="E68" s="141"/>
      <c r="F68" s="141"/>
      <c r="G68" s="141"/>
      <c r="H68" s="141"/>
      <c r="I68" s="141"/>
      <c r="J68" s="142">
        <f>J94</f>
        <v>0</v>
      </c>
      <c r="K68" s="139"/>
      <c r="L68" s="143"/>
    </row>
    <row r="69" spans="2:12" s="10" customFormat="1" ht="19.9" customHeight="1">
      <c r="B69" s="144"/>
      <c r="C69" s="95"/>
      <c r="D69" s="145" t="s">
        <v>176</v>
      </c>
      <c r="E69" s="146"/>
      <c r="F69" s="146"/>
      <c r="G69" s="146"/>
      <c r="H69" s="146"/>
      <c r="I69" s="146"/>
      <c r="J69" s="147">
        <f>J95</f>
        <v>0</v>
      </c>
      <c r="K69" s="95"/>
      <c r="L69" s="148"/>
    </row>
    <row r="70" spans="1:31" s="2" customFormat="1" ht="21.75" customHeight="1">
      <c r="A70" s="32"/>
      <c r="B70" s="33"/>
      <c r="C70" s="34"/>
      <c r="D70" s="34"/>
      <c r="E70" s="34"/>
      <c r="F70" s="34"/>
      <c r="G70" s="34"/>
      <c r="H70" s="34"/>
      <c r="I70" s="34"/>
      <c r="J70" s="34"/>
      <c r="K70" s="34"/>
      <c r="L70" s="111"/>
      <c r="S70" s="32"/>
      <c r="T70" s="32"/>
      <c r="U70" s="32"/>
      <c r="V70" s="32"/>
      <c r="W70" s="32"/>
      <c r="X70" s="32"/>
      <c r="Y70" s="32"/>
      <c r="Z70" s="32"/>
      <c r="AA70" s="32"/>
      <c r="AB70" s="32"/>
      <c r="AC70" s="32"/>
      <c r="AD70" s="32"/>
      <c r="AE70" s="32"/>
    </row>
    <row r="71" spans="1:31" s="2" customFormat="1" ht="6.95" customHeight="1">
      <c r="A71" s="32"/>
      <c r="B71" s="45"/>
      <c r="C71" s="46"/>
      <c r="D71" s="46"/>
      <c r="E71" s="46"/>
      <c r="F71" s="46"/>
      <c r="G71" s="46"/>
      <c r="H71" s="46"/>
      <c r="I71" s="46"/>
      <c r="J71" s="46"/>
      <c r="K71" s="46"/>
      <c r="L71" s="111"/>
      <c r="S71" s="32"/>
      <c r="T71" s="32"/>
      <c r="U71" s="32"/>
      <c r="V71" s="32"/>
      <c r="W71" s="32"/>
      <c r="X71" s="32"/>
      <c r="Y71" s="32"/>
      <c r="Z71" s="32"/>
      <c r="AA71" s="32"/>
      <c r="AB71" s="32"/>
      <c r="AC71" s="32"/>
      <c r="AD71" s="32"/>
      <c r="AE71" s="32"/>
    </row>
    <row r="75" spans="1:31" s="2" customFormat="1" ht="6.95" customHeight="1">
      <c r="A75" s="32"/>
      <c r="B75" s="47"/>
      <c r="C75" s="48"/>
      <c r="D75" s="48"/>
      <c r="E75" s="48"/>
      <c r="F75" s="48"/>
      <c r="G75" s="48"/>
      <c r="H75" s="48"/>
      <c r="I75" s="48"/>
      <c r="J75" s="48"/>
      <c r="K75" s="48"/>
      <c r="L75" s="111"/>
      <c r="S75" s="32"/>
      <c r="T75" s="32"/>
      <c r="U75" s="32"/>
      <c r="V75" s="32"/>
      <c r="W75" s="32"/>
      <c r="X75" s="32"/>
      <c r="Y75" s="32"/>
      <c r="Z75" s="32"/>
      <c r="AA75" s="32"/>
      <c r="AB75" s="32"/>
      <c r="AC75" s="32"/>
      <c r="AD75" s="32"/>
      <c r="AE75" s="32"/>
    </row>
    <row r="76" spans="1:31" s="2" customFormat="1" ht="24.95" customHeight="1">
      <c r="A76" s="32"/>
      <c r="B76" s="33"/>
      <c r="C76" s="21" t="s">
        <v>181</v>
      </c>
      <c r="D76" s="34"/>
      <c r="E76" s="34"/>
      <c r="F76" s="34"/>
      <c r="G76" s="34"/>
      <c r="H76" s="34"/>
      <c r="I76" s="34"/>
      <c r="J76" s="34"/>
      <c r="K76" s="34"/>
      <c r="L76" s="111"/>
      <c r="S76" s="32"/>
      <c r="T76" s="32"/>
      <c r="U76" s="32"/>
      <c r="V76" s="32"/>
      <c r="W76" s="32"/>
      <c r="X76" s="32"/>
      <c r="Y76" s="32"/>
      <c r="Z76" s="32"/>
      <c r="AA76" s="32"/>
      <c r="AB76" s="32"/>
      <c r="AC76" s="32"/>
      <c r="AD76" s="32"/>
      <c r="AE76" s="32"/>
    </row>
    <row r="77" spans="1:31" s="2" customFormat="1" ht="6.95" customHeight="1">
      <c r="A77" s="32"/>
      <c r="B77" s="33"/>
      <c r="C77" s="34"/>
      <c r="D77" s="34"/>
      <c r="E77" s="34"/>
      <c r="F77" s="34"/>
      <c r="G77" s="34"/>
      <c r="H77" s="34"/>
      <c r="I77" s="34"/>
      <c r="J77" s="34"/>
      <c r="K77" s="34"/>
      <c r="L77" s="111"/>
      <c r="S77" s="32"/>
      <c r="T77" s="32"/>
      <c r="U77" s="32"/>
      <c r="V77" s="32"/>
      <c r="W77" s="32"/>
      <c r="X77" s="32"/>
      <c r="Y77" s="32"/>
      <c r="Z77" s="32"/>
      <c r="AA77" s="32"/>
      <c r="AB77" s="32"/>
      <c r="AC77" s="32"/>
      <c r="AD77" s="32"/>
      <c r="AE77" s="32"/>
    </row>
    <row r="78" spans="1:31" s="2" customFormat="1" ht="12" customHeight="1">
      <c r="A78" s="32"/>
      <c r="B78" s="33"/>
      <c r="C78" s="27" t="s">
        <v>16</v>
      </c>
      <c r="D78" s="34"/>
      <c r="E78" s="34"/>
      <c r="F78" s="34"/>
      <c r="G78" s="34"/>
      <c r="H78" s="34"/>
      <c r="I78" s="34"/>
      <c r="J78" s="34"/>
      <c r="K78" s="34"/>
      <c r="L78" s="111"/>
      <c r="S78" s="32"/>
      <c r="T78" s="32"/>
      <c r="U78" s="32"/>
      <c r="V78" s="32"/>
      <c r="W78" s="32"/>
      <c r="X78" s="32"/>
      <c r="Y78" s="32"/>
      <c r="Z78" s="32"/>
      <c r="AA78" s="32"/>
      <c r="AB78" s="32"/>
      <c r="AC78" s="32"/>
      <c r="AD78" s="32"/>
      <c r="AE78" s="32"/>
    </row>
    <row r="79" spans="1:31" s="2" customFormat="1" ht="14.45" customHeight="1">
      <c r="A79" s="32"/>
      <c r="B79" s="33"/>
      <c r="C79" s="34"/>
      <c r="D79" s="34"/>
      <c r="E79" s="700" t="str">
        <f>E7</f>
        <v>Úpravy gastroprovozu Úřadu vlády ČR v 1.pp Strakovy akademie</v>
      </c>
      <c r="F79" s="701"/>
      <c r="G79" s="701"/>
      <c r="H79" s="701"/>
      <c r="I79" s="34"/>
      <c r="J79" s="34"/>
      <c r="K79" s="34"/>
      <c r="L79" s="111"/>
      <c r="S79" s="32"/>
      <c r="T79" s="32"/>
      <c r="U79" s="32"/>
      <c r="V79" s="32"/>
      <c r="W79" s="32"/>
      <c r="X79" s="32"/>
      <c r="Y79" s="32"/>
      <c r="Z79" s="32"/>
      <c r="AA79" s="32"/>
      <c r="AB79" s="32"/>
      <c r="AC79" s="32"/>
      <c r="AD79" s="32"/>
      <c r="AE79" s="32"/>
    </row>
    <row r="80" spans="2:12" s="1" customFormat="1" ht="12" customHeight="1">
      <c r="B80" s="19"/>
      <c r="C80" s="27" t="s">
        <v>142</v>
      </c>
      <c r="D80" s="20"/>
      <c r="E80" s="20"/>
      <c r="F80" s="20"/>
      <c r="G80" s="20"/>
      <c r="H80" s="20"/>
      <c r="I80" s="20"/>
      <c r="J80" s="20"/>
      <c r="K80" s="20"/>
      <c r="L80" s="18"/>
    </row>
    <row r="81" spans="2:12" s="1" customFormat="1" ht="14.45" customHeight="1">
      <c r="B81" s="19"/>
      <c r="C81" s="20"/>
      <c r="D81" s="20"/>
      <c r="E81" s="700" t="s">
        <v>1429</v>
      </c>
      <c r="F81" s="667"/>
      <c r="G81" s="667"/>
      <c r="H81" s="667"/>
      <c r="I81" s="20"/>
      <c r="J81" s="20"/>
      <c r="K81" s="20"/>
      <c r="L81" s="18"/>
    </row>
    <row r="82" spans="2:12" s="1" customFormat="1" ht="12" customHeight="1">
      <c r="B82" s="19"/>
      <c r="C82" s="27" t="s">
        <v>144</v>
      </c>
      <c r="D82" s="20"/>
      <c r="E82" s="20"/>
      <c r="F82" s="20"/>
      <c r="G82" s="20"/>
      <c r="H82" s="20"/>
      <c r="I82" s="20"/>
      <c r="J82" s="20"/>
      <c r="K82" s="20"/>
      <c r="L82" s="18"/>
    </row>
    <row r="83" spans="1:31" s="2" customFormat="1" ht="14.45" customHeight="1">
      <c r="A83" s="32"/>
      <c r="B83" s="33"/>
      <c r="C83" s="34"/>
      <c r="D83" s="34"/>
      <c r="E83" s="746" t="s">
        <v>1472</v>
      </c>
      <c r="F83" s="699"/>
      <c r="G83" s="699"/>
      <c r="H83" s="699"/>
      <c r="I83" s="34"/>
      <c r="J83" s="34"/>
      <c r="K83" s="34"/>
      <c r="L83" s="111"/>
      <c r="S83" s="32"/>
      <c r="T83" s="32"/>
      <c r="U83" s="32"/>
      <c r="V83" s="32"/>
      <c r="W83" s="32"/>
      <c r="X83" s="32"/>
      <c r="Y83" s="32"/>
      <c r="Z83" s="32"/>
      <c r="AA83" s="32"/>
      <c r="AB83" s="32"/>
      <c r="AC83" s="32"/>
      <c r="AD83" s="32"/>
      <c r="AE83" s="32"/>
    </row>
    <row r="84" spans="1:31" s="2" customFormat="1" ht="12" customHeight="1">
      <c r="A84" s="32"/>
      <c r="B84" s="33"/>
      <c r="C84" s="27" t="s">
        <v>1450</v>
      </c>
      <c r="D84" s="34"/>
      <c r="E84" s="34"/>
      <c r="F84" s="34"/>
      <c r="G84" s="34"/>
      <c r="H84" s="34"/>
      <c r="I84" s="34"/>
      <c r="J84" s="34"/>
      <c r="K84" s="34"/>
      <c r="L84" s="111"/>
      <c r="S84" s="32"/>
      <c r="T84" s="32"/>
      <c r="U84" s="32"/>
      <c r="V84" s="32"/>
      <c r="W84" s="32"/>
      <c r="X84" s="32"/>
      <c r="Y84" s="32"/>
      <c r="Z84" s="32"/>
      <c r="AA84" s="32"/>
      <c r="AB84" s="32"/>
      <c r="AC84" s="32"/>
      <c r="AD84" s="32"/>
      <c r="AE84" s="32"/>
    </row>
    <row r="85" spans="1:31" s="2" customFormat="1" ht="14.45" customHeight="1">
      <c r="A85" s="32"/>
      <c r="B85" s="33"/>
      <c r="C85" s="34"/>
      <c r="D85" s="34"/>
      <c r="E85" s="696" t="str">
        <f>E13</f>
        <v>D.1.4.06.5 - Soupis prací - Gastro demontáž TG</v>
      </c>
      <c r="F85" s="699"/>
      <c r="G85" s="699"/>
      <c r="H85" s="699"/>
      <c r="I85" s="34"/>
      <c r="J85" s="34"/>
      <c r="K85" s="34"/>
      <c r="L85" s="111"/>
      <c r="S85" s="32"/>
      <c r="T85" s="32"/>
      <c r="U85" s="32"/>
      <c r="V85" s="32"/>
      <c r="W85" s="32"/>
      <c r="X85" s="32"/>
      <c r="Y85" s="32"/>
      <c r="Z85" s="32"/>
      <c r="AA85" s="32"/>
      <c r="AB85" s="32"/>
      <c r="AC85" s="32"/>
      <c r="AD85" s="32"/>
      <c r="AE85" s="32"/>
    </row>
    <row r="86" spans="1:31" s="2" customFormat="1" ht="6.95" customHeight="1">
      <c r="A86" s="32"/>
      <c r="B86" s="33"/>
      <c r="C86" s="34"/>
      <c r="D86" s="34"/>
      <c r="E86" s="34"/>
      <c r="F86" s="34"/>
      <c r="G86" s="34"/>
      <c r="H86" s="34"/>
      <c r="I86" s="34"/>
      <c r="J86" s="34"/>
      <c r="K86" s="34"/>
      <c r="L86" s="111"/>
      <c r="S86" s="32"/>
      <c r="T86" s="32"/>
      <c r="U86" s="32"/>
      <c r="V86" s="32"/>
      <c r="W86" s="32"/>
      <c r="X86" s="32"/>
      <c r="Y86" s="32"/>
      <c r="Z86" s="32"/>
      <c r="AA86" s="32"/>
      <c r="AB86" s="32"/>
      <c r="AC86" s="32"/>
      <c r="AD86" s="32"/>
      <c r="AE86" s="32"/>
    </row>
    <row r="87" spans="1:31" s="2" customFormat="1" ht="12" customHeight="1">
      <c r="A87" s="32"/>
      <c r="B87" s="33"/>
      <c r="C87" s="27" t="s">
        <v>21</v>
      </c>
      <c r="D87" s="34"/>
      <c r="E87" s="34"/>
      <c r="F87" s="25" t="str">
        <f>F16</f>
        <v xml:space="preserve"> </v>
      </c>
      <c r="G87" s="34"/>
      <c r="H87" s="34"/>
      <c r="I87" s="27" t="s">
        <v>23</v>
      </c>
      <c r="J87" s="57" t="str">
        <f>IF(J16="","",J16)</f>
        <v>Vyplň údaj</v>
      </c>
      <c r="K87" s="34"/>
      <c r="L87" s="111"/>
      <c r="S87" s="32"/>
      <c r="T87" s="32"/>
      <c r="U87" s="32"/>
      <c r="V87" s="32"/>
      <c r="W87" s="32"/>
      <c r="X87" s="32"/>
      <c r="Y87" s="32"/>
      <c r="Z87" s="32"/>
      <c r="AA87" s="32"/>
      <c r="AB87" s="32"/>
      <c r="AC87" s="32"/>
      <c r="AD87" s="32"/>
      <c r="AE87" s="32"/>
    </row>
    <row r="88" spans="1:31" s="2" customFormat="1" ht="6.95" customHeight="1">
      <c r="A88" s="32"/>
      <c r="B88" s="33"/>
      <c r="C88" s="34"/>
      <c r="D88" s="34"/>
      <c r="E88" s="34"/>
      <c r="F88" s="34"/>
      <c r="G88" s="34"/>
      <c r="H88" s="34"/>
      <c r="I88" s="34"/>
      <c r="J88" s="34"/>
      <c r="K88" s="34"/>
      <c r="L88" s="111"/>
      <c r="S88" s="32"/>
      <c r="T88" s="32"/>
      <c r="U88" s="32"/>
      <c r="V88" s="32"/>
      <c r="W88" s="32"/>
      <c r="X88" s="32"/>
      <c r="Y88" s="32"/>
      <c r="Z88" s="32"/>
      <c r="AA88" s="32"/>
      <c r="AB88" s="32"/>
      <c r="AC88" s="32"/>
      <c r="AD88" s="32"/>
      <c r="AE88" s="32"/>
    </row>
    <row r="89" spans="1:31" s="2" customFormat="1" ht="26.45" customHeight="1">
      <c r="A89" s="32"/>
      <c r="B89" s="33"/>
      <c r="C89" s="27" t="s">
        <v>24</v>
      </c>
      <c r="D89" s="34"/>
      <c r="E89" s="34"/>
      <c r="F89" s="25" t="str">
        <f>E19</f>
        <v xml:space="preserve">Úřad vlády České republiky </v>
      </c>
      <c r="G89" s="34"/>
      <c r="H89" s="34"/>
      <c r="I89" s="27" t="s">
        <v>30</v>
      </c>
      <c r="J89" s="30" t="str">
        <f>E25</f>
        <v>Ateliér Simona Group</v>
      </c>
      <c r="K89" s="34"/>
      <c r="L89" s="111"/>
      <c r="S89" s="32"/>
      <c r="T89" s="32"/>
      <c r="U89" s="32"/>
      <c r="V89" s="32"/>
      <c r="W89" s="32"/>
      <c r="X89" s="32"/>
      <c r="Y89" s="32"/>
      <c r="Z89" s="32"/>
      <c r="AA89" s="32"/>
      <c r="AB89" s="32"/>
      <c r="AC89" s="32"/>
      <c r="AD89" s="32"/>
      <c r="AE89" s="32"/>
    </row>
    <row r="90" spans="1:31" s="2" customFormat="1" ht="26.45" customHeight="1">
      <c r="A90" s="32"/>
      <c r="B90" s="33"/>
      <c r="C90" s="27" t="s">
        <v>28</v>
      </c>
      <c r="D90" s="34"/>
      <c r="E90" s="34"/>
      <c r="F90" s="25" t="str">
        <f>IF(E22="","",E22)</f>
        <v>Vyplň údaj</v>
      </c>
      <c r="G90" s="34"/>
      <c r="H90" s="34"/>
      <c r="I90" s="27" t="s">
        <v>33</v>
      </c>
      <c r="J90" s="30" t="str">
        <f>E28</f>
        <v>Ateliér Simona Group</v>
      </c>
      <c r="K90" s="34"/>
      <c r="L90" s="111"/>
      <c r="S90" s="32"/>
      <c r="T90" s="32"/>
      <c r="U90" s="32"/>
      <c r="V90" s="32"/>
      <c r="W90" s="32"/>
      <c r="X90" s="32"/>
      <c r="Y90" s="32"/>
      <c r="Z90" s="32"/>
      <c r="AA90" s="32"/>
      <c r="AB90" s="32"/>
      <c r="AC90" s="32"/>
      <c r="AD90" s="32"/>
      <c r="AE90" s="32"/>
    </row>
    <row r="91" spans="1:31" s="2" customFormat="1" ht="10.35" customHeight="1">
      <c r="A91" s="32"/>
      <c r="B91" s="33"/>
      <c r="C91" s="34"/>
      <c r="D91" s="34"/>
      <c r="E91" s="34"/>
      <c r="F91" s="34"/>
      <c r="G91" s="34"/>
      <c r="H91" s="34"/>
      <c r="I91" s="34"/>
      <c r="J91" s="34"/>
      <c r="K91" s="34"/>
      <c r="L91" s="111"/>
      <c r="S91" s="32"/>
      <c r="T91" s="32"/>
      <c r="U91" s="32"/>
      <c r="V91" s="32"/>
      <c r="W91" s="32"/>
      <c r="X91" s="32"/>
      <c r="Y91" s="32"/>
      <c r="Z91" s="32"/>
      <c r="AA91" s="32"/>
      <c r="AB91" s="32"/>
      <c r="AC91" s="32"/>
      <c r="AD91" s="32"/>
      <c r="AE91" s="32"/>
    </row>
    <row r="92" spans="1:31" s="11" customFormat="1" ht="29.25" customHeight="1">
      <c r="A92" s="149"/>
      <c r="B92" s="150"/>
      <c r="C92" s="151" t="s">
        <v>182</v>
      </c>
      <c r="D92" s="152" t="s">
        <v>55</v>
      </c>
      <c r="E92" s="152" t="s">
        <v>51</v>
      </c>
      <c r="F92" s="152" t="s">
        <v>52</v>
      </c>
      <c r="G92" s="152" t="s">
        <v>183</v>
      </c>
      <c r="H92" s="152" t="s">
        <v>184</v>
      </c>
      <c r="I92" s="152" t="s">
        <v>185</v>
      </c>
      <c r="J92" s="152" t="s">
        <v>149</v>
      </c>
      <c r="K92" s="153" t="s">
        <v>186</v>
      </c>
      <c r="L92" s="154"/>
      <c r="M92" s="66" t="s">
        <v>19</v>
      </c>
      <c r="N92" s="67" t="s">
        <v>40</v>
      </c>
      <c r="O92" s="67" t="s">
        <v>187</v>
      </c>
      <c r="P92" s="67" t="s">
        <v>188</v>
      </c>
      <c r="Q92" s="67" t="s">
        <v>189</v>
      </c>
      <c r="R92" s="67" t="s">
        <v>190</v>
      </c>
      <c r="S92" s="67" t="s">
        <v>191</v>
      </c>
      <c r="T92" s="68" t="s">
        <v>192</v>
      </c>
      <c r="U92" s="149"/>
      <c r="V92" s="149"/>
      <c r="W92" s="149"/>
      <c r="X92" s="149"/>
      <c r="Y92" s="149"/>
      <c r="Z92" s="149"/>
      <c r="AA92" s="149"/>
      <c r="AB92" s="149"/>
      <c r="AC92" s="149"/>
      <c r="AD92" s="149"/>
      <c r="AE92" s="149"/>
    </row>
    <row r="93" spans="1:63" s="2" customFormat="1" ht="22.9" customHeight="1">
      <c r="A93" s="32"/>
      <c r="B93" s="33"/>
      <c r="C93" s="73" t="s">
        <v>193</v>
      </c>
      <c r="D93" s="34"/>
      <c r="E93" s="34"/>
      <c r="F93" s="34"/>
      <c r="G93" s="34"/>
      <c r="H93" s="34"/>
      <c r="I93" s="34"/>
      <c r="J93" s="155">
        <f>BK93</f>
        <v>0</v>
      </c>
      <c r="K93" s="34"/>
      <c r="L93" s="37"/>
      <c r="M93" s="69"/>
      <c r="N93" s="156"/>
      <c r="O93" s="70"/>
      <c r="P93" s="157">
        <f>P94</f>
        <v>0</v>
      </c>
      <c r="Q93" s="70"/>
      <c r="R93" s="157">
        <f>R94</f>
        <v>0</v>
      </c>
      <c r="S93" s="70"/>
      <c r="T93" s="158">
        <f>T94</f>
        <v>0</v>
      </c>
      <c r="U93" s="32"/>
      <c r="V93" s="32"/>
      <c r="W93" s="32"/>
      <c r="X93" s="32"/>
      <c r="Y93" s="32"/>
      <c r="Z93" s="32"/>
      <c r="AA93" s="32"/>
      <c r="AB93" s="32"/>
      <c r="AC93" s="32"/>
      <c r="AD93" s="32"/>
      <c r="AE93" s="32"/>
      <c r="AT93" s="15" t="s">
        <v>69</v>
      </c>
      <c r="AU93" s="15" t="s">
        <v>150</v>
      </c>
      <c r="BK93" s="159">
        <f>BK94</f>
        <v>0</v>
      </c>
    </row>
    <row r="94" spans="2:63" s="12" customFormat="1" ht="25.9" customHeight="1">
      <c r="B94" s="160"/>
      <c r="C94" s="161"/>
      <c r="D94" s="162" t="s">
        <v>69</v>
      </c>
      <c r="E94" s="163" t="s">
        <v>694</v>
      </c>
      <c r="F94" s="163" t="s">
        <v>695</v>
      </c>
      <c r="G94" s="161"/>
      <c r="H94" s="161"/>
      <c r="I94" s="164"/>
      <c r="J94" s="165">
        <f>BK94</f>
        <v>0</v>
      </c>
      <c r="K94" s="161"/>
      <c r="L94" s="166"/>
      <c r="M94" s="167"/>
      <c r="N94" s="168"/>
      <c r="O94" s="168"/>
      <c r="P94" s="169">
        <f>P95</f>
        <v>0</v>
      </c>
      <c r="Q94" s="168"/>
      <c r="R94" s="169">
        <f>R95</f>
        <v>0</v>
      </c>
      <c r="S94" s="168"/>
      <c r="T94" s="170">
        <f>T95</f>
        <v>0</v>
      </c>
      <c r="AR94" s="171" t="s">
        <v>79</v>
      </c>
      <c r="AT94" s="172" t="s">
        <v>69</v>
      </c>
      <c r="AU94" s="172" t="s">
        <v>70</v>
      </c>
      <c r="AY94" s="171" t="s">
        <v>196</v>
      </c>
      <c r="BK94" s="173">
        <f>BK95</f>
        <v>0</v>
      </c>
    </row>
    <row r="95" spans="2:63" s="12" customFormat="1" ht="22.9" customHeight="1">
      <c r="B95" s="160"/>
      <c r="C95" s="161"/>
      <c r="D95" s="162" t="s">
        <v>69</v>
      </c>
      <c r="E95" s="174" t="s">
        <v>1325</v>
      </c>
      <c r="F95" s="174" t="s">
        <v>1326</v>
      </c>
      <c r="G95" s="161"/>
      <c r="H95" s="161"/>
      <c r="I95" s="164"/>
      <c r="J95" s="175">
        <f>BK95</f>
        <v>0</v>
      </c>
      <c r="K95" s="161"/>
      <c r="L95" s="166"/>
      <c r="M95" s="167"/>
      <c r="N95" s="168"/>
      <c r="O95" s="168"/>
      <c r="P95" s="169">
        <f>P96</f>
        <v>0</v>
      </c>
      <c r="Q95" s="168"/>
      <c r="R95" s="169">
        <f>R96</f>
        <v>0</v>
      </c>
      <c r="S95" s="168"/>
      <c r="T95" s="170">
        <f>T96</f>
        <v>0</v>
      </c>
      <c r="AR95" s="171" t="s">
        <v>79</v>
      </c>
      <c r="AT95" s="172" t="s">
        <v>69</v>
      </c>
      <c r="AU95" s="172" t="s">
        <v>77</v>
      </c>
      <c r="AY95" s="171" t="s">
        <v>196</v>
      </c>
      <c r="BK95" s="173">
        <f>BK96</f>
        <v>0</v>
      </c>
    </row>
    <row r="96" spans="1:65" s="2" customFormat="1" ht="13.9" customHeight="1">
      <c r="A96" s="32"/>
      <c r="B96" s="33"/>
      <c r="C96" s="176" t="s">
        <v>77</v>
      </c>
      <c r="D96" s="176" t="s">
        <v>198</v>
      </c>
      <c r="E96" s="177" t="s">
        <v>1492</v>
      </c>
      <c r="F96" s="178" t="s">
        <v>3188</v>
      </c>
      <c r="G96" s="179" t="s">
        <v>1437</v>
      </c>
      <c r="H96" s="180">
        <v>1</v>
      </c>
      <c r="I96" s="181">
        <f>'G-DEM TG'!G43</f>
        <v>0</v>
      </c>
      <c r="J96" s="182">
        <f>ROUND(I96*H96,2)</f>
        <v>0</v>
      </c>
      <c r="K96" s="178" t="s">
        <v>19</v>
      </c>
      <c r="L96" s="37"/>
      <c r="M96" s="204" t="s">
        <v>19</v>
      </c>
      <c r="N96" s="205" t="s">
        <v>41</v>
      </c>
      <c r="O96" s="206"/>
      <c r="P96" s="207">
        <f>O96*H96</f>
        <v>0</v>
      </c>
      <c r="Q96" s="207">
        <v>0</v>
      </c>
      <c r="R96" s="207">
        <f>Q96*H96</f>
        <v>0</v>
      </c>
      <c r="S96" s="207">
        <v>0</v>
      </c>
      <c r="T96" s="208">
        <f>S96*H96</f>
        <v>0</v>
      </c>
      <c r="U96" s="32"/>
      <c r="V96" s="32"/>
      <c r="W96" s="32"/>
      <c r="X96" s="32"/>
      <c r="Y96" s="32"/>
      <c r="Z96" s="32"/>
      <c r="AA96" s="32"/>
      <c r="AB96" s="32"/>
      <c r="AC96" s="32"/>
      <c r="AD96" s="32"/>
      <c r="AE96" s="32"/>
      <c r="AR96" s="187" t="s">
        <v>270</v>
      </c>
      <c r="AT96" s="187" t="s">
        <v>198</v>
      </c>
      <c r="AU96" s="187" t="s">
        <v>79</v>
      </c>
      <c r="AY96" s="15" t="s">
        <v>196</v>
      </c>
      <c r="BE96" s="188">
        <f>IF(N96="základní",J96,0)</f>
        <v>0</v>
      </c>
      <c r="BF96" s="188">
        <f>IF(N96="snížená",J96,0)</f>
        <v>0</v>
      </c>
      <c r="BG96" s="188">
        <f>IF(N96="zákl. přenesená",J96,0)</f>
        <v>0</v>
      </c>
      <c r="BH96" s="188">
        <f>IF(N96="sníž. přenesená",J96,0)</f>
        <v>0</v>
      </c>
      <c r="BI96" s="188">
        <f>IF(N96="nulová",J96,0)</f>
        <v>0</v>
      </c>
      <c r="BJ96" s="15" t="s">
        <v>77</v>
      </c>
      <c r="BK96" s="188">
        <f>ROUND(I96*H96,2)</f>
        <v>0</v>
      </c>
      <c r="BL96" s="15" t="s">
        <v>270</v>
      </c>
      <c r="BM96" s="187" t="s">
        <v>1493</v>
      </c>
    </row>
    <row r="97" spans="1:31" s="2" customFormat="1" ht="6.95" customHeight="1">
      <c r="A97" s="32"/>
      <c r="B97" s="45"/>
      <c r="C97" s="46"/>
      <c r="D97" s="46"/>
      <c r="E97" s="46"/>
      <c r="F97" s="46"/>
      <c r="G97" s="46"/>
      <c r="H97" s="46"/>
      <c r="I97" s="46"/>
      <c r="J97" s="46"/>
      <c r="K97" s="46"/>
      <c r="L97" s="37"/>
      <c r="M97" s="32"/>
      <c r="O97" s="32"/>
      <c r="P97" s="32"/>
      <c r="Q97" s="32"/>
      <c r="R97" s="32"/>
      <c r="S97" s="32"/>
      <c r="T97" s="32"/>
      <c r="U97" s="32"/>
      <c r="V97" s="32"/>
      <c r="W97" s="32"/>
      <c r="X97" s="32"/>
      <c r="Y97" s="32"/>
      <c r="Z97" s="32"/>
      <c r="AA97" s="32"/>
      <c r="AB97" s="32"/>
      <c r="AC97" s="32"/>
      <c r="AD97" s="32"/>
      <c r="AE97" s="32"/>
    </row>
  </sheetData>
  <sheetProtection algorithmName="SHA-512" hashValue="m1i13DrqDKn16mJsMg2/a8cHKtZFl2swtBPu8wDpT9Nb9vp4Ueryu+QV7ug5FTbui7AKkoR6gKHPVX+RCQXMfQ==" saltValue="VBzbVO0BAnRYU3+2vXeTDQ==" spinCount="100000" sheet="1" objects="1" scenarios="1" formatColumns="0" formatRows="0" autoFilter="0"/>
  <autoFilter ref="C92:K96"/>
  <mergeCells count="15">
    <mergeCell ref="E79:H79"/>
    <mergeCell ref="E83:H83"/>
    <mergeCell ref="E81:H81"/>
    <mergeCell ref="E85:H85"/>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5EB7B-8665-4B32-8781-C6B24704806D}">
  <sheetPr>
    <tabColor theme="3" tint="0.39998000860214233"/>
  </sheetPr>
  <dimension ref="B1:I44"/>
  <sheetViews>
    <sheetView zoomScaleSheetLayoutView="100" workbookViewId="0" topLeftCell="A1">
      <pane ySplit="2" topLeftCell="A12" activePane="bottomLeft" state="frozen"/>
      <selection pane="bottomLeft" activeCell="G43" sqref="G43"/>
    </sheetView>
  </sheetViews>
  <sheetFormatPr defaultColWidth="13.28125" defaultRowHeight="12"/>
  <cols>
    <col min="1" max="1" width="5.8515625" style="538" customWidth="1"/>
    <col min="2" max="2" width="15.8515625" style="537" customWidth="1"/>
    <col min="3" max="3" width="59.140625" style="537" customWidth="1"/>
    <col min="4" max="4" width="18.00390625" style="537" customWidth="1"/>
    <col min="5" max="5" width="13.8515625" style="624" bestFit="1" customWidth="1"/>
    <col min="6" max="6" width="13.28125" style="538" customWidth="1"/>
    <col min="7" max="7" width="15.00390625" style="538" bestFit="1" customWidth="1"/>
    <col min="8" max="8" width="13.28125" style="538" customWidth="1"/>
    <col min="9" max="9" width="15.00390625" style="538" bestFit="1" customWidth="1"/>
    <col min="10" max="256" width="13.28125" style="537" customWidth="1"/>
    <col min="257" max="257" width="5.8515625" style="537" customWidth="1"/>
    <col min="258" max="258" width="15.8515625" style="537" customWidth="1"/>
    <col min="259" max="259" width="59.140625" style="537" customWidth="1"/>
    <col min="260" max="260" width="18.00390625" style="537" customWidth="1"/>
    <col min="261" max="512" width="13.28125" style="537" customWidth="1"/>
    <col min="513" max="513" width="5.8515625" style="537" customWidth="1"/>
    <col min="514" max="514" width="15.8515625" style="537" customWidth="1"/>
    <col min="515" max="515" width="59.140625" style="537" customWidth="1"/>
    <col min="516" max="516" width="18.00390625" style="537" customWidth="1"/>
    <col min="517" max="768" width="13.28125" style="537" customWidth="1"/>
    <col min="769" max="769" width="5.8515625" style="537" customWidth="1"/>
    <col min="770" max="770" width="15.8515625" style="537" customWidth="1"/>
    <col min="771" max="771" width="59.140625" style="537" customWidth="1"/>
    <col min="772" max="772" width="18.00390625" style="537" customWidth="1"/>
    <col min="773" max="1024" width="13.28125" style="537" customWidth="1"/>
    <col min="1025" max="1025" width="5.8515625" style="537" customWidth="1"/>
    <col min="1026" max="1026" width="15.8515625" style="537" customWidth="1"/>
    <col min="1027" max="1027" width="59.140625" style="537" customWidth="1"/>
    <col min="1028" max="1028" width="18.00390625" style="537" customWidth="1"/>
    <col min="1029" max="1280" width="13.28125" style="537" customWidth="1"/>
    <col min="1281" max="1281" width="5.8515625" style="537" customWidth="1"/>
    <col min="1282" max="1282" width="15.8515625" style="537" customWidth="1"/>
    <col min="1283" max="1283" width="59.140625" style="537" customWidth="1"/>
    <col min="1284" max="1284" width="18.00390625" style="537" customWidth="1"/>
    <col min="1285" max="1536" width="13.28125" style="537" customWidth="1"/>
    <col min="1537" max="1537" width="5.8515625" style="537" customWidth="1"/>
    <col min="1538" max="1538" width="15.8515625" style="537" customWidth="1"/>
    <col min="1539" max="1539" width="59.140625" style="537" customWidth="1"/>
    <col min="1540" max="1540" width="18.00390625" style="537" customWidth="1"/>
    <col min="1541" max="1792" width="13.28125" style="537" customWidth="1"/>
    <col min="1793" max="1793" width="5.8515625" style="537" customWidth="1"/>
    <col min="1794" max="1794" width="15.8515625" style="537" customWidth="1"/>
    <col min="1795" max="1795" width="59.140625" style="537" customWidth="1"/>
    <col min="1796" max="1796" width="18.00390625" style="537" customWidth="1"/>
    <col min="1797" max="2048" width="13.28125" style="537" customWidth="1"/>
    <col min="2049" max="2049" width="5.8515625" style="537" customWidth="1"/>
    <col min="2050" max="2050" width="15.8515625" style="537" customWidth="1"/>
    <col min="2051" max="2051" width="59.140625" style="537" customWidth="1"/>
    <col min="2052" max="2052" width="18.00390625" style="537" customWidth="1"/>
    <col min="2053" max="2304" width="13.28125" style="537" customWidth="1"/>
    <col min="2305" max="2305" width="5.8515625" style="537" customWidth="1"/>
    <col min="2306" max="2306" width="15.8515625" style="537" customWidth="1"/>
    <col min="2307" max="2307" width="59.140625" style="537" customWidth="1"/>
    <col min="2308" max="2308" width="18.00390625" style="537" customWidth="1"/>
    <col min="2309" max="2560" width="13.28125" style="537" customWidth="1"/>
    <col min="2561" max="2561" width="5.8515625" style="537" customWidth="1"/>
    <col min="2562" max="2562" width="15.8515625" style="537" customWidth="1"/>
    <col min="2563" max="2563" width="59.140625" style="537" customWidth="1"/>
    <col min="2564" max="2564" width="18.00390625" style="537" customWidth="1"/>
    <col min="2565" max="2816" width="13.28125" style="537" customWidth="1"/>
    <col min="2817" max="2817" width="5.8515625" style="537" customWidth="1"/>
    <col min="2818" max="2818" width="15.8515625" style="537" customWidth="1"/>
    <col min="2819" max="2819" width="59.140625" style="537" customWidth="1"/>
    <col min="2820" max="2820" width="18.00390625" style="537" customWidth="1"/>
    <col min="2821" max="3072" width="13.28125" style="537" customWidth="1"/>
    <col min="3073" max="3073" width="5.8515625" style="537" customWidth="1"/>
    <col min="3074" max="3074" width="15.8515625" style="537" customWidth="1"/>
    <col min="3075" max="3075" width="59.140625" style="537" customWidth="1"/>
    <col min="3076" max="3076" width="18.00390625" style="537" customWidth="1"/>
    <col min="3077" max="3328" width="13.28125" style="537" customWidth="1"/>
    <col min="3329" max="3329" width="5.8515625" style="537" customWidth="1"/>
    <col min="3330" max="3330" width="15.8515625" style="537" customWidth="1"/>
    <col min="3331" max="3331" width="59.140625" style="537" customWidth="1"/>
    <col min="3332" max="3332" width="18.00390625" style="537" customWidth="1"/>
    <col min="3333" max="3584" width="13.28125" style="537" customWidth="1"/>
    <col min="3585" max="3585" width="5.8515625" style="537" customWidth="1"/>
    <col min="3586" max="3586" width="15.8515625" style="537" customWidth="1"/>
    <col min="3587" max="3587" width="59.140625" style="537" customWidth="1"/>
    <col min="3588" max="3588" width="18.00390625" style="537" customWidth="1"/>
    <col min="3589" max="3840" width="13.28125" style="537" customWidth="1"/>
    <col min="3841" max="3841" width="5.8515625" style="537" customWidth="1"/>
    <col min="3842" max="3842" width="15.8515625" style="537" customWidth="1"/>
    <col min="3843" max="3843" width="59.140625" style="537" customWidth="1"/>
    <col min="3844" max="3844" width="18.00390625" style="537" customWidth="1"/>
    <col min="3845" max="4096" width="13.28125" style="537" customWidth="1"/>
    <col min="4097" max="4097" width="5.8515625" style="537" customWidth="1"/>
    <col min="4098" max="4098" width="15.8515625" style="537" customWidth="1"/>
    <col min="4099" max="4099" width="59.140625" style="537" customWidth="1"/>
    <col min="4100" max="4100" width="18.00390625" style="537" customWidth="1"/>
    <col min="4101" max="4352" width="13.28125" style="537" customWidth="1"/>
    <col min="4353" max="4353" width="5.8515625" style="537" customWidth="1"/>
    <col min="4354" max="4354" width="15.8515625" style="537" customWidth="1"/>
    <col min="4355" max="4355" width="59.140625" style="537" customWidth="1"/>
    <col min="4356" max="4356" width="18.00390625" style="537" customWidth="1"/>
    <col min="4357" max="4608" width="13.28125" style="537" customWidth="1"/>
    <col min="4609" max="4609" width="5.8515625" style="537" customWidth="1"/>
    <col min="4610" max="4610" width="15.8515625" style="537" customWidth="1"/>
    <col min="4611" max="4611" width="59.140625" style="537" customWidth="1"/>
    <col min="4612" max="4612" width="18.00390625" style="537" customWidth="1"/>
    <col min="4613" max="4864" width="13.28125" style="537" customWidth="1"/>
    <col min="4865" max="4865" width="5.8515625" style="537" customWidth="1"/>
    <col min="4866" max="4866" width="15.8515625" style="537" customWidth="1"/>
    <col min="4867" max="4867" width="59.140625" style="537" customWidth="1"/>
    <col min="4868" max="4868" width="18.00390625" style="537" customWidth="1"/>
    <col min="4869" max="5120" width="13.28125" style="537" customWidth="1"/>
    <col min="5121" max="5121" width="5.8515625" style="537" customWidth="1"/>
    <col min="5122" max="5122" width="15.8515625" style="537" customWidth="1"/>
    <col min="5123" max="5123" width="59.140625" style="537" customWidth="1"/>
    <col min="5124" max="5124" width="18.00390625" style="537" customWidth="1"/>
    <col min="5125" max="5376" width="13.28125" style="537" customWidth="1"/>
    <col min="5377" max="5377" width="5.8515625" style="537" customWidth="1"/>
    <col min="5378" max="5378" width="15.8515625" style="537" customWidth="1"/>
    <col min="5379" max="5379" width="59.140625" style="537" customWidth="1"/>
    <col min="5380" max="5380" width="18.00390625" style="537" customWidth="1"/>
    <col min="5381" max="5632" width="13.28125" style="537" customWidth="1"/>
    <col min="5633" max="5633" width="5.8515625" style="537" customWidth="1"/>
    <col min="5634" max="5634" width="15.8515625" style="537" customWidth="1"/>
    <col min="5635" max="5635" width="59.140625" style="537" customWidth="1"/>
    <col min="5636" max="5636" width="18.00390625" style="537" customWidth="1"/>
    <col min="5637" max="5888" width="13.28125" style="537" customWidth="1"/>
    <col min="5889" max="5889" width="5.8515625" style="537" customWidth="1"/>
    <col min="5890" max="5890" width="15.8515625" style="537" customWidth="1"/>
    <col min="5891" max="5891" width="59.140625" style="537" customWidth="1"/>
    <col min="5892" max="5892" width="18.00390625" style="537" customWidth="1"/>
    <col min="5893" max="6144" width="13.28125" style="537" customWidth="1"/>
    <col min="6145" max="6145" width="5.8515625" style="537" customWidth="1"/>
    <col min="6146" max="6146" width="15.8515625" style="537" customWidth="1"/>
    <col min="6147" max="6147" width="59.140625" style="537" customWidth="1"/>
    <col min="6148" max="6148" width="18.00390625" style="537" customWidth="1"/>
    <col min="6149" max="6400" width="13.28125" style="537" customWidth="1"/>
    <col min="6401" max="6401" width="5.8515625" style="537" customWidth="1"/>
    <col min="6402" max="6402" width="15.8515625" style="537" customWidth="1"/>
    <col min="6403" max="6403" width="59.140625" style="537" customWidth="1"/>
    <col min="6404" max="6404" width="18.00390625" style="537" customWidth="1"/>
    <col min="6405" max="6656" width="13.28125" style="537" customWidth="1"/>
    <col min="6657" max="6657" width="5.8515625" style="537" customWidth="1"/>
    <col min="6658" max="6658" width="15.8515625" style="537" customWidth="1"/>
    <col min="6659" max="6659" width="59.140625" style="537" customWidth="1"/>
    <col min="6660" max="6660" width="18.00390625" style="537" customWidth="1"/>
    <col min="6661" max="6912" width="13.28125" style="537" customWidth="1"/>
    <col min="6913" max="6913" width="5.8515625" style="537" customWidth="1"/>
    <col min="6914" max="6914" width="15.8515625" style="537" customWidth="1"/>
    <col min="6915" max="6915" width="59.140625" style="537" customWidth="1"/>
    <col min="6916" max="6916" width="18.00390625" style="537" customWidth="1"/>
    <col min="6917" max="7168" width="13.28125" style="537" customWidth="1"/>
    <col min="7169" max="7169" width="5.8515625" style="537" customWidth="1"/>
    <col min="7170" max="7170" width="15.8515625" style="537" customWidth="1"/>
    <col min="7171" max="7171" width="59.140625" style="537" customWidth="1"/>
    <col min="7172" max="7172" width="18.00390625" style="537" customWidth="1"/>
    <col min="7173" max="7424" width="13.28125" style="537" customWidth="1"/>
    <col min="7425" max="7425" width="5.8515625" style="537" customWidth="1"/>
    <col min="7426" max="7426" width="15.8515625" style="537" customWidth="1"/>
    <col min="7427" max="7427" width="59.140625" style="537" customWidth="1"/>
    <col min="7428" max="7428" width="18.00390625" style="537" customWidth="1"/>
    <col min="7429" max="7680" width="13.28125" style="537" customWidth="1"/>
    <col min="7681" max="7681" width="5.8515625" style="537" customWidth="1"/>
    <col min="7682" max="7682" width="15.8515625" style="537" customWidth="1"/>
    <col min="7683" max="7683" width="59.140625" style="537" customWidth="1"/>
    <col min="7684" max="7684" width="18.00390625" style="537" customWidth="1"/>
    <col min="7685" max="7936" width="13.28125" style="537" customWidth="1"/>
    <col min="7937" max="7937" width="5.8515625" style="537" customWidth="1"/>
    <col min="7938" max="7938" width="15.8515625" style="537" customWidth="1"/>
    <col min="7939" max="7939" width="59.140625" style="537" customWidth="1"/>
    <col min="7940" max="7940" width="18.00390625" style="537" customWidth="1"/>
    <col min="7941" max="8192" width="13.28125" style="537" customWidth="1"/>
    <col min="8193" max="8193" width="5.8515625" style="537" customWidth="1"/>
    <col min="8194" max="8194" width="15.8515625" style="537" customWidth="1"/>
    <col min="8195" max="8195" width="59.140625" style="537" customWidth="1"/>
    <col min="8196" max="8196" width="18.00390625" style="537" customWidth="1"/>
    <col min="8197" max="8448" width="13.28125" style="537" customWidth="1"/>
    <col min="8449" max="8449" width="5.8515625" style="537" customWidth="1"/>
    <col min="8450" max="8450" width="15.8515625" style="537" customWidth="1"/>
    <col min="8451" max="8451" width="59.140625" style="537" customWidth="1"/>
    <col min="8452" max="8452" width="18.00390625" style="537" customWidth="1"/>
    <col min="8453" max="8704" width="13.28125" style="537" customWidth="1"/>
    <col min="8705" max="8705" width="5.8515625" style="537" customWidth="1"/>
    <col min="8706" max="8706" width="15.8515625" style="537" customWidth="1"/>
    <col min="8707" max="8707" width="59.140625" style="537" customWidth="1"/>
    <col min="8708" max="8708" width="18.00390625" style="537" customWidth="1"/>
    <col min="8709" max="8960" width="13.28125" style="537" customWidth="1"/>
    <col min="8961" max="8961" width="5.8515625" style="537" customWidth="1"/>
    <col min="8962" max="8962" width="15.8515625" style="537" customWidth="1"/>
    <col min="8963" max="8963" width="59.140625" style="537" customWidth="1"/>
    <col min="8964" max="8964" width="18.00390625" style="537" customWidth="1"/>
    <col min="8965" max="9216" width="13.28125" style="537" customWidth="1"/>
    <col min="9217" max="9217" width="5.8515625" style="537" customWidth="1"/>
    <col min="9218" max="9218" width="15.8515625" style="537" customWidth="1"/>
    <col min="9219" max="9219" width="59.140625" style="537" customWidth="1"/>
    <col min="9220" max="9220" width="18.00390625" style="537" customWidth="1"/>
    <col min="9221" max="9472" width="13.28125" style="537" customWidth="1"/>
    <col min="9473" max="9473" width="5.8515625" style="537" customWidth="1"/>
    <col min="9474" max="9474" width="15.8515625" style="537" customWidth="1"/>
    <col min="9475" max="9475" width="59.140625" style="537" customWidth="1"/>
    <col min="9476" max="9476" width="18.00390625" style="537" customWidth="1"/>
    <col min="9477" max="9728" width="13.28125" style="537" customWidth="1"/>
    <col min="9729" max="9729" width="5.8515625" style="537" customWidth="1"/>
    <col min="9730" max="9730" width="15.8515625" style="537" customWidth="1"/>
    <col min="9731" max="9731" width="59.140625" style="537" customWidth="1"/>
    <col min="9732" max="9732" width="18.00390625" style="537" customWidth="1"/>
    <col min="9733" max="9984" width="13.28125" style="537" customWidth="1"/>
    <col min="9985" max="9985" width="5.8515625" style="537" customWidth="1"/>
    <col min="9986" max="9986" width="15.8515625" style="537" customWidth="1"/>
    <col min="9987" max="9987" width="59.140625" style="537" customWidth="1"/>
    <col min="9988" max="9988" width="18.00390625" style="537" customWidth="1"/>
    <col min="9989" max="10240" width="13.28125" style="537" customWidth="1"/>
    <col min="10241" max="10241" width="5.8515625" style="537" customWidth="1"/>
    <col min="10242" max="10242" width="15.8515625" style="537" customWidth="1"/>
    <col min="10243" max="10243" width="59.140625" style="537" customWidth="1"/>
    <col min="10244" max="10244" width="18.00390625" style="537" customWidth="1"/>
    <col min="10245" max="10496" width="13.28125" style="537" customWidth="1"/>
    <col min="10497" max="10497" width="5.8515625" style="537" customWidth="1"/>
    <col min="10498" max="10498" width="15.8515625" style="537" customWidth="1"/>
    <col min="10499" max="10499" width="59.140625" style="537" customWidth="1"/>
    <col min="10500" max="10500" width="18.00390625" style="537" customWidth="1"/>
    <col min="10501" max="10752" width="13.28125" style="537" customWidth="1"/>
    <col min="10753" max="10753" width="5.8515625" style="537" customWidth="1"/>
    <col min="10754" max="10754" width="15.8515625" style="537" customWidth="1"/>
    <col min="10755" max="10755" width="59.140625" style="537" customWidth="1"/>
    <col min="10756" max="10756" width="18.00390625" style="537" customWidth="1"/>
    <col min="10757" max="11008" width="13.28125" style="537" customWidth="1"/>
    <col min="11009" max="11009" width="5.8515625" style="537" customWidth="1"/>
    <col min="11010" max="11010" width="15.8515625" style="537" customWidth="1"/>
    <col min="11011" max="11011" width="59.140625" style="537" customWidth="1"/>
    <col min="11012" max="11012" width="18.00390625" style="537" customWidth="1"/>
    <col min="11013" max="11264" width="13.28125" style="537" customWidth="1"/>
    <col min="11265" max="11265" width="5.8515625" style="537" customWidth="1"/>
    <col min="11266" max="11266" width="15.8515625" style="537" customWidth="1"/>
    <col min="11267" max="11267" width="59.140625" style="537" customWidth="1"/>
    <col min="11268" max="11268" width="18.00390625" style="537" customWidth="1"/>
    <col min="11269" max="11520" width="13.28125" style="537" customWidth="1"/>
    <col min="11521" max="11521" width="5.8515625" style="537" customWidth="1"/>
    <col min="11522" max="11522" width="15.8515625" style="537" customWidth="1"/>
    <col min="11523" max="11523" width="59.140625" style="537" customWidth="1"/>
    <col min="11524" max="11524" width="18.00390625" style="537" customWidth="1"/>
    <col min="11525" max="11776" width="13.28125" style="537" customWidth="1"/>
    <col min="11777" max="11777" width="5.8515625" style="537" customWidth="1"/>
    <col min="11778" max="11778" width="15.8515625" style="537" customWidth="1"/>
    <col min="11779" max="11779" width="59.140625" style="537" customWidth="1"/>
    <col min="11780" max="11780" width="18.00390625" style="537" customWidth="1"/>
    <col min="11781" max="12032" width="13.28125" style="537" customWidth="1"/>
    <col min="12033" max="12033" width="5.8515625" style="537" customWidth="1"/>
    <col min="12034" max="12034" width="15.8515625" style="537" customWidth="1"/>
    <col min="12035" max="12035" width="59.140625" style="537" customWidth="1"/>
    <col min="12036" max="12036" width="18.00390625" style="537" customWidth="1"/>
    <col min="12037" max="12288" width="13.28125" style="537" customWidth="1"/>
    <col min="12289" max="12289" width="5.8515625" style="537" customWidth="1"/>
    <col min="12290" max="12290" width="15.8515625" style="537" customWidth="1"/>
    <col min="12291" max="12291" width="59.140625" style="537" customWidth="1"/>
    <col min="12292" max="12292" width="18.00390625" style="537" customWidth="1"/>
    <col min="12293" max="12544" width="13.28125" style="537" customWidth="1"/>
    <col min="12545" max="12545" width="5.8515625" style="537" customWidth="1"/>
    <col min="12546" max="12546" width="15.8515625" style="537" customWidth="1"/>
    <col min="12547" max="12547" width="59.140625" style="537" customWidth="1"/>
    <col min="12548" max="12548" width="18.00390625" style="537" customWidth="1"/>
    <col min="12549" max="12800" width="13.28125" style="537" customWidth="1"/>
    <col min="12801" max="12801" width="5.8515625" style="537" customWidth="1"/>
    <col min="12802" max="12802" width="15.8515625" style="537" customWidth="1"/>
    <col min="12803" max="12803" width="59.140625" style="537" customWidth="1"/>
    <col min="12804" max="12804" width="18.00390625" style="537" customWidth="1"/>
    <col min="12805" max="13056" width="13.28125" style="537" customWidth="1"/>
    <col min="13057" max="13057" width="5.8515625" style="537" customWidth="1"/>
    <col min="13058" max="13058" width="15.8515625" style="537" customWidth="1"/>
    <col min="13059" max="13059" width="59.140625" style="537" customWidth="1"/>
    <col min="13060" max="13060" width="18.00390625" style="537" customWidth="1"/>
    <col min="13061" max="13312" width="13.28125" style="537" customWidth="1"/>
    <col min="13313" max="13313" width="5.8515625" style="537" customWidth="1"/>
    <col min="13314" max="13314" width="15.8515625" style="537" customWidth="1"/>
    <col min="13315" max="13315" width="59.140625" style="537" customWidth="1"/>
    <col min="13316" max="13316" width="18.00390625" style="537" customWidth="1"/>
    <col min="13317" max="13568" width="13.28125" style="537" customWidth="1"/>
    <col min="13569" max="13569" width="5.8515625" style="537" customWidth="1"/>
    <col min="13570" max="13570" width="15.8515625" style="537" customWidth="1"/>
    <col min="13571" max="13571" width="59.140625" style="537" customWidth="1"/>
    <col min="13572" max="13572" width="18.00390625" style="537" customWidth="1"/>
    <col min="13573" max="13824" width="13.28125" style="537" customWidth="1"/>
    <col min="13825" max="13825" width="5.8515625" style="537" customWidth="1"/>
    <col min="13826" max="13826" width="15.8515625" style="537" customWidth="1"/>
    <col min="13827" max="13827" width="59.140625" style="537" customWidth="1"/>
    <col min="13828" max="13828" width="18.00390625" style="537" customWidth="1"/>
    <col min="13829" max="14080" width="13.28125" style="537" customWidth="1"/>
    <col min="14081" max="14081" width="5.8515625" style="537" customWidth="1"/>
    <col min="14082" max="14082" width="15.8515625" style="537" customWidth="1"/>
    <col min="14083" max="14083" width="59.140625" style="537" customWidth="1"/>
    <col min="14084" max="14084" width="18.00390625" style="537" customWidth="1"/>
    <col min="14085" max="14336" width="13.28125" style="537" customWidth="1"/>
    <col min="14337" max="14337" width="5.8515625" style="537" customWidth="1"/>
    <col min="14338" max="14338" width="15.8515625" style="537" customWidth="1"/>
    <col min="14339" max="14339" width="59.140625" style="537" customWidth="1"/>
    <col min="14340" max="14340" width="18.00390625" style="537" customWidth="1"/>
    <col min="14341" max="14592" width="13.28125" style="537" customWidth="1"/>
    <col min="14593" max="14593" width="5.8515625" style="537" customWidth="1"/>
    <col min="14594" max="14594" width="15.8515625" style="537" customWidth="1"/>
    <col min="14595" max="14595" width="59.140625" style="537" customWidth="1"/>
    <col min="14596" max="14596" width="18.00390625" style="537" customWidth="1"/>
    <col min="14597" max="14848" width="13.28125" style="537" customWidth="1"/>
    <col min="14849" max="14849" width="5.8515625" style="537" customWidth="1"/>
    <col min="14850" max="14850" width="15.8515625" style="537" customWidth="1"/>
    <col min="14851" max="14851" width="59.140625" style="537" customWidth="1"/>
    <col min="14852" max="14852" width="18.00390625" style="537" customWidth="1"/>
    <col min="14853" max="15104" width="13.28125" style="537" customWidth="1"/>
    <col min="15105" max="15105" width="5.8515625" style="537" customWidth="1"/>
    <col min="15106" max="15106" width="15.8515625" style="537" customWidth="1"/>
    <col min="15107" max="15107" width="59.140625" style="537" customWidth="1"/>
    <col min="15108" max="15108" width="18.00390625" style="537" customWidth="1"/>
    <col min="15109" max="15360" width="13.28125" style="537" customWidth="1"/>
    <col min="15361" max="15361" width="5.8515625" style="537" customWidth="1"/>
    <col min="15362" max="15362" width="15.8515625" style="537" customWidth="1"/>
    <col min="15363" max="15363" width="59.140625" style="537" customWidth="1"/>
    <col min="15364" max="15364" width="18.00390625" style="537" customWidth="1"/>
    <col min="15365" max="15616" width="13.28125" style="537" customWidth="1"/>
    <col min="15617" max="15617" width="5.8515625" style="537" customWidth="1"/>
    <col min="15618" max="15618" width="15.8515625" style="537" customWidth="1"/>
    <col min="15619" max="15619" width="59.140625" style="537" customWidth="1"/>
    <col min="15620" max="15620" width="18.00390625" style="537" customWidth="1"/>
    <col min="15621" max="15872" width="13.28125" style="537" customWidth="1"/>
    <col min="15873" max="15873" width="5.8515625" style="537" customWidth="1"/>
    <col min="15874" max="15874" width="15.8515625" style="537" customWidth="1"/>
    <col min="15875" max="15875" width="59.140625" style="537" customWidth="1"/>
    <col min="15876" max="15876" width="18.00390625" style="537" customWidth="1"/>
    <col min="15877" max="16128" width="13.28125" style="537" customWidth="1"/>
    <col min="16129" max="16129" width="5.8515625" style="537" customWidth="1"/>
    <col min="16130" max="16130" width="15.8515625" style="537" customWidth="1"/>
    <col min="16131" max="16131" width="59.140625" style="537" customWidth="1"/>
    <col min="16132" max="16132" width="18.00390625" style="537" customWidth="1"/>
    <col min="16133" max="16384" width="13.28125" style="537" customWidth="1"/>
  </cols>
  <sheetData>
    <row r="1" spans="3:5" ht="12">
      <c r="C1" s="636" t="s">
        <v>3184</v>
      </c>
      <c r="E1" s="637"/>
    </row>
    <row r="2" spans="2:9" ht="30">
      <c r="B2" s="633" t="s">
        <v>3113</v>
      </c>
      <c r="C2" s="633" t="s">
        <v>3112</v>
      </c>
      <c r="D2" s="633" t="s">
        <v>3111</v>
      </c>
      <c r="E2" s="638" t="s">
        <v>2652</v>
      </c>
      <c r="F2" s="632" t="s">
        <v>2651</v>
      </c>
      <c r="G2" s="638" t="s">
        <v>2650</v>
      </c>
      <c r="H2" s="638" t="s">
        <v>40</v>
      </c>
      <c r="I2" s="638" t="s">
        <v>2649</v>
      </c>
    </row>
    <row r="3" spans="2:9" ht="12">
      <c r="B3" s="630" t="s">
        <v>3183</v>
      </c>
      <c r="C3" s="629" t="s">
        <v>3182</v>
      </c>
      <c r="D3" s="628">
        <v>35886</v>
      </c>
      <c r="E3" s="639">
        <v>0</v>
      </c>
      <c r="F3" s="560">
        <v>1</v>
      </c>
      <c r="G3" s="627">
        <f>F3*E3</f>
        <v>0</v>
      </c>
      <c r="H3" s="560">
        <v>21</v>
      </c>
      <c r="I3" s="627">
        <f aca="true" t="shared" si="0" ref="I3:I42">G3*1.21</f>
        <v>0</v>
      </c>
    </row>
    <row r="4" spans="2:9" ht="12">
      <c r="B4" s="630" t="s">
        <v>3181</v>
      </c>
      <c r="C4" s="629" t="s">
        <v>3180</v>
      </c>
      <c r="D4" s="628">
        <v>42269</v>
      </c>
      <c r="E4" s="639">
        <v>0</v>
      </c>
      <c r="F4" s="560">
        <v>1</v>
      </c>
      <c r="G4" s="627">
        <f aca="true" t="shared" si="1" ref="G4:G42">F4*E4</f>
        <v>0</v>
      </c>
      <c r="H4" s="560">
        <v>21</v>
      </c>
      <c r="I4" s="627">
        <f t="shared" si="0"/>
        <v>0</v>
      </c>
    </row>
    <row r="5" spans="2:9" ht="12">
      <c r="B5" s="630" t="s">
        <v>3179</v>
      </c>
      <c r="C5" s="629" t="s">
        <v>3178</v>
      </c>
      <c r="D5" s="628">
        <v>42867</v>
      </c>
      <c r="E5" s="639">
        <v>0</v>
      </c>
      <c r="F5" s="560">
        <v>1</v>
      </c>
      <c r="G5" s="627">
        <f t="shared" si="1"/>
        <v>0</v>
      </c>
      <c r="H5" s="560">
        <v>21</v>
      </c>
      <c r="I5" s="627">
        <f t="shared" si="0"/>
        <v>0</v>
      </c>
    </row>
    <row r="6" spans="2:9" ht="12">
      <c r="B6" s="630" t="s">
        <v>3177</v>
      </c>
      <c r="C6" s="629" t="s">
        <v>3175</v>
      </c>
      <c r="D6" s="628">
        <v>43229</v>
      </c>
      <c r="E6" s="639">
        <v>0</v>
      </c>
      <c r="F6" s="560">
        <v>1</v>
      </c>
      <c r="G6" s="627">
        <f t="shared" si="1"/>
        <v>0</v>
      </c>
      <c r="H6" s="560">
        <v>21</v>
      </c>
      <c r="I6" s="627">
        <f t="shared" si="0"/>
        <v>0</v>
      </c>
    </row>
    <row r="7" spans="2:9" ht="12">
      <c r="B7" s="630" t="s">
        <v>3176</v>
      </c>
      <c r="C7" s="629" t="s">
        <v>3175</v>
      </c>
      <c r="D7" s="628">
        <v>43229</v>
      </c>
      <c r="E7" s="639">
        <v>0</v>
      </c>
      <c r="F7" s="560">
        <v>1</v>
      </c>
      <c r="G7" s="627">
        <f t="shared" si="1"/>
        <v>0</v>
      </c>
      <c r="H7" s="560">
        <v>21</v>
      </c>
      <c r="I7" s="627">
        <f t="shared" si="0"/>
        <v>0</v>
      </c>
    </row>
    <row r="8" spans="2:9" ht="12">
      <c r="B8" s="630" t="s">
        <v>3174</v>
      </c>
      <c r="C8" s="629" t="s">
        <v>3173</v>
      </c>
      <c r="D8" s="628">
        <v>41859</v>
      </c>
      <c r="E8" s="639">
        <v>0</v>
      </c>
      <c r="F8" s="560">
        <v>1</v>
      </c>
      <c r="G8" s="627">
        <f t="shared" si="1"/>
        <v>0</v>
      </c>
      <c r="H8" s="560">
        <v>21</v>
      </c>
      <c r="I8" s="627">
        <f t="shared" si="0"/>
        <v>0</v>
      </c>
    </row>
    <row r="9" spans="2:9" ht="12">
      <c r="B9" s="630" t="s">
        <v>3172</v>
      </c>
      <c r="C9" s="629" t="s">
        <v>3171</v>
      </c>
      <c r="D9" s="628">
        <v>37550</v>
      </c>
      <c r="E9" s="639">
        <v>0</v>
      </c>
      <c r="F9" s="560">
        <v>1</v>
      </c>
      <c r="G9" s="627">
        <f t="shared" si="1"/>
        <v>0</v>
      </c>
      <c r="H9" s="560">
        <v>21</v>
      </c>
      <c r="I9" s="627">
        <f t="shared" si="0"/>
        <v>0</v>
      </c>
    </row>
    <row r="10" spans="2:9" ht="12">
      <c r="B10" s="630" t="s">
        <v>3170</v>
      </c>
      <c r="C10" s="629" t="s">
        <v>3169</v>
      </c>
      <c r="D10" s="628">
        <v>35118</v>
      </c>
      <c r="E10" s="639">
        <v>0</v>
      </c>
      <c r="F10" s="560">
        <v>1</v>
      </c>
      <c r="G10" s="627">
        <f t="shared" si="1"/>
        <v>0</v>
      </c>
      <c r="H10" s="560">
        <v>21</v>
      </c>
      <c r="I10" s="627">
        <f t="shared" si="0"/>
        <v>0</v>
      </c>
    </row>
    <row r="11" spans="2:9" ht="12">
      <c r="B11" s="630" t="s">
        <v>3168</v>
      </c>
      <c r="C11" s="629" t="s">
        <v>3167</v>
      </c>
      <c r="D11" s="628">
        <v>41851</v>
      </c>
      <c r="E11" s="639">
        <v>0</v>
      </c>
      <c r="F11" s="560">
        <v>1</v>
      </c>
      <c r="G11" s="627">
        <f t="shared" si="1"/>
        <v>0</v>
      </c>
      <c r="H11" s="560">
        <v>21</v>
      </c>
      <c r="I11" s="627">
        <f t="shared" si="0"/>
        <v>0</v>
      </c>
    </row>
    <row r="12" spans="2:9" ht="12">
      <c r="B12" s="630" t="s">
        <v>3166</v>
      </c>
      <c r="C12" s="629" t="s">
        <v>3165</v>
      </c>
      <c r="D12" s="628">
        <v>41851</v>
      </c>
      <c r="E12" s="639">
        <v>0</v>
      </c>
      <c r="F12" s="560">
        <v>1</v>
      </c>
      <c r="G12" s="627">
        <f t="shared" si="1"/>
        <v>0</v>
      </c>
      <c r="H12" s="560">
        <v>21</v>
      </c>
      <c r="I12" s="627">
        <f t="shared" si="0"/>
        <v>0</v>
      </c>
    </row>
    <row r="13" spans="2:9" ht="12">
      <c r="B13" s="630" t="s">
        <v>3164</v>
      </c>
      <c r="C13" s="629" t="s">
        <v>3163</v>
      </c>
      <c r="D13" s="628">
        <v>42866</v>
      </c>
      <c r="E13" s="639">
        <v>0</v>
      </c>
      <c r="F13" s="560">
        <v>1</v>
      </c>
      <c r="G13" s="627">
        <f t="shared" si="1"/>
        <v>0</v>
      </c>
      <c r="H13" s="560">
        <v>21</v>
      </c>
      <c r="I13" s="627">
        <f t="shared" si="0"/>
        <v>0</v>
      </c>
    </row>
    <row r="14" spans="2:9" ht="12">
      <c r="B14" s="630" t="s">
        <v>3162</v>
      </c>
      <c r="C14" s="629" t="s">
        <v>3161</v>
      </c>
      <c r="D14" s="628">
        <v>35166</v>
      </c>
      <c r="E14" s="639">
        <v>0</v>
      </c>
      <c r="F14" s="560">
        <v>1</v>
      </c>
      <c r="G14" s="627">
        <f t="shared" si="1"/>
        <v>0</v>
      </c>
      <c r="H14" s="560">
        <v>21</v>
      </c>
      <c r="I14" s="627">
        <f t="shared" si="0"/>
        <v>0</v>
      </c>
    </row>
    <row r="15" spans="2:9" ht="12">
      <c r="B15" s="630" t="s">
        <v>3160</v>
      </c>
      <c r="C15" s="629" t="s">
        <v>3159</v>
      </c>
      <c r="D15" s="628">
        <v>36543</v>
      </c>
      <c r="E15" s="639">
        <v>0</v>
      </c>
      <c r="F15" s="560">
        <v>1</v>
      </c>
      <c r="G15" s="627">
        <f t="shared" si="1"/>
        <v>0</v>
      </c>
      <c r="H15" s="560">
        <v>21</v>
      </c>
      <c r="I15" s="627">
        <f t="shared" si="0"/>
        <v>0</v>
      </c>
    </row>
    <row r="16" spans="2:9" ht="12">
      <c r="B16" s="630" t="s">
        <v>3158</v>
      </c>
      <c r="C16" s="629" t="s">
        <v>3157</v>
      </c>
      <c r="D16" s="628">
        <v>33970</v>
      </c>
      <c r="E16" s="639">
        <v>0</v>
      </c>
      <c r="F16" s="560">
        <v>1</v>
      </c>
      <c r="G16" s="627">
        <f t="shared" si="1"/>
        <v>0</v>
      </c>
      <c r="H16" s="560">
        <v>21</v>
      </c>
      <c r="I16" s="627">
        <f t="shared" si="0"/>
        <v>0</v>
      </c>
    </row>
    <row r="17" spans="2:9" ht="12">
      <c r="B17" s="630" t="s">
        <v>3156</v>
      </c>
      <c r="C17" s="629" t="s">
        <v>3155</v>
      </c>
      <c r="D17" s="628">
        <v>41771</v>
      </c>
      <c r="E17" s="639">
        <v>0</v>
      </c>
      <c r="F17" s="560">
        <v>1</v>
      </c>
      <c r="G17" s="627">
        <f t="shared" si="1"/>
        <v>0</v>
      </c>
      <c r="H17" s="560">
        <v>21</v>
      </c>
      <c r="I17" s="627">
        <f t="shared" si="0"/>
        <v>0</v>
      </c>
    </row>
    <row r="18" spans="2:9" ht="12">
      <c r="B18" s="630" t="s">
        <v>3154</v>
      </c>
      <c r="C18" s="629" t="s">
        <v>3150</v>
      </c>
      <c r="D18" s="628">
        <v>43354</v>
      </c>
      <c r="E18" s="639">
        <v>0</v>
      </c>
      <c r="F18" s="560">
        <v>1</v>
      </c>
      <c r="G18" s="627">
        <f t="shared" si="1"/>
        <v>0</v>
      </c>
      <c r="H18" s="560">
        <v>21</v>
      </c>
      <c r="I18" s="627">
        <f t="shared" si="0"/>
        <v>0</v>
      </c>
    </row>
    <row r="19" spans="2:9" ht="12">
      <c r="B19" s="630" t="s">
        <v>3153</v>
      </c>
      <c r="C19" s="629" t="s">
        <v>3150</v>
      </c>
      <c r="D19" s="628">
        <v>43354</v>
      </c>
      <c r="E19" s="639">
        <v>0</v>
      </c>
      <c r="F19" s="560">
        <v>1</v>
      </c>
      <c r="G19" s="627">
        <f t="shared" si="1"/>
        <v>0</v>
      </c>
      <c r="H19" s="560">
        <v>21</v>
      </c>
      <c r="I19" s="627">
        <f t="shared" si="0"/>
        <v>0</v>
      </c>
    </row>
    <row r="20" spans="2:9" ht="12">
      <c r="B20" s="630" t="s">
        <v>3152</v>
      </c>
      <c r="C20" s="629" t="s">
        <v>3150</v>
      </c>
      <c r="D20" s="628">
        <v>43354</v>
      </c>
      <c r="E20" s="639">
        <v>0</v>
      </c>
      <c r="F20" s="560">
        <v>1</v>
      </c>
      <c r="G20" s="627">
        <f t="shared" si="1"/>
        <v>0</v>
      </c>
      <c r="H20" s="560">
        <v>21</v>
      </c>
      <c r="I20" s="627">
        <f t="shared" si="0"/>
        <v>0</v>
      </c>
    </row>
    <row r="21" spans="2:9" ht="12">
      <c r="B21" s="630" t="s">
        <v>3151</v>
      </c>
      <c r="C21" s="629" t="s">
        <v>3150</v>
      </c>
      <c r="D21" s="628">
        <v>43354</v>
      </c>
      <c r="E21" s="639">
        <v>0</v>
      </c>
      <c r="F21" s="560">
        <v>1</v>
      </c>
      <c r="G21" s="627">
        <f t="shared" si="1"/>
        <v>0</v>
      </c>
      <c r="H21" s="560">
        <v>21</v>
      </c>
      <c r="I21" s="627">
        <f t="shared" si="0"/>
        <v>0</v>
      </c>
    </row>
    <row r="22" spans="2:9" ht="12">
      <c r="B22" s="630" t="s">
        <v>3149</v>
      </c>
      <c r="C22" s="629" t="s">
        <v>3148</v>
      </c>
      <c r="D22" s="628">
        <v>36543</v>
      </c>
      <c r="E22" s="639">
        <v>0</v>
      </c>
      <c r="F22" s="560">
        <v>1</v>
      </c>
      <c r="G22" s="627">
        <f t="shared" si="1"/>
        <v>0</v>
      </c>
      <c r="H22" s="560">
        <v>21</v>
      </c>
      <c r="I22" s="627">
        <f t="shared" si="0"/>
        <v>0</v>
      </c>
    </row>
    <row r="23" spans="2:9" ht="12">
      <c r="B23" s="630" t="s">
        <v>3147</v>
      </c>
      <c r="C23" s="629" t="s">
        <v>3146</v>
      </c>
      <c r="D23" s="628">
        <v>36181</v>
      </c>
      <c r="E23" s="639">
        <v>0</v>
      </c>
      <c r="F23" s="560">
        <v>1</v>
      </c>
      <c r="G23" s="627">
        <f t="shared" si="1"/>
        <v>0</v>
      </c>
      <c r="H23" s="560">
        <v>21</v>
      </c>
      <c r="I23" s="627">
        <f t="shared" si="0"/>
        <v>0</v>
      </c>
    </row>
    <row r="24" spans="2:9" ht="12">
      <c r="B24" s="630" t="s">
        <v>3145</v>
      </c>
      <c r="C24" s="629" t="s">
        <v>3144</v>
      </c>
      <c r="D24" s="628">
        <v>35185</v>
      </c>
      <c r="E24" s="639">
        <v>0</v>
      </c>
      <c r="F24" s="560">
        <v>1</v>
      </c>
      <c r="G24" s="627">
        <f t="shared" si="1"/>
        <v>0</v>
      </c>
      <c r="H24" s="560">
        <v>21</v>
      </c>
      <c r="I24" s="627">
        <f t="shared" si="0"/>
        <v>0</v>
      </c>
    </row>
    <row r="25" spans="2:9" ht="12">
      <c r="B25" s="630" t="s">
        <v>3143</v>
      </c>
      <c r="C25" s="629" t="s">
        <v>3142</v>
      </c>
      <c r="D25" s="628">
        <v>36543</v>
      </c>
      <c r="E25" s="639">
        <v>0</v>
      </c>
      <c r="F25" s="560">
        <v>1</v>
      </c>
      <c r="G25" s="627">
        <f t="shared" si="1"/>
        <v>0</v>
      </c>
      <c r="H25" s="560">
        <v>21</v>
      </c>
      <c r="I25" s="627">
        <f t="shared" si="0"/>
        <v>0</v>
      </c>
    </row>
    <row r="26" spans="2:9" ht="12">
      <c r="B26" s="630" t="s">
        <v>3141</v>
      </c>
      <c r="C26" s="629" t="s">
        <v>3140</v>
      </c>
      <c r="D26" s="628">
        <v>40518</v>
      </c>
      <c r="E26" s="639">
        <v>0</v>
      </c>
      <c r="F26" s="560">
        <v>1</v>
      </c>
      <c r="G26" s="627">
        <f t="shared" si="1"/>
        <v>0</v>
      </c>
      <c r="H26" s="560">
        <v>21</v>
      </c>
      <c r="I26" s="627">
        <f t="shared" si="0"/>
        <v>0</v>
      </c>
    </row>
    <row r="27" spans="2:9" ht="12">
      <c r="B27" s="630" t="s">
        <v>3139</v>
      </c>
      <c r="C27" s="629" t="s">
        <v>3138</v>
      </c>
      <c r="D27" s="628">
        <v>42929</v>
      </c>
      <c r="E27" s="639">
        <v>0</v>
      </c>
      <c r="F27" s="560">
        <v>1</v>
      </c>
      <c r="G27" s="627">
        <f t="shared" si="1"/>
        <v>0</v>
      </c>
      <c r="H27" s="560">
        <v>21</v>
      </c>
      <c r="I27" s="627">
        <f t="shared" si="0"/>
        <v>0</v>
      </c>
    </row>
    <row r="28" spans="2:9" ht="12">
      <c r="B28" s="630" t="s">
        <v>3137</v>
      </c>
      <c r="C28" s="629" t="s">
        <v>3136</v>
      </c>
      <c r="D28" s="628">
        <v>43336</v>
      </c>
      <c r="E28" s="639">
        <v>0</v>
      </c>
      <c r="F28" s="560">
        <v>1</v>
      </c>
      <c r="G28" s="627">
        <f t="shared" si="1"/>
        <v>0</v>
      </c>
      <c r="H28" s="560">
        <v>21</v>
      </c>
      <c r="I28" s="627">
        <f t="shared" si="0"/>
        <v>0</v>
      </c>
    </row>
    <row r="29" spans="2:9" ht="12">
      <c r="B29" s="630" t="s">
        <v>3135</v>
      </c>
      <c r="C29" s="629" t="s">
        <v>3134</v>
      </c>
      <c r="D29" s="628">
        <v>39847</v>
      </c>
      <c r="E29" s="639">
        <v>0</v>
      </c>
      <c r="F29" s="560">
        <v>1</v>
      </c>
      <c r="G29" s="627">
        <f t="shared" si="1"/>
        <v>0</v>
      </c>
      <c r="H29" s="560">
        <v>21</v>
      </c>
      <c r="I29" s="627">
        <f t="shared" si="0"/>
        <v>0</v>
      </c>
    </row>
    <row r="30" spans="2:9" ht="12">
      <c r="B30" s="630" t="s">
        <v>3133</v>
      </c>
      <c r="C30" s="629" t="s">
        <v>3132</v>
      </c>
      <c r="D30" s="628">
        <v>36137</v>
      </c>
      <c r="E30" s="639">
        <v>0</v>
      </c>
      <c r="F30" s="560">
        <v>1</v>
      </c>
      <c r="G30" s="627">
        <f t="shared" si="1"/>
        <v>0</v>
      </c>
      <c r="H30" s="560">
        <v>21</v>
      </c>
      <c r="I30" s="627">
        <f t="shared" si="0"/>
        <v>0</v>
      </c>
    </row>
    <row r="31" spans="2:9" ht="12">
      <c r="B31" s="630" t="s">
        <v>3131</v>
      </c>
      <c r="C31" s="629" t="s">
        <v>3129</v>
      </c>
      <c r="D31" s="628">
        <v>37235</v>
      </c>
      <c r="E31" s="639">
        <v>0</v>
      </c>
      <c r="F31" s="560">
        <v>1</v>
      </c>
      <c r="G31" s="627">
        <f t="shared" si="1"/>
        <v>0</v>
      </c>
      <c r="H31" s="560">
        <v>21</v>
      </c>
      <c r="I31" s="627">
        <f t="shared" si="0"/>
        <v>0</v>
      </c>
    </row>
    <row r="32" spans="2:9" ht="12">
      <c r="B32" s="630" t="s">
        <v>3130</v>
      </c>
      <c r="C32" s="629" t="s">
        <v>3129</v>
      </c>
      <c r="D32" s="628">
        <v>37228</v>
      </c>
      <c r="E32" s="639">
        <v>0</v>
      </c>
      <c r="F32" s="560">
        <v>1</v>
      </c>
      <c r="G32" s="627">
        <f t="shared" si="1"/>
        <v>0</v>
      </c>
      <c r="H32" s="560">
        <v>21</v>
      </c>
      <c r="I32" s="627">
        <f t="shared" si="0"/>
        <v>0</v>
      </c>
    </row>
    <row r="33" spans="2:9" ht="12">
      <c r="B33" s="630" t="s">
        <v>3128</v>
      </c>
      <c r="C33" s="629" t="s">
        <v>3127</v>
      </c>
      <c r="D33" s="628">
        <v>39388</v>
      </c>
      <c r="E33" s="639">
        <v>0</v>
      </c>
      <c r="F33" s="560">
        <v>1</v>
      </c>
      <c r="G33" s="627">
        <f t="shared" si="1"/>
        <v>0</v>
      </c>
      <c r="H33" s="560">
        <v>21</v>
      </c>
      <c r="I33" s="627">
        <f t="shared" si="0"/>
        <v>0</v>
      </c>
    </row>
    <row r="34" spans="2:9" ht="12">
      <c r="B34" s="630" t="s">
        <v>3126</v>
      </c>
      <c r="C34" s="629" t="s">
        <v>3125</v>
      </c>
      <c r="D34" s="628">
        <v>37362</v>
      </c>
      <c r="E34" s="639">
        <v>0</v>
      </c>
      <c r="F34" s="560">
        <v>1</v>
      </c>
      <c r="G34" s="627">
        <f t="shared" si="1"/>
        <v>0</v>
      </c>
      <c r="H34" s="560">
        <v>21</v>
      </c>
      <c r="I34" s="627">
        <f t="shared" si="0"/>
        <v>0</v>
      </c>
    </row>
    <row r="35" spans="2:9" ht="12">
      <c r="B35" s="630" t="s">
        <v>3124</v>
      </c>
      <c r="C35" s="629" t="s">
        <v>3116</v>
      </c>
      <c r="D35" s="628">
        <v>39532</v>
      </c>
      <c r="E35" s="639">
        <v>0</v>
      </c>
      <c r="F35" s="560">
        <v>1</v>
      </c>
      <c r="G35" s="627">
        <f t="shared" si="1"/>
        <v>0</v>
      </c>
      <c r="H35" s="560">
        <v>21</v>
      </c>
      <c r="I35" s="627">
        <f t="shared" si="0"/>
        <v>0</v>
      </c>
    </row>
    <row r="36" spans="2:9" ht="12">
      <c r="B36" s="630" t="s">
        <v>3123</v>
      </c>
      <c r="C36" s="629" t="s">
        <v>3116</v>
      </c>
      <c r="D36" s="628">
        <v>39532</v>
      </c>
      <c r="E36" s="639">
        <v>0</v>
      </c>
      <c r="F36" s="560">
        <v>1</v>
      </c>
      <c r="G36" s="627">
        <f t="shared" si="1"/>
        <v>0</v>
      </c>
      <c r="H36" s="560">
        <v>21</v>
      </c>
      <c r="I36" s="627">
        <f t="shared" si="0"/>
        <v>0</v>
      </c>
    </row>
    <row r="37" spans="2:9" ht="12">
      <c r="B37" s="630" t="s">
        <v>3122</v>
      </c>
      <c r="C37" s="629" t="s">
        <v>3116</v>
      </c>
      <c r="D37" s="628">
        <v>39532</v>
      </c>
      <c r="E37" s="639">
        <v>0</v>
      </c>
      <c r="F37" s="560">
        <v>1</v>
      </c>
      <c r="G37" s="627">
        <f>F37*E37</f>
        <v>0</v>
      </c>
      <c r="H37" s="560">
        <v>21</v>
      </c>
      <c r="I37" s="627">
        <f t="shared" si="0"/>
        <v>0</v>
      </c>
    </row>
    <row r="38" spans="2:9" ht="12">
      <c r="B38" s="630" t="s">
        <v>3121</v>
      </c>
      <c r="C38" s="629" t="s">
        <v>3116</v>
      </c>
      <c r="D38" s="628">
        <v>39532</v>
      </c>
      <c r="E38" s="639">
        <v>0</v>
      </c>
      <c r="F38" s="560">
        <v>1</v>
      </c>
      <c r="G38" s="627">
        <f t="shared" si="1"/>
        <v>0</v>
      </c>
      <c r="H38" s="560">
        <v>21</v>
      </c>
      <c r="I38" s="627">
        <f t="shared" si="0"/>
        <v>0</v>
      </c>
    </row>
    <row r="39" spans="2:9" ht="12">
      <c r="B39" s="630" t="s">
        <v>3120</v>
      </c>
      <c r="C39" s="629" t="s">
        <v>3116</v>
      </c>
      <c r="D39" s="628">
        <v>39532</v>
      </c>
      <c r="E39" s="639">
        <v>0</v>
      </c>
      <c r="F39" s="560">
        <v>1</v>
      </c>
      <c r="G39" s="627">
        <f t="shared" si="1"/>
        <v>0</v>
      </c>
      <c r="H39" s="560">
        <v>21</v>
      </c>
      <c r="I39" s="627">
        <f t="shared" si="0"/>
        <v>0</v>
      </c>
    </row>
    <row r="40" spans="2:9" ht="12">
      <c r="B40" s="630" t="s">
        <v>3119</v>
      </c>
      <c r="C40" s="629" t="s">
        <v>3116</v>
      </c>
      <c r="D40" s="628">
        <v>39532</v>
      </c>
      <c r="E40" s="639">
        <v>0</v>
      </c>
      <c r="F40" s="560">
        <v>1</v>
      </c>
      <c r="G40" s="627">
        <f t="shared" si="1"/>
        <v>0</v>
      </c>
      <c r="H40" s="560">
        <v>21</v>
      </c>
      <c r="I40" s="627">
        <f t="shared" si="0"/>
        <v>0</v>
      </c>
    </row>
    <row r="41" spans="2:9" ht="12">
      <c r="B41" s="630" t="s">
        <v>3118</v>
      </c>
      <c r="C41" s="629" t="s">
        <v>3116</v>
      </c>
      <c r="D41" s="628">
        <v>39532</v>
      </c>
      <c r="E41" s="639">
        <v>0</v>
      </c>
      <c r="F41" s="560">
        <v>1</v>
      </c>
      <c r="G41" s="627">
        <f t="shared" si="1"/>
        <v>0</v>
      </c>
      <c r="H41" s="560">
        <v>21</v>
      </c>
      <c r="I41" s="627">
        <f t="shared" si="0"/>
        <v>0</v>
      </c>
    </row>
    <row r="42" spans="2:9" ht="12">
      <c r="B42" s="630" t="s">
        <v>3117</v>
      </c>
      <c r="C42" s="629" t="s">
        <v>3116</v>
      </c>
      <c r="D42" s="628">
        <v>39532</v>
      </c>
      <c r="E42" s="639">
        <v>0</v>
      </c>
      <c r="F42" s="560">
        <v>1</v>
      </c>
      <c r="G42" s="627">
        <f t="shared" si="1"/>
        <v>0</v>
      </c>
      <c r="H42" s="560">
        <v>21</v>
      </c>
      <c r="I42" s="627">
        <f t="shared" si="0"/>
        <v>0</v>
      </c>
    </row>
    <row r="43" spans="3:9" ht="12">
      <c r="C43" s="626" t="s">
        <v>1946</v>
      </c>
      <c r="E43" s="637"/>
      <c r="G43" s="625">
        <f>SUM(G3:G42)</f>
        <v>0</v>
      </c>
      <c r="I43" s="625">
        <f>SUM(I3:I42)</f>
        <v>0</v>
      </c>
    </row>
    <row r="44" spans="3:5" ht="12">
      <c r="C44" s="635" t="s">
        <v>3115</v>
      </c>
      <c r="E44" s="637"/>
    </row>
  </sheetData>
  <sheetProtection algorithmName="SHA-512" hashValue="kaO4ITQSrd9uqXlwzGULpqPJyDrHgDnwA7MmA+pXl3sXPfXlHLwCfhUn1vavBhzUSd4fxxIXHiX1mMXWdFZNnw==" saltValue="hCPuJwnzlrDGOMsBHE5hDg==" spinCount="100000" sheet="1" objects="1" scenarios="1"/>
  <printOptions/>
  <pageMargins left="0.7086614173228347" right="0.7086614173228347" top="0.7874015748031497" bottom="0.7874015748031497" header="0.31496062992125984" footer="0.31496062992125984"/>
  <pageSetup horizontalDpi="600" verticalDpi="600" orientation="portrait" paperSize="9" scale="60" r:id="rId1"/>
  <headerFooter>
    <oddHeader>&amp;LČeská republika - Úřad vlády ČR
Gastroprovoz Úřadu vlády ČR v 1.PP Strakovy akademie&amp;CPoložkový rozpočet demontáže stávajících strojů a zařízení&amp;R11/2019</oddHeader>
    <oddFooter>&amp;C&amp;P/&amp;N&amp;RD.2.2.4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pageSetUpPr fitToPage="1"/>
  </sheetPr>
  <dimension ref="A2:BM91"/>
  <sheetViews>
    <sheetView showGridLines="0" workbookViewId="0" topLeftCell="A64">
      <selection activeCell="G56" sqref="G56"/>
    </sheetView>
  </sheetViews>
  <sheetFormatPr defaultColWidth="9.140625" defaultRowHeight="12"/>
  <cols>
    <col min="1" max="1" width="8.8515625" style="1" customWidth="1"/>
    <col min="2" max="2" width="1.1484375" style="1" customWidth="1"/>
    <col min="3" max="4" width="4.421875" style="1" customWidth="1"/>
    <col min="5" max="5" width="18.28125" style="1" customWidth="1"/>
    <col min="6" max="6" width="108.00390625" style="1" customWidth="1"/>
    <col min="7" max="7" width="8.00390625" style="1" customWidth="1"/>
    <col min="8" max="8" width="12.28125" style="1" customWidth="1"/>
    <col min="9" max="11" width="21.421875" style="1" customWidth="1"/>
    <col min="12" max="12" width="10.00390625" style="1" customWidth="1"/>
    <col min="13" max="13" width="11.421875" style="1" hidden="1" customWidth="1"/>
    <col min="14" max="14" width="9.140625" style="1" hidden="1" customWidth="1"/>
    <col min="15" max="20" width="15.140625" style="1" hidden="1" customWidth="1"/>
    <col min="21" max="21" width="17.421875" style="1" hidden="1" customWidth="1"/>
    <col min="22" max="22" width="13.140625" style="1" customWidth="1"/>
    <col min="23" max="23" width="17.421875" style="1" customWidth="1"/>
    <col min="24" max="24" width="13.140625" style="1" customWidth="1"/>
    <col min="25" max="25" width="16.00390625" style="1" customWidth="1"/>
    <col min="26" max="26" width="11.7109375" style="1" customWidth="1"/>
    <col min="27" max="27" width="16.00390625" style="1" customWidth="1"/>
    <col min="28" max="28" width="17.421875" style="1" customWidth="1"/>
    <col min="29" max="29" width="11.7109375" style="1" customWidth="1"/>
    <col min="30" max="30" width="16.00390625" style="1" customWidth="1"/>
    <col min="31" max="31" width="17.421875" style="1" customWidth="1"/>
    <col min="44" max="65" width="9.140625" style="1" hidden="1" customWidth="1"/>
  </cols>
  <sheetData>
    <row r="1" ht="12"/>
    <row r="2" spans="12:46" s="1" customFormat="1" ht="36.95" customHeight="1">
      <c r="L2" s="682"/>
      <c r="M2" s="682"/>
      <c r="N2" s="682"/>
      <c r="O2" s="682"/>
      <c r="P2" s="682"/>
      <c r="Q2" s="682"/>
      <c r="R2" s="682"/>
      <c r="S2" s="682"/>
      <c r="T2" s="682"/>
      <c r="U2" s="682"/>
      <c r="V2" s="682"/>
      <c r="AT2" s="15" t="s">
        <v>90</v>
      </c>
    </row>
    <row r="3" spans="2:46" s="1" customFormat="1" ht="6.95" customHeight="1">
      <c r="B3" s="106"/>
      <c r="C3" s="107"/>
      <c r="D3" s="107"/>
      <c r="E3" s="107"/>
      <c r="F3" s="107"/>
      <c r="G3" s="107"/>
      <c r="H3" s="107"/>
      <c r="I3" s="107"/>
      <c r="J3" s="107"/>
      <c r="K3" s="107"/>
      <c r="L3" s="18"/>
      <c r="AT3" s="15" t="s">
        <v>79</v>
      </c>
    </row>
    <row r="4" spans="2:46" s="1" customFormat="1" ht="24.95" customHeight="1">
      <c r="B4" s="18"/>
      <c r="D4" s="108" t="s">
        <v>141</v>
      </c>
      <c r="L4" s="18"/>
      <c r="M4" s="109" t="s">
        <v>10</v>
      </c>
      <c r="AT4" s="15" t="s">
        <v>4</v>
      </c>
    </row>
    <row r="5" spans="2:12" s="1" customFormat="1" ht="6.95" customHeight="1">
      <c r="B5" s="18"/>
      <c r="L5" s="18"/>
    </row>
    <row r="6" spans="2:12" s="1" customFormat="1" ht="12" customHeight="1">
      <c r="B6" s="18"/>
      <c r="D6" s="110" t="s">
        <v>16</v>
      </c>
      <c r="L6" s="18"/>
    </row>
    <row r="7" spans="2:12" s="1" customFormat="1" ht="14.45" customHeight="1">
      <c r="B7" s="18"/>
      <c r="E7" s="702" t="str">
        <f>'Rekapitulace stavby'!K6</f>
        <v>Úpravy gastroprovozu Úřadu vlády ČR v 1.pp Strakovy akademie</v>
      </c>
      <c r="F7" s="703"/>
      <c r="G7" s="703"/>
      <c r="H7" s="703"/>
      <c r="L7" s="18"/>
    </row>
    <row r="8" spans="2:12" s="1" customFormat="1" ht="12" customHeight="1">
      <c r="B8" s="18"/>
      <c r="D8" s="110" t="s">
        <v>142</v>
      </c>
      <c r="L8" s="18"/>
    </row>
    <row r="9" spans="1:31" s="2" customFormat="1" ht="14.45" customHeight="1">
      <c r="A9" s="32"/>
      <c r="B9" s="37"/>
      <c r="C9" s="32"/>
      <c r="D9" s="32"/>
      <c r="E9" s="702" t="s">
        <v>1429</v>
      </c>
      <c r="F9" s="704"/>
      <c r="G9" s="704"/>
      <c r="H9" s="704"/>
      <c r="I9" s="32"/>
      <c r="J9" s="32"/>
      <c r="K9" s="32"/>
      <c r="L9" s="111"/>
      <c r="S9" s="32"/>
      <c r="T9" s="32"/>
      <c r="U9" s="32"/>
      <c r="V9" s="32"/>
      <c r="W9" s="32"/>
      <c r="X9" s="32"/>
      <c r="Y9" s="32"/>
      <c r="Z9" s="32"/>
      <c r="AA9" s="32"/>
      <c r="AB9" s="32"/>
      <c r="AC9" s="32"/>
      <c r="AD9" s="32"/>
      <c r="AE9" s="32"/>
    </row>
    <row r="10" spans="1:31" s="2" customFormat="1" ht="12" customHeight="1">
      <c r="A10" s="32"/>
      <c r="B10" s="37"/>
      <c r="C10" s="32"/>
      <c r="D10" s="110" t="s">
        <v>144</v>
      </c>
      <c r="E10" s="32"/>
      <c r="F10" s="32"/>
      <c r="G10" s="32"/>
      <c r="H10" s="32"/>
      <c r="I10" s="32"/>
      <c r="J10" s="32"/>
      <c r="K10" s="32"/>
      <c r="L10" s="111"/>
      <c r="S10" s="32"/>
      <c r="T10" s="32"/>
      <c r="U10" s="32"/>
      <c r="V10" s="32"/>
      <c r="W10" s="32"/>
      <c r="X10" s="32"/>
      <c r="Y10" s="32"/>
      <c r="Z10" s="32"/>
      <c r="AA10" s="32"/>
      <c r="AB10" s="32"/>
      <c r="AC10" s="32"/>
      <c r="AD10" s="32"/>
      <c r="AE10" s="32"/>
    </row>
    <row r="11" spans="1:31" s="2" customFormat="1" ht="14.45" customHeight="1">
      <c r="A11" s="32"/>
      <c r="B11" s="37"/>
      <c r="C11" s="32"/>
      <c r="D11" s="32"/>
      <c r="E11" s="705" t="s">
        <v>1430</v>
      </c>
      <c r="F11" s="704"/>
      <c r="G11" s="704"/>
      <c r="H11" s="704"/>
      <c r="I11" s="32"/>
      <c r="J11" s="32"/>
      <c r="K11" s="32"/>
      <c r="L11" s="111"/>
      <c r="S11" s="32"/>
      <c r="T11" s="32"/>
      <c r="U11" s="32"/>
      <c r="V11" s="32"/>
      <c r="W11" s="32"/>
      <c r="X11" s="32"/>
      <c r="Y11" s="32"/>
      <c r="Z11" s="32"/>
      <c r="AA11" s="32"/>
      <c r="AB11" s="32"/>
      <c r="AC11" s="32"/>
      <c r="AD11" s="32"/>
      <c r="AE11" s="32"/>
    </row>
    <row r="12" spans="1:31" s="2" customFormat="1" ht="12">
      <c r="A12" s="32"/>
      <c r="B12" s="37"/>
      <c r="C12" s="32"/>
      <c r="D12" s="32"/>
      <c r="E12" s="32"/>
      <c r="F12" s="32"/>
      <c r="G12" s="32"/>
      <c r="H12" s="32"/>
      <c r="I12" s="32"/>
      <c r="J12" s="32"/>
      <c r="K12" s="32"/>
      <c r="L12" s="111"/>
      <c r="S12" s="32"/>
      <c r="T12" s="32"/>
      <c r="U12" s="32"/>
      <c r="V12" s="32"/>
      <c r="W12" s="32"/>
      <c r="X12" s="32"/>
      <c r="Y12" s="32"/>
      <c r="Z12" s="32"/>
      <c r="AA12" s="32"/>
      <c r="AB12" s="32"/>
      <c r="AC12" s="32"/>
      <c r="AD12" s="32"/>
      <c r="AE12" s="32"/>
    </row>
    <row r="13" spans="1:31" s="2" customFormat="1" ht="12" customHeight="1">
      <c r="A13" s="32"/>
      <c r="B13" s="37"/>
      <c r="C13" s="32"/>
      <c r="D13" s="110" t="s">
        <v>18</v>
      </c>
      <c r="E13" s="32"/>
      <c r="F13" s="101" t="s">
        <v>19</v>
      </c>
      <c r="G13" s="32"/>
      <c r="H13" s="32"/>
      <c r="I13" s="110" t="s">
        <v>20</v>
      </c>
      <c r="J13" s="101" t="s">
        <v>19</v>
      </c>
      <c r="K13" s="32"/>
      <c r="L13" s="111"/>
      <c r="S13" s="32"/>
      <c r="T13" s="32"/>
      <c r="U13" s="32"/>
      <c r="V13" s="32"/>
      <c r="W13" s="32"/>
      <c r="X13" s="32"/>
      <c r="Y13" s="32"/>
      <c r="Z13" s="32"/>
      <c r="AA13" s="32"/>
      <c r="AB13" s="32"/>
      <c r="AC13" s="32"/>
      <c r="AD13" s="32"/>
      <c r="AE13" s="32"/>
    </row>
    <row r="14" spans="1:31" s="2" customFormat="1" ht="12" customHeight="1">
      <c r="A14" s="32"/>
      <c r="B14" s="37"/>
      <c r="C14" s="32"/>
      <c r="D14" s="110" t="s">
        <v>21</v>
      </c>
      <c r="E14" s="32"/>
      <c r="F14" s="101" t="s">
        <v>146</v>
      </c>
      <c r="G14" s="32"/>
      <c r="H14" s="32"/>
      <c r="I14" s="110" t="s">
        <v>23</v>
      </c>
      <c r="J14" s="112" t="str">
        <f>'Rekapitulace stavby'!AN8</f>
        <v>Vyplň údaj</v>
      </c>
      <c r="K14" s="32"/>
      <c r="L14" s="111"/>
      <c r="S14" s="32"/>
      <c r="T14" s="32"/>
      <c r="U14" s="32"/>
      <c r="V14" s="32"/>
      <c r="W14" s="32"/>
      <c r="X14" s="32"/>
      <c r="Y14" s="32"/>
      <c r="Z14" s="32"/>
      <c r="AA14" s="32"/>
      <c r="AB14" s="32"/>
      <c r="AC14" s="32"/>
      <c r="AD14" s="32"/>
      <c r="AE14" s="32"/>
    </row>
    <row r="15" spans="1:31" s="2" customFormat="1" ht="10.9" customHeight="1">
      <c r="A15" s="32"/>
      <c r="B15" s="37"/>
      <c r="C15" s="32"/>
      <c r="D15" s="32"/>
      <c r="E15" s="32"/>
      <c r="F15" s="32"/>
      <c r="G15" s="32"/>
      <c r="H15" s="32"/>
      <c r="I15" s="32"/>
      <c r="J15" s="32"/>
      <c r="K15" s="32"/>
      <c r="L15" s="111"/>
      <c r="S15" s="32"/>
      <c r="T15" s="32"/>
      <c r="U15" s="32"/>
      <c r="V15" s="32"/>
      <c r="W15" s="32"/>
      <c r="X15" s="32"/>
      <c r="Y15" s="32"/>
      <c r="Z15" s="32"/>
      <c r="AA15" s="32"/>
      <c r="AB15" s="32"/>
      <c r="AC15" s="32"/>
      <c r="AD15" s="32"/>
      <c r="AE15" s="32"/>
    </row>
    <row r="16" spans="1:31" s="2" customFormat="1" ht="12" customHeight="1">
      <c r="A16" s="32"/>
      <c r="B16" s="37"/>
      <c r="C16" s="32"/>
      <c r="D16" s="110" t="s">
        <v>24</v>
      </c>
      <c r="E16" s="32"/>
      <c r="F16" s="32"/>
      <c r="G16" s="32"/>
      <c r="H16" s="32"/>
      <c r="I16" s="110" t="s">
        <v>25</v>
      </c>
      <c r="J16" s="101" t="s">
        <v>19</v>
      </c>
      <c r="K16" s="32"/>
      <c r="L16" s="111"/>
      <c r="S16" s="32"/>
      <c r="T16" s="32"/>
      <c r="U16" s="32"/>
      <c r="V16" s="32"/>
      <c r="W16" s="32"/>
      <c r="X16" s="32"/>
      <c r="Y16" s="32"/>
      <c r="Z16" s="32"/>
      <c r="AA16" s="32"/>
      <c r="AB16" s="32"/>
      <c r="AC16" s="32"/>
      <c r="AD16" s="32"/>
      <c r="AE16" s="32"/>
    </row>
    <row r="17" spans="1:31" s="2" customFormat="1" ht="18" customHeight="1">
      <c r="A17" s="32"/>
      <c r="B17" s="37"/>
      <c r="C17" s="32"/>
      <c r="D17" s="32"/>
      <c r="E17" s="101" t="s">
        <v>26</v>
      </c>
      <c r="F17" s="32"/>
      <c r="G17" s="32"/>
      <c r="H17" s="32"/>
      <c r="I17" s="110" t="s">
        <v>27</v>
      </c>
      <c r="J17" s="101" t="s">
        <v>19</v>
      </c>
      <c r="K17" s="32"/>
      <c r="L17" s="111"/>
      <c r="S17" s="32"/>
      <c r="T17" s="32"/>
      <c r="U17" s="32"/>
      <c r="V17" s="32"/>
      <c r="W17" s="32"/>
      <c r="X17" s="32"/>
      <c r="Y17" s="32"/>
      <c r="Z17" s="32"/>
      <c r="AA17" s="32"/>
      <c r="AB17" s="32"/>
      <c r="AC17" s="32"/>
      <c r="AD17" s="32"/>
      <c r="AE17" s="32"/>
    </row>
    <row r="18" spans="1:31" s="2" customFormat="1" ht="6.95" customHeight="1">
      <c r="A18" s="32"/>
      <c r="B18" s="37"/>
      <c r="C18" s="32"/>
      <c r="D18" s="32"/>
      <c r="E18" s="32"/>
      <c r="F18" s="32"/>
      <c r="G18" s="32"/>
      <c r="H18" s="32"/>
      <c r="I18" s="32"/>
      <c r="J18" s="32"/>
      <c r="K18" s="32"/>
      <c r="L18" s="111"/>
      <c r="S18" s="32"/>
      <c r="T18" s="32"/>
      <c r="U18" s="32"/>
      <c r="V18" s="32"/>
      <c r="W18" s="32"/>
      <c r="X18" s="32"/>
      <c r="Y18" s="32"/>
      <c r="Z18" s="32"/>
      <c r="AA18" s="32"/>
      <c r="AB18" s="32"/>
      <c r="AC18" s="32"/>
      <c r="AD18" s="32"/>
      <c r="AE18" s="32"/>
    </row>
    <row r="19" spans="1:31" s="2" customFormat="1" ht="12" customHeight="1">
      <c r="A19" s="32"/>
      <c r="B19" s="37"/>
      <c r="C19" s="32"/>
      <c r="D19" s="110" t="s">
        <v>28</v>
      </c>
      <c r="E19" s="32"/>
      <c r="F19" s="32"/>
      <c r="G19" s="32"/>
      <c r="H19" s="32"/>
      <c r="I19" s="110" t="s">
        <v>25</v>
      </c>
      <c r="J19" s="28" t="str">
        <f>'Rekapitulace stavby'!AN13</f>
        <v>Vyplň údaj</v>
      </c>
      <c r="K19" s="32"/>
      <c r="L19" s="111"/>
      <c r="S19" s="32"/>
      <c r="T19" s="32"/>
      <c r="U19" s="32"/>
      <c r="V19" s="32"/>
      <c r="W19" s="32"/>
      <c r="X19" s="32"/>
      <c r="Y19" s="32"/>
      <c r="Z19" s="32"/>
      <c r="AA19" s="32"/>
      <c r="AB19" s="32"/>
      <c r="AC19" s="32"/>
      <c r="AD19" s="32"/>
      <c r="AE19" s="32"/>
    </row>
    <row r="20" spans="1:31" s="2" customFormat="1" ht="18" customHeight="1">
      <c r="A20" s="32"/>
      <c r="B20" s="37"/>
      <c r="C20" s="32"/>
      <c r="D20" s="32"/>
      <c r="E20" s="706" t="str">
        <f>'Rekapitulace stavby'!E14</f>
        <v>Vyplň údaj</v>
      </c>
      <c r="F20" s="707"/>
      <c r="G20" s="707"/>
      <c r="H20" s="707"/>
      <c r="I20" s="110" t="s">
        <v>27</v>
      </c>
      <c r="J20" s="28" t="str">
        <f>'Rekapitulace stavby'!AN14</f>
        <v>Vyplň údaj</v>
      </c>
      <c r="K20" s="32"/>
      <c r="L20" s="111"/>
      <c r="S20" s="32"/>
      <c r="T20" s="32"/>
      <c r="U20" s="32"/>
      <c r="V20" s="32"/>
      <c r="W20" s="32"/>
      <c r="X20" s="32"/>
      <c r="Y20" s="32"/>
      <c r="Z20" s="32"/>
      <c r="AA20" s="32"/>
      <c r="AB20" s="32"/>
      <c r="AC20" s="32"/>
      <c r="AD20" s="32"/>
      <c r="AE20" s="32"/>
    </row>
    <row r="21" spans="1:31" s="2" customFormat="1" ht="6.95" customHeight="1">
      <c r="A21" s="32"/>
      <c r="B21" s="37"/>
      <c r="C21" s="32"/>
      <c r="D21" s="32"/>
      <c r="E21" s="32"/>
      <c r="F21" s="32"/>
      <c r="G21" s="32"/>
      <c r="H21" s="32"/>
      <c r="I21" s="32"/>
      <c r="J21" s="32"/>
      <c r="K21" s="32"/>
      <c r="L21" s="111"/>
      <c r="S21" s="32"/>
      <c r="T21" s="32"/>
      <c r="U21" s="32"/>
      <c r="V21" s="32"/>
      <c r="W21" s="32"/>
      <c r="X21" s="32"/>
      <c r="Y21" s="32"/>
      <c r="Z21" s="32"/>
      <c r="AA21" s="32"/>
      <c r="AB21" s="32"/>
      <c r="AC21" s="32"/>
      <c r="AD21" s="32"/>
      <c r="AE21" s="32"/>
    </row>
    <row r="22" spans="1:31" s="2" customFormat="1" ht="12" customHeight="1">
      <c r="A22" s="32"/>
      <c r="B22" s="37"/>
      <c r="C22" s="32"/>
      <c r="D22" s="110" t="s">
        <v>30</v>
      </c>
      <c r="E22" s="32"/>
      <c r="F22" s="32"/>
      <c r="G22" s="32"/>
      <c r="H22" s="32"/>
      <c r="I22" s="110" t="s">
        <v>25</v>
      </c>
      <c r="J22" s="101" t="s">
        <v>19</v>
      </c>
      <c r="K22" s="32"/>
      <c r="L22" s="111"/>
      <c r="S22" s="32"/>
      <c r="T22" s="32"/>
      <c r="U22" s="32"/>
      <c r="V22" s="32"/>
      <c r="W22" s="32"/>
      <c r="X22" s="32"/>
      <c r="Y22" s="32"/>
      <c r="Z22" s="32"/>
      <c r="AA22" s="32"/>
      <c r="AB22" s="32"/>
      <c r="AC22" s="32"/>
      <c r="AD22" s="32"/>
      <c r="AE22" s="32"/>
    </row>
    <row r="23" spans="1:31" s="2" customFormat="1" ht="18" customHeight="1">
      <c r="A23" s="32"/>
      <c r="B23" s="37"/>
      <c r="C23" s="32"/>
      <c r="D23" s="32"/>
      <c r="E23" s="101" t="s">
        <v>31</v>
      </c>
      <c r="F23" s="32"/>
      <c r="G23" s="32"/>
      <c r="H23" s="32"/>
      <c r="I23" s="110" t="s">
        <v>27</v>
      </c>
      <c r="J23" s="101" t="s">
        <v>19</v>
      </c>
      <c r="K23" s="32"/>
      <c r="L23" s="111"/>
      <c r="S23" s="32"/>
      <c r="T23" s="32"/>
      <c r="U23" s="32"/>
      <c r="V23" s="32"/>
      <c r="W23" s="32"/>
      <c r="X23" s="32"/>
      <c r="Y23" s="32"/>
      <c r="Z23" s="32"/>
      <c r="AA23" s="32"/>
      <c r="AB23" s="32"/>
      <c r="AC23" s="32"/>
      <c r="AD23" s="32"/>
      <c r="AE23" s="32"/>
    </row>
    <row r="24" spans="1:31" s="2" customFormat="1" ht="6.95" customHeight="1">
      <c r="A24" s="32"/>
      <c r="B24" s="37"/>
      <c r="C24" s="32"/>
      <c r="D24" s="32"/>
      <c r="E24" s="32"/>
      <c r="F24" s="32"/>
      <c r="G24" s="32"/>
      <c r="H24" s="32"/>
      <c r="I24" s="32"/>
      <c r="J24" s="32"/>
      <c r="K24" s="32"/>
      <c r="L24" s="111"/>
      <c r="S24" s="32"/>
      <c r="T24" s="32"/>
      <c r="U24" s="32"/>
      <c r="V24" s="32"/>
      <c r="W24" s="32"/>
      <c r="X24" s="32"/>
      <c r="Y24" s="32"/>
      <c r="Z24" s="32"/>
      <c r="AA24" s="32"/>
      <c r="AB24" s="32"/>
      <c r="AC24" s="32"/>
      <c r="AD24" s="32"/>
      <c r="AE24" s="32"/>
    </row>
    <row r="25" spans="1:31" s="2" customFormat="1" ht="12" customHeight="1">
      <c r="A25" s="32"/>
      <c r="B25" s="37"/>
      <c r="C25" s="32"/>
      <c r="D25" s="110" t="s">
        <v>33</v>
      </c>
      <c r="E25" s="32"/>
      <c r="F25" s="32"/>
      <c r="G25" s="32"/>
      <c r="H25" s="32"/>
      <c r="I25" s="110" t="s">
        <v>25</v>
      </c>
      <c r="J25" s="101" t="s">
        <v>19</v>
      </c>
      <c r="K25" s="32"/>
      <c r="L25" s="111"/>
      <c r="S25" s="32"/>
      <c r="T25" s="32"/>
      <c r="U25" s="32"/>
      <c r="V25" s="32"/>
      <c r="W25" s="32"/>
      <c r="X25" s="32"/>
      <c r="Y25" s="32"/>
      <c r="Z25" s="32"/>
      <c r="AA25" s="32"/>
      <c r="AB25" s="32"/>
      <c r="AC25" s="32"/>
      <c r="AD25" s="32"/>
      <c r="AE25" s="32"/>
    </row>
    <row r="26" spans="1:31" s="2" customFormat="1" ht="18" customHeight="1">
      <c r="A26" s="32"/>
      <c r="B26" s="37"/>
      <c r="C26" s="32"/>
      <c r="D26" s="32"/>
      <c r="E26" s="101" t="s">
        <v>31</v>
      </c>
      <c r="F26" s="32"/>
      <c r="G26" s="32"/>
      <c r="H26" s="32"/>
      <c r="I26" s="110" t="s">
        <v>27</v>
      </c>
      <c r="J26" s="101" t="s">
        <v>19</v>
      </c>
      <c r="K26" s="32"/>
      <c r="L26" s="111"/>
      <c r="S26" s="32"/>
      <c r="T26" s="32"/>
      <c r="U26" s="32"/>
      <c r="V26" s="32"/>
      <c r="W26" s="32"/>
      <c r="X26" s="32"/>
      <c r="Y26" s="32"/>
      <c r="Z26" s="32"/>
      <c r="AA26" s="32"/>
      <c r="AB26" s="32"/>
      <c r="AC26" s="32"/>
      <c r="AD26" s="32"/>
      <c r="AE26" s="32"/>
    </row>
    <row r="27" spans="1:31" s="2" customFormat="1" ht="6.95" customHeight="1">
      <c r="A27" s="32"/>
      <c r="B27" s="37"/>
      <c r="C27" s="32"/>
      <c r="D27" s="32"/>
      <c r="E27" s="32"/>
      <c r="F27" s="32"/>
      <c r="G27" s="32"/>
      <c r="H27" s="32"/>
      <c r="I27" s="32"/>
      <c r="J27" s="32"/>
      <c r="K27" s="32"/>
      <c r="L27" s="111"/>
      <c r="S27" s="32"/>
      <c r="T27" s="32"/>
      <c r="U27" s="32"/>
      <c r="V27" s="32"/>
      <c r="W27" s="32"/>
      <c r="X27" s="32"/>
      <c r="Y27" s="32"/>
      <c r="Z27" s="32"/>
      <c r="AA27" s="32"/>
      <c r="AB27" s="32"/>
      <c r="AC27" s="32"/>
      <c r="AD27" s="32"/>
      <c r="AE27" s="32"/>
    </row>
    <row r="28" spans="1:31" s="2" customFormat="1" ht="12" customHeight="1">
      <c r="A28" s="32"/>
      <c r="B28" s="37"/>
      <c r="C28" s="32"/>
      <c r="D28" s="110" t="s">
        <v>34</v>
      </c>
      <c r="E28" s="32"/>
      <c r="F28" s="32"/>
      <c r="G28" s="32"/>
      <c r="H28" s="32"/>
      <c r="I28" s="32"/>
      <c r="J28" s="32"/>
      <c r="K28" s="32"/>
      <c r="L28" s="111"/>
      <c r="S28" s="32"/>
      <c r="T28" s="32"/>
      <c r="U28" s="32"/>
      <c r="V28" s="32"/>
      <c r="W28" s="32"/>
      <c r="X28" s="32"/>
      <c r="Y28" s="32"/>
      <c r="Z28" s="32"/>
      <c r="AA28" s="32"/>
      <c r="AB28" s="32"/>
      <c r="AC28" s="32"/>
      <c r="AD28" s="32"/>
      <c r="AE28" s="32"/>
    </row>
    <row r="29" spans="1:31" s="8" customFormat="1" ht="14.45" customHeight="1">
      <c r="A29" s="113"/>
      <c r="B29" s="114"/>
      <c r="C29" s="113"/>
      <c r="D29" s="113"/>
      <c r="E29" s="708" t="s">
        <v>19</v>
      </c>
      <c r="F29" s="708"/>
      <c r="G29" s="708"/>
      <c r="H29" s="708"/>
      <c r="I29" s="113"/>
      <c r="J29" s="113"/>
      <c r="K29" s="113"/>
      <c r="L29" s="115"/>
      <c r="S29" s="113"/>
      <c r="T29" s="113"/>
      <c r="U29" s="113"/>
      <c r="V29" s="113"/>
      <c r="W29" s="113"/>
      <c r="X29" s="113"/>
      <c r="Y29" s="113"/>
      <c r="Z29" s="113"/>
      <c r="AA29" s="113"/>
      <c r="AB29" s="113"/>
      <c r="AC29" s="113"/>
      <c r="AD29" s="113"/>
      <c r="AE29" s="113"/>
    </row>
    <row r="30" spans="1:31" s="2" customFormat="1" ht="6.95" customHeight="1">
      <c r="A30" s="32"/>
      <c r="B30" s="37"/>
      <c r="C30" s="32"/>
      <c r="D30" s="32"/>
      <c r="E30" s="32"/>
      <c r="F30" s="32"/>
      <c r="G30" s="32"/>
      <c r="H30" s="32"/>
      <c r="I30" s="32"/>
      <c r="J30" s="32"/>
      <c r="K30" s="32"/>
      <c r="L30" s="111"/>
      <c r="S30" s="32"/>
      <c r="T30" s="32"/>
      <c r="U30" s="32"/>
      <c r="V30" s="32"/>
      <c r="W30" s="32"/>
      <c r="X30" s="32"/>
      <c r="Y30" s="32"/>
      <c r="Z30" s="32"/>
      <c r="AA30" s="32"/>
      <c r="AB30" s="32"/>
      <c r="AC30" s="32"/>
      <c r="AD30" s="32"/>
      <c r="AE30" s="32"/>
    </row>
    <row r="31" spans="1:31" s="2" customFormat="1" ht="6.95" customHeight="1">
      <c r="A31" s="32"/>
      <c r="B31" s="37"/>
      <c r="C31" s="32"/>
      <c r="D31" s="116"/>
      <c r="E31" s="116"/>
      <c r="F31" s="116"/>
      <c r="G31" s="116"/>
      <c r="H31" s="116"/>
      <c r="I31" s="116"/>
      <c r="J31" s="116"/>
      <c r="K31" s="116"/>
      <c r="L31" s="111"/>
      <c r="S31" s="32"/>
      <c r="T31" s="32"/>
      <c r="U31" s="32"/>
      <c r="V31" s="32"/>
      <c r="W31" s="32"/>
      <c r="X31" s="32"/>
      <c r="Y31" s="32"/>
      <c r="Z31" s="32"/>
      <c r="AA31" s="32"/>
      <c r="AB31" s="32"/>
      <c r="AC31" s="32"/>
      <c r="AD31" s="32"/>
      <c r="AE31" s="32"/>
    </row>
    <row r="32" spans="1:31" s="2" customFormat="1" ht="25.35" customHeight="1">
      <c r="A32" s="32"/>
      <c r="B32" s="37"/>
      <c r="C32" s="32"/>
      <c r="D32" s="117" t="s">
        <v>36</v>
      </c>
      <c r="E32" s="32"/>
      <c r="F32" s="32"/>
      <c r="G32" s="32"/>
      <c r="H32" s="32"/>
      <c r="I32" s="32"/>
      <c r="J32" s="118">
        <f>ROUND(J87,2)</f>
        <v>0</v>
      </c>
      <c r="K32" s="32"/>
      <c r="L32" s="111"/>
      <c r="S32" s="32"/>
      <c r="T32" s="32"/>
      <c r="U32" s="32"/>
      <c r="V32" s="32"/>
      <c r="W32" s="32"/>
      <c r="X32" s="32"/>
      <c r="Y32" s="32"/>
      <c r="Z32" s="32"/>
      <c r="AA32" s="32"/>
      <c r="AB32" s="32"/>
      <c r="AC32" s="32"/>
      <c r="AD32" s="32"/>
      <c r="AE32" s="32"/>
    </row>
    <row r="33" spans="1:31" s="2" customFormat="1" ht="6.95" customHeight="1">
      <c r="A33" s="32"/>
      <c r="B33" s="37"/>
      <c r="C33" s="32"/>
      <c r="D33" s="116"/>
      <c r="E33" s="116"/>
      <c r="F33" s="116"/>
      <c r="G33" s="116"/>
      <c r="H33" s="116"/>
      <c r="I33" s="116"/>
      <c r="J33" s="116"/>
      <c r="K33" s="116"/>
      <c r="L33" s="111"/>
      <c r="S33" s="32"/>
      <c r="T33" s="32"/>
      <c r="U33" s="32"/>
      <c r="V33" s="32"/>
      <c r="W33" s="32"/>
      <c r="X33" s="32"/>
      <c r="Y33" s="32"/>
      <c r="Z33" s="32"/>
      <c r="AA33" s="32"/>
      <c r="AB33" s="32"/>
      <c r="AC33" s="32"/>
      <c r="AD33" s="32"/>
      <c r="AE33" s="32"/>
    </row>
    <row r="34" spans="1:31" s="2" customFormat="1" ht="14.45" customHeight="1">
      <c r="A34" s="32"/>
      <c r="B34" s="37"/>
      <c r="C34" s="32"/>
      <c r="D34" s="32"/>
      <c r="E34" s="32"/>
      <c r="F34" s="119" t="s">
        <v>38</v>
      </c>
      <c r="G34" s="32"/>
      <c r="H34" s="32"/>
      <c r="I34" s="119" t="s">
        <v>37</v>
      </c>
      <c r="J34" s="119" t="s">
        <v>39</v>
      </c>
      <c r="K34" s="32"/>
      <c r="L34" s="111"/>
      <c r="S34" s="32"/>
      <c r="T34" s="32"/>
      <c r="U34" s="32"/>
      <c r="V34" s="32"/>
      <c r="W34" s="32"/>
      <c r="X34" s="32"/>
      <c r="Y34" s="32"/>
      <c r="Z34" s="32"/>
      <c r="AA34" s="32"/>
      <c r="AB34" s="32"/>
      <c r="AC34" s="32"/>
      <c r="AD34" s="32"/>
      <c r="AE34" s="32"/>
    </row>
    <row r="35" spans="1:31" s="2" customFormat="1" ht="14.45" customHeight="1">
      <c r="A35" s="32"/>
      <c r="B35" s="37"/>
      <c r="C35" s="32"/>
      <c r="D35" s="120" t="s">
        <v>40</v>
      </c>
      <c r="E35" s="110" t="s">
        <v>41</v>
      </c>
      <c r="F35" s="121">
        <f>ROUND((SUM(BE87:BE90)),2)</f>
        <v>0</v>
      </c>
      <c r="G35" s="32"/>
      <c r="H35" s="32"/>
      <c r="I35" s="122">
        <v>0.21</v>
      </c>
      <c r="J35" s="121">
        <f>ROUND(((SUM(BE87:BE90))*I35),2)</f>
        <v>0</v>
      </c>
      <c r="K35" s="32"/>
      <c r="L35" s="111"/>
      <c r="S35" s="32"/>
      <c r="T35" s="32"/>
      <c r="U35" s="32"/>
      <c r="V35" s="32"/>
      <c r="W35" s="32"/>
      <c r="X35" s="32"/>
      <c r="Y35" s="32"/>
      <c r="Z35" s="32"/>
      <c r="AA35" s="32"/>
      <c r="AB35" s="32"/>
      <c r="AC35" s="32"/>
      <c r="AD35" s="32"/>
      <c r="AE35" s="32"/>
    </row>
    <row r="36" spans="1:31" s="2" customFormat="1" ht="14.45" customHeight="1">
      <c r="A36" s="32"/>
      <c r="B36" s="37"/>
      <c r="C36" s="32"/>
      <c r="D36" s="32"/>
      <c r="E36" s="110" t="s">
        <v>42</v>
      </c>
      <c r="F36" s="121">
        <f>ROUND((SUM(BF87:BF90)),2)</f>
        <v>0</v>
      </c>
      <c r="G36" s="32"/>
      <c r="H36" s="32"/>
      <c r="I36" s="122">
        <v>0.15</v>
      </c>
      <c r="J36" s="121">
        <f>ROUND(((SUM(BF87:BF90))*I36),2)</f>
        <v>0</v>
      </c>
      <c r="K36" s="32"/>
      <c r="L36" s="111"/>
      <c r="S36" s="32"/>
      <c r="T36" s="32"/>
      <c r="U36" s="32"/>
      <c r="V36" s="32"/>
      <c r="W36" s="32"/>
      <c r="X36" s="32"/>
      <c r="Y36" s="32"/>
      <c r="Z36" s="32"/>
      <c r="AA36" s="32"/>
      <c r="AB36" s="32"/>
      <c r="AC36" s="32"/>
      <c r="AD36" s="32"/>
      <c r="AE36" s="32"/>
    </row>
    <row r="37" spans="1:31" s="2" customFormat="1" ht="14.45" customHeight="1" hidden="1">
      <c r="A37" s="32"/>
      <c r="B37" s="37"/>
      <c r="C37" s="32"/>
      <c r="D37" s="32"/>
      <c r="E37" s="110" t="s">
        <v>43</v>
      </c>
      <c r="F37" s="121">
        <f>ROUND((SUM(BG87:BG90)),2)</f>
        <v>0</v>
      </c>
      <c r="G37" s="32"/>
      <c r="H37" s="32"/>
      <c r="I37" s="122">
        <v>0.21</v>
      </c>
      <c r="J37" s="121">
        <f>0</f>
        <v>0</v>
      </c>
      <c r="K37" s="32"/>
      <c r="L37" s="111"/>
      <c r="S37" s="32"/>
      <c r="T37" s="32"/>
      <c r="U37" s="32"/>
      <c r="V37" s="32"/>
      <c r="W37" s="32"/>
      <c r="X37" s="32"/>
      <c r="Y37" s="32"/>
      <c r="Z37" s="32"/>
      <c r="AA37" s="32"/>
      <c r="AB37" s="32"/>
      <c r="AC37" s="32"/>
      <c r="AD37" s="32"/>
      <c r="AE37" s="32"/>
    </row>
    <row r="38" spans="1:31" s="2" customFormat="1" ht="14.45" customHeight="1" hidden="1">
      <c r="A38" s="32"/>
      <c r="B38" s="37"/>
      <c r="C38" s="32"/>
      <c r="D38" s="32"/>
      <c r="E38" s="110" t="s">
        <v>44</v>
      </c>
      <c r="F38" s="121">
        <f>ROUND((SUM(BH87:BH90)),2)</f>
        <v>0</v>
      </c>
      <c r="G38" s="32"/>
      <c r="H38" s="32"/>
      <c r="I38" s="122">
        <v>0.15</v>
      </c>
      <c r="J38" s="121">
        <f>0</f>
        <v>0</v>
      </c>
      <c r="K38" s="32"/>
      <c r="L38" s="111"/>
      <c r="S38" s="32"/>
      <c r="T38" s="32"/>
      <c r="U38" s="32"/>
      <c r="V38" s="32"/>
      <c r="W38" s="32"/>
      <c r="X38" s="32"/>
      <c r="Y38" s="32"/>
      <c r="Z38" s="32"/>
      <c r="AA38" s="32"/>
      <c r="AB38" s="32"/>
      <c r="AC38" s="32"/>
      <c r="AD38" s="32"/>
      <c r="AE38" s="32"/>
    </row>
    <row r="39" spans="1:31" s="2" customFormat="1" ht="14.45" customHeight="1" hidden="1">
      <c r="A39" s="32"/>
      <c r="B39" s="37"/>
      <c r="C39" s="32"/>
      <c r="D39" s="32"/>
      <c r="E39" s="110" t="s">
        <v>45</v>
      </c>
      <c r="F39" s="121">
        <f>ROUND((SUM(BI87:BI90)),2)</f>
        <v>0</v>
      </c>
      <c r="G39" s="32"/>
      <c r="H39" s="32"/>
      <c r="I39" s="122">
        <v>0</v>
      </c>
      <c r="J39" s="121">
        <f>0</f>
        <v>0</v>
      </c>
      <c r="K39" s="32"/>
      <c r="L39" s="111"/>
      <c r="S39" s="32"/>
      <c r="T39" s="32"/>
      <c r="U39" s="32"/>
      <c r="V39" s="32"/>
      <c r="W39" s="32"/>
      <c r="X39" s="32"/>
      <c r="Y39" s="32"/>
      <c r="Z39" s="32"/>
      <c r="AA39" s="32"/>
      <c r="AB39" s="32"/>
      <c r="AC39" s="32"/>
      <c r="AD39" s="32"/>
      <c r="AE39" s="32"/>
    </row>
    <row r="40" spans="1:31" s="2" customFormat="1" ht="6.95" customHeight="1">
      <c r="A40" s="32"/>
      <c r="B40" s="37"/>
      <c r="C40" s="32"/>
      <c r="D40" s="32"/>
      <c r="E40" s="32"/>
      <c r="F40" s="32"/>
      <c r="G40" s="32"/>
      <c r="H40" s="32"/>
      <c r="I40" s="32"/>
      <c r="J40" s="32"/>
      <c r="K40" s="32"/>
      <c r="L40" s="111"/>
      <c r="S40" s="32"/>
      <c r="T40" s="32"/>
      <c r="U40" s="32"/>
      <c r="V40" s="32"/>
      <c r="W40" s="32"/>
      <c r="X40" s="32"/>
      <c r="Y40" s="32"/>
      <c r="Z40" s="32"/>
      <c r="AA40" s="32"/>
      <c r="AB40" s="32"/>
      <c r="AC40" s="32"/>
      <c r="AD40" s="32"/>
      <c r="AE40" s="32"/>
    </row>
    <row r="41" spans="1:31" s="2" customFormat="1" ht="25.35" customHeight="1">
      <c r="A41" s="32"/>
      <c r="B41" s="37"/>
      <c r="C41" s="123"/>
      <c r="D41" s="124" t="s">
        <v>46</v>
      </c>
      <c r="E41" s="125"/>
      <c r="F41" s="125"/>
      <c r="G41" s="126" t="s">
        <v>47</v>
      </c>
      <c r="H41" s="127" t="s">
        <v>48</v>
      </c>
      <c r="I41" s="125"/>
      <c r="J41" s="128">
        <f>SUM(J32:J39)</f>
        <v>0</v>
      </c>
      <c r="K41" s="129"/>
      <c r="L41" s="111"/>
      <c r="S41" s="32"/>
      <c r="T41" s="32"/>
      <c r="U41" s="32"/>
      <c r="V41" s="32"/>
      <c r="W41" s="32"/>
      <c r="X41" s="32"/>
      <c r="Y41" s="32"/>
      <c r="Z41" s="32"/>
      <c r="AA41" s="32"/>
      <c r="AB41" s="32"/>
      <c r="AC41" s="32"/>
      <c r="AD41" s="32"/>
      <c r="AE41" s="32"/>
    </row>
    <row r="42" spans="1:31" s="2" customFormat="1" ht="14.45" customHeight="1">
      <c r="A42" s="32"/>
      <c r="B42" s="130"/>
      <c r="C42" s="131"/>
      <c r="D42" s="131"/>
      <c r="E42" s="131"/>
      <c r="F42" s="131"/>
      <c r="G42" s="131"/>
      <c r="H42" s="131"/>
      <c r="I42" s="131"/>
      <c r="J42" s="131"/>
      <c r="K42" s="131"/>
      <c r="L42" s="111"/>
      <c r="S42" s="32"/>
      <c r="T42" s="32"/>
      <c r="U42" s="32"/>
      <c r="V42" s="32"/>
      <c r="W42" s="32"/>
      <c r="X42" s="32"/>
      <c r="Y42" s="32"/>
      <c r="Z42" s="32"/>
      <c r="AA42" s="32"/>
      <c r="AB42" s="32"/>
      <c r="AC42" s="32"/>
      <c r="AD42" s="32"/>
      <c r="AE42" s="32"/>
    </row>
    <row r="46" spans="1:31" s="2" customFormat="1" ht="6.95" customHeight="1">
      <c r="A46" s="32"/>
      <c r="B46" s="132"/>
      <c r="C46" s="133"/>
      <c r="D46" s="133"/>
      <c r="E46" s="133"/>
      <c r="F46" s="133"/>
      <c r="G46" s="133"/>
      <c r="H46" s="133"/>
      <c r="I46" s="133"/>
      <c r="J46" s="133"/>
      <c r="K46" s="133"/>
      <c r="L46" s="111"/>
      <c r="S46" s="32"/>
      <c r="T46" s="32"/>
      <c r="U46" s="32"/>
      <c r="V46" s="32"/>
      <c r="W46" s="32"/>
      <c r="X46" s="32"/>
      <c r="Y46" s="32"/>
      <c r="Z46" s="32"/>
      <c r="AA46" s="32"/>
      <c r="AB46" s="32"/>
      <c r="AC46" s="32"/>
      <c r="AD46" s="32"/>
      <c r="AE46" s="32"/>
    </row>
    <row r="47" spans="1:31" s="2" customFormat="1" ht="24.95" customHeight="1">
      <c r="A47" s="32"/>
      <c r="B47" s="33"/>
      <c r="C47" s="21" t="s">
        <v>147</v>
      </c>
      <c r="D47" s="34"/>
      <c r="E47" s="34"/>
      <c r="F47" s="34"/>
      <c r="G47" s="34"/>
      <c r="H47" s="34"/>
      <c r="I47" s="34"/>
      <c r="J47" s="34"/>
      <c r="K47" s="34"/>
      <c r="L47" s="111"/>
      <c r="S47" s="32"/>
      <c r="T47" s="32"/>
      <c r="U47" s="32"/>
      <c r="V47" s="32"/>
      <c r="W47" s="32"/>
      <c r="X47" s="32"/>
      <c r="Y47" s="32"/>
      <c r="Z47" s="32"/>
      <c r="AA47" s="32"/>
      <c r="AB47" s="32"/>
      <c r="AC47" s="32"/>
      <c r="AD47" s="32"/>
      <c r="AE47" s="32"/>
    </row>
    <row r="48" spans="1:31" s="2" customFormat="1" ht="6.95" customHeight="1">
      <c r="A48" s="32"/>
      <c r="B48" s="33"/>
      <c r="C48" s="34"/>
      <c r="D48" s="34"/>
      <c r="E48" s="34"/>
      <c r="F48" s="34"/>
      <c r="G48" s="34"/>
      <c r="H48" s="34"/>
      <c r="I48" s="34"/>
      <c r="J48" s="34"/>
      <c r="K48" s="34"/>
      <c r="L48" s="111"/>
      <c r="S48" s="32"/>
      <c r="T48" s="32"/>
      <c r="U48" s="32"/>
      <c r="V48" s="32"/>
      <c r="W48" s="32"/>
      <c r="X48" s="32"/>
      <c r="Y48" s="32"/>
      <c r="Z48" s="32"/>
      <c r="AA48" s="32"/>
      <c r="AB48" s="32"/>
      <c r="AC48" s="32"/>
      <c r="AD48" s="32"/>
      <c r="AE48" s="32"/>
    </row>
    <row r="49" spans="1:31" s="2" customFormat="1" ht="12" customHeight="1">
      <c r="A49" s="32"/>
      <c r="B49" s="33"/>
      <c r="C49" s="27" t="s">
        <v>16</v>
      </c>
      <c r="D49" s="34"/>
      <c r="E49" s="34"/>
      <c r="F49" s="34"/>
      <c r="G49" s="34"/>
      <c r="H49" s="34"/>
      <c r="I49" s="34"/>
      <c r="J49" s="34"/>
      <c r="K49" s="34"/>
      <c r="L49" s="111"/>
      <c r="S49" s="32"/>
      <c r="T49" s="32"/>
      <c r="U49" s="32"/>
      <c r="V49" s="32"/>
      <c r="W49" s="32"/>
      <c r="X49" s="32"/>
      <c r="Y49" s="32"/>
      <c r="Z49" s="32"/>
      <c r="AA49" s="32"/>
      <c r="AB49" s="32"/>
      <c r="AC49" s="32"/>
      <c r="AD49" s="32"/>
      <c r="AE49" s="32"/>
    </row>
    <row r="50" spans="1:31" s="2" customFormat="1" ht="14.45" customHeight="1">
      <c r="A50" s="32"/>
      <c r="B50" s="33"/>
      <c r="C50" s="34"/>
      <c r="D50" s="34"/>
      <c r="E50" s="700" t="str">
        <f>E7</f>
        <v>Úpravy gastroprovozu Úřadu vlády ČR v 1.pp Strakovy akademie</v>
      </c>
      <c r="F50" s="701"/>
      <c r="G50" s="701"/>
      <c r="H50" s="701"/>
      <c r="I50" s="34"/>
      <c r="J50" s="34"/>
      <c r="K50" s="34"/>
      <c r="L50" s="111"/>
      <c r="S50" s="32"/>
      <c r="T50" s="32"/>
      <c r="U50" s="32"/>
      <c r="V50" s="32"/>
      <c r="W50" s="32"/>
      <c r="X50" s="32"/>
      <c r="Y50" s="32"/>
      <c r="Z50" s="32"/>
      <c r="AA50" s="32"/>
      <c r="AB50" s="32"/>
      <c r="AC50" s="32"/>
      <c r="AD50" s="32"/>
      <c r="AE50" s="32"/>
    </row>
    <row r="51" spans="2:12" s="1" customFormat="1" ht="12" customHeight="1">
      <c r="B51" s="19"/>
      <c r="C51" s="27" t="s">
        <v>142</v>
      </c>
      <c r="D51" s="20"/>
      <c r="E51" s="20"/>
      <c r="F51" s="20"/>
      <c r="G51" s="20"/>
      <c r="H51" s="20"/>
      <c r="I51" s="20"/>
      <c r="J51" s="20"/>
      <c r="K51" s="20"/>
      <c r="L51" s="18"/>
    </row>
    <row r="52" spans="1:31" s="2" customFormat="1" ht="14.45" customHeight="1">
      <c r="A52" s="32"/>
      <c r="B52" s="33"/>
      <c r="C52" s="34"/>
      <c r="D52" s="34"/>
      <c r="E52" s="700" t="s">
        <v>1429</v>
      </c>
      <c r="F52" s="699"/>
      <c r="G52" s="699"/>
      <c r="H52" s="699"/>
      <c r="I52" s="34"/>
      <c r="J52" s="34"/>
      <c r="K52" s="34"/>
      <c r="L52" s="111"/>
      <c r="S52" s="32"/>
      <c r="T52" s="32"/>
      <c r="U52" s="32"/>
      <c r="V52" s="32"/>
      <c r="W52" s="32"/>
      <c r="X52" s="32"/>
      <c r="Y52" s="32"/>
      <c r="Z52" s="32"/>
      <c r="AA52" s="32"/>
      <c r="AB52" s="32"/>
      <c r="AC52" s="32"/>
      <c r="AD52" s="32"/>
      <c r="AE52" s="32"/>
    </row>
    <row r="53" spans="1:31" s="2" customFormat="1" ht="12" customHeight="1">
      <c r="A53" s="32"/>
      <c r="B53" s="33"/>
      <c r="C53" s="27" t="s">
        <v>144</v>
      </c>
      <c r="D53" s="34"/>
      <c r="E53" s="34"/>
      <c r="F53" s="34"/>
      <c r="G53" s="34"/>
      <c r="H53" s="34"/>
      <c r="I53" s="34"/>
      <c r="J53" s="34"/>
      <c r="K53" s="34"/>
      <c r="L53" s="111"/>
      <c r="S53" s="32"/>
      <c r="T53" s="32"/>
      <c r="U53" s="32"/>
      <c r="V53" s="32"/>
      <c r="W53" s="32"/>
      <c r="X53" s="32"/>
      <c r="Y53" s="32"/>
      <c r="Z53" s="32"/>
      <c r="AA53" s="32"/>
      <c r="AB53" s="32"/>
      <c r="AC53" s="32"/>
      <c r="AD53" s="32"/>
      <c r="AE53" s="32"/>
    </row>
    <row r="54" spans="1:31" s="2" customFormat="1" ht="14.45" customHeight="1">
      <c r="A54" s="32"/>
      <c r="B54" s="33"/>
      <c r="C54" s="34"/>
      <c r="D54" s="34"/>
      <c r="E54" s="696" t="str">
        <f>E11</f>
        <v xml:space="preserve">D.1.4.01 - Soupis prací - Zdravotechnika </v>
      </c>
      <c r="F54" s="699"/>
      <c r="G54" s="699"/>
      <c r="H54" s="699"/>
      <c r="I54" s="34"/>
      <c r="J54" s="34"/>
      <c r="K54" s="34"/>
      <c r="L54" s="111"/>
      <c r="S54" s="32"/>
      <c r="T54" s="32"/>
      <c r="U54" s="32"/>
      <c r="V54" s="32"/>
      <c r="W54" s="32"/>
      <c r="X54" s="32"/>
      <c r="Y54" s="32"/>
      <c r="Z54" s="32"/>
      <c r="AA54" s="32"/>
      <c r="AB54" s="32"/>
      <c r="AC54" s="32"/>
      <c r="AD54" s="32"/>
      <c r="AE54" s="32"/>
    </row>
    <row r="55" spans="1:31" s="2" customFormat="1" ht="6.95" customHeight="1">
      <c r="A55" s="32"/>
      <c r="B55" s="33"/>
      <c r="C55" s="34"/>
      <c r="D55" s="34"/>
      <c r="E55" s="34"/>
      <c r="F55" s="34"/>
      <c r="G55" s="34"/>
      <c r="H55" s="34"/>
      <c r="I55" s="34"/>
      <c r="J55" s="34"/>
      <c r="K55" s="34"/>
      <c r="L55" s="111"/>
      <c r="S55" s="32"/>
      <c r="T55" s="32"/>
      <c r="U55" s="32"/>
      <c r="V55" s="32"/>
      <c r="W55" s="32"/>
      <c r="X55" s="32"/>
      <c r="Y55" s="32"/>
      <c r="Z55" s="32"/>
      <c r="AA55" s="32"/>
      <c r="AB55" s="32"/>
      <c r="AC55" s="32"/>
      <c r="AD55" s="32"/>
      <c r="AE55" s="32"/>
    </row>
    <row r="56" spans="1:31" s="2" customFormat="1" ht="12" customHeight="1">
      <c r="A56" s="32"/>
      <c r="B56" s="33"/>
      <c r="C56" s="27" t="s">
        <v>21</v>
      </c>
      <c r="D56" s="34"/>
      <c r="E56" s="34"/>
      <c r="F56" s="25" t="str">
        <f>F14</f>
        <v xml:space="preserve"> </v>
      </c>
      <c r="G56" s="34"/>
      <c r="H56" s="34"/>
      <c r="I56" s="27" t="s">
        <v>23</v>
      </c>
      <c r="J56" s="57" t="str">
        <f>IF(J14="","",J14)</f>
        <v>Vyplň údaj</v>
      </c>
      <c r="K56" s="34"/>
      <c r="L56" s="111"/>
      <c r="S56" s="32"/>
      <c r="T56" s="32"/>
      <c r="U56" s="32"/>
      <c r="V56" s="32"/>
      <c r="W56" s="32"/>
      <c r="X56" s="32"/>
      <c r="Y56" s="32"/>
      <c r="Z56" s="32"/>
      <c r="AA56" s="32"/>
      <c r="AB56" s="32"/>
      <c r="AC56" s="32"/>
      <c r="AD56" s="32"/>
      <c r="AE56" s="32"/>
    </row>
    <row r="57" spans="1:31" s="2" customFormat="1" ht="6.95" customHeight="1">
      <c r="A57" s="32"/>
      <c r="B57" s="33"/>
      <c r="C57" s="34"/>
      <c r="D57" s="34"/>
      <c r="E57" s="34"/>
      <c r="F57" s="34"/>
      <c r="G57" s="34"/>
      <c r="H57" s="34"/>
      <c r="I57" s="34"/>
      <c r="J57" s="34"/>
      <c r="K57" s="34"/>
      <c r="L57" s="111"/>
      <c r="S57" s="32"/>
      <c r="T57" s="32"/>
      <c r="U57" s="32"/>
      <c r="V57" s="32"/>
      <c r="W57" s="32"/>
      <c r="X57" s="32"/>
      <c r="Y57" s="32"/>
      <c r="Z57" s="32"/>
      <c r="AA57" s="32"/>
      <c r="AB57" s="32"/>
      <c r="AC57" s="32"/>
      <c r="AD57" s="32"/>
      <c r="AE57" s="32"/>
    </row>
    <row r="58" spans="1:31" s="2" customFormat="1" ht="26.45" customHeight="1">
      <c r="A58" s="32"/>
      <c r="B58" s="33"/>
      <c r="C58" s="27" t="s">
        <v>24</v>
      </c>
      <c r="D58" s="34"/>
      <c r="E58" s="34"/>
      <c r="F58" s="25" t="str">
        <f>E17</f>
        <v xml:space="preserve">Úřad vlády České republiky </v>
      </c>
      <c r="G58" s="34"/>
      <c r="H58" s="34"/>
      <c r="I58" s="27" t="s">
        <v>30</v>
      </c>
      <c r="J58" s="30" t="str">
        <f>E23</f>
        <v>Ateliér Simona Group</v>
      </c>
      <c r="K58" s="34"/>
      <c r="L58" s="111"/>
      <c r="S58" s="32"/>
      <c r="T58" s="32"/>
      <c r="U58" s="32"/>
      <c r="V58" s="32"/>
      <c r="W58" s="32"/>
      <c r="X58" s="32"/>
      <c r="Y58" s="32"/>
      <c r="Z58" s="32"/>
      <c r="AA58" s="32"/>
      <c r="AB58" s="32"/>
      <c r="AC58" s="32"/>
      <c r="AD58" s="32"/>
      <c r="AE58" s="32"/>
    </row>
    <row r="59" spans="1:31" s="2" customFormat="1" ht="26.45" customHeight="1">
      <c r="A59" s="32"/>
      <c r="B59" s="33"/>
      <c r="C59" s="27" t="s">
        <v>28</v>
      </c>
      <c r="D59" s="34"/>
      <c r="E59" s="34"/>
      <c r="F59" s="25" t="str">
        <f>IF(E20="","",E20)</f>
        <v>Vyplň údaj</v>
      </c>
      <c r="G59" s="34"/>
      <c r="H59" s="34"/>
      <c r="I59" s="27" t="s">
        <v>33</v>
      </c>
      <c r="J59" s="30" t="str">
        <f>E26</f>
        <v>Ateliér Simona Group</v>
      </c>
      <c r="K59" s="34"/>
      <c r="L59" s="111"/>
      <c r="S59" s="32"/>
      <c r="T59" s="32"/>
      <c r="U59" s="32"/>
      <c r="V59" s="32"/>
      <c r="W59" s="32"/>
      <c r="X59" s="32"/>
      <c r="Y59" s="32"/>
      <c r="Z59" s="32"/>
      <c r="AA59" s="32"/>
      <c r="AB59" s="32"/>
      <c r="AC59" s="32"/>
      <c r="AD59" s="32"/>
      <c r="AE59" s="32"/>
    </row>
    <row r="60" spans="1:31" s="2" customFormat="1" ht="10.35" customHeight="1">
      <c r="A60" s="32"/>
      <c r="B60" s="33"/>
      <c r="C60" s="34"/>
      <c r="D60" s="34"/>
      <c r="E60" s="34"/>
      <c r="F60" s="34"/>
      <c r="G60" s="34"/>
      <c r="H60" s="34"/>
      <c r="I60" s="34"/>
      <c r="J60" s="34"/>
      <c r="K60" s="34"/>
      <c r="L60" s="111"/>
      <c r="S60" s="32"/>
      <c r="T60" s="32"/>
      <c r="U60" s="32"/>
      <c r="V60" s="32"/>
      <c r="W60" s="32"/>
      <c r="X60" s="32"/>
      <c r="Y60" s="32"/>
      <c r="Z60" s="32"/>
      <c r="AA60" s="32"/>
      <c r="AB60" s="32"/>
      <c r="AC60" s="32"/>
      <c r="AD60" s="32"/>
      <c r="AE60" s="32"/>
    </row>
    <row r="61" spans="1:31" s="2" customFormat="1" ht="29.25" customHeight="1">
      <c r="A61" s="32"/>
      <c r="B61" s="33"/>
      <c r="C61" s="134" t="s">
        <v>148</v>
      </c>
      <c r="D61" s="135"/>
      <c r="E61" s="135"/>
      <c r="F61" s="135"/>
      <c r="G61" s="135"/>
      <c r="H61" s="135"/>
      <c r="I61" s="135"/>
      <c r="J61" s="136" t="s">
        <v>149</v>
      </c>
      <c r="K61" s="135"/>
      <c r="L61" s="111"/>
      <c r="S61" s="32"/>
      <c r="T61" s="32"/>
      <c r="U61" s="32"/>
      <c r="V61" s="32"/>
      <c r="W61" s="32"/>
      <c r="X61" s="32"/>
      <c r="Y61" s="32"/>
      <c r="Z61" s="32"/>
      <c r="AA61" s="32"/>
      <c r="AB61" s="32"/>
      <c r="AC61" s="32"/>
      <c r="AD61" s="32"/>
      <c r="AE61" s="32"/>
    </row>
    <row r="62" spans="1:31" s="2" customFormat="1" ht="10.35" customHeight="1">
      <c r="A62" s="32"/>
      <c r="B62" s="33"/>
      <c r="C62" s="34"/>
      <c r="D62" s="34"/>
      <c r="E62" s="34"/>
      <c r="F62" s="34"/>
      <c r="G62" s="34"/>
      <c r="H62" s="34"/>
      <c r="I62" s="34"/>
      <c r="J62" s="34"/>
      <c r="K62" s="34"/>
      <c r="L62" s="111"/>
      <c r="S62" s="32"/>
      <c r="T62" s="32"/>
      <c r="U62" s="32"/>
      <c r="V62" s="32"/>
      <c r="W62" s="32"/>
      <c r="X62" s="32"/>
      <c r="Y62" s="32"/>
      <c r="Z62" s="32"/>
      <c r="AA62" s="32"/>
      <c r="AB62" s="32"/>
      <c r="AC62" s="32"/>
      <c r="AD62" s="32"/>
      <c r="AE62" s="32"/>
    </row>
    <row r="63" spans="1:47" s="2" customFormat="1" ht="22.9" customHeight="1">
      <c r="A63" s="32"/>
      <c r="B63" s="33"/>
      <c r="C63" s="137" t="s">
        <v>68</v>
      </c>
      <c r="D63" s="34"/>
      <c r="E63" s="34"/>
      <c r="F63" s="34"/>
      <c r="G63" s="34"/>
      <c r="H63" s="34"/>
      <c r="I63" s="34"/>
      <c r="J63" s="75">
        <f>J87</f>
        <v>0</v>
      </c>
      <c r="K63" s="34"/>
      <c r="L63" s="111"/>
      <c r="S63" s="32"/>
      <c r="T63" s="32"/>
      <c r="U63" s="32"/>
      <c r="V63" s="32"/>
      <c r="W63" s="32"/>
      <c r="X63" s="32"/>
      <c r="Y63" s="32"/>
      <c r="Z63" s="32"/>
      <c r="AA63" s="32"/>
      <c r="AB63" s="32"/>
      <c r="AC63" s="32"/>
      <c r="AD63" s="32"/>
      <c r="AE63" s="32"/>
      <c r="AU63" s="15" t="s">
        <v>150</v>
      </c>
    </row>
    <row r="64" spans="2:12" s="9" customFormat="1" ht="24.95" customHeight="1">
      <c r="B64" s="138"/>
      <c r="C64" s="139"/>
      <c r="D64" s="140" t="s">
        <v>1431</v>
      </c>
      <c r="E64" s="141"/>
      <c r="F64" s="141"/>
      <c r="G64" s="141"/>
      <c r="H64" s="141"/>
      <c r="I64" s="141"/>
      <c r="J64" s="142">
        <f>J88</f>
        <v>0</v>
      </c>
      <c r="K64" s="139"/>
      <c r="L64" s="143"/>
    </row>
    <row r="65" spans="2:12" s="10" customFormat="1" ht="19.9" customHeight="1">
      <c r="B65" s="144"/>
      <c r="C65" s="95"/>
      <c r="D65" s="145" t="s">
        <v>1432</v>
      </c>
      <c r="E65" s="146"/>
      <c r="F65" s="146"/>
      <c r="G65" s="146"/>
      <c r="H65" s="146"/>
      <c r="I65" s="146"/>
      <c r="J65" s="147">
        <f>J89</f>
        <v>0</v>
      </c>
      <c r="K65" s="95"/>
      <c r="L65" s="148"/>
    </row>
    <row r="66" spans="1:31" s="2" customFormat="1" ht="21.75" customHeight="1">
      <c r="A66" s="32"/>
      <c r="B66" s="33"/>
      <c r="C66" s="34"/>
      <c r="D66" s="34"/>
      <c r="E66" s="34"/>
      <c r="F66" s="34"/>
      <c r="G66" s="34"/>
      <c r="H66" s="34"/>
      <c r="I66" s="34"/>
      <c r="J66" s="34"/>
      <c r="K66" s="34"/>
      <c r="L66" s="111"/>
      <c r="S66" s="32"/>
      <c r="T66" s="32"/>
      <c r="U66" s="32"/>
      <c r="V66" s="32"/>
      <c r="W66" s="32"/>
      <c r="X66" s="32"/>
      <c r="Y66" s="32"/>
      <c r="Z66" s="32"/>
      <c r="AA66" s="32"/>
      <c r="AB66" s="32"/>
      <c r="AC66" s="32"/>
      <c r="AD66" s="32"/>
      <c r="AE66" s="32"/>
    </row>
    <row r="67" spans="1:31" s="2" customFormat="1" ht="6.95" customHeight="1">
      <c r="A67" s="32"/>
      <c r="B67" s="45"/>
      <c r="C67" s="46"/>
      <c r="D67" s="46"/>
      <c r="E67" s="46"/>
      <c r="F67" s="46"/>
      <c r="G67" s="46"/>
      <c r="H67" s="46"/>
      <c r="I67" s="46"/>
      <c r="J67" s="46"/>
      <c r="K67" s="46"/>
      <c r="L67" s="111"/>
      <c r="S67" s="32"/>
      <c r="T67" s="32"/>
      <c r="U67" s="32"/>
      <c r="V67" s="32"/>
      <c r="W67" s="32"/>
      <c r="X67" s="32"/>
      <c r="Y67" s="32"/>
      <c r="Z67" s="32"/>
      <c r="AA67" s="32"/>
      <c r="AB67" s="32"/>
      <c r="AC67" s="32"/>
      <c r="AD67" s="32"/>
      <c r="AE67" s="32"/>
    </row>
    <row r="71" spans="1:31" s="2" customFormat="1" ht="6.95" customHeight="1">
      <c r="A71" s="32"/>
      <c r="B71" s="47"/>
      <c r="C71" s="48"/>
      <c r="D71" s="48"/>
      <c r="E71" s="48"/>
      <c r="F71" s="48"/>
      <c r="G71" s="48"/>
      <c r="H71" s="48"/>
      <c r="I71" s="48"/>
      <c r="J71" s="48"/>
      <c r="K71" s="48"/>
      <c r="L71" s="111"/>
      <c r="S71" s="32"/>
      <c r="T71" s="32"/>
      <c r="U71" s="32"/>
      <c r="V71" s="32"/>
      <c r="W71" s="32"/>
      <c r="X71" s="32"/>
      <c r="Y71" s="32"/>
      <c r="Z71" s="32"/>
      <c r="AA71" s="32"/>
      <c r="AB71" s="32"/>
      <c r="AC71" s="32"/>
      <c r="AD71" s="32"/>
      <c r="AE71" s="32"/>
    </row>
    <row r="72" spans="1:31" s="2" customFormat="1" ht="24.95" customHeight="1">
      <c r="A72" s="32"/>
      <c r="B72" s="33"/>
      <c r="C72" s="21" t="s">
        <v>181</v>
      </c>
      <c r="D72" s="34"/>
      <c r="E72" s="34"/>
      <c r="F72" s="34"/>
      <c r="G72" s="34"/>
      <c r="H72" s="34"/>
      <c r="I72" s="34"/>
      <c r="J72" s="34"/>
      <c r="K72" s="34"/>
      <c r="L72" s="111"/>
      <c r="S72" s="32"/>
      <c r="T72" s="32"/>
      <c r="U72" s="32"/>
      <c r="V72" s="32"/>
      <c r="W72" s="32"/>
      <c r="X72" s="32"/>
      <c r="Y72" s="32"/>
      <c r="Z72" s="32"/>
      <c r="AA72" s="32"/>
      <c r="AB72" s="32"/>
      <c r="AC72" s="32"/>
      <c r="AD72" s="32"/>
      <c r="AE72" s="32"/>
    </row>
    <row r="73" spans="1:31" s="2" customFormat="1" ht="6.95" customHeight="1">
      <c r="A73" s="32"/>
      <c r="B73" s="33"/>
      <c r="C73" s="34"/>
      <c r="D73" s="34"/>
      <c r="E73" s="34"/>
      <c r="F73" s="34"/>
      <c r="G73" s="34"/>
      <c r="H73" s="34"/>
      <c r="I73" s="34"/>
      <c r="J73" s="34"/>
      <c r="K73" s="34"/>
      <c r="L73" s="111"/>
      <c r="S73" s="32"/>
      <c r="T73" s="32"/>
      <c r="U73" s="32"/>
      <c r="V73" s="32"/>
      <c r="W73" s="32"/>
      <c r="X73" s="32"/>
      <c r="Y73" s="32"/>
      <c r="Z73" s="32"/>
      <c r="AA73" s="32"/>
      <c r="AB73" s="32"/>
      <c r="AC73" s="32"/>
      <c r="AD73" s="32"/>
      <c r="AE73" s="32"/>
    </row>
    <row r="74" spans="1:31" s="2" customFormat="1" ht="12" customHeight="1">
      <c r="A74" s="32"/>
      <c r="B74" s="33"/>
      <c r="C74" s="27" t="s">
        <v>16</v>
      </c>
      <c r="D74" s="34"/>
      <c r="E74" s="34"/>
      <c r="F74" s="34"/>
      <c r="G74" s="34"/>
      <c r="H74" s="34"/>
      <c r="I74" s="34"/>
      <c r="J74" s="34"/>
      <c r="K74" s="34"/>
      <c r="L74" s="111"/>
      <c r="S74" s="32"/>
      <c r="T74" s="32"/>
      <c r="U74" s="32"/>
      <c r="V74" s="32"/>
      <c r="W74" s="32"/>
      <c r="X74" s="32"/>
      <c r="Y74" s="32"/>
      <c r="Z74" s="32"/>
      <c r="AA74" s="32"/>
      <c r="AB74" s="32"/>
      <c r="AC74" s="32"/>
      <c r="AD74" s="32"/>
      <c r="AE74" s="32"/>
    </row>
    <row r="75" spans="1:31" s="2" customFormat="1" ht="14.45" customHeight="1">
      <c r="A75" s="32"/>
      <c r="B75" s="33"/>
      <c r="C75" s="34"/>
      <c r="D75" s="34"/>
      <c r="E75" s="700" t="str">
        <f>E7</f>
        <v>Úpravy gastroprovozu Úřadu vlády ČR v 1.pp Strakovy akademie</v>
      </c>
      <c r="F75" s="701"/>
      <c r="G75" s="701"/>
      <c r="H75" s="701"/>
      <c r="I75" s="34"/>
      <c r="J75" s="34"/>
      <c r="K75" s="34"/>
      <c r="L75" s="111"/>
      <c r="S75" s="32"/>
      <c r="T75" s="32"/>
      <c r="U75" s="32"/>
      <c r="V75" s="32"/>
      <c r="W75" s="32"/>
      <c r="X75" s="32"/>
      <c r="Y75" s="32"/>
      <c r="Z75" s="32"/>
      <c r="AA75" s="32"/>
      <c r="AB75" s="32"/>
      <c r="AC75" s="32"/>
      <c r="AD75" s="32"/>
      <c r="AE75" s="32"/>
    </row>
    <row r="76" spans="2:12" s="1" customFormat="1" ht="12" customHeight="1">
      <c r="B76" s="19"/>
      <c r="C76" s="27" t="s">
        <v>142</v>
      </c>
      <c r="D76" s="20"/>
      <c r="E76" s="20"/>
      <c r="F76" s="20"/>
      <c r="G76" s="20"/>
      <c r="H76" s="20"/>
      <c r="I76" s="20"/>
      <c r="J76" s="20"/>
      <c r="K76" s="20"/>
      <c r="L76" s="18"/>
    </row>
    <row r="77" spans="1:31" s="2" customFormat="1" ht="14.45" customHeight="1">
      <c r="A77" s="32"/>
      <c r="B77" s="33"/>
      <c r="C77" s="34"/>
      <c r="D77" s="34"/>
      <c r="E77" s="700" t="s">
        <v>1429</v>
      </c>
      <c r="F77" s="699"/>
      <c r="G77" s="699"/>
      <c r="H77" s="699"/>
      <c r="I77" s="34"/>
      <c r="J77" s="34"/>
      <c r="K77" s="34"/>
      <c r="L77" s="111"/>
      <c r="S77" s="32"/>
      <c r="T77" s="32"/>
      <c r="U77" s="32"/>
      <c r="V77" s="32"/>
      <c r="W77" s="32"/>
      <c r="X77" s="32"/>
      <c r="Y77" s="32"/>
      <c r="Z77" s="32"/>
      <c r="AA77" s="32"/>
      <c r="AB77" s="32"/>
      <c r="AC77" s="32"/>
      <c r="AD77" s="32"/>
      <c r="AE77" s="32"/>
    </row>
    <row r="78" spans="1:31" s="2" customFormat="1" ht="12" customHeight="1">
      <c r="A78" s="32"/>
      <c r="B78" s="33"/>
      <c r="C78" s="27" t="s">
        <v>144</v>
      </c>
      <c r="D78" s="34"/>
      <c r="E78" s="34"/>
      <c r="F78" s="34"/>
      <c r="G78" s="34"/>
      <c r="H78" s="34"/>
      <c r="I78" s="34"/>
      <c r="J78" s="34"/>
      <c r="K78" s="34"/>
      <c r="L78" s="111"/>
      <c r="S78" s="32"/>
      <c r="T78" s="32"/>
      <c r="U78" s="32"/>
      <c r="V78" s="32"/>
      <c r="W78" s="32"/>
      <c r="X78" s="32"/>
      <c r="Y78" s="32"/>
      <c r="Z78" s="32"/>
      <c r="AA78" s="32"/>
      <c r="AB78" s="32"/>
      <c r="AC78" s="32"/>
      <c r="AD78" s="32"/>
      <c r="AE78" s="32"/>
    </row>
    <row r="79" spans="1:31" s="2" customFormat="1" ht="14.45" customHeight="1">
      <c r="A79" s="32"/>
      <c r="B79" s="33"/>
      <c r="C79" s="34"/>
      <c r="D79" s="34"/>
      <c r="E79" s="696" t="str">
        <f>E11</f>
        <v xml:space="preserve">D.1.4.01 - Soupis prací - Zdravotechnika </v>
      </c>
      <c r="F79" s="699"/>
      <c r="G79" s="699"/>
      <c r="H79" s="699"/>
      <c r="I79" s="34"/>
      <c r="J79" s="34"/>
      <c r="K79" s="34"/>
      <c r="L79" s="111"/>
      <c r="S79" s="32"/>
      <c r="T79" s="32"/>
      <c r="U79" s="32"/>
      <c r="V79" s="32"/>
      <c r="W79" s="32"/>
      <c r="X79" s="32"/>
      <c r="Y79" s="32"/>
      <c r="Z79" s="32"/>
      <c r="AA79" s="32"/>
      <c r="AB79" s="32"/>
      <c r="AC79" s="32"/>
      <c r="AD79" s="32"/>
      <c r="AE79" s="32"/>
    </row>
    <row r="80" spans="1:31" s="2" customFormat="1" ht="6.95" customHeight="1">
      <c r="A80" s="32"/>
      <c r="B80" s="33"/>
      <c r="C80" s="34"/>
      <c r="D80" s="34"/>
      <c r="E80" s="34"/>
      <c r="F80" s="34"/>
      <c r="G80" s="34"/>
      <c r="H80" s="34"/>
      <c r="I80" s="34"/>
      <c r="J80" s="34"/>
      <c r="K80" s="34"/>
      <c r="L80" s="111"/>
      <c r="S80" s="32"/>
      <c r="T80" s="32"/>
      <c r="U80" s="32"/>
      <c r="V80" s="32"/>
      <c r="W80" s="32"/>
      <c r="X80" s="32"/>
      <c r="Y80" s="32"/>
      <c r="Z80" s="32"/>
      <c r="AA80" s="32"/>
      <c r="AB80" s="32"/>
      <c r="AC80" s="32"/>
      <c r="AD80" s="32"/>
      <c r="AE80" s="32"/>
    </row>
    <row r="81" spans="1:31" s="2" customFormat="1" ht="12" customHeight="1">
      <c r="A81" s="32"/>
      <c r="B81" s="33"/>
      <c r="C81" s="27" t="s">
        <v>21</v>
      </c>
      <c r="D81" s="34"/>
      <c r="E81" s="34"/>
      <c r="F81" s="25" t="str">
        <f>F14</f>
        <v xml:space="preserve"> </v>
      </c>
      <c r="G81" s="34"/>
      <c r="H81" s="34"/>
      <c r="I81" s="27" t="s">
        <v>23</v>
      </c>
      <c r="J81" s="57" t="str">
        <f>IF(J14="","",J14)</f>
        <v>Vyplň údaj</v>
      </c>
      <c r="K81" s="34"/>
      <c r="L81" s="111"/>
      <c r="S81" s="32"/>
      <c r="T81" s="32"/>
      <c r="U81" s="32"/>
      <c r="V81" s="32"/>
      <c r="W81" s="32"/>
      <c r="X81" s="32"/>
      <c r="Y81" s="32"/>
      <c r="Z81" s="32"/>
      <c r="AA81" s="32"/>
      <c r="AB81" s="32"/>
      <c r="AC81" s="32"/>
      <c r="AD81" s="32"/>
      <c r="AE81" s="32"/>
    </row>
    <row r="82" spans="1:31" s="2" customFormat="1" ht="6.95" customHeight="1">
      <c r="A82" s="32"/>
      <c r="B82" s="33"/>
      <c r="C82" s="34"/>
      <c r="D82" s="34"/>
      <c r="E82" s="34"/>
      <c r="F82" s="34"/>
      <c r="G82" s="34"/>
      <c r="H82" s="34"/>
      <c r="I82" s="34"/>
      <c r="J82" s="34"/>
      <c r="K82" s="34"/>
      <c r="L82" s="111"/>
      <c r="S82" s="32"/>
      <c r="T82" s="32"/>
      <c r="U82" s="32"/>
      <c r="V82" s="32"/>
      <c r="W82" s="32"/>
      <c r="X82" s="32"/>
      <c r="Y82" s="32"/>
      <c r="Z82" s="32"/>
      <c r="AA82" s="32"/>
      <c r="AB82" s="32"/>
      <c r="AC82" s="32"/>
      <c r="AD82" s="32"/>
      <c r="AE82" s="32"/>
    </row>
    <row r="83" spans="1:31" s="2" customFormat="1" ht="26.45" customHeight="1">
      <c r="A83" s="32"/>
      <c r="B83" s="33"/>
      <c r="C83" s="27" t="s">
        <v>24</v>
      </c>
      <c r="D83" s="34"/>
      <c r="E83" s="34"/>
      <c r="F83" s="25" t="str">
        <f>E17</f>
        <v xml:space="preserve">Úřad vlády České republiky </v>
      </c>
      <c r="G83" s="34"/>
      <c r="H83" s="34"/>
      <c r="I83" s="27" t="s">
        <v>30</v>
      </c>
      <c r="J83" s="30" t="str">
        <f>E23</f>
        <v>Ateliér Simona Group</v>
      </c>
      <c r="K83" s="34"/>
      <c r="L83" s="111"/>
      <c r="S83" s="32"/>
      <c r="T83" s="32"/>
      <c r="U83" s="32"/>
      <c r="V83" s="32"/>
      <c r="W83" s="32"/>
      <c r="X83" s="32"/>
      <c r="Y83" s="32"/>
      <c r="Z83" s="32"/>
      <c r="AA83" s="32"/>
      <c r="AB83" s="32"/>
      <c r="AC83" s="32"/>
      <c r="AD83" s="32"/>
      <c r="AE83" s="32"/>
    </row>
    <row r="84" spans="1:31" s="2" customFormat="1" ht="26.45" customHeight="1">
      <c r="A84" s="32"/>
      <c r="B84" s="33"/>
      <c r="C84" s="27" t="s">
        <v>28</v>
      </c>
      <c r="D84" s="34"/>
      <c r="E84" s="34"/>
      <c r="F84" s="25" t="str">
        <f>IF(E20="","",E20)</f>
        <v>Vyplň údaj</v>
      </c>
      <c r="G84" s="34"/>
      <c r="H84" s="34"/>
      <c r="I84" s="27" t="s">
        <v>33</v>
      </c>
      <c r="J84" s="30" t="str">
        <f>E26</f>
        <v>Ateliér Simona Group</v>
      </c>
      <c r="K84" s="34"/>
      <c r="L84" s="111"/>
      <c r="S84" s="32"/>
      <c r="T84" s="32"/>
      <c r="U84" s="32"/>
      <c r="V84" s="32"/>
      <c r="W84" s="32"/>
      <c r="X84" s="32"/>
      <c r="Y84" s="32"/>
      <c r="Z84" s="32"/>
      <c r="AA84" s="32"/>
      <c r="AB84" s="32"/>
      <c r="AC84" s="32"/>
      <c r="AD84" s="32"/>
      <c r="AE84" s="32"/>
    </row>
    <row r="85" spans="1:31" s="2" customFormat="1" ht="10.35" customHeight="1">
      <c r="A85" s="32"/>
      <c r="B85" s="33"/>
      <c r="C85" s="34"/>
      <c r="D85" s="34"/>
      <c r="E85" s="34"/>
      <c r="F85" s="34"/>
      <c r="G85" s="34"/>
      <c r="H85" s="34"/>
      <c r="I85" s="34"/>
      <c r="J85" s="34"/>
      <c r="K85" s="34"/>
      <c r="L85" s="111"/>
      <c r="S85" s="32"/>
      <c r="T85" s="32"/>
      <c r="U85" s="32"/>
      <c r="V85" s="32"/>
      <c r="W85" s="32"/>
      <c r="X85" s="32"/>
      <c r="Y85" s="32"/>
      <c r="Z85" s="32"/>
      <c r="AA85" s="32"/>
      <c r="AB85" s="32"/>
      <c r="AC85" s="32"/>
      <c r="AD85" s="32"/>
      <c r="AE85" s="32"/>
    </row>
    <row r="86" spans="1:31" s="11" customFormat="1" ht="29.25" customHeight="1">
      <c r="A86" s="149"/>
      <c r="B86" s="150"/>
      <c r="C86" s="151" t="s">
        <v>182</v>
      </c>
      <c r="D86" s="152" t="s">
        <v>55</v>
      </c>
      <c r="E86" s="152" t="s">
        <v>51</v>
      </c>
      <c r="F86" s="152" t="s">
        <v>52</v>
      </c>
      <c r="G86" s="152" t="s">
        <v>183</v>
      </c>
      <c r="H86" s="152" t="s">
        <v>184</v>
      </c>
      <c r="I86" s="152" t="s">
        <v>185</v>
      </c>
      <c r="J86" s="152" t="s">
        <v>149</v>
      </c>
      <c r="K86" s="153" t="s">
        <v>186</v>
      </c>
      <c r="L86" s="154"/>
      <c r="M86" s="66" t="s">
        <v>19</v>
      </c>
      <c r="N86" s="67" t="s">
        <v>40</v>
      </c>
      <c r="O86" s="67" t="s">
        <v>187</v>
      </c>
      <c r="P86" s="67" t="s">
        <v>188</v>
      </c>
      <c r="Q86" s="67" t="s">
        <v>189</v>
      </c>
      <c r="R86" s="67" t="s">
        <v>190</v>
      </c>
      <c r="S86" s="67" t="s">
        <v>191</v>
      </c>
      <c r="T86" s="68" t="s">
        <v>192</v>
      </c>
      <c r="U86" s="149"/>
      <c r="V86" s="149"/>
      <c r="W86" s="149"/>
      <c r="X86" s="149"/>
      <c r="Y86" s="149"/>
      <c r="Z86" s="149"/>
      <c r="AA86" s="149"/>
      <c r="AB86" s="149"/>
      <c r="AC86" s="149"/>
      <c r="AD86" s="149"/>
      <c r="AE86" s="149"/>
    </row>
    <row r="87" spans="1:63" s="2" customFormat="1" ht="22.9" customHeight="1">
      <c r="A87" s="32"/>
      <c r="B87" s="33"/>
      <c r="C87" s="73" t="s">
        <v>193</v>
      </c>
      <c r="D87" s="34"/>
      <c r="E87" s="34"/>
      <c r="F87" s="34"/>
      <c r="G87" s="34"/>
      <c r="H87" s="34"/>
      <c r="I87" s="34"/>
      <c r="J87" s="155">
        <f>BK87</f>
        <v>0</v>
      </c>
      <c r="K87" s="34"/>
      <c r="L87" s="37"/>
      <c r="M87" s="69"/>
      <c r="N87" s="156"/>
      <c r="O87" s="70"/>
      <c r="P87" s="157">
        <f>P88</f>
        <v>0</v>
      </c>
      <c r="Q87" s="70"/>
      <c r="R87" s="157">
        <f>R88</f>
        <v>0</v>
      </c>
      <c r="S87" s="70"/>
      <c r="T87" s="158">
        <f>T88</f>
        <v>0</v>
      </c>
      <c r="U87" s="32"/>
      <c r="V87" s="32"/>
      <c r="W87" s="32"/>
      <c r="X87" s="32"/>
      <c r="Y87" s="32"/>
      <c r="Z87" s="32"/>
      <c r="AA87" s="32"/>
      <c r="AB87" s="32"/>
      <c r="AC87" s="32"/>
      <c r="AD87" s="32"/>
      <c r="AE87" s="32"/>
      <c r="AT87" s="15" t="s">
        <v>69</v>
      </c>
      <c r="AU87" s="15" t="s">
        <v>150</v>
      </c>
      <c r="BK87" s="159">
        <f>BK88</f>
        <v>0</v>
      </c>
    </row>
    <row r="88" spans="2:63" s="12" customFormat="1" ht="25.9" customHeight="1">
      <c r="B88" s="160"/>
      <c r="C88" s="161"/>
      <c r="D88" s="162" t="s">
        <v>69</v>
      </c>
      <c r="E88" s="163" t="s">
        <v>694</v>
      </c>
      <c r="F88" s="163" t="s">
        <v>694</v>
      </c>
      <c r="G88" s="161"/>
      <c r="H88" s="161"/>
      <c r="I88" s="164"/>
      <c r="J88" s="165">
        <f>BK88</f>
        <v>0</v>
      </c>
      <c r="K88" s="161"/>
      <c r="L88" s="166"/>
      <c r="M88" s="167"/>
      <c r="N88" s="168"/>
      <c r="O88" s="168"/>
      <c r="P88" s="169">
        <f>P89</f>
        <v>0</v>
      </c>
      <c r="Q88" s="168"/>
      <c r="R88" s="169">
        <f>R89</f>
        <v>0</v>
      </c>
      <c r="S88" s="168"/>
      <c r="T88" s="170">
        <f>T89</f>
        <v>0</v>
      </c>
      <c r="AR88" s="171" t="s">
        <v>79</v>
      </c>
      <c r="AT88" s="172" t="s">
        <v>69</v>
      </c>
      <c r="AU88" s="172" t="s">
        <v>70</v>
      </c>
      <c r="AY88" s="171" t="s">
        <v>196</v>
      </c>
      <c r="BK88" s="173">
        <f>BK89</f>
        <v>0</v>
      </c>
    </row>
    <row r="89" spans="2:63" s="12" customFormat="1" ht="22.9" customHeight="1">
      <c r="B89" s="160"/>
      <c r="C89" s="161"/>
      <c r="D89" s="162" t="s">
        <v>69</v>
      </c>
      <c r="E89" s="174" t="s">
        <v>1433</v>
      </c>
      <c r="F89" s="174" t="s">
        <v>1434</v>
      </c>
      <c r="G89" s="161"/>
      <c r="H89" s="161"/>
      <c r="I89" s="164"/>
      <c r="J89" s="175">
        <f>BK89</f>
        <v>0</v>
      </c>
      <c r="K89" s="161"/>
      <c r="L89" s="166"/>
      <c r="M89" s="167"/>
      <c r="N89" s="168"/>
      <c r="O89" s="168"/>
      <c r="P89" s="169">
        <f>P90</f>
        <v>0</v>
      </c>
      <c r="Q89" s="168"/>
      <c r="R89" s="169">
        <f>R90</f>
        <v>0</v>
      </c>
      <c r="S89" s="168"/>
      <c r="T89" s="170">
        <f>T90</f>
        <v>0</v>
      </c>
      <c r="AR89" s="171" t="s">
        <v>79</v>
      </c>
      <c r="AT89" s="172" t="s">
        <v>69</v>
      </c>
      <c r="AU89" s="172" t="s">
        <v>77</v>
      </c>
      <c r="AY89" s="171" t="s">
        <v>196</v>
      </c>
      <c r="BK89" s="173">
        <f>BK90</f>
        <v>0</v>
      </c>
    </row>
    <row r="90" spans="1:65" s="2" customFormat="1" ht="13.9" customHeight="1">
      <c r="A90" s="32"/>
      <c r="B90" s="33"/>
      <c r="C90" s="176" t="s">
        <v>77</v>
      </c>
      <c r="D90" s="176" t="s">
        <v>198</v>
      </c>
      <c r="E90" s="177" t="s">
        <v>1435</v>
      </c>
      <c r="F90" s="178" t="s">
        <v>1436</v>
      </c>
      <c r="G90" s="179" t="s">
        <v>1437</v>
      </c>
      <c r="H90" s="180">
        <v>1</v>
      </c>
      <c r="I90" s="181">
        <f>ZTI!J110</f>
        <v>0</v>
      </c>
      <c r="J90" s="182">
        <f>ROUND(I90*H90,2)</f>
        <v>0</v>
      </c>
      <c r="K90" s="178" t="s">
        <v>19</v>
      </c>
      <c r="L90" s="37"/>
      <c r="M90" s="204" t="s">
        <v>19</v>
      </c>
      <c r="N90" s="205" t="s">
        <v>41</v>
      </c>
      <c r="O90" s="206"/>
      <c r="P90" s="207">
        <f>O90*H90</f>
        <v>0</v>
      </c>
      <c r="Q90" s="207">
        <v>0</v>
      </c>
      <c r="R90" s="207">
        <f>Q90*H90</f>
        <v>0</v>
      </c>
      <c r="S90" s="207">
        <v>0</v>
      </c>
      <c r="T90" s="208">
        <f>S90*H90</f>
        <v>0</v>
      </c>
      <c r="U90" s="32"/>
      <c r="V90" s="32"/>
      <c r="W90" s="32"/>
      <c r="X90" s="32"/>
      <c r="Y90" s="32"/>
      <c r="Z90" s="32"/>
      <c r="AA90" s="32"/>
      <c r="AB90" s="32"/>
      <c r="AC90" s="32"/>
      <c r="AD90" s="32"/>
      <c r="AE90" s="32"/>
      <c r="AR90" s="187" t="s">
        <v>270</v>
      </c>
      <c r="AT90" s="187" t="s">
        <v>198</v>
      </c>
      <c r="AU90" s="187" t="s">
        <v>79</v>
      </c>
      <c r="AY90" s="15" t="s">
        <v>196</v>
      </c>
      <c r="BE90" s="188">
        <f>IF(N90="základní",J90,0)</f>
        <v>0</v>
      </c>
      <c r="BF90" s="188">
        <f>IF(N90="snížená",J90,0)</f>
        <v>0</v>
      </c>
      <c r="BG90" s="188">
        <f>IF(N90="zákl. přenesená",J90,0)</f>
        <v>0</v>
      </c>
      <c r="BH90" s="188">
        <f>IF(N90="sníž. přenesená",J90,0)</f>
        <v>0</v>
      </c>
      <c r="BI90" s="188">
        <f>IF(N90="nulová",J90,0)</f>
        <v>0</v>
      </c>
      <c r="BJ90" s="15" t="s">
        <v>77</v>
      </c>
      <c r="BK90" s="188">
        <f>ROUND(I90*H90,2)</f>
        <v>0</v>
      </c>
      <c r="BL90" s="15" t="s">
        <v>270</v>
      </c>
      <c r="BM90" s="187" t="s">
        <v>1438</v>
      </c>
    </row>
    <row r="91" spans="1:31" s="2" customFormat="1" ht="6.95" customHeight="1">
      <c r="A91" s="32"/>
      <c r="B91" s="45"/>
      <c r="C91" s="46"/>
      <c r="D91" s="46"/>
      <c r="E91" s="46"/>
      <c r="F91" s="46"/>
      <c r="G91" s="46"/>
      <c r="H91" s="46"/>
      <c r="I91" s="46"/>
      <c r="J91" s="46"/>
      <c r="K91" s="46"/>
      <c r="L91" s="37"/>
      <c r="M91" s="32"/>
      <c r="O91" s="32"/>
      <c r="P91" s="32"/>
      <c r="Q91" s="32"/>
      <c r="R91" s="32"/>
      <c r="S91" s="32"/>
      <c r="T91" s="32"/>
      <c r="U91" s="32"/>
      <c r="V91" s="32"/>
      <c r="W91" s="32"/>
      <c r="X91" s="32"/>
      <c r="Y91" s="32"/>
      <c r="Z91" s="32"/>
      <c r="AA91" s="32"/>
      <c r="AB91" s="32"/>
      <c r="AC91" s="32"/>
      <c r="AD91" s="32"/>
      <c r="AE91" s="32"/>
    </row>
  </sheetData>
  <sheetProtection algorithmName="SHA-512" hashValue="bpqwg7DjbQJIthWPdQC3IzYxbBWFVdp5zrCVFQNDXpjQS+BRUBbzZH3l0IazlMsv/DDEp/f5n28hWvJp6iyqkg==" saltValue="Ue9F92tF357pSmQI0d2+fvd/VXdpdUlRo7H3+8LqCCgkH9FSGUQYkXFFQWzhmA2CchK2rGSwyx8NbgoBUMmi2A==" spinCount="100000" sheet="1" objects="1" scenarios="1" formatColumns="0" formatRows="0" autoFilter="0"/>
  <autoFilter ref="C86:K90"/>
  <mergeCells count="12">
    <mergeCell ref="E79:H79"/>
    <mergeCell ref="L2:V2"/>
    <mergeCell ref="E50:H50"/>
    <mergeCell ref="E52:H52"/>
    <mergeCell ref="E54:H54"/>
    <mergeCell ref="E75:H75"/>
    <mergeCell ref="E77:H7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2" tint="-0.24997000396251678"/>
    <pageSetUpPr fitToPage="1"/>
  </sheetPr>
  <dimension ref="A2:BM91"/>
  <sheetViews>
    <sheetView showGridLines="0" workbookViewId="0" topLeftCell="A73">
      <selection activeCell="I91" sqref="I91"/>
    </sheetView>
  </sheetViews>
  <sheetFormatPr defaultColWidth="9.140625" defaultRowHeight="12"/>
  <cols>
    <col min="1" max="1" width="8.8515625" style="1" customWidth="1"/>
    <col min="2" max="2" width="1.1484375" style="1" customWidth="1"/>
    <col min="3" max="4" width="4.421875" style="1" customWidth="1"/>
    <col min="5" max="5" width="18.28125" style="1" customWidth="1"/>
    <col min="6" max="6" width="108.00390625" style="1" customWidth="1"/>
    <col min="7" max="7" width="8.00390625" style="1" customWidth="1"/>
    <col min="8" max="8" width="12.28125" style="1" customWidth="1"/>
    <col min="9" max="11" width="21.421875" style="1" customWidth="1"/>
    <col min="12" max="12" width="10.00390625" style="1" customWidth="1"/>
    <col min="13" max="13" width="11.421875" style="1" hidden="1" customWidth="1"/>
    <col min="14" max="14" width="9.140625" style="1" hidden="1" customWidth="1"/>
    <col min="15" max="20" width="15.140625" style="1" hidden="1" customWidth="1"/>
    <col min="21" max="21" width="17.421875" style="1" hidden="1" customWidth="1"/>
    <col min="22" max="22" width="13.140625" style="1" customWidth="1"/>
    <col min="23" max="23" width="17.421875" style="1" customWidth="1"/>
    <col min="24" max="24" width="13.140625" style="1" customWidth="1"/>
    <col min="25" max="25" width="16.00390625" style="1" customWidth="1"/>
    <col min="26" max="26" width="11.7109375" style="1" customWidth="1"/>
    <col min="27" max="27" width="16.00390625" style="1" customWidth="1"/>
    <col min="28" max="28" width="17.421875" style="1" customWidth="1"/>
    <col min="29" max="29" width="11.7109375" style="1" customWidth="1"/>
    <col min="30" max="30" width="16.00390625" style="1" customWidth="1"/>
    <col min="31" max="31" width="17.421875" style="1" customWidth="1"/>
    <col min="44" max="65" width="9.140625" style="1" hidden="1" customWidth="1"/>
  </cols>
  <sheetData>
    <row r="1" ht="12"/>
    <row r="2" spans="12:46" s="1" customFormat="1" ht="36.95" customHeight="1">
      <c r="L2" s="682"/>
      <c r="M2" s="682"/>
      <c r="N2" s="682"/>
      <c r="O2" s="682"/>
      <c r="P2" s="682"/>
      <c r="Q2" s="682"/>
      <c r="R2" s="682"/>
      <c r="S2" s="682"/>
      <c r="T2" s="682"/>
      <c r="U2" s="682"/>
      <c r="V2" s="682"/>
      <c r="AT2" s="15" t="s">
        <v>135</v>
      </c>
    </row>
    <row r="3" spans="2:46" s="1" customFormat="1" ht="6.95" customHeight="1">
      <c r="B3" s="106"/>
      <c r="C3" s="107"/>
      <c r="D3" s="107"/>
      <c r="E3" s="107"/>
      <c r="F3" s="107"/>
      <c r="G3" s="107"/>
      <c r="H3" s="107"/>
      <c r="I3" s="107"/>
      <c r="J3" s="107"/>
      <c r="K3" s="107"/>
      <c r="L3" s="18"/>
      <c r="AT3" s="15" t="s">
        <v>79</v>
      </c>
    </row>
    <row r="4" spans="2:46" s="1" customFormat="1" ht="24.95" customHeight="1">
      <c r="B4" s="18"/>
      <c r="D4" s="108" t="s">
        <v>141</v>
      </c>
      <c r="L4" s="18"/>
      <c r="M4" s="109" t="s">
        <v>10</v>
      </c>
      <c r="AT4" s="15" t="s">
        <v>4</v>
      </c>
    </row>
    <row r="5" spans="2:12" s="1" customFormat="1" ht="6.95" customHeight="1">
      <c r="B5" s="18"/>
      <c r="L5" s="18"/>
    </row>
    <row r="6" spans="2:12" s="1" customFormat="1" ht="12" customHeight="1">
      <c r="B6" s="18"/>
      <c r="D6" s="110" t="s">
        <v>16</v>
      </c>
      <c r="L6" s="18"/>
    </row>
    <row r="7" spans="2:12" s="1" customFormat="1" ht="14.45" customHeight="1">
      <c r="B7" s="18"/>
      <c r="E7" s="702" t="str">
        <f>'Rekapitulace stavby'!K6</f>
        <v>Úpravy gastroprovozu Úřadu vlády ČR v 1.pp Strakovy akademie</v>
      </c>
      <c r="F7" s="703"/>
      <c r="G7" s="703"/>
      <c r="H7" s="703"/>
      <c r="L7" s="18"/>
    </row>
    <row r="8" spans="2:12" s="1" customFormat="1" ht="12" customHeight="1">
      <c r="B8" s="18"/>
      <c r="D8" s="110" t="s">
        <v>142</v>
      </c>
      <c r="L8" s="18"/>
    </row>
    <row r="9" spans="1:31" s="2" customFormat="1" ht="14.45" customHeight="1">
      <c r="A9" s="32"/>
      <c r="B9" s="37"/>
      <c r="C9" s="32"/>
      <c r="D9" s="32"/>
      <c r="E9" s="702" t="s">
        <v>1429</v>
      </c>
      <c r="F9" s="704"/>
      <c r="G9" s="704"/>
      <c r="H9" s="704"/>
      <c r="I9" s="32"/>
      <c r="J9" s="32"/>
      <c r="K9" s="32"/>
      <c r="L9" s="111"/>
      <c r="S9" s="32"/>
      <c r="T9" s="32"/>
      <c r="U9" s="32"/>
      <c r="V9" s="32"/>
      <c r="W9" s="32"/>
      <c r="X9" s="32"/>
      <c r="Y9" s="32"/>
      <c r="Z9" s="32"/>
      <c r="AA9" s="32"/>
      <c r="AB9" s="32"/>
      <c r="AC9" s="32"/>
      <c r="AD9" s="32"/>
      <c r="AE9" s="32"/>
    </row>
    <row r="10" spans="1:31" s="2" customFormat="1" ht="12" customHeight="1">
      <c r="A10" s="32"/>
      <c r="B10" s="37"/>
      <c r="C10" s="32"/>
      <c r="D10" s="110" t="s">
        <v>144</v>
      </c>
      <c r="E10" s="32"/>
      <c r="F10" s="32"/>
      <c r="G10" s="32"/>
      <c r="H10" s="32"/>
      <c r="I10" s="32"/>
      <c r="J10" s="32"/>
      <c r="K10" s="32"/>
      <c r="L10" s="111"/>
      <c r="S10" s="32"/>
      <c r="T10" s="32"/>
      <c r="U10" s="32"/>
      <c r="V10" s="32"/>
      <c r="W10" s="32"/>
      <c r="X10" s="32"/>
      <c r="Y10" s="32"/>
      <c r="Z10" s="32"/>
      <c r="AA10" s="32"/>
      <c r="AB10" s="32"/>
      <c r="AC10" s="32"/>
      <c r="AD10" s="32"/>
      <c r="AE10" s="32"/>
    </row>
    <row r="11" spans="1:31" s="2" customFormat="1" ht="14.45" customHeight="1">
      <c r="A11" s="32"/>
      <c r="B11" s="37"/>
      <c r="C11" s="32"/>
      <c r="D11" s="32"/>
      <c r="E11" s="705" t="s">
        <v>1494</v>
      </c>
      <c r="F11" s="704"/>
      <c r="G11" s="704"/>
      <c r="H11" s="704"/>
      <c r="I11" s="32"/>
      <c r="J11" s="32"/>
      <c r="K11" s="32"/>
      <c r="L11" s="111"/>
      <c r="S11" s="32"/>
      <c r="T11" s="32"/>
      <c r="U11" s="32"/>
      <c r="V11" s="32"/>
      <c r="W11" s="32"/>
      <c r="X11" s="32"/>
      <c r="Y11" s="32"/>
      <c r="Z11" s="32"/>
      <c r="AA11" s="32"/>
      <c r="AB11" s="32"/>
      <c r="AC11" s="32"/>
      <c r="AD11" s="32"/>
      <c r="AE11" s="32"/>
    </row>
    <row r="12" spans="1:31" s="2" customFormat="1" ht="12">
      <c r="A12" s="32"/>
      <c r="B12" s="37"/>
      <c r="C12" s="32"/>
      <c r="D12" s="32"/>
      <c r="E12" s="32"/>
      <c r="F12" s="32"/>
      <c r="G12" s="32"/>
      <c r="H12" s="32"/>
      <c r="I12" s="32"/>
      <c r="J12" s="32"/>
      <c r="K12" s="32"/>
      <c r="L12" s="111"/>
      <c r="S12" s="32"/>
      <c r="T12" s="32"/>
      <c r="U12" s="32"/>
      <c r="V12" s="32"/>
      <c r="W12" s="32"/>
      <c r="X12" s="32"/>
      <c r="Y12" s="32"/>
      <c r="Z12" s="32"/>
      <c r="AA12" s="32"/>
      <c r="AB12" s="32"/>
      <c r="AC12" s="32"/>
      <c r="AD12" s="32"/>
      <c r="AE12" s="32"/>
    </row>
    <row r="13" spans="1:31" s="2" customFormat="1" ht="12" customHeight="1">
      <c r="A13" s="32"/>
      <c r="B13" s="37"/>
      <c r="C13" s="32"/>
      <c r="D13" s="110" t="s">
        <v>18</v>
      </c>
      <c r="E13" s="32"/>
      <c r="F13" s="101" t="s">
        <v>19</v>
      </c>
      <c r="G13" s="32"/>
      <c r="H13" s="32"/>
      <c r="I13" s="110" t="s">
        <v>20</v>
      </c>
      <c r="J13" s="101" t="s">
        <v>19</v>
      </c>
      <c r="K13" s="32"/>
      <c r="L13" s="111"/>
      <c r="S13" s="32"/>
      <c r="T13" s="32"/>
      <c r="U13" s="32"/>
      <c r="V13" s="32"/>
      <c r="W13" s="32"/>
      <c r="X13" s="32"/>
      <c r="Y13" s="32"/>
      <c r="Z13" s="32"/>
      <c r="AA13" s="32"/>
      <c r="AB13" s="32"/>
      <c r="AC13" s="32"/>
      <c r="AD13" s="32"/>
      <c r="AE13" s="32"/>
    </row>
    <row r="14" spans="1:31" s="2" customFormat="1" ht="12" customHeight="1">
      <c r="A14" s="32"/>
      <c r="B14" s="37"/>
      <c r="C14" s="32"/>
      <c r="D14" s="110" t="s">
        <v>21</v>
      </c>
      <c r="E14" s="32"/>
      <c r="F14" s="101" t="s">
        <v>146</v>
      </c>
      <c r="G14" s="32"/>
      <c r="H14" s="32"/>
      <c r="I14" s="110" t="s">
        <v>23</v>
      </c>
      <c r="J14" s="112" t="str">
        <f>'Rekapitulace stavby'!AN8</f>
        <v>Vyplň údaj</v>
      </c>
      <c r="K14" s="32"/>
      <c r="L14" s="111"/>
      <c r="S14" s="32"/>
      <c r="T14" s="32"/>
      <c r="U14" s="32"/>
      <c r="V14" s="32"/>
      <c r="W14" s="32"/>
      <c r="X14" s="32"/>
      <c r="Y14" s="32"/>
      <c r="Z14" s="32"/>
      <c r="AA14" s="32"/>
      <c r="AB14" s="32"/>
      <c r="AC14" s="32"/>
      <c r="AD14" s="32"/>
      <c r="AE14" s="32"/>
    </row>
    <row r="15" spans="1:31" s="2" customFormat="1" ht="10.9" customHeight="1">
      <c r="A15" s="32"/>
      <c r="B15" s="37"/>
      <c r="C15" s="32"/>
      <c r="D15" s="32"/>
      <c r="E15" s="32"/>
      <c r="F15" s="32"/>
      <c r="G15" s="32"/>
      <c r="H15" s="32"/>
      <c r="I15" s="32"/>
      <c r="J15" s="32"/>
      <c r="K15" s="32"/>
      <c r="L15" s="111"/>
      <c r="S15" s="32"/>
      <c r="T15" s="32"/>
      <c r="U15" s="32"/>
      <c r="V15" s="32"/>
      <c r="W15" s="32"/>
      <c r="X15" s="32"/>
      <c r="Y15" s="32"/>
      <c r="Z15" s="32"/>
      <c r="AA15" s="32"/>
      <c r="AB15" s="32"/>
      <c r="AC15" s="32"/>
      <c r="AD15" s="32"/>
      <c r="AE15" s="32"/>
    </row>
    <row r="16" spans="1:31" s="2" customFormat="1" ht="12" customHeight="1">
      <c r="A16" s="32"/>
      <c r="B16" s="37"/>
      <c r="C16" s="32"/>
      <c r="D16" s="110" t="s">
        <v>24</v>
      </c>
      <c r="E16" s="32"/>
      <c r="F16" s="32"/>
      <c r="G16" s="32"/>
      <c r="H16" s="32"/>
      <c r="I16" s="110" t="s">
        <v>25</v>
      </c>
      <c r="J16" s="101" t="s">
        <v>19</v>
      </c>
      <c r="K16" s="32"/>
      <c r="L16" s="111"/>
      <c r="S16" s="32"/>
      <c r="T16" s="32"/>
      <c r="U16" s="32"/>
      <c r="V16" s="32"/>
      <c r="W16" s="32"/>
      <c r="X16" s="32"/>
      <c r="Y16" s="32"/>
      <c r="Z16" s="32"/>
      <c r="AA16" s="32"/>
      <c r="AB16" s="32"/>
      <c r="AC16" s="32"/>
      <c r="AD16" s="32"/>
      <c r="AE16" s="32"/>
    </row>
    <row r="17" spans="1:31" s="2" customFormat="1" ht="18" customHeight="1">
      <c r="A17" s="32"/>
      <c r="B17" s="37"/>
      <c r="C17" s="32"/>
      <c r="D17" s="32"/>
      <c r="E17" s="101" t="s">
        <v>26</v>
      </c>
      <c r="F17" s="32"/>
      <c r="G17" s="32"/>
      <c r="H17" s="32"/>
      <c r="I17" s="110" t="s">
        <v>27</v>
      </c>
      <c r="J17" s="101" t="s">
        <v>19</v>
      </c>
      <c r="K17" s="32"/>
      <c r="L17" s="111"/>
      <c r="S17" s="32"/>
      <c r="T17" s="32"/>
      <c r="U17" s="32"/>
      <c r="V17" s="32"/>
      <c r="W17" s="32"/>
      <c r="X17" s="32"/>
      <c r="Y17" s="32"/>
      <c r="Z17" s="32"/>
      <c r="AA17" s="32"/>
      <c r="AB17" s="32"/>
      <c r="AC17" s="32"/>
      <c r="AD17" s="32"/>
      <c r="AE17" s="32"/>
    </row>
    <row r="18" spans="1:31" s="2" customFormat="1" ht="6.95" customHeight="1">
      <c r="A18" s="32"/>
      <c r="B18" s="37"/>
      <c r="C18" s="32"/>
      <c r="D18" s="32"/>
      <c r="E18" s="32"/>
      <c r="F18" s="32"/>
      <c r="G18" s="32"/>
      <c r="H18" s="32"/>
      <c r="I18" s="32"/>
      <c r="J18" s="32"/>
      <c r="K18" s="32"/>
      <c r="L18" s="111"/>
      <c r="S18" s="32"/>
      <c r="T18" s="32"/>
      <c r="U18" s="32"/>
      <c r="V18" s="32"/>
      <c r="W18" s="32"/>
      <c r="X18" s="32"/>
      <c r="Y18" s="32"/>
      <c r="Z18" s="32"/>
      <c r="AA18" s="32"/>
      <c r="AB18" s="32"/>
      <c r="AC18" s="32"/>
      <c r="AD18" s="32"/>
      <c r="AE18" s="32"/>
    </row>
    <row r="19" spans="1:31" s="2" customFormat="1" ht="12" customHeight="1">
      <c r="A19" s="32"/>
      <c r="B19" s="37"/>
      <c r="C19" s="32"/>
      <c r="D19" s="110" t="s">
        <v>28</v>
      </c>
      <c r="E19" s="32"/>
      <c r="F19" s="32"/>
      <c r="G19" s="32"/>
      <c r="H19" s="32"/>
      <c r="I19" s="110" t="s">
        <v>25</v>
      </c>
      <c r="J19" s="28" t="str">
        <f>'Rekapitulace stavby'!AN13</f>
        <v>Vyplň údaj</v>
      </c>
      <c r="K19" s="32"/>
      <c r="L19" s="111"/>
      <c r="S19" s="32"/>
      <c r="T19" s="32"/>
      <c r="U19" s="32"/>
      <c r="V19" s="32"/>
      <c r="W19" s="32"/>
      <c r="X19" s="32"/>
      <c r="Y19" s="32"/>
      <c r="Z19" s="32"/>
      <c r="AA19" s="32"/>
      <c r="AB19" s="32"/>
      <c r="AC19" s="32"/>
      <c r="AD19" s="32"/>
      <c r="AE19" s="32"/>
    </row>
    <row r="20" spans="1:31" s="2" customFormat="1" ht="18" customHeight="1">
      <c r="A20" s="32"/>
      <c r="B20" s="37"/>
      <c r="C20" s="32"/>
      <c r="D20" s="32"/>
      <c r="E20" s="706" t="str">
        <f>'Rekapitulace stavby'!E14</f>
        <v>Vyplň údaj</v>
      </c>
      <c r="F20" s="707"/>
      <c r="G20" s="707"/>
      <c r="H20" s="707"/>
      <c r="I20" s="110" t="s">
        <v>27</v>
      </c>
      <c r="J20" s="28" t="str">
        <f>'Rekapitulace stavby'!AN14</f>
        <v>Vyplň údaj</v>
      </c>
      <c r="K20" s="32"/>
      <c r="L20" s="111"/>
      <c r="S20" s="32"/>
      <c r="T20" s="32"/>
      <c r="U20" s="32"/>
      <c r="V20" s="32"/>
      <c r="W20" s="32"/>
      <c r="X20" s="32"/>
      <c r="Y20" s="32"/>
      <c r="Z20" s="32"/>
      <c r="AA20" s="32"/>
      <c r="AB20" s="32"/>
      <c r="AC20" s="32"/>
      <c r="AD20" s="32"/>
      <c r="AE20" s="32"/>
    </row>
    <row r="21" spans="1:31" s="2" customFormat="1" ht="6.95" customHeight="1">
      <c r="A21" s="32"/>
      <c r="B21" s="37"/>
      <c r="C21" s="32"/>
      <c r="D21" s="32"/>
      <c r="E21" s="32"/>
      <c r="F21" s="32"/>
      <c r="G21" s="32"/>
      <c r="H21" s="32"/>
      <c r="I21" s="32"/>
      <c r="J21" s="32"/>
      <c r="K21" s="32"/>
      <c r="L21" s="111"/>
      <c r="S21" s="32"/>
      <c r="T21" s="32"/>
      <c r="U21" s="32"/>
      <c r="V21" s="32"/>
      <c r="W21" s="32"/>
      <c r="X21" s="32"/>
      <c r="Y21" s="32"/>
      <c r="Z21" s="32"/>
      <c r="AA21" s="32"/>
      <c r="AB21" s="32"/>
      <c r="AC21" s="32"/>
      <c r="AD21" s="32"/>
      <c r="AE21" s="32"/>
    </row>
    <row r="22" spans="1:31" s="2" customFormat="1" ht="12" customHeight="1">
      <c r="A22" s="32"/>
      <c r="B22" s="37"/>
      <c r="C22" s="32"/>
      <c r="D22" s="110" t="s">
        <v>30</v>
      </c>
      <c r="E22" s="32"/>
      <c r="F22" s="32"/>
      <c r="G22" s="32"/>
      <c r="H22" s="32"/>
      <c r="I22" s="110" t="s">
        <v>25</v>
      </c>
      <c r="J22" s="101" t="s">
        <v>19</v>
      </c>
      <c r="K22" s="32"/>
      <c r="L22" s="111"/>
      <c r="S22" s="32"/>
      <c r="T22" s="32"/>
      <c r="U22" s="32"/>
      <c r="V22" s="32"/>
      <c r="W22" s="32"/>
      <c r="X22" s="32"/>
      <c r="Y22" s="32"/>
      <c r="Z22" s="32"/>
      <c r="AA22" s="32"/>
      <c r="AB22" s="32"/>
      <c r="AC22" s="32"/>
      <c r="AD22" s="32"/>
      <c r="AE22" s="32"/>
    </row>
    <row r="23" spans="1:31" s="2" customFormat="1" ht="18" customHeight="1">
      <c r="A23" s="32"/>
      <c r="B23" s="37"/>
      <c r="C23" s="32"/>
      <c r="D23" s="32"/>
      <c r="E23" s="101" t="s">
        <v>31</v>
      </c>
      <c r="F23" s="32"/>
      <c r="G23" s="32"/>
      <c r="H23" s="32"/>
      <c r="I23" s="110" t="s">
        <v>27</v>
      </c>
      <c r="J23" s="101" t="s">
        <v>19</v>
      </c>
      <c r="K23" s="32"/>
      <c r="L23" s="111"/>
      <c r="S23" s="32"/>
      <c r="T23" s="32"/>
      <c r="U23" s="32"/>
      <c r="V23" s="32"/>
      <c r="W23" s="32"/>
      <c r="X23" s="32"/>
      <c r="Y23" s="32"/>
      <c r="Z23" s="32"/>
      <c r="AA23" s="32"/>
      <c r="AB23" s="32"/>
      <c r="AC23" s="32"/>
      <c r="AD23" s="32"/>
      <c r="AE23" s="32"/>
    </row>
    <row r="24" spans="1:31" s="2" customFormat="1" ht="6.95" customHeight="1">
      <c r="A24" s="32"/>
      <c r="B24" s="37"/>
      <c r="C24" s="32"/>
      <c r="D24" s="32"/>
      <c r="E24" s="32"/>
      <c r="F24" s="32"/>
      <c r="G24" s="32"/>
      <c r="H24" s="32"/>
      <c r="I24" s="32"/>
      <c r="J24" s="32"/>
      <c r="K24" s="32"/>
      <c r="L24" s="111"/>
      <c r="S24" s="32"/>
      <c r="T24" s="32"/>
      <c r="U24" s="32"/>
      <c r="V24" s="32"/>
      <c r="W24" s="32"/>
      <c r="X24" s="32"/>
      <c r="Y24" s="32"/>
      <c r="Z24" s="32"/>
      <c r="AA24" s="32"/>
      <c r="AB24" s="32"/>
      <c r="AC24" s="32"/>
      <c r="AD24" s="32"/>
      <c r="AE24" s="32"/>
    </row>
    <row r="25" spans="1:31" s="2" customFormat="1" ht="12" customHeight="1">
      <c r="A25" s="32"/>
      <c r="B25" s="37"/>
      <c r="C25" s="32"/>
      <c r="D25" s="110" t="s">
        <v>33</v>
      </c>
      <c r="E25" s="32"/>
      <c r="F25" s="32"/>
      <c r="G25" s="32"/>
      <c r="H25" s="32"/>
      <c r="I25" s="110" t="s">
        <v>25</v>
      </c>
      <c r="J25" s="101" t="s">
        <v>19</v>
      </c>
      <c r="K25" s="32"/>
      <c r="L25" s="111"/>
      <c r="S25" s="32"/>
      <c r="T25" s="32"/>
      <c r="U25" s="32"/>
      <c r="V25" s="32"/>
      <c r="W25" s="32"/>
      <c r="X25" s="32"/>
      <c r="Y25" s="32"/>
      <c r="Z25" s="32"/>
      <c r="AA25" s="32"/>
      <c r="AB25" s="32"/>
      <c r="AC25" s="32"/>
      <c r="AD25" s="32"/>
      <c r="AE25" s="32"/>
    </row>
    <row r="26" spans="1:31" s="2" customFormat="1" ht="18" customHeight="1">
      <c r="A26" s="32"/>
      <c r="B26" s="37"/>
      <c r="C26" s="32"/>
      <c r="D26" s="32"/>
      <c r="E26" s="101" t="s">
        <v>31</v>
      </c>
      <c r="F26" s="32"/>
      <c r="G26" s="32"/>
      <c r="H26" s="32"/>
      <c r="I26" s="110" t="s">
        <v>27</v>
      </c>
      <c r="J26" s="101" t="s">
        <v>19</v>
      </c>
      <c r="K26" s="32"/>
      <c r="L26" s="111"/>
      <c r="S26" s="32"/>
      <c r="T26" s="32"/>
      <c r="U26" s="32"/>
      <c r="V26" s="32"/>
      <c r="W26" s="32"/>
      <c r="X26" s="32"/>
      <c r="Y26" s="32"/>
      <c r="Z26" s="32"/>
      <c r="AA26" s="32"/>
      <c r="AB26" s="32"/>
      <c r="AC26" s="32"/>
      <c r="AD26" s="32"/>
      <c r="AE26" s="32"/>
    </row>
    <row r="27" spans="1:31" s="2" customFormat="1" ht="6.95" customHeight="1">
      <c r="A27" s="32"/>
      <c r="B27" s="37"/>
      <c r="C27" s="32"/>
      <c r="D27" s="32"/>
      <c r="E27" s="32"/>
      <c r="F27" s="32"/>
      <c r="G27" s="32"/>
      <c r="H27" s="32"/>
      <c r="I27" s="32"/>
      <c r="J27" s="32"/>
      <c r="K27" s="32"/>
      <c r="L27" s="111"/>
      <c r="S27" s="32"/>
      <c r="T27" s="32"/>
      <c r="U27" s="32"/>
      <c r="V27" s="32"/>
      <c r="W27" s="32"/>
      <c r="X27" s="32"/>
      <c r="Y27" s="32"/>
      <c r="Z27" s="32"/>
      <c r="AA27" s="32"/>
      <c r="AB27" s="32"/>
      <c r="AC27" s="32"/>
      <c r="AD27" s="32"/>
      <c r="AE27" s="32"/>
    </row>
    <row r="28" spans="1:31" s="2" customFormat="1" ht="12" customHeight="1">
      <c r="A28" s="32"/>
      <c r="B28" s="37"/>
      <c r="C28" s="32"/>
      <c r="D28" s="110" t="s">
        <v>34</v>
      </c>
      <c r="E28" s="32"/>
      <c r="F28" s="32"/>
      <c r="G28" s="32"/>
      <c r="H28" s="32"/>
      <c r="I28" s="32"/>
      <c r="J28" s="32"/>
      <c r="K28" s="32"/>
      <c r="L28" s="111"/>
      <c r="S28" s="32"/>
      <c r="T28" s="32"/>
      <c r="U28" s="32"/>
      <c r="V28" s="32"/>
      <c r="W28" s="32"/>
      <c r="X28" s="32"/>
      <c r="Y28" s="32"/>
      <c r="Z28" s="32"/>
      <c r="AA28" s="32"/>
      <c r="AB28" s="32"/>
      <c r="AC28" s="32"/>
      <c r="AD28" s="32"/>
      <c r="AE28" s="32"/>
    </row>
    <row r="29" spans="1:31" s="8" customFormat="1" ht="14.45" customHeight="1">
      <c r="A29" s="113"/>
      <c r="B29" s="114"/>
      <c r="C29" s="113"/>
      <c r="D29" s="113"/>
      <c r="E29" s="708" t="s">
        <v>19</v>
      </c>
      <c r="F29" s="708"/>
      <c r="G29" s="708"/>
      <c r="H29" s="708"/>
      <c r="I29" s="113"/>
      <c r="J29" s="113"/>
      <c r="K29" s="113"/>
      <c r="L29" s="115"/>
      <c r="S29" s="113"/>
      <c r="T29" s="113"/>
      <c r="U29" s="113"/>
      <c r="V29" s="113"/>
      <c r="W29" s="113"/>
      <c r="X29" s="113"/>
      <c r="Y29" s="113"/>
      <c r="Z29" s="113"/>
      <c r="AA29" s="113"/>
      <c r="AB29" s="113"/>
      <c r="AC29" s="113"/>
      <c r="AD29" s="113"/>
      <c r="AE29" s="113"/>
    </row>
    <row r="30" spans="1:31" s="2" customFormat="1" ht="6.95" customHeight="1">
      <c r="A30" s="32"/>
      <c r="B30" s="37"/>
      <c r="C30" s="32"/>
      <c r="D30" s="32"/>
      <c r="E30" s="32"/>
      <c r="F30" s="32"/>
      <c r="G30" s="32"/>
      <c r="H30" s="32"/>
      <c r="I30" s="32"/>
      <c r="J30" s="32"/>
      <c r="K30" s="32"/>
      <c r="L30" s="111"/>
      <c r="S30" s="32"/>
      <c r="T30" s="32"/>
      <c r="U30" s="32"/>
      <c r="V30" s="32"/>
      <c r="W30" s="32"/>
      <c r="X30" s="32"/>
      <c r="Y30" s="32"/>
      <c r="Z30" s="32"/>
      <c r="AA30" s="32"/>
      <c r="AB30" s="32"/>
      <c r="AC30" s="32"/>
      <c r="AD30" s="32"/>
      <c r="AE30" s="32"/>
    </row>
    <row r="31" spans="1:31" s="2" customFormat="1" ht="6.95" customHeight="1">
      <c r="A31" s="32"/>
      <c r="B31" s="37"/>
      <c r="C31" s="32"/>
      <c r="D31" s="116"/>
      <c r="E31" s="116"/>
      <c r="F31" s="116"/>
      <c r="G31" s="116"/>
      <c r="H31" s="116"/>
      <c r="I31" s="116"/>
      <c r="J31" s="116"/>
      <c r="K31" s="116"/>
      <c r="L31" s="111"/>
      <c r="S31" s="32"/>
      <c r="T31" s="32"/>
      <c r="U31" s="32"/>
      <c r="V31" s="32"/>
      <c r="W31" s="32"/>
      <c r="X31" s="32"/>
      <c r="Y31" s="32"/>
      <c r="Z31" s="32"/>
      <c r="AA31" s="32"/>
      <c r="AB31" s="32"/>
      <c r="AC31" s="32"/>
      <c r="AD31" s="32"/>
      <c r="AE31" s="32"/>
    </row>
    <row r="32" spans="1:31" s="2" customFormat="1" ht="25.35" customHeight="1">
      <c r="A32" s="32"/>
      <c r="B32" s="37"/>
      <c r="C32" s="32"/>
      <c r="D32" s="117" t="s">
        <v>36</v>
      </c>
      <c r="E32" s="32"/>
      <c r="F32" s="32"/>
      <c r="G32" s="32"/>
      <c r="H32" s="32"/>
      <c r="I32" s="32"/>
      <c r="J32" s="118">
        <f>ROUND(J87,2)</f>
        <v>0</v>
      </c>
      <c r="K32" s="32"/>
      <c r="L32" s="111"/>
      <c r="S32" s="32"/>
      <c r="T32" s="32"/>
      <c r="U32" s="32"/>
      <c r="V32" s="32"/>
      <c r="W32" s="32"/>
      <c r="X32" s="32"/>
      <c r="Y32" s="32"/>
      <c r="Z32" s="32"/>
      <c r="AA32" s="32"/>
      <c r="AB32" s="32"/>
      <c r="AC32" s="32"/>
      <c r="AD32" s="32"/>
      <c r="AE32" s="32"/>
    </row>
    <row r="33" spans="1:31" s="2" customFormat="1" ht="6.95" customHeight="1">
      <c r="A33" s="32"/>
      <c r="B33" s="37"/>
      <c r="C33" s="32"/>
      <c r="D33" s="116"/>
      <c r="E33" s="116"/>
      <c r="F33" s="116"/>
      <c r="G33" s="116"/>
      <c r="H33" s="116"/>
      <c r="I33" s="116"/>
      <c r="J33" s="116"/>
      <c r="K33" s="116"/>
      <c r="L33" s="111"/>
      <c r="S33" s="32"/>
      <c r="T33" s="32"/>
      <c r="U33" s="32"/>
      <c r="V33" s="32"/>
      <c r="W33" s="32"/>
      <c r="X33" s="32"/>
      <c r="Y33" s="32"/>
      <c r="Z33" s="32"/>
      <c r="AA33" s="32"/>
      <c r="AB33" s="32"/>
      <c r="AC33" s="32"/>
      <c r="AD33" s="32"/>
      <c r="AE33" s="32"/>
    </row>
    <row r="34" spans="1:31" s="2" customFormat="1" ht="14.45" customHeight="1">
      <c r="A34" s="32"/>
      <c r="B34" s="37"/>
      <c r="C34" s="32"/>
      <c r="D34" s="32"/>
      <c r="E34" s="32"/>
      <c r="F34" s="119" t="s">
        <v>38</v>
      </c>
      <c r="G34" s="32"/>
      <c r="H34" s="32"/>
      <c r="I34" s="119" t="s">
        <v>37</v>
      </c>
      <c r="J34" s="119" t="s">
        <v>39</v>
      </c>
      <c r="K34" s="32"/>
      <c r="L34" s="111"/>
      <c r="S34" s="32"/>
      <c r="T34" s="32"/>
      <c r="U34" s="32"/>
      <c r="V34" s="32"/>
      <c r="W34" s="32"/>
      <c r="X34" s="32"/>
      <c r="Y34" s="32"/>
      <c r="Z34" s="32"/>
      <c r="AA34" s="32"/>
      <c r="AB34" s="32"/>
      <c r="AC34" s="32"/>
      <c r="AD34" s="32"/>
      <c r="AE34" s="32"/>
    </row>
    <row r="35" spans="1:31" s="2" customFormat="1" ht="14.45" customHeight="1">
      <c r="A35" s="32"/>
      <c r="B35" s="37"/>
      <c r="C35" s="32"/>
      <c r="D35" s="120" t="s">
        <v>40</v>
      </c>
      <c r="E35" s="110" t="s">
        <v>41</v>
      </c>
      <c r="F35" s="121">
        <f>ROUND((SUM(BE87:BE90)),2)</f>
        <v>0</v>
      </c>
      <c r="G35" s="32"/>
      <c r="H35" s="32"/>
      <c r="I35" s="122">
        <v>0.21</v>
      </c>
      <c r="J35" s="121">
        <f>ROUND(((SUM(BE87:BE90))*I35),2)</f>
        <v>0</v>
      </c>
      <c r="K35" s="32"/>
      <c r="L35" s="111"/>
      <c r="S35" s="32"/>
      <c r="T35" s="32"/>
      <c r="U35" s="32"/>
      <c r="V35" s="32"/>
      <c r="W35" s="32"/>
      <c r="X35" s="32"/>
      <c r="Y35" s="32"/>
      <c r="Z35" s="32"/>
      <c r="AA35" s="32"/>
      <c r="AB35" s="32"/>
      <c r="AC35" s="32"/>
      <c r="AD35" s="32"/>
      <c r="AE35" s="32"/>
    </row>
    <row r="36" spans="1:31" s="2" customFormat="1" ht="14.45" customHeight="1">
      <c r="A36" s="32"/>
      <c r="B36" s="37"/>
      <c r="C36" s="32"/>
      <c r="D36" s="32"/>
      <c r="E36" s="110" t="s">
        <v>42</v>
      </c>
      <c r="F36" s="121">
        <f>ROUND((SUM(BF87:BF90)),2)</f>
        <v>0</v>
      </c>
      <c r="G36" s="32"/>
      <c r="H36" s="32"/>
      <c r="I36" s="122">
        <v>0.15</v>
      </c>
      <c r="J36" s="121">
        <f>ROUND(((SUM(BF87:BF90))*I36),2)</f>
        <v>0</v>
      </c>
      <c r="K36" s="32"/>
      <c r="L36" s="111"/>
      <c r="S36" s="32"/>
      <c r="T36" s="32"/>
      <c r="U36" s="32"/>
      <c r="V36" s="32"/>
      <c r="W36" s="32"/>
      <c r="X36" s="32"/>
      <c r="Y36" s="32"/>
      <c r="Z36" s="32"/>
      <c r="AA36" s="32"/>
      <c r="AB36" s="32"/>
      <c r="AC36" s="32"/>
      <c r="AD36" s="32"/>
      <c r="AE36" s="32"/>
    </row>
    <row r="37" spans="1:31" s="2" customFormat="1" ht="14.45" customHeight="1" hidden="1">
      <c r="A37" s="32"/>
      <c r="B37" s="37"/>
      <c r="C37" s="32"/>
      <c r="D37" s="32"/>
      <c r="E37" s="110" t="s">
        <v>43</v>
      </c>
      <c r="F37" s="121">
        <f>ROUND((SUM(BG87:BG90)),2)</f>
        <v>0</v>
      </c>
      <c r="G37" s="32"/>
      <c r="H37" s="32"/>
      <c r="I37" s="122">
        <v>0.21</v>
      </c>
      <c r="J37" s="121">
        <f>0</f>
        <v>0</v>
      </c>
      <c r="K37" s="32"/>
      <c r="L37" s="111"/>
      <c r="S37" s="32"/>
      <c r="T37" s="32"/>
      <c r="U37" s="32"/>
      <c r="V37" s="32"/>
      <c r="W37" s="32"/>
      <c r="X37" s="32"/>
      <c r="Y37" s="32"/>
      <c r="Z37" s="32"/>
      <c r="AA37" s="32"/>
      <c r="AB37" s="32"/>
      <c r="AC37" s="32"/>
      <c r="AD37" s="32"/>
      <c r="AE37" s="32"/>
    </row>
    <row r="38" spans="1:31" s="2" customFormat="1" ht="14.45" customHeight="1" hidden="1">
      <c r="A38" s="32"/>
      <c r="B38" s="37"/>
      <c r="C38" s="32"/>
      <c r="D38" s="32"/>
      <c r="E38" s="110" t="s">
        <v>44</v>
      </c>
      <c r="F38" s="121">
        <f>ROUND((SUM(BH87:BH90)),2)</f>
        <v>0</v>
      </c>
      <c r="G38" s="32"/>
      <c r="H38" s="32"/>
      <c r="I38" s="122">
        <v>0.15</v>
      </c>
      <c r="J38" s="121">
        <f>0</f>
        <v>0</v>
      </c>
      <c r="K38" s="32"/>
      <c r="L38" s="111"/>
      <c r="S38" s="32"/>
      <c r="T38" s="32"/>
      <c r="U38" s="32"/>
      <c r="V38" s="32"/>
      <c r="W38" s="32"/>
      <c r="X38" s="32"/>
      <c r="Y38" s="32"/>
      <c r="Z38" s="32"/>
      <c r="AA38" s="32"/>
      <c r="AB38" s="32"/>
      <c r="AC38" s="32"/>
      <c r="AD38" s="32"/>
      <c r="AE38" s="32"/>
    </row>
    <row r="39" spans="1:31" s="2" customFormat="1" ht="14.45" customHeight="1" hidden="1">
      <c r="A39" s="32"/>
      <c r="B39" s="37"/>
      <c r="C39" s="32"/>
      <c r="D39" s="32"/>
      <c r="E39" s="110" t="s">
        <v>45</v>
      </c>
      <c r="F39" s="121">
        <f>ROUND((SUM(BI87:BI90)),2)</f>
        <v>0</v>
      </c>
      <c r="G39" s="32"/>
      <c r="H39" s="32"/>
      <c r="I39" s="122">
        <v>0</v>
      </c>
      <c r="J39" s="121">
        <f>0</f>
        <v>0</v>
      </c>
      <c r="K39" s="32"/>
      <c r="L39" s="111"/>
      <c r="S39" s="32"/>
      <c r="T39" s="32"/>
      <c r="U39" s="32"/>
      <c r="V39" s="32"/>
      <c r="W39" s="32"/>
      <c r="X39" s="32"/>
      <c r="Y39" s="32"/>
      <c r="Z39" s="32"/>
      <c r="AA39" s="32"/>
      <c r="AB39" s="32"/>
      <c r="AC39" s="32"/>
      <c r="AD39" s="32"/>
      <c r="AE39" s="32"/>
    </row>
    <row r="40" spans="1:31" s="2" customFormat="1" ht="6.95" customHeight="1">
      <c r="A40" s="32"/>
      <c r="B40" s="37"/>
      <c r="C40" s="32"/>
      <c r="D40" s="32"/>
      <c r="E40" s="32"/>
      <c r="F40" s="32"/>
      <c r="G40" s="32"/>
      <c r="H40" s="32"/>
      <c r="I40" s="32"/>
      <c r="J40" s="32"/>
      <c r="K40" s="32"/>
      <c r="L40" s="111"/>
      <c r="S40" s="32"/>
      <c r="T40" s="32"/>
      <c r="U40" s="32"/>
      <c r="V40" s="32"/>
      <c r="W40" s="32"/>
      <c r="X40" s="32"/>
      <c r="Y40" s="32"/>
      <c r="Z40" s="32"/>
      <c r="AA40" s="32"/>
      <c r="AB40" s="32"/>
      <c r="AC40" s="32"/>
      <c r="AD40" s="32"/>
      <c r="AE40" s="32"/>
    </row>
    <row r="41" spans="1:31" s="2" customFormat="1" ht="25.35" customHeight="1">
      <c r="A41" s="32"/>
      <c r="B41" s="37"/>
      <c r="C41" s="123"/>
      <c r="D41" s="124" t="s">
        <v>46</v>
      </c>
      <c r="E41" s="125"/>
      <c r="F41" s="125"/>
      <c r="G41" s="126" t="s">
        <v>47</v>
      </c>
      <c r="H41" s="127" t="s">
        <v>48</v>
      </c>
      <c r="I41" s="125"/>
      <c r="J41" s="128">
        <f>SUM(J32:J39)</f>
        <v>0</v>
      </c>
      <c r="K41" s="129"/>
      <c r="L41" s="111"/>
      <c r="S41" s="32"/>
      <c r="T41" s="32"/>
      <c r="U41" s="32"/>
      <c r="V41" s="32"/>
      <c r="W41" s="32"/>
      <c r="X41" s="32"/>
      <c r="Y41" s="32"/>
      <c r="Z41" s="32"/>
      <c r="AA41" s="32"/>
      <c r="AB41" s="32"/>
      <c r="AC41" s="32"/>
      <c r="AD41" s="32"/>
      <c r="AE41" s="32"/>
    </row>
    <row r="42" spans="1:31" s="2" customFormat="1" ht="14.45" customHeight="1">
      <c r="A42" s="32"/>
      <c r="B42" s="130"/>
      <c r="C42" s="131"/>
      <c r="D42" s="131"/>
      <c r="E42" s="131"/>
      <c r="F42" s="131"/>
      <c r="G42" s="131"/>
      <c r="H42" s="131"/>
      <c r="I42" s="131"/>
      <c r="J42" s="131"/>
      <c r="K42" s="131"/>
      <c r="L42" s="111"/>
      <c r="S42" s="32"/>
      <c r="T42" s="32"/>
      <c r="U42" s="32"/>
      <c r="V42" s="32"/>
      <c r="W42" s="32"/>
      <c r="X42" s="32"/>
      <c r="Y42" s="32"/>
      <c r="Z42" s="32"/>
      <c r="AA42" s="32"/>
      <c r="AB42" s="32"/>
      <c r="AC42" s="32"/>
      <c r="AD42" s="32"/>
      <c r="AE42" s="32"/>
    </row>
    <row r="46" spans="1:31" s="2" customFormat="1" ht="6.95" customHeight="1">
      <c r="A46" s="32"/>
      <c r="B46" s="132"/>
      <c r="C46" s="133"/>
      <c r="D46" s="133"/>
      <c r="E46" s="133"/>
      <c r="F46" s="133"/>
      <c r="G46" s="133"/>
      <c r="H46" s="133"/>
      <c r="I46" s="133"/>
      <c r="J46" s="133"/>
      <c r="K46" s="133"/>
      <c r="L46" s="111"/>
      <c r="S46" s="32"/>
      <c r="T46" s="32"/>
      <c r="U46" s="32"/>
      <c r="V46" s="32"/>
      <c r="W46" s="32"/>
      <c r="X46" s="32"/>
      <c r="Y46" s="32"/>
      <c r="Z46" s="32"/>
      <c r="AA46" s="32"/>
      <c r="AB46" s="32"/>
      <c r="AC46" s="32"/>
      <c r="AD46" s="32"/>
      <c r="AE46" s="32"/>
    </row>
    <row r="47" spans="1:31" s="2" customFormat="1" ht="24.95" customHeight="1">
      <c r="A47" s="32"/>
      <c r="B47" s="33"/>
      <c r="C47" s="21" t="s">
        <v>147</v>
      </c>
      <c r="D47" s="34"/>
      <c r="E47" s="34"/>
      <c r="F47" s="34"/>
      <c r="G47" s="34"/>
      <c r="H47" s="34"/>
      <c r="I47" s="34"/>
      <c r="J47" s="34"/>
      <c r="K47" s="34"/>
      <c r="L47" s="111"/>
      <c r="S47" s="32"/>
      <c r="T47" s="32"/>
      <c r="U47" s="32"/>
      <c r="V47" s="32"/>
      <c r="W47" s="32"/>
      <c r="X47" s="32"/>
      <c r="Y47" s="32"/>
      <c r="Z47" s="32"/>
      <c r="AA47" s="32"/>
      <c r="AB47" s="32"/>
      <c r="AC47" s="32"/>
      <c r="AD47" s="32"/>
      <c r="AE47" s="32"/>
    </row>
    <row r="48" spans="1:31" s="2" customFormat="1" ht="6.95" customHeight="1">
      <c r="A48" s="32"/>
      <c r="B48" s="33"/>
      <c r="C48" s="34"/>
      <c r="D48" s="34"/>
      <c r="E48" s="34"/>
      <c r="F48" s="34"/>
      <c r="G48" s="34"/>
      <c r="H48" s="34"/>
      <c r="I48" s="34"/>
      <c r="J48" s="34"/>
      <c r="K48" s="34"/>
      <c r="L48" s="111"/>
      <c r="S48" s="32"/>
      <c r="T48" s="32"/>
      <c r="U48" s="32"/>
      <c r="V48" s="32"/>
      <c r="W48" s="32"/>
      <c r="X48" s="32"/>
      <c r="Y48" s="32"/>
      <c r="Z48" s="32"/>
      <c r="AA48" s="32"/>
      <c r="AB48" s="32"/>
      <c r="AC48" s="32"/>
      <c r="AD48" s="32"/>
      <c r="AE48" s="32"/>
    </row>
    <row r="49" spans="1:31" s="2" customFormat="1" ht="12" customHeight="1">
      <c r="A49" s="32"/>
      <c r="B49" s="33"/>
      <c r="C49" s="27" t="s">
        <v>16</v>
      </c>
      <c r="D49" s="34"/>
      <c r="E49" s="34"/>
      <c r="F49" s="34"/>
      <c r="G49" s="34"/>
      <c r="H49" s="34"/>
      <c r="I49" s="34"/>
      <c r="J49" s="34"/>
      <c r="K49" s="34"/>
      <c r="L49" s="111"/>
      <c r="S49" s="32"/>
      <c r="T49" s="32"/>
      <c r="U49" s="32"/>
      <c r="V49" s="32"/>
      <c r="W49" s="32"/>
      <c r="X49" s="32"/>
      <c r="Y49" s="32"/>
      <c r="Z49" s="32"/>
      <c r="AA49" s="32"/>
      <c r="AB49" s="32"/>
      <c r="AC49" s="32"/>
      <c r="AD49" s="32"/>
      <c r="AE49" s="32"/>
    </row>
    <row r="50" spans="1:31" s="2" customFormat="1" ht="14.45" customHeight="1">
      <c r="A50" s="32"/>
      <c r="B50" s="33"/>
      <c r="C50" s="34"/>
      <c r="D50" s="34"/>
      <c r="E50" s="700" t="str">
        <f>E7</f>
        <v>Úpravy gastroprovozu Úřadu vlády ČR v 1.pp Strakovy akademie</v>
      </c>
      <c r="F50" s="701"/>
      <c r="G50" s="701"/>
      <c r="H50" s="701"/>
      <c r="I50" s="34"/>
      <c r="J50" s="34"/>
      <c r="K50" s="34"/>
      <c r="L50" s="111"/>
      <c r="S50" s="32"/>
      <c r="T50" s="32"/>
      <c r="U50" s="32"/>
      <c r="V50" s="32"/>
      <c r="W50" s="32"/>
      <c r="X50" s="32"/>
      <c r="Y50" s="32"/>
      <c r="Z50" s="32"/>
      <c r="AA50" s="32"/>
      <c r="AB50" s="32"/>
      <c r="AC50" s="32"/>
      <c r="AD50" s="32"/>
      <c r="AE50" s="32"/>
    </row>
    <row r="51" spans="2:12" s="1" customFormat="1" ht="12" customHeight="1">
      <c r="B51" s="19"/>
      <c r="C51" s="27" t="s">
        <v>142</v>
      </c>
      <c r="D51" s="20"/>
      <c r="E51" s="20"/>
      <c r="F51" s="20"/>
      <c r="G51" s="20"/>
      <c r="H51" s="20"/>
      <c r="I51" s="20"/>
      <c r="J51" s="20"/>
      <c r="K51" s="20"/>
      <c r="L51" s="18"/>
    </row>
    <row r="52" spans="1:31" s="2" customFormat="1" ht="14.45" customHeight="1">
      <c r="A52" s="32"/>
      <c r="B52" s="33"/>
      <c r="C52" s="34"/>
      <c r="D52" s="34"/>
      <c r="E52" s="700" t="s">
        <v>1429</v>
      </c>
      <c r="F52" s="699"/>
      <c r="G52" s="699"/>
      <c r="H52" s="699"/>
      <c r="I52" s="34"/>
      <c r="J52" s="34"/>
      <c r="K52" s="34"/>
      <c r="L52" s="111"/>
      <c r="S52" s="32"/>
      <c r="T52" s="32"/>
      <c r="U52" s="32"/>
      <c r="V52" s="32"/>
      <c r="W52" s="32"/>
      <c r="X52" s="32"/>
      <c r="Y52" s="32"/>
      <c r="Z52" s="32"/>
      <c r="AA52" s="32"/>
      <c r="AB52" s="32"/>
      <c r="AC52" s="32"/>
      <c r="AD52" s="32"/>
      <c r="AE52" s="32"/>
    </row>
    <row r="53" spans="1:31" s="2" customFormat="1" ht="12" customHeight="1">
      <c r="A53" s="32"/>
      <c r="B53" s="33"/>
      <c r="C53" s="27" t="s">
        <v>144</v>
      </c>
      <c r="D53" s="34"/>
      <c r="E53" s="34"/>
      <c r="F53" s="34"/>
      <c r="G53" s="34"/>
      <c r="H53" s="34"/>
      <c r="I53" s="34"/>
      <c r="J53" s="34"/>
      <c r="K53" s="34"/>
      <c r="L53" s="111"/>
      <c r="S53" s="32"/>
      <c r="T53" s="32"/>
      <c r="U53" s="32"/>
      <c r="V53" s="32"/>
      <c r="W53" s="32"/>
      <c r="X53" s="32"/>
      <c r="Y53" s="32"/>
      <c r="Z53" s="32"/>
      <c r="AA53" s="32"/>
      <c r="AB53" s="32"/>
      <c r="AC53" s="32"/>
      <c r="AD53" s="32"/>
      <c r="AE53" s="32"/>
    </row>
    <row r="54" spans="1:31" s="2" customFormat="1" ht="14.45" customHeight="1">
      <c r="A54" s="32"/>
      <c r="B54" s="33"/>
      <c r="C54" s="34"/>
      <c r="D54" s="34"/>
      <c r="E54" s="696" t="str">
        <f>E11</f>
        <v>D.1.4.07 - Soupis prací - Servis</v>
      </c>
      <c r="F54" s="699"/>
      <c r="G54" s="699"/>
      <c r="H54" s="699"/>
      <c r="I54" s="34"/>
      <c r="J54" s="34"/>
      <c r="K54" s="34"/>
      <c r="L54" s="111"/>
      <c r="S54" s="32"/>
      <c r="T54" s="32"/>
      <c r="U54" s="32"/>
      <c r="V54" s="32"/>
      <c r="W54" s="32"/>
      <c r="X54" s="32"/>
      <c r="Y54" s="32"/>
      <c r="Z54" s="32"/>
      <c r="AA54" s="32"/>
      <c r="AB54" s="32"/>
      <c r="AC54" s="32"/>
      <c r="AD54" s="32"/>
      <c r="AE54" s="32"/>
    </row>
    <row r="55" spans="1:31" s="2" customFormat="1" ht="6.95" customHeight="1">
      <c r="A55" s="32"/>
      <c r="B55" s="33"/>
      <c r="C55" s="34"/>
      <c r="D55" s="34"/>
      <c r="E55" s="34"/>
      <c r="F55" s="34"/>
      <c r="G55" s="34"/>
      <c r="H55" s="34"/>
      <c r="I55" s="34"/>
      <c r="J55" s="34"/>
      <c r="K55" s="34"/>
      <c r="L55" s="111"/>
      <c r="S55" s="32"/>
      <c r="T55" s="32"/>
      <c r="U55" s="32"/>
      <c r="V55" s="32"/>
      <c r="W55" s="32"/>
      <c r="X55" s="32"/>
      <c r="Y55" s="32"/>
      <c r="Z55" s="32"/>
      <c r="AA55" s="32"/>
      <c r="AB55" s="32"/>
      <c r="AC55" s="32"/>
      <c r="AD55" s="32"/>
      <c r="AE55" s="32"/>
    </row>
    <row r="56" spans="1:31" s="2" customFormat="1" ht="12" customHeight="1">
      <c r="A56" s="32"/>
      <c r="B56" s="33"/>
      <c r="C56" s="27" t="s">
        <v>21</v>
      </c>
      <c r="D56" s="34"/>
      <c r="E56" s="34"/>
      <c r="F56" s="25" t="str">
        <f>F14</f>
        <v xml:space="preserve"> </v>
      </c>
      <c r="G56" s="34"/>
      <c r="H56" s="34"/>
      <c r="I56" s="27" t="s">
        <v>23</v>
      </c>
      <c r="J56" s="57" t="str">
        <f>IF(J14="","",J14)</f>
        <v>Vyplň údaj</v>
      </c>
      <c r="K56" s="34"/>
      <c r="L56" s="111"/>
      <c r="S56" s="32"/>
      <c r="T56" s="32"/>
      <c r="U56" s="32"/>
      <c r="V56" s="32"/>
      <c r="W56" s="32"/>
      <c r="X56" s="32"/>
      <c r="Y56" s="32"/>
      <c r="Z56" s="32"/>
      <c r="AA56" s="32"/>
      <c r="AB56" s="32"/>
      <c r="AC56" s="32"/>
      <c r="AD56" s="32"/>
      <c r="AE56" s="32"/>
    </row>
    <row r="57" spans="1:31" s="2" customFormat="1" ht="6.95" customHeight="1">
      <c r="A57" s="32"/>
      <c r="B57" s="33"/>
      <c r="C57" s="34"/>
      <c r="D57" s="34"/>
      <c r="E57" s="34"/>
      <c r="F57" s="34"/>
      <c r="G57" s="34"/>
      <c r="H57" s="34"/>
      <c r="I57" s="34"/>
      <c r="J57" s="34"/>
      <c r="K57" s="34"/>
      <c r="L57" s="111"/>
      <c r="S57" s="32"/>
      <c r="T57" s="32"/>
      <c r="U57" s="32"/>
      <c r="V57" s="32"/>
      <c r="W57" s="32"/>
      <c r="X57" s="32"/>
      <c r="Y57" s="32"/>
      <c r="Z57" s="32"/>
      <c r="AA57" s="32"/>
      <c r="AB57" s="32"/>
      <c r="AC57" s="32"/>
      <c r="AD57" s="32"/>
      <c r="AE57" s="32"/>
    </row>
    <row r="58" spans="1:31" s="2" customFormat="1" ht="26.45" customHeight="1">
      <c r="A58" s="32"/>
      <c r="B58" s="33"/>
      <c r="C58" s="27" t="s">
        <v>24</v>
      </c>
      <c r="D58" s="34"/>
      <c r="E58" s="34"/>
      <c r="F58" s="25" t="str">
        <f>E17</f>
        <v xml:space="preserve">Úřad vlády České republiky </v>
      </c>
      <c r="G58" s="34"/>
      <c r="H58" s="34"/>
      <c r="I58" s="27" t="s">
        <v>30</v>
      </c>
      <c r="J58" s="30" t="str">
        <f>E23</f>
        <v>Ateliér Simona Group</v>
      </c>
      <c r="K58" s="34"/>
      <c r="L58" s="111"/>
      <c r="S58" s="32"/>
      <c r="T58" s="32"/>
      <c r="U58" s="32"/>
      <c r="V58" s="32"/>
      <c r="W58" s="32"/>
      <c r="X58" s="32"/>
      <c r="Y58" s="32"/>
      <c r="Z58" s="32"/>
      <c r="AA58" s="32"/>
      <c r="AB58" s="32"/>
      <c r="AC58" s="32"/>
      <c r="AD58" s="32"/>
      <c r="AE58" s="32"/>
    </row>
    <row r="59" spans="1:31" s="2" customFormat="1" ht="26.45" customHeight="1">
      <c r="A59" s="32"/>
      <c r="B59" s="33"/>
      <c r="C59" s="27" t="s">
        <v>28</v>
      </c>
      <c r="D59" s="34"/>
      <c r="E59" s="34"/>
      <c r="F59" s="25" t="str">
        <f>IF(E20="","",E20)</f>
        <v>Vyplň údaj</v>
      </c>
      <c r="G59" s="34"/>
      <c r="H59" s="34"/>
      <c r="I59" s="27" t="s">
        <v>33</v>
      </c>
      <c r="J59" s="30" t="str">
        <f>E26</f>
        <v>Ateliér Simona Group</v>
      </c>
      <c r="K59" s="34"/>
      <c r="L59" s="111"/>
      <c r="S59" s="32"/>
      <c r="T59" s="32"/>
      <c r="U59" s="32"/>
      <c r="V59" s="32"/>
      <c r="W59" s="32"/>
      <c r="X59" s="32"/>
      <c r="Y59" s="32"/>
      <c r="Z59" s="32"/>
      <c r="AA59" s="32"/>
      <c r="AB59" s="32"/>
      <c r="AC59" s="32"/>
      <c r="AD59" s="32"/>
      <c r="AE59" s="32"/>
    </row>
    <row r="60" spans="1:31" s="2" customFormat="1" ht="10.35" customHeight="1">
      <c r="A60" s="32"/>
      <c r="B60" s="33"/>
      <c r="C60" s="34"/>
      <c r="D60" s="34"/>
      <c r="E60" s="34"/>
      <c r="F60" s="34"/>
      <c r="G60" s="34"/>
      <c r="H60" s="34"/>
      <c r="I60" s="34"/>
      <c r="J60" s="34"/>
      <c r="K60" s="34"/>
      <c r="L60" s="111"/>
      <c r="S60" s="32"/>
      <c r="T60" s="32"/>
      <c r="U60" s="32"/>
      <c r="V60" s="32"/>
      <c r="W60" s="32"/>
      <c r="X60" s="32"/>
      <c r="Y60" s="32"/>
      <c r="Z60" s="32"/>
      <c r="AA60" s="32"/>
      <c r="AB60" s="32"/>
      <c r="AC60" s="32"/>
      <c r="AD60" s="32"/>
      <c r="AE60" s="32"/>
    </row>
    <row r="61" spans="1:31" s="2" customFormat="1" ht="29.25" customHeight="1">
      <c r="A61" s="32"/>
      <c r="B61" s="33"/>
      <c r="C61" s="134" t="s">
        <v>148</v>
      </c>
      <c r="D61" s="135"/>
      <c r="E61" s="135"/>
      <c r="F61" s="135"/>
      <c r="G61" s="135"/>
      <c r="H61" s="135"/>
      <c r="I61" s="135"/>
      <c r="J61" s="136" t="s">
        <v>149</v>
      </c>
      <c r="K61" s="135"/>
      <c r="L61" s="111"/>
      <c r="S61" s="32"/>
      <c r="T61" s="32"/>
      <c r="U61" s="32"/>
      <c r="V61" s="32"/>
      <c r="W61" s="32"/>
      <c r="X61" s="32"/>
      <c r="Y61" s="32"/>
      <c r="Z61" s="32"/>
      <c r="AA61" s="32"/>
      <c r="AB61" s="32"/>
      <c r="AC61" s="32"/>
      <c r="AD61" s="32"/>
      <c r="AE61" s="32"/>
    </row>
    <row r="62" spans="1:31" s="2" customFormat="1" ht="10.35" customHeight="1">
      <c r="A62" s="32"/>
      <c r="B62" s="33"/>
      <c r="C62" s="34"/>
      <c r="D62" s="34"/>
      <c r="E62" s="34"/>
      <c r="F62" s="34"/>
      <c r="G62" s="34"/>
      <c r="H62" s="34"/>
      <c r="I62" s="34"/>
      <c r="J62" s="34"/>
      <c r="K62" s="34"/>
      <c r="L62" s="111"/>
      <c r="S62" s="32"/>
      <c r="T62" s="32"/>
      <c r="U62" s="32"/>
      <c r="V62" s="32"/>
      <c r="W62" s="32"/>
      <c r="X62" s="32"/>
      <c r="Y62" s="32"/>
      <c r="Z62" s="32"/>
      <c r="AA62" s="32"/>
      <c r="AB62" s="32"/>
      <c r="AC62" s="32"/>
      <c r="AD62" s="32"/>
      <c r="AE62" s="32"/>
    </row>
    <row r="63" spans="1:47" s="2" customFormat="1" ht="22.9" customHeight="1">
      <c r="A63" s="32"/>
      <c r="B63" s="33"/>
      <c r="C63" s="137" t="s">
        <v>68</v>
      </c>
      <c r="D63" s="34"/>
      <c r="E63" s="34"/>
      <c r="F63" s="34"/>
      <c r="G63" s="34"/>
      <c r="H63" s="34"/>
      <c r="I63" s="34"/>
      <c r="J63" s="75">
        <f>J87</f>
        <v>0</v>
      </c>
      <c r="K63" s="34"/>
      <c r="L63" s="111"/>
      <c r="S63" s="32"/>
      <c r="T63" s="32"/>
      <c r="U63" s="32"/>
      <c r="V63" s="32"/>
      <c r="W63" s="32"/>
      <c r="X63" s="32"/>
      <c r="Y63" s="32"/>
      <c r="Z63" s="32"/>
      <c r="AA63" s="32"/>
      <c r="AB63" s="32"/>
      <c r="AC63" s="32"/>
      <c r="AD63" s="32"/>
      <c r="AE63" s="32"/>
      <c r="AU63" s="15" t="s">
        <v>150</v>
      </c>
    </row>
    <row r="64" spans="2:12" s="9" customFormat="1" ht="24.95" customHeight="1">
      <c r="B64" s="138"/>
      <c r="C64" s="139"/>
      <c r="D64" s="140" t="s">
        <v>1431</v>
      </c>
      <c r="E64" s="141"/>
      <c r="F64" s="141"/>
      <c r="G64" s="141"/>
      <c r="H64" s="141"/>
      <c r="I64" s="141"/>
      <c r="J64" s="142">
        <f>J88</f>
        <v>0</v>
      </c>
      <c r="K64" s="139"/>
      <c r="L64" s="143"/>
    </row>
    <row r="65" spans="2:12" s="10" customFormat="1" ht="19.9" customHeight="1">
      <c r="B65" s="144"/>
      <c r="C65" s="95"/>
      <c r="D65" s="145" t="s">
        <v>3185</v>
      </c>
      <c r="E65" s="146"/>
      <c r="F65" s="146"/>
      <c r="G65" s="146"/>
      <c r="H65" s="146"/>
      <c r="I65" s="146"/>
      <c r="J65" s="147">
        <f>J89</f>
        <v>0</v>
      </c>
      <c r="K65" s="95"/>
      <c r="L65" s="148"/>
    </row>
    <row r="66" spans="1:31" s="2" customFormat="1" ht="21.75" customHeight="1">
      <c r="A66" s="32"/>
      <c r="B66" s="33"/>
      <c r="C66" s="34"/>
      <c r="D66" s="34"/>
      <c r="E66" s="34"/>
      <c r="F66" s="34"/>
      <c r="G66" s="34"/>
      <c r="H66" s="34"/>
      <c r="I66" s="34"/>
      <c r="J66" s="34"/>
      <c r="K66" s="34"/>
      <c r="L66" s="111"/>
      <c r="S66" s="32"/>
      <c r="T66" s="32"/>
      <c r="U66" s="32"/>
      <c r="V66" s="32"/>
      <c r="W66" s="32"/>
      <c r="X66" s="32"/>
      <c r="Y66" s="32"/>
      <c r="Z66" s="32"/>
      <c r="AA66" s="32"/>
      <c r="AB66" s="32"/>
      <c r="AC66" s="32"/>
      <c r="AD66" s="32"/>
      <c r="AE66" s="32"/>
    </row>
    <row r="67" spans="1:31" s="2" customFormat="1" ht="6.95" customHeight="1">
      <c r="A67" s="32"/>
      <c r="B67" s="45"/>
      <c r="C67" s="46"/>
      <c r="D67" s="46"/>
      <c r="E67" s="46"/>
      <c r="F67" s="46"/>
      <c r="G67" s="46"/>
      <c r="H67" s="46"/>
      <c r="I67" s="46"/>
      <c r="J67" s="46"/>
      <c r="K67" s="46"/>
      <c r="L67" s="111"/>
      <c r="S67" s="32"/>
      <c r="T67" s="32"/>
      <c r="U67" s="32"/>
      <c r="V67" s="32"/>
      <c r="W67" s="32"/>
      <c r="X67" s="32"/>
      <c r="Y67" s="32"/>
      <c r="Z67" s="32"/>
      <c r="AA67" s="32"/>
      <c r="AB67" s="32"/>
      <c r="AC67" s="32"/>
      <c r="AD67" s="32"/>
      <c r="AE67" s="32"/>
    </row>
    <row r="71" spans="1:31" s="2" customFormat="1" ht="6.95" customHeight="1">
      <c r="A71" s="32"/>
      <c r="B71" s="47"/>
      <c r="C71" s="48"/>
      <c r="D71" s="48"/>
      <c r="E71" s="48"/>
      <c r="F71" s="48"/>
      <c r="G71" s="48"/>
      <c r="H71" s="48"/>
      <c r="I71" s="48"/>
      <c r="J71" s="48"/>
      <c r="K71" s="48"/>
      <c r="L71" s="111"/>
      <c r="S71" s="32"/>
      <c r="T71" s="32"/>
      <c r="U71" s="32"/>
      <c r="V71" s="32"/>
      <c r="W71" s="32"/>
      <c r="X71" s="32"/>
      <c r="Y71" s="32"/>
      <c r="Z71" s="32"/>
      <c r="AA71" s="32"/>
      <c r="AB71" s="32"/>
      <c r="AC71" s="32"/>
      <c r="AD71" s="32"/>
      <c r="AE71" s="32"/>
    </row>
    <row r="72" spans="1:31" s="2" customFormat="1" ht="24.95" customHeight="1">
      <c r="A72" s="32"/>
      <c r="B72" s="33"/>
      <c r="C72" s="21" t="s">
        <v>181</v>
      </c>
      <c r="D72" s="34"/>
      <c r="E72" s="34"/>
      <c r="F72" s="34"/>
      <c r="G72" s="34"/>
      <c r="H72" s="34"/>
      <c r="I72" s="34"/>
      <c r="J72" s="34"/>
      <c r="K72" s="34"/>
      <c r="L72" s="111"/>
      <c r="S72" s="32"/>
      <c r="T72" s="32"/>
      <c r="U72" s="32"/>
      <c r="V72" s="32"/>
      <c r="W72" s="32"/>
      <c r="X72" s="32"/>
      <c r="Y72" s="32"/>
      <c r="Z72" s="32"/>
      <c r="AA72" s="32"/>
      <c r="AB72" s="32"/>
      <c r="AC72" s="32"/>
      <c r="AD72" s="32"/>
      <c r="AE72" s="32"/>
    </row>
    <row r="73" spans="1:31" s="2" customFormat="1" ht="6.95" customHeight="1">
      <c r="A73" s="32"/>
      <c r="B73" s="33"/>
      <c r="C73" s="34"/>
      <c r="D73" s="34"/>
      <c r="E73" s="34"/>
      <c r="F73" s="34"/>
      <c r="G73" s="34"/>
      <c r="H73" s="34"/>
      <c r="I73" s="34"/>
      <c r="J73" s="34"/>
      <c r="K73" s="34"/>
      <c r="L73" s="111"/>
      <c r="S73" s="32"/>
      <c r="T73" s="32"/>
      <c r="U73" s="32"/>
      <c r="V73" s="32"/>
      <c r="W73" s="32"/>
      <c r="X73" s="32"/>
      <c r="Y73" s="32"/>
      <c r="Z73" s="32"/>
      <c r="AA73" s="32"/>
      <c r="AB73" s="32"/>
      <c r="AC73" s="32"/>
      <c r="AD73" s="32"/>
      <c r="AE73" s="32"/>
    </row>
    <row r="74" spans="1:31" s="2" customFormat="1" ht="12" customHeight="1">
      <c r="A74" s="32"/>
      <c r="B74" s="33"/>
      <c r="C74" s="27" t="s">
        <v>16</v>
      </c>
      <c r="D74" s="34"/>
      <c r="E74" s="34"/>
      <c r="F74" s="34"/>
      <c r="G74" s="34"/>
      <c r="H74" s="34"/>
      <c r="I74" s="34"/>
      <c r="J74" s="34"/>
      <c r="K74" s="34"/>
      <c r="L74" s="111"/>
      <c r="S74" s="32"/>
      <c r="T74" s="32"/>
      <c r="U74" s="32"/>
      <c r="V74" s="32"/>
      <c r="W74" s="32"/>
      <c r="X74" s="32"/>
      <c r="Y74" s="32"/>
      <c r="Z74" s="32"/>
      <c r="AA74" s="32"/>
      <c r="AB74" s="32"/>
      <c r="AC74" s="32"/>
      <c r="AD74" s="32"/>
      <c r="AE74" s="32"/>
    </row>
    <row r="75" spans="1:31" s="2" customFormat="1" ht="14.45" customHeight="1">
      <c r="A75" s="32"/>
      <c r="B75" s="33"/>
      <c r="C75" s="34"/>
      <c r="D75" s="34"/>
      <c r="E75" s="700" t="str">
        <f>E7</f>
        <v>Úpravy gastroprovozu Úřadu vlády ČR v 1.pp Strakovy akademie</v>
      </c>
      <c r="F75" s="701"/>
      <c r="G75" s="701"/>
      <c r="H75" s="701"/>
      <c r="I75" s="34"/>
      <c r="J75" s="34"/>
      <c r="K75" s="34"/>
      <c r="L75" s="111"/>
      <c r="S75" s="32"/>
      <c r="T75" s="32"/>
      <c r="U75" s="32"/>
      <c r="V75" s="32"/>
      <c r="W75" s="32"/>
      <c r="X75" s="32"/>
      <c r="Y75" s="32"/>
      <c r="Z75" s="32"/>
      <c r="AA75" s="32"/>
      <c r="AB75" s="32"/>
      <c r="AC75" s="32"/>
      <c r="AD75" s="32"/>
      <c r="AE75" s="32"/>
    </row>
    <row r="76" spans="2:12" s="1" customFormat="1" ht="12" customHeight="1">
      <c r="B76" s="19"/>
      <c r="C76" s="27" t="s">
        <v>142</v>
      </c>
      <c r="D76" s="20"/>
      <c r="E76" s="20"/>
      <c r="F76" s="20"/>
      <c r="G76" s="20"/>
      <c r="H76" s="20"/>
      <c r="I76" s="20"/>
      <c r="J76" s="20"/>
      <c r="K76" s="20"/>
      <c r="L76" s="18"/>
    </row>
    <row r="77" spans="1:31" s="2" customFormat="1" ht="14.45" customHeight="1">
      <c r="A77" s="32"/>
      <c r="B77" s="33"/>
      <c r="C77" s="34"/>
      <c r="D77" s="34"/>
      <c r="E77" s="700" t="s">
        <v>1429</v>
      </c>
      <c r="F77" s="699"/>
      <c r="G77" s="699"/>
      <c r="H77" s="699"/>
      <c r="I77" s="34"/>
      <c r="J77" s="34"/>
      <c r="K77" s="34"/>
      <c r="L77" s="111"/>
      <c r="S77" s="32"/>
      <c r="T77" s="32"/>
      <c r="U77" s="32"/>
      <c r="V77" s="32"/>
      <c r="W77" s="32"/>
      <c r="X77" s="32"/>
      <c r="Y77" s="32"/>
      <c r="Z77" s="32"/>
      <c r="AA77" s="32"/>
      <c r="AB77" s="32"/>
      <c r="AC77" s="32"/>
      <c r="AD77" s="32"/>
      <c r="AE77" s="32"/>
    </row>
    <row r="78" spans="1:31" s="2" customFormat="1" ht="12" customHeight="1">
      <c r="A78" s="32"/>
      <c r="B78" s="33"/>
      <c r="C78" s="27" t="s">
        <v>144</v>
      </c>
      <c r="D78" s="34"/>
      <c r="E78" s="34"/>
      <c r="F78" s="34"/>
      <c r="G78" s="34"/>
      <c r="H78" s="34"/>
      <c r="I78" s="34"/>
      <c r="J78" s="34"/>
      <c r="K78" s="34"/>
      <c r="L78" s="111"/>
      <c r="S78" s="32"/>
      <c r="T78" s="32"/>
      <c r="U78" s="32"/>
      <c r="V78" s="32"/>
      <c r="W78" s="32"/>
      <c r="X78" s="32"/>
      <c r="Y78" s="32"/>
      <c r="Z78" s="32"/>
      <c r="AA78" s="32"/>
      <c r="AB78" s="32"/>
      <c r="AC78" s="32"/>
      <c r="AD78" s="32"/>
      <c r="AE78" s="32"/>
    </row>
    <row r="79" spans="1:31" s="2" customFormat="1" ht="14.45" customHeight="1">
      <c r="A79" s="32"/>
      <c r="B79" s="33"/>
      <c r="C79" s="34"/>
      <c r="D79" s="34"/>
      <c r="E79" s="696" t="str">
        <f>E11</f>
        <v>D.1.4.07 - Soupis prací - Servis</v>
      </c>
      <c r="F79" s="699"/>
      <c r="G79" s="699"/>
      <c r="H79" s="699"/>
      <c r="I79" s="34"/>
      <c r="J79" s="34"/>
      <c r="K79" s="34"/>
      <c r="L79" s="111"/>
      <c r="S79" s="32"/>
      <c r="T79" s="32"/>
      <c r="U79" s="32"/>
      <c r="V79" s="32"/>
      <c r="W79" s="32"/>
      <c r="X79" s="32"/>
      <c r="Y79" s="32"/>
      <c r="Z79" s="32"/>
      <c r="AA79" s="32"/>
      <c r="AB79" s="32"/>
      <c r="AC79" s="32"/>
      <c r="AD79" s="32"/>
      <c r="AE79" s="32"/>
    </row>
    <row r="80" spans="1:31" s="2" customFormat="1" ht="6.95" customHeight="1">
      <c r="A80" s="32"/>
      <c r="B80" s="33"/>
      <c r="C80" s="34"/>
      <c r="D80" s="34"/>
      <c r="E80" s="34"/>
      <c r="F80" s="34"/>
      <c r="G80" s="34"/>
      <c r="H80" s="34"/>
      <c r="I80" s="34"/>
      <c r="J80" s="34"/>
      <c r="K80" s="34"/>
      <c r="L80" s="111"/>
      <c r="S80" s="32"/>
      <c r="T80" s="32"/>
      <c r="U80" s="32"/>
      <c r="V80" s="32"/>
      <c r="W80" s="32"/>
      <c r="X80" s="32"/>
      <c r="Y80" s="32"/>
      <c r="Z80" s="32"/>
      <c r="AA80" s="32"/>
      <c r="AB80" s="32"/>
      <c r="AC80" s="32"/>
      <c r="AD80" s="32"/>
      <c r="AE80" s="32"/>
    </row>
    <row r="81" spans="1:31" s="2" customFormat="1" ht="12" customHeight="1">
      <c r="A81" s="32"/>
      <c r="B81" s="33"/>
      <c r="C81" s="27" t="s">
        <v>21</v>
      </c>
      <c r="D81" s="34"/>
      <c r="E81" s="34"/>
      <c r="F81" s="25" t="str">
        <f>F14</f>
        <v xml:space="preserve"> </v>
      </c>
      <c r="G81" s="34"/>
      <c r="H81" s="34"/>
      <c r="I81" s="27" t="s">
        <v>23</v>
      </c>
      <c r="J81" s="57" t="str">
        <f>IF(J14="","",J14)</f>
        <v>Vyplň údaj</v>
      </c>
      <c r="K81" s="34"/>
      <c r="L81" s="111"/>
      <c r="S81" s="32"/>
      <c r="T81" s="32"/>
      <c r="U81" s="32"/>
      <c r="V81" s="32"/>
      <c r="W81" s="32"/>
      <c r="X81" s="32"/>
      <c r="Y81" s="32"/>
      <c r="Z81" s="32"/>
      <c r="AA81" s="32"/>
      <c r="AB81" s="32"/>
      <c r="AC81" s="32"/>
      <c r="AD81" s="32"/>
      <c r="AE81" s="32"/>
    </row>
    <row r="82" spans="1:31" s="2" customFormat="1" ht="6.95" customHeight="1">
      <c r="A82" s="32"/>
      <c r="B82" s="33"/>
      <c r="C82" s="34"/>
      <c r="D82" s="34"/>
      <c r="E82" s="34"/>
      <c r="F82" s="34"/>
      <c r="G82" s="34"/>
      <c r="H82" s="34"/>
      <c r="I82" s="34"/>
      <c r="J82" s="34"/>
      <c r="K82" s="34"/>
      <c r="L82" s="111"/>
      <c r="S82" s="32"/>
      <c r="T82" s="32"/>
      <c r="U82" s="32"/>
      <c r="V82" s="32"/>
      <c r="W82" s="32"/>
      <c r="X82" s="32"/>
      <c r="Y82" s="32"/>
      <c r="Z82" s="32"/>
      <c r="AA82" s="32"/>
      <c r="AB82" s="32"/>
      <c r="AC82" s="32"/>
      <c r="AD82" s="32"/>
      <c r="AE82" s="32"/>
    </row>
    <row r="83" spans="1:31" s="2" customFormat="1" ht="26.45" customHeight="1">
      <c r="A83" s="32"/>
      <c r="B83" s="33"/>
      <c r="C83" s="27" t="s">
        <v>24</v>
      </c>
      <c r="D83" s="34"/>
      <c r="E83" s="34"/>
      <c r="F83" s="25" t="str">
        <f>E17</f>
        <v xml:space="preserve">Úřad vlády České republiky </v>
      </c>
      <c r="G83" s="34"/>
      <c r="H83" s="34"/>
      <c r="I83" s="27" t="s">
        <v>30</v>
      </c>
      <c r="J83" s="30" t="str">
        <f>E23</f>
        <v>Ateliér Simona Group</v>
      </c>
      <c r="K83" s="34"/>
      <c r="L83" s="111"/>
      <c r="S83" s="32"/>
      <c r="T83" s="32"/>
      <c r="U83" s="32"/>
      <c r="V83" s="32"/>
      <c r="W83" s="32"/>
      <c r="X83" s="32"/>
      <c r="Y83" s="32"/>
      <c r="Z83" s="32"/>
      <c r="AA83" s="32"/>
      <c r="AB83" s="32"/>
      <c r="AC83" s="32"/>
      <c r="AD83" s="32"/>
      <c r="AE83" s="32"/>
    </row>
    <row r="84" spans="1:31" s="2" customFormat="1" ht="26.45" customHeight="1">
      <c r="A84" s="32"/>
      <c r="B84" s="33"/>
      <c r="C84" s="27" t="s">
        <v>28</v>
      </c>
      <c r="D84" s="34"/>
      <c r="E84" s="34"/>
      <c r="F84" s="25" t="str">
        <f>IF(E20="","",E20)</f>
        <v>Vyplň údaj</v>
      </c>
      <c r="G84" s="34"/>
      <c r="H84" s="34"/>
      <c r="I84" s="27" t="s">
        <v>33</v>
      </c>
      <c r="J84" s="30" t="str">
        <f>E26</f>
        <v>Ateliér Simona Group</v>
      </c>
      <c r="K84" s="34"/>
      <c r="L84" s="111"/>
      <c r="S84" s="32"/>
      <c r="T84" s="32"/>
      <c r="U84" s="32"/>
      <c r="V84" s="32"/>
      <c r="W84" s="32"/>
      <c r="X84" s="32"/>
      <c r="Y84" s="32"/>
      <c r="Z84" s="32"/>
      <c r="AA84" s="32"/>
      <c r="AB84" s="32"/>
      <c r="AC84" s="32"/>
      <c r="AD84" s="32"/>
      <c r="AE84" s="32"/>
    </row>
    <row r="85" spans="1:31" s="2" customFormat="1" ht="10.35" customHeight="1">
      <c r="A85" s="32"/>
      <c r="B85" s="33"/>
      <c r="C85" s="34"/>
      <c r="D85" s="34"/>
      <c r="E85" s="34"/>
      <c r="F85" s="34"/>
      <c r="G85" s="34"/>
      <c r="H85" s="34"/>
      <c r="I85" s="34"/>
      <c r="J85" s="34"/>
      <c r="K85" s="34"/>
      <c r="L85" s="111"/>
      <c r="S85" s="32"/>
      <c r="T85" s="32"/>
      <c r="U85" s="32"/>
      <c r="V85" s="32"/>
      <c r="W85" s="32"/>
      <c r="X85" s="32"/>
      <c r="Y85" s="32"/>
      <c r="Z85" s="32"/>
      <c r="AA85" s="32"/>
      <c r="AB85" s="32"/>
      <c r="AC85" s="32"/>
      <c r="AD85" s="32"/>
      <c r="AE85" s="32"/>
    </row>
    <row r="86" spans="1:31" s="11" customFormat="1" ht="29.25" customHeight="1">
      <c r="A86" s="149"/>
      <c r="B86" s="150"/>
      <c r="C86" s="151" t="s">
        <v>182</v>
      </c>
      <c r="D86" s="152" t="s">
        <v>55</v>
      </c>
      <c r="E86" s="152" t="s">
        <v>51</v>
      </c>
      <c r="F86" s="152" t="s">
        <v>52</v>
      </c>
      <c r="G86" s="152" t="s">
        <v>183</v>
      </c>
      <c r="H86" s="152" t="s">
        <v>184</v>
      </c>
      <c r="I86" s="152" t="s">
        <v>185</v>
      </c>
      <c r="J86" s="152" t="s">
        <v>149</v>
      </c>
      <c r="K86" s="153" t="s">
        <v>186</v>
      </c>
      <c r="L86" s="154"/>
      <c r="M86" s="66" t="s">
        <v>19</v>
      </c>
      <c r="N86" s="67" t="s">
        <v>40</v>
      </c>
      <c r="O86" s="67" t="s">
        <v>187</v>
      </c>
      <c r="P86" s="67" t="s">
        <v>188</v>
      </c>
      <c r="Q86" s="67" t="s">
        <v>189</v>
      </c>
      <c r="R86" s="67" t="s">
        <v>190</v>
      </c>
      <c r="S86" s="67" t="s">
        <v>191</v>
      </c>
      <c r="T86" s="68" t="s">
        <v>192</v>
      </c>
      <c r="U86" s="149"/>
      <c r="V86" s="149"/>
      <c r="W86" s="149"/>
      <c r="X86" s="149"/>
      <c r="Y86" s="149"/>
      <c r="Z86" s="149"/>
      <c r="AA86" s="149"/>
      <c r="AB86" s="149"/>
      <c r="AC86" s="149"/>
      <c r="AD86" s="149"/>
      <c r="AE86" s="149"/>
    </row>
    <row r="87" spans="1:63" s="2" customFormat="1" ht="22.9" customHeight="1">
      <c r="A87" s="32"/>
      <c r="B87" s="33"/>
      <c r="C87" s="73" t="s">
        <v>193</v>
      </c>
      <c r="D87" s="34"/>
      <c r="E87" s="34"/>
      <c r="F87" s="34"/>
      <c r="G87" s="34"/>
      <c r="H87" s="34"/>
      <c r="I87" s="34"/>
      <c r="J87" s="155">
        <f>BK87</f>
        <v>0</v>
      </c>
      <c r="K87" s="34"/>
      <c r="L87" s="37"/>
      <c r="M87" s="69"/>
      <c r="N87" s="156"/>
      <c r="O87" s="70"/>
      <c r="P87" s="157">
        <f>P88</f>
        <v>0</v>
      </c>
      <c r="Q87" s="70"/>
      <c r="R87" s="157">
        <f>R88</f>
        <v>0</v>
      </c>
      <c r="S87" s="70"/>
      <c r="T87" s="158">
        <f>T88</f>
        <v>0</v>
      </c>
      <c r="U87" s="32"/>
      <c r="V87" s="32"/>
      <c r="W87" s="32"/>
      <c r="X87" s="32"/>
      <c r="Y87" s="32"/>
      <c r="Z87" s="32"/>
      <c r="AA87" s="32"/>
      <c r="AB87" s="32"/>
      <c r="AC87" s="32"/>
      <c r="AD87" s="32"/>
      <c r="AE87" s="32"/>
      <c r="AT87" s="15" t="s">
        <v>69</v>
      </c>
      <c r="AU87" s="15" t="s">
        <v>150</v>
      </c>
      <c r="BK87" s="159">
        <f>BK88</f>
        <v>0</v>
      </c>
    </row>
    <row r="88" spans="2:63" s="12" customFormat="1" ht="25.9" customHeight="1">
      <c r="B88" s="160"/>
      <c r="C88" s="161"/>
      <c r="D88" s="162" t="s">
        <v>69</v>
      </c>
      <c r="E88" s="163" t="s">
        <v>694</v>
      </c>
      <c r="F88" s="163" t="s">
        <v>694</v>
      </c>
      <c r="G88" s="161"/>
      <c r="H88" s="161"/>
      <c r="I88" s="164"/>
      <c r="J88" s="165">
        <f>BK88</f>
        <v>0</v>
      </c>
      <c r="K88" s="161"/>
      <c r="L88" s="166"/>
      <c r="M88" s="167"/>
      <c r="N88" s="168"/>
      <c r="O88" s="168"/>
      <c r="P88" s="169">
        <f>P89</f>
        <v>0</v>
      </c>
      <c r="Q88" s="168"/>
      <c r="R88" s="169">
        <f>R89</f>
        <v>0</v>
      </c>
      <c r="S88" s="168"/>
      <c r="T88" s="170">
        <f>T89</f>
        <v>0</v>
      </c>
      <c r="AR88" s="171" t="s">
        <v>79</v>
      </c>
      <c r="AT88" s="172" t="s">
        <v>69</v>
      </c>
      <c r="AU88" s="172" t="s">
        <v>70</v>
      </c>
      <c r="AY88" s="171" t="s">
        <v>196</v>
      </c>
      <c r="BK88" s="173">
        <f>BK89</f>
        <v>0</v>
      </c>
    </row>
    <row r="89" spans="2:63" s="12" customFormat="1" ht="22.9" customHeight="1">
      <c r="B89" s="160"/>
      <c r="C89" s="161"/>
      <c r="D89" s="162" t="s">
        <v>69</v>
      </c>
      <c r="E89" s="174" t="s">
        <v>3186</v>
      </c>
      <c r="F89" s="174" t="s">
        <v>3185</v>
      </c>
      <c r="G89" s="161"/>
      <c r="H89" s="161"/>
      <c r="I89" s="164"/>
      <c r="J89" s="175">
        <f>BK89</f>
        <v>0</v>
      </c>
      <c r="K89" s="161"/>
      <c r="L89" s="166"/>
      <c r="M89" s="167"/>
      <c r="N89" s="168"/>
      <c r="O89" s="168"/>
      <c r="P89" s="169">
        <f>P90</f>
        <v>0</v>
      </c>
      <c r="Q89" s="168"/>
      <c r="R89" s="169">
        <f>R90</f>
        <v>0</v>
      </c>
      <c r="S89" s="168"/>
      <c r="T89" s="170">
        <f>T90</f>
        <v>0</v>
      </c>
      <c r="AR89" s="171" t="s">
        <v>79</v>
      </c>
      <c r="AT89" s="172" t="s">
        <v>69</v>
      </c>
      <c r="AU89" s="172" t="s">
        <v>77</v>
      </c>
      <c r="AY89" s="171" t="s">
        <v>196</v>
      </c>
      <c r="BK89" s="173">
        <f>BK90</f>
        <v>0</v>
      </c>
    </row>
    <row r="90" spans="1:65" s="2" customFormat="1" ht="13.9" customHeight="1">
      <c r="A90" s="32"/>
      <c r="B90" s="33"/>
      <c r="C90" s="176" t="s">
        <v>77</v>
      </c>
      <c r="D90" s="176" t="s">
        <v>198</v>
      </c>
      <c r="E90" s="177" t="s">
        <v>3186</v>
      </c>
      <c r="F90" s="178" t="s">
        <v>3185</v>
      </c>
      <c r="G90" s="179" t="s">
        <v>1437</v>
      </c>
      <c r="H90" s="180">
        <v>1</v>
      </c>
      <c r="I90" s="181">
        <f>SERVIS!E4</f>
        <v>0</v>
      </c>
      <c r="J90" s="182">
        <f>ROUND(I90*H90,2)</f>
        <v>0</v>
      </c>
      <c r="K90" s="178" t="s">
        <v>19</v>
      </c>
      <c r="L90" s="37"/>
      <c r="M90" s="204" t="s">
        <v>19</v>
      </c>
      <c r="N90" s="205" t="s">
        <v>41</v>
      </c>
      <c r="O90" s="206"/>
      <c r="P90" s="207">
        <f>O90*H90</f>
        <v>0</v>
      </c>
      <c r="Q90" s="207">
        <v>0</v>
      </c>
      <c r="R90" s="207">
        <f>Q90*H90</f>
        <v>0</v>
      </c>
      <c r="S90" s="207">
        <v>0</v>
      </c>
      <c r="T90" s="208">
        <f>S90*H90</f>
        <v>0</v>
      </c>
      <c r="U90" s="32"/>
      <c r="V90" s="32"/>
      <c r="W90" s="32"/>
      <c r="X90" s="32"/>
      <c r="Y90" s="32"/>
      <c r="Z90" s="32"/>
      <c r="AA90" s="32"/>
      <c r="AB90" s="32"/>
      <c r="AC90" s="32"/>
      <c r="AD90" s="32"/>
      <c r="AE90" s="32"/>
      <c r="AR90" s="187" t="s">
        <v>270</v>
      </c>
      <c r="AT90" s="187" t="s">
        <v>198</v>
      </c>
      <c r="AU90" s="187" t="s">
        <v>79</v>
      </c>
      <c r="AY90" s="15" t="s">
        <v>196</v>
      </c>
      <c r="BE90" s="188">
        <f>IF(N90="základní",J90,0)</f>
        <v>0</v>
      </c>
      <c r="BF90" s="188">
        <f>IF(N90="snížená",J90,0)</f>
        <v>0</v>
      </c>
      <c r="BG90" s="188">
        <f>IF(N90="zákl. přenesená",J90,0)</f>
        <v>0</v>
      </c>
      <c r="BH90" s="188">
        <f>IF(N90="sníž. přenesená",J90,0)</f>
        <v>0</v>
      </c>
      <c r="BI90" s="188">
        <f>IF(N90="nulová",J90,0)</f>
        <v>0</v>
      </c>
      <c r="BJ90" s="15" t="s">
        <v>77</v>
      </c>
      <c r="BK90" s="188">
        <f>ROUND(I90*H90,2)</f>
        <v>0</v>
      </c>
      <c r="BL90" s="15" t="s">
        <v>270</v>
      </c>
      <c r="BM90" s="187" t="s">
        <v>1495</v>
      </c>
    </row>
    <row r="91" spans="1:31" s="2" customFormat="1" ht="6.95" customHeight="1">
      <c r="A91" s="32"/>
      <c r="B91" s="45"/>
      <c r="C91" s="46"/>
      <c r="D91" s="46"/>
      <c r="E91" s="46"/>
      <c r="F91" s="46"/>
      <c r="G91" s="46"/>
      <c r="H91" s="46"/>
      <c r="I91" s="46"/>
      <c r="J91" s="46"/>
      <c r="K91" s="46"/>
      <c r="L91" s="37"/>
      <c r="M91" s="32"/>
      <c r="O91" s="32"/>
      <c r="P91" s="32"/>
      <c r="Q91" s="32"/>
      <c r="R91" s="32"/>
      <c r="S91" s="32"/>
      <c r="T91" s="32"/>
      <c r="U91" s="32"/>
      <c r="V91" s="32"/>
      <c r="W91" s="32"/>
      <c r="X91" s="32"/>
      <c r="Y91" s="32"/>
      <c r="Z91" s="32"/>
      <c r="AA91" s="32"/>
      <c r="AB91" s="32"/>
      <c r="AC91" s="32"/>
      <c r="AD91" s="32"/>
      <c r="AE91" s="32"/>
    </row>
  </sheetData>
  <sheetProtection algorithmName="SHA-512" hashValue="7oKzD7kHdDY3dvE9tqLQ5LD8QNeTNS5GCAveaALDC3V9ZaHX3ScVZbwr9fiFHOtP9UYMuR+qK6Y2LKA8LnclGQ==" saltValue="6yr3JpcyzjHl0i5y/BvRQg==" spinCount="100000" sheet="1" objects="1" scenarios="1" formatColumns="0" formatRows="0" autoFilter="0"/>
  <autoFilter ref="C86:K90"/>
  <mergeCells count="12">
    <mergeCell ref="E79:H79"/>
    <mergeCell ref="L2:V2"/>
    <mergeCell ref="E50:H50"/>
    <mergeCell ref="E52:H52"/>
    <mergeCell ref="E54:H54"/>
    <mergeCell ref="E75:H75"/>
    <mergeCell ref="E77:H7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87455-388F-4134-A4BA-8E761C31082D}">
  <sheetPr>
    <tabColor theme="2" tint="-0.24997000396251678"/>
  </sheetPr>
  <dimension ref="A1:G6"/>
  <sheetViews>
    <sheetView workbookViewId="0" topLeftCell="A1">
      <selection activeCell="D3" sqref="D3"/>
    </sheetView>
  </sheetViews>
  <sheetFormatPr defaultColWidth="9.140625" defaultRowHeight="12"/>
  <cols>
    <col min="1" max="1" width="7.8515625" style="0" bestFit="1" customWidth="1"/>
    <col min="2" max="2" width="78.28125" style="0" customWidth="1"/>
    <col min="3" max="7" width="20.00390625" style="0" customWidth="1"/>
  </cols>
  <sheetData>
    <row r="1" spans="1:7" ht="30">
      <c r="A1" s="581" t="s">
        <v>2661</v>
      </c>
      <c r="B1" s="567" t="s">
        <v>2660</v>
      </c>
      <c r="C1" s="640" t="s">
        <v>2652</v>
      </c>
      <c r="D1" s="599" t="s">
        <v>2651</v>
      </c>
      <c r="E1" s="600" t="s">
        <v>2650</v>
      </c>
      <c r="F1" s="600" t="s">
        <v>40</v>
      </c>
      <c r="G1" s="600" t="s">
        <v>2649</v>
      </c>
    </row>
    <row r="2" spans="1:7" ht="15">
      <c r="A2" s="560"/>
      <c r="B2" s="567" t="s">
        <v>3185</v>
      </c>
      <c r="C2" s="653">
        <v>0</v>
      </c>
      <c r="D2" s="560"/>
      <c r="E2" s="602">
        <f aca="true" t="shared" si="0" ref="E2:E3">D2*C2</f>
        <v>0</v>
      </c>
      <c r="F2" s="558">
        <v>21</v>
      </c>
      <c r="G2" s="602">
        <f aca="true" t="shared" si="1" ref="G2:G3">E2*(1+(F2/100))</f>
        <v>0</v>
      </c>
    </row>
    <row r="3" spans="1:7" ht="45">
      <c r="A3" s="577"/>
      <c r="B3" s="563" t="s">
        <v>3187</v>
      </c>
      <c r="C3" s="653">
        <v>0</v>
      </c>
      <c r="D3" s="562">
        <v>12</v>
      </c>
      <c r="E3" s="602">
        <f t="shared" si="0"/>
        <v>0</v>
      </c>
      <c r="F3" s="558">
        <v>21</v>
      </c>
      <c r="G3" s="602">
        <f t="shared" si="1"/>
        <v>0</v>
      </c>
    </row>
    <row r="4" spans="1:7" ht="15">
      <c r="A4" s="538"/>
      <c r="B4" s="549" t="s">
        <v>1946</v>
      </c>
      <c r="C4" s="641"/>
      <c r="D4" s="538"/>
      <c r="E4" s="548">
        <f>SUM(E2:E3)</f>
        <v>0</v>
      </c>
      <c r="F4" s="537"/>
      <c r="G4" s="548">
        <f>SUM(G2:G3)</f>
        <v>0</v>
      </c>
    </row>
    <row r="5" spans="1:7" ht="15">
      <c r="A5" s="538"/>
      <c r="B5" s="642"/>
      <c r="C5" s="643"/>
      <c r="D5" s="538"/>
      <c r="E5" s="605"/>
      <c r="F5" s="545"/>
      <c r="G5" s="605"/>
    </row>
    <row r="6" spans="1:7" ht="15">
      <c r="A6" s="538"/>
      <c r="B6" s="642"/>
      <c r="C6" s="643"/>
      <c r="D6" s="538"/>
      <c r="E6" s="605"/>
      <c r="F6" s="545"/>
      <c r="G6" s="605"/>
    </row>
  </sheetData>
  <sheetProtection algorithmName="SHA-512" hashValue="sM073PgknuGV1Qr4UhS4jF5aQIauoe/XHLwuthz43Lqtz596oEtulCnalqPJF067LTtFL3nqHNW7jAUb9UkzYw==" saltValue="kMC/DH80CkV0EGkHc5RZ3A==" spinCount="100000" sheet="1" objects="1" scenarios="1"/>
  <printOptions/>
  <pageMargins left="0.7" right="0.7" top="0.787401575" bottom="0.787401575" header="0.3" footer="0.3"/>
  <pageSetup orientation="portrait" paperSize="9"/>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pageSetUpPr fitToPage="1"/>
  </sheetPr>
  <dimension ref="A2:BM114"/>
  <sheetViews>
    <sheetView showGridLines="0" workbookViewId="0" topLeftCell="A88">
      <selection activeCell="I99" sqref="I99"/>
    </sheetView>
  </sheetViews>
  <sheetFormatPr defaultColWidth="9.140625" defaultRowHeight="12"/>
  <cols>
    <col min="1" max="1" width="8.8515625" style="1" customWidth="1"/>
    <col min="2" max="2" width="1.1484375" style="1" customWidth="1"/>
    <col min="3" max="4" width="4.421875" style="1" customWidth="1"/>
    <col min="5" max="5" width="18.28125" style="1" customWidth="1"/>
    <col min="6" max="6" width="108.00390625" style="1" customWidth="1"/>
    <col min="7" max="7" width="8.00390625" style="1" customWidth="1"/>
    <col min="8" max="8" width="12.28125" style="1" customWidth="1"/>
    <col min="9" max="11" width="21.421875" style="1" customWidth="1"/>
    <col min="12" max="12" width="10.00390625" style="1" customWidth="1"/>
    <col min="13" max="13" width="11.421875" style="1" hidden="1" customWidth="1"/>
    <col min="14" max="14" width="9.140625" style="1" hidden="1" customWidth="1"/>
    <col min="15" max="20" width="15.140625" style="1" hidden="1" customWidth="1"/>
    <col min="21" max="21" width="17.421875" style="1" hidden="1" customWidth="1"/>
    <col min="22" max="22" width="13.140625" style="1" customWidth="1"/>
    <col min="23" max="23" width="17.421875" style="1" customWidth="1"/>
    <col min="24" max="24" width="13.140625" style="1" customWidth="1"/>
    <col min="25" max="25" width="16.00390625" style="1" customWidth="1"/>
    <col min="26" max="26" width="11.7109375" style="1" customWidth="1"/>
    <col min="27" max="27" width="16.00390625" style="1" customWidth="1"/>
    <col min="28" max="28" width="17.421875" style="1" customWidth="1"/>
    <col min="29" max="29" width="11.7109375" style="1" customWidth="1"/>
    <col min="30" max="30" width="16.00390625" style="1" customWidth="1"/>
    <col min="31" max="31" width="17.421875" style="1" customWidth="1"/>
    <col min="44" max="65" width="9.140625" style="1" hidden="1" customWidth="1"/>
  </cols>
  <sheetData>
    <row r="1" ht="12"/>
    <row r="2" spans="12:46" s="1" customFormat="1" ht="36.95" customHeight="1">
      <c r="L2" s="682"/>
      <c r="M2" s="682"/>
      <c r="N2" s="682"/>
      <c r="O2" s="682"/>
      <c r="P2" s="682"/>
      <c r="Q2" s="682"/>
      <c r="R2" s="682"/>
      <c r="S2" s="682"/>
      <c r="T2" s="682"/>
      <c r="U2" s="682"/>
      <c r="V2" s="682"/>
      <c r="AT2" s="15" t="s">
        <v>140</v>
      </c>
    </row>
    <row r="3" spans="2:46" s="1" customFormat="1" ht="6.95" customHeight="1">
      <c r="B3" s="106"/>
      <c r="C3" s="107"/>
      <c r="D3" s="107"/>
      <c r="E3" s="107"/>
      <c r="F3" s="107"/>
      <c r="G3" s="107"/>
      <c r="H3" s="107"/>
      <c r="I3" s="107"/>
      <c r="J3" s="107"/>
      <c r="K3" s="107"/>
      <c r="L3" s="18"/>
      <c r="AT3" s="15" t="s">
        <v>79</v>
      </c>
    </row>
    <row r="4" spans="2:46" s="1" customFormat="1" ht="24.95" customHeight="1">
      <c r="B4" s="18"/>
      <c r="D4" s="108" t="s">
        <v>141</v>
      </c>
      <c r="L4" s="18"/>
      <c r="M4" s="109" t="s">
        <v>10</v>
      </c>
      <c r="AT4" s="15" t="s">
        <v>4</v>
      </c>
    </row>
    <row r="5" spans="2:12" s="1" customFormat="1" ht="6.95" customHeight="1">
      <c r="B5" s="18"/>
      <c r="L5" s="18"/>
    </row>
    <row r="6" spans="2:12" s="1" customFormat="1" ht="12" customHeight="1">
      <c r="B6" s="18"/>
      <c r="D6" s="110" t="s">
        <v>16</v>
      </c>
      <c r="L6" s="18"/>
    </row>
    <row r="7" spans="2:12" s="1" customFormat="1" ht="14.45" customHeight="1">
      <c r="B7" s="18"/>
      <c r="E7" s="702" t="str">
        <f>'Rekapitulace stavby'!K6</f>
        <v>Úpravy gastroprovozu Úřadu vlády ČR v 1.pp Strakovy akademie</v>
      </c>
      <c r="F7" s="703"/>
      <c r="G7" s="703"/>
      <c r="H7" s="703"/>
      <c r="L7" s="18"/>
    </row>
    <row r="8" spans="2:12" s="1" customFormat="1" ht="12" customHeight="1">
      <c r="B8" s="18"/>
      <c r="D8" s="110" t="s">
        <v>142</v>
      </c>
      <c r="L8" s="18"/>
    </row>
    <row r="9" spans="1:31" s="2" customFormat="1" ht="14.45" customHeight="1">
      <c r="A9" s="32"/>
      <c r="B9" s="37"/>
      <c r="C9" s="32"/>
      <c r="D9" s="32"/>
      <c r="E9" s="702" t="s">
        <v>1496</v>
      </c>
      <c r="F9" s="704"/>
      <c r="G9" s="704"/>
      <c r="H9" s="704"/>
      <c r="I9" s="32"/>
      <c r="J9" s="32"/>
      <c r="K9" s="32"/>
      <c r="L9" s="111"/>
      <c r="S9" s="32"/>
      <c r="T9" s="32"/>
      <c r="U9" s="32"/>
      <c r="V9" s="32"/>
      <c r="W9" s="32"/>
      <c r="X9" s="32"/>
      <c r="Y9" s="32"/>
      <c r="Z9" s="32"/>
      <c r="AA9" s="32"/>
      <c r="AB9" s="32"/>
      <c r="AC9" s="32"/>
      <c r="AD9" s="32"/>
      <c r="AE9" s="32"/>
    </row>
    <row r="10" spans="1:31" s="2" customFormat="1" ht="12" customHeight="1">
      <c r="A10" s="32"/>
      <c r="B10" s="37"/>
      <c r="C10" s="32"/>
      <c r="D10" s="110" t="s">
        <v>144</v>
      </c>
      <c r="E10" s="32"/>
      <c r="F10" s="32"/>
      <c r="G10" s="32"/>
      <c r="H10" s="32"/>
      <c r="I10" s="32"/>
      <c r="J10" s="32"/>
      <c r="K10" s="32"/>
      <c r="L10" s="111"/>
      <c r="S10" s="32"/>
      <c r="T10" s="32"/>
      <c r="U10" s="32"/>
      <c r="V10" s="32"/>
      <c r="W10" s="32"/>
      <c r="X10" s="32"/>
      <c r="Y10" s="32"/>
      <c r="Z10" s="32"/>
      <c r="AA10" s="32"/>
      <c r="AB10" s="32"/>
      <c r="AC10" s="32"/>
      <c r="AD10" s="32"/>
      <c r="AE10" s="32"/>
    </row>
    <row r="11" spans="1:31" s="2" customFormat="1" ht="14.45" customHeight="1">
      <c r="A11" s="32"/>
      <c r="B11" s="37"/>
      <c r="C11" s="32"/>
      <c r="D11" s="32"/>
      <c r="E11" s="705" t="s">
        <v>1497</v>
      </c>
      <c r="F11" s="704"/>
      <c r="G11" s="704"/>
      <c r="H11" s="704"/>
      <c r="I11" s="32"/>
      <c r="J11" s="32"/>
      <c r="K11" s="32"/>
      <c r="L11" s="111"/>
      <c r="S11" s="32"/>
      <c r="T11" s="32"/>
      <c r="U11" s="32"/>
      <c r="V11" s="32"/>
      <c r="W11" s="32"/>
      <c r="X11" s="32"/>
      <c r="Y11" s="32"/>
      <c r="Z11" s="32"/>
      <c r="AA11" s="32"/>
      <c r="AB11" s="32"/>
      <c r="AC11" s="32"/>
      <c r="AD11" s="32"/>
      <c r="AE11" s="32"/>
    </row>
    <row r="12" spans="1:31" s="2" customFormat="1" ht="12">
      <c r="A12" s="32"/>
      <c r="B12" s="37"/>
      <c r="C12" s="32"/>
      <c r="D12" s="32"/>
      <c r="E12" s="32"/>
      <c r="F12" s="32"/>
      <c r="G12" s="32"/>
      <c r="H12" s="32"/>
      <c r="I12" s="32"/>
      <c r="J12" s="32"/>
      <c r="K12" s="32"/>
      <c r="L12" s="111"/>
      <c r="S12" s="32"/>
      <c r="T12" s="32"/>
      <c r="U12" s="32"/>
      <c r="V12" s="32"/>
      <c r="W12" s="32"/>
      <c r="X12" s="32"/>
      <c r="Y12" s="32"/>
      <c r="Z12" s="32"/>
      <c r="AA12" s="32"/>
      <c r="AB12" s="32"/>
      <c r="AC12" s="32"/>
      <c r="AD12" s="32"/>
      <c r="AE12" s="32"/>
    </row>
    <row r="13" spans="1:31" s="2" customFormat="1" ht="12" customHeight="1">
      <c r="A13" s="32"/>
      <c r="B13" s="37"/>
      <c r="C13" s="32"/>
      <c r="D13" s="110" t="s">
        <v>18</v>
      </c>
      <c r="E13" s="32"/>
      <c r="F13" s="101" t="s">
        <v>19</v>
      </c>
      <c r="G13" s="32"/>
      <c r="H13" s="32"/>
      <c r="I13" s="110" t="s">
        <v>20</v>
      </c>
      <c r="J13" s="101" t="s">
        <v>19</v>
      </c>
      <c r="K13" s="32"/>
      <c r="L13" s="111"/>
      <c r="S13" s="32"/>
      <c r="T13" s="32"/>
      <c r="U13" s="32"/>
      <c r="V13" s="32"/>
      <c r="W13" s="32"/>
      <c r="X13" s="32"/>
      <c r="Y13" s="32"/>
      <c r="Z13" s="32"/>
      <c r="AA13" s="32"/>
      <c r="AB13" s="32"/>
      <c r="AC13" s="32"/>
      <c r="AD13" s="32"/>
      <c r="AE13" s="32"/>
    </row>
    <row r="14" spans="1:31" s="2" customFormat="1" ht="12" customHeight="1">
      <c r="A14" s="32"/>
      <c r="B14" s="37"/>
      <c r="C14" s="32"/>
      <c r="D14" s="110" t="s">
        <v>21</v>
      </c>
      <c r="E14" s="32"/>
      <c r="F14" s="101" t="s">
        <v>146</v>
      </c>
      <c r="G14" s="32"/>
      <c r="H14" s="32"/>
      <c r="I14" s="110" t="s">
        <v>23</v>
      </c>
      <c r="J14" s="112" t="str">
        <f>'Rekapitulace stavby'!AN8</f>
        <v>Vyplň údaj</v>
      </c>
      <c r="K14" s="32"/>
      <c r="L14" s="111"/>
      <c r="S14" s="32"/>
      <c r="T14" s="32"/>
      <c r="U14" s="32"/>
      <c r="V14" s="32"/>
      <c r="W14" s="32"/>
      <c r="X14" s="32"/>
      <c r="Y14" s="32"/>
      <c r="Z14" s="32"/>
      <c r="AA14" s="32"/>
      <c r="AB14" s="32"/>
      <c r="AC14" s="32"/>
      <c r="AD14" s="32"/>
      <c r="AE14" s="32"/>
    </row>
    <row r="15" spans="1:31" s="2" customFormat="1" ht="10.9" customHeight="1">
      <c r="A15" s="32"/>
      <c r="B15" s="37"/>
      <c r="C15" s="32"/>
      <c r="D15" s="32"/>
      <c r="E15" s="32"/>
      <c r="F15" s="32"/>
      <c r="G15" s="32"/>
      <c r="H15" s="32"/>
      <c r="I15" s="32"/>
      <c r="J15" s="32"/>
      <c r="K15" s="32"/>
      <c r="L15" s="111"/>
      <c r="S15" s="32"/>
      <c r="T15" s="32"/>
      <c r="U15" s="32"/>
      <c r="V15" s="32"/>
      <c r="W15" s="32"/>
      <c r="X15" s="32"/>
      <c r="Y15" s="32"/>
      <c r="Z15" s="32"/>
      <c r="AA15" s="32"/>
      <c r="AB15" s="32"/>
      <c r="AC15" s="32"/>
      <c r="AD15" s="32"/>
      <c r="AE15" s="32"/>
    </row>
    <row r="16" spans="1:31" s="2" customFormat="1" ht="12" customHeight="1">
      <c r="A16" s="32"/>
      <c r="B16" s="37"/>
      <c r="C16" s="32"/>
      <c r="D16" s="110" t="s">
        <v>24</v>
      </c>
      <c r="E16" s="32"/>
      <c r="F16" s="32"/>
      <c r="G16" s="32"/>
      <c r="H16" s="32"/>
      <c r="I16" s="110" t="s">
        <v>25</v>
      </c>
      <c r="J16" s="101" t="s">
        <v>19</v>
      </c>
      <c r="K16" s="32"/>
      <c r="L16" s="111"/>
      <c r="S16" s="32"/>
      <c r="T16" s="32"/>
      <c r="U16" s="32"/>
      <c r="V16" s="32"/>
      <c r="W16" s="32"/>
      <c r="X16" s="32"/>
      <c r="Y16" s="32"/>
      <c r="Z16" s="32"/>
      <c r="AA16" s="32"/>
      <c r="AB16" s="32"/>
      <c r="AC16" s="32"/>
      <c r="AD16" s="32"/>
      <c r="AE16" s="32"/>
    </row>
    <row r="17" spans="1:31" s="2" customFormat="1" ht="18" customHeight="1">
      <c r="A17" s="32"/>
      <c r="B17" s="37"/>
      <c r="C17" s="32"/>
      <c r="D17" s="32"/>
      <c r="E17" s="101" t="s">
        <v>26</v>
      </c>
      <c r="F17" s="32"/>
      <c r="G17" s="32"/>
      <c r="H17" s="32"/>
      <c r="I17" s="110" t="s">
        <v>27</v>
      </c>
      <c r="J17" s="101" t="s">
        <v>19</v>
      </c>
      <c r="K17" s="32"/>
      <c r="L17" s="111"/>
      <c r="S17" s="32"/>
      <c r="T17" s="32"/>
      <c r="U17" s="32"/>
      <c r="V17" s="32"/>
      <c r="W17" s="32"/>
      <c r="X17" s="32"/>
      <c r="Y17" s="32"/>
      <c r="Z17" s="32"/>
      <c r="AA17" s="32"/>
      <c r="AB17" s="32"/>
      <c r="AC17" s="32"/>
      <c r="AD17" s="32"/>
      <c r="AE17" s="32"/>
    </row>
    <row r="18" spans="1:31" s="2" customFormat="1" ht="6.95" customHeight="1">
      <c r="A18" s="32"/>
      <c r="B18" s="37"/>
      <c r="C18" s="32"/>
      <c r="D18" s="32"/>
      <c r="E18" s="32"/>
      <c r="F18" s="32"/>
      <c r="G18" s="32"/>
      <c r="H18" s="32"/>
      <c r="I18" s="32"/>
      <c r="J18" s="32"/>
      <c r="K18" s="32"/>
      <c r="L18" s="111"/>
      <c r="S18" s="32"/>
      <c r="T18" s="32"/>
      <c r="U18" s="32"/>
      <c r="V18" s="32"/>
      <c r="W18" s="32"/>
      <c r="X18" s="32"/>
      <c r="Y18" s="32"/>
      <c r="Z18" s="32"/>
      <c r="AA18" s="32"/>
      <c r="AB18" s="32"/>
      <c r="AC18" s="32"/>
      <c r="AD18" s="32"/>
      <c r="AE18" s="32"/>
    </row>
    <row r="19" spans="1:31" s="2" customFormat="1" ht="12" customHeight="1">
      <c r="A19" s="32"/>
      <c r="B19" s="37"/>
      <c r="C19" s="32"/>
      <c r="D19" s="110" t="s">
        <v>28</v>
      </c>
      <c r="E19" s="32"/>
      <c r="F19" s="32"/>
      <c r="G19" s="32"/>
      <c r="H19" s="32"/>
      <c r="I19" s="110" t="s">
        <v>25</v>
      </c>
      <c r="J19" s="28" t="str">
        <f>'Rekapitulace stavby'!AN13</f>
        <v>Vyplň údaj</v>
      </c>
      <c r="K19" s="32"/>
      <c r="L19" s="111"/>
      <c r="S19" s="32"/>
      <c r="T19" s="32"/>
      <c r="U19" s="32"/>
      <c r="V19" s="32"/>
      <c r="W19" s="32"/>
      <c r="X19" s="32"/>
      <c r="Y19" s="32"/>
      <c r="Z19" s="32"/>
      <c r="AA19" s="32"/>
      <c r="AB19" s="32"/>
      <c r="AC19" s="32"/>
      <c r="AD19" s="32"/>
      <c r="AE19" s="32"/>
    </row>
    <row r="20" spans="1:31" s="2" customFormat="1" ht="18" customHeight="1">
      <c r="A20" s="32"/>
      <c r="B20" s="37"/>
      <c r="C20" s="32"/>
      <c r="D20" s="32"/>
      <c r="E20" s="706" t="str">
        <f>'Rekapitulace stavby'!E14</f>
        <v>Vyplň údaj</v>
      </c>
      <c r="F20" s="707"/>
      <c r="G20" s="707"/>
      <c r="H20" s="707"/>
      <c r="I20" s="110" t="s">
        <v>27</v>
      </c>
      <c r="J20" s="28" t="str">
        <f>'Rekapitulace stavby'!AN14</f>
        <v>Vyplň údaj</v>
      </c>
      <c r="K20" s="32"/>
      <c r="L20" s="111"/>
      <c r="S20" s="32"/>
      <c r="T20" s="32"/>
      <c r="U20" s="32"/>
      <c r="V20" s="32"/>
      <c r="W20" s="32"/>
      <c r="X20" s="32"/>
      <c r="Y20" s="32"/>
      <c r="Z20" s="32"/>
      <c r="AA20" s="32"/>
      <c r="AB20" s="32"/>
      <c r="AC20" s="32"/>
      <c r="AD20" s="32"/>
      <c r="AE20" s="32"/>
    </row>
    <row r="21" spans="1:31" s="2" customFormat="1" ht="6.95" customHeight="1">
      <c r="A21" s="32"/>
      <c r="B21" s="37"/>
      <c r="C21" s="32"/>
      <c r="D21" s="32"/>
      <c r="E21" s="32"/>
      <c r="F21" s="32"/>
      <c r="G21" s="32"/>
      <c r="H21" s="32"/>
      <c r="I21" s="32"/>
      <c r="J21" s="32"/>
      <c r="K21" s="32"/>
      <c r="L21" s="111"/>
      <c r="S21" s="32"/>
      <c r="T21" s="32"/>
      <c r="U21" s="32"/>
      <c r="V21" s="32"/>
      <c r="W21" s="32"/>
      <c r="X21" s="32"/>
      <c r="Y21" s="32"/>
      <c r="Z21" s="32"/>
      <c r="AA21" s="32"/>
      <c r="AB21" s="32"/>
      <c r="AC21" s="32"/>
      <c r="AD21" s="32"/>
      <c r="AE21" s="32"/>
    </row>
    <row r="22" spans="1:31" s="2" customFormat="1" ht="12" customHeight="1">
      <c r="A22" s="32"/>
      <c r="B22" s="37"/>
      <c r="C22" s="32"/>
      <c r="D22" s="110" t="s">
        <v>30</v>
      </c>
      <c r="E22" s="32"/>
      <c r="F22" s="32"/>
      <c r="G22" s="32"/>
      <c r="H22" s="32"/>
      <c r="I22" s="110" t="s">
        <v>25</v>
      </c>
      <c r="J22" s="101" t="s">
        <v>19</v>
      </c>
      <c r="K22" s="32"/>
      <c r="L22" s="111"/>
      <c r="S22" s="32"/>
      <c r="T22" s="32"/>
      <c r="U22" s="32"/>
      <c r="V22" s="32"/>
      <c r="W22" s="32"/>
      <c r="X22" s="32"/>
      <c r="Y22" s="32"/>
      <c r="Z22" s="32"/>
      <c r="AA22" s="32"/>
      <c r="AB22" s="32"/>
      <c r="AC22" s="32"/>
      <c r="AD22" s="32"/>
      <c r="AE22" s="32"/>
    </row>
    <row r="23" spans="1:31" s="2" customFormat="1" ht="18" customHeight="1">
      <c r="A23" s="32"/>
      <c r="B23" s="37"/>
      <c r="C23" s="32"/>
      <c r="D23" s="32"/>
      <c r="E23" s="101" t="s">
        <v>31</v>
      </c>
      <c r="F23" s="32"/>
      <c r="G23" s="32"/>
      <c r="H23" s="32"/>
      <c r="I23" s="110" t="s">
        <v>27</v>
      </c>
      <c r="J23" s="101" t="s">
        <v>19</v>
      </c>
      <c r="K23" s="32"/>
      <c r="L23" s="111"/>
      <c r="S23" s="32"/>
      <c r="T23" s="32"/>
      <c r="U23" s="32"/>
      <c r="V23" s="32"/>
      <c r="W23" s="32"/>
      <c r="X23" s="32"/>
      <c r="Y23" s="32"/>
      <c r="Z23" s="32"/>
      <c r="AA23" s="32"/>
      <c r="AB23" s="32"/>
      <c r="AC23" s="32"/>
      <c r="AD23" s="32"/>
      <c r="AE23" s="32"/>
    </row>
    <row r="24" spans="1:31" s="2" customFormat="1" ht="6.95" customHeight="1">
      <c r="A24" s="32"/>
      <c r="B24" s="37"/>
      <c r="C24" s="32"/>
      <c r="D24" s="32"/>
      <c r="E24" s="32"/>
      <c r="F24" s="32"/>
      <c r="G24" s="32"/>
      <c r="H24" s="32"/>
      <c r="I24" s="32"/>
      <c r="J24" s="32"/>
      <c r="K24" s="32"/>
      <c r="L24" s="111"/>
      <c r="S24" s="32"/>
      <c r="T24" s="32"/>
      <c r="U24" s="32"/>
      <c r="V24" s="32"/>
      <c r="W24" s="32"/>
      <c r="X24" s="32"/>
      <c r="Y24" s="32"/>
      <c r="Z24" s="32"/>
      <c r="AA24" s="32"/>
      <c r="AB24" s="32"/>
      <c r="AC24" s="32"/>
      <c r="AD24" s="32"/>
      <c r="AE24" s="32"/>
    </row>
    <row r="25" spans="1:31" s="2" customFormat="1" ht="12" customHeight="1">
      <c r="A25" s="32"/>
      <c r="B25" s="37"/>
      <c r="C25" s="32"/>
      <c r="D25" s="110" t="s">
        <v>33</v>
      </c>
      <c r="E25" s="32"/>
      <c r="F25" s="32"/>
      <c r="G25" s="32"/>
      <c r="H25" s="32"/>
      <c r="I25" s="110" t="s">
        <v>25</v>
      </c>
      <c r="J25" s="101" t="s">
        <v>19</v>
      </c>
      <c r="K25" s="32"/>
      <c r="L25" s="111"/>
      <c r="S25" s="32"/>
      <c r="T25" s="32"/>
      <c r="U25" s="32"/>
      <c r="V25" s="32"/>
      <c r="W25" s="32"/>
      <c r="X25" s="32"/>
      <c r="Y25" s="32"/>
      <c r="Z25" s="32"/>
      <c r="AA25" s="32"/>
      <c r="AB25" s="32"/>
      <c r="AC25" s="32"/>
      <c r="AD25" s="32"/>
      <c r="AE25" s="32"/>
    </row>
    <row r="26" spans="1:31" s="2" customFormat="1" ht="18" customHeight="1">
      <c r="A26" s="32"/>
      <c r="B26" s="37"/>
      <c r="C26" s="32"/>
      <c r="D26" s="32"/>
      <c r="E26" s="101" t="s">
        <v>31</v>
      </c>
      <c r="F26" s="32"/>
      <c r="G26" s="32"/>
      <c r="H26" s="32"/>
      <c r="I26" s="110" t="s">
        <v>27</v>
      </c>
      <c r="J26" s="101" t="s">
        <v>19</v>
      </c>
      <c r="K26" s="32"/>
      <c r="L26" s="111"/>
      <c r="S26" s="32"/>
      <c r="T26" s="32"/>
      <c r="U26" s="32"/>
      <c r="V26" s="32"/>
      <c r="W26" s="32"/>
      <c r="X26" s="32"/>
      <c r="Y26" s="32"/>
      <c r="Z26" s="32"/>
      <c r="AA26" s="32"/>
      <c r="AB26" s="32"/>
      <c r="AC26" s="32"/>
      <c r="AD26" s="32"/>
      <c r="AE26" s="32"/>
    </row>
    <row r="27" spans="1:31" s="2" customFormat="1" ht="6.95" customHeight="1">
      <c r="A27" s="32"/>
      <c r="B27" s="37"/>
      <c r="C27" s="32"/>
      <c r="D27" s="32"/>
      <c r="E27" s="32"/>
      <c r="F27" s="32"/>
      <c r="G27" s="32"/>
      <c r="H27" s="32"/>
      <c r="I27" s="32"/>
      <c r="J27" s="32"/>
      <c r="K27" s="32"/>
      <c r="L27" s="111"/>
      <c r="S27" s="32"/>
      <c r="T27" s="32"/>
      <c r="U27" s="32"/>
      <c r="V27" s="32"/>
      <c r="W27" s="32"/>
      <c r="X27" s="32"/>
      <c r="Y27" s="32"/>
      <c r="Z27" s="32"/>
      <c r="AA27" s="32"/>
      <c r="AB27" s="32"/>
      <c r="AC27" s="32"/>
      <c r="AD27" s="32"/>
      <c r="AE27" s="32"/>
    </row>
    <row r="28" spans="1:31" s="2" customFormat="1" ht="12" customHeight="1">
      <c r="A28" s="32"/>
      <c r="B28" s="37"/>
      <c r="C28" s="32"/>
      <c r="D28" s="110" t="s">
        <v>34</v>
      </c>
      <c r="E28" s="32"/>
      <c r="F28" s="32"/>
      <c r="G28" s="32"/>
      <c r="H28" s="32"/>
      <c r="I28" s="32"/>
      <c r="J28" s="32"/>
      <c r="K28" s="32"/>
      <c r="L28" s="111"/>
      <c r="S28" s="32"/>
      <c r="T28" s="32"/>
      <c r="U28" s="32"/>
      <c r="V28" s="32"/>
      <c r="W28" s="32"/>
      <c r="X28" s="32"/>
      <c r="Y28" s="32"/>
      <c r="Z28" s="32"/>
      <c r="AA28" s="32"/>
      <c r="AB28" s="32"/>
      <c r="AC28" s="32"/>
      <c r="AD28" s="32"/>
      <c r="AE28" s="32"/>
    </row>
    <row r="29" spans="1:31" s="8" customFormat="1" ht="14.45" customHeight="1">
      <c r="A29" s="113"/>
      <c r="B29" s="114"/>
      <c r="C29" s="113"/>
      <c r="D29" s="113"/>
      <c r="E29" s="708" t="s">
        <v>19</v>
      </c>
      <c r="F29" s="708"/>
      <c r="G29" s="708"/>
      <c r="H29" s="708"/>
      <c r="I29" s="113"/>
      <c r="J29" s="113"/>
      <c r="K29" s="113"/>
      <c r="L29" s="115"/>
      <c r="S29" s="113"/>
      <c r="T29" s="113"/>
      <c r="U29" s="113"/>
      <c r="V29" s="113"/>
      <c r="W29" s="113"/>
      <c r="X29" s="113"/>
      <c r="Y29" s="113"/>
      <c r="Z29" s="113"/>
      <c r="AA29" s="113"/>
      <c r="AB29" s="113"/>
      <c r="AC29" s="113"/>
      <c r="AD29" s="113"/>
      <c r="AE29" s="113"/>
    </row>
    <row r="30" spans="1:31" s="2" customFormat="1" ht="6.95" customHeight="1">
      <c r="A30" s="32"/>
      <c r="B30" s="37"/>
      <c r="C30" s="32"/>
      <c r="D30" s="32"/>
      <c r="E30" s="32"/>
      <c r="F30" s="32"/>
      <c r="G30" s="32"/>
      <c r="H30" s="32"/>
      <c r="I30" s="32"/>
      <c r="J30" s="32"/>
      <c r="K30" s="32"/>
      <c r="L30" s="111"/>
      <c r="S30" s="32"/>
      <c r="T30" s="32"/>
      <c r="U30" s="32"/>
      <c r="V30" s="32"/>
      <c r="W30" s="32"/>
      <c r="X30" s="32"/>
      <c r="Y30" s="32"/>
      <c r="Z30" s="32"/>
      <c r="AA30" s="32"/>
      <c r="AB30" s="32"/>
      <c r="AC30" s="32"/>
      <c r="AD30" s="32"/>
      <c r="AE30" s="32"/>
    </row>
    <row r="31" spans="1:31" s="2" customFormat="1" ht="6.95" customHeight="1">
      <c r="A31" s="32"/>
      <c r="B31" s="37"/>
      <c r="C31" s="32"/>
      <c r="D31" s="116"/>
      <c r="E31" s="116"/>
      <c r="F31" s="116"/>
      <c r="G31" s="116"/>
      <c r="H31" s="116"/>
      <c r="I31" s="116"/>
      <c r="J31" s="116"/>
      <c r="K31" s="116"/>
      <c r="L31" s="111"/>
      <c r="S31" s="32"/>
      <c r="T31" s="32"/>
      <c r="U31" s="32"/>
      <c r="V31" s="32"/>
      <c r="W31" s="32"/>
      <c r="X31" s="32"/>
      <c r="Y31" s="32"/>
      <c r="Z31" s="32"/>
      <c r="AA31" s="32"/>
      <c r="AB31" s="32"/>
      <c r="AC31" s="32"/>
      <c r="AD31" s="32"/>
      <c r="AE31" s="32"/>
    </row>
    <row r="32" spans="1:31" s="2" customFormat="1" ht="25.35" customHeight="1">
      <c r="A32" s="32"/>
      <c r="B32" s="37"/>
      <c r="C32" s="32"/>
      <c r="D32" s="117" t="s">
        <v>36</v>
      </c>
      <c r="E32" s="32"/>
      <c r="F32" s="32"/>
      <c r="G32" s="32"/>
      <c r="H32" s="32"/>
      <c r="I32" s="32"/>
      <c r="J32" s="118">
        <f>ROUND(J91,2)</f>
        <v>0</v>
      </c>
      <c r="K32" s="32"/>
      <c r="L32" s="111"/>
      <c r="S32" s="32"/>
      <c r="T32" s="32"/>
      <c r="U32" s="32"/>
      <c r="V32" s="32"/>
      <c r="W32" s="32"/>
      <c r="X32" s="32"/>
      <c r="Y32" s="32"/>
      <c r="Z32" s="32"/>
      <c r="AA32" s="32"/>
      <c r="AB32" s="32"/>
      <c r="AC32" s="32"/>
      <c r="AD32" s="32"/>
      <c r="AE32" s="32"/>
    </row>
    <row r="33" spans="1:31" s="2" customFormat="1" ht="6.95" customHeight="1">
      <c r="A33" s="32"/>
      <c r="B33" s="37"/>
      <c r="C33" s="32"/>
      <c r="D33" s="116"/>
      <c r="E33" s="116"/>
      <c r="F33" s="116"/>
      <c r="G33" s="116"/>
      <c r="H33" s="116"/>
      <c r="I33" s="116"/>
      <c r="J33" s="116"/>
      <c r="K33" s="116"/>
      <c r="L33" s="111"/>
      <c r="S33" s="32"/>
      <c r="T33" s="32"/>
      <c r="U33" s="32"/>
      <c r="V33" s="32"/>
      <c r="W33" s="32"/>
      <c r="X33" s="32"/>
      <c r="Y33" s="32"/>
      <c r="Z33" s="32"/>
      <c r="AA33" s="32"/>
      <c r="AB33" s="32"/>
      <c r="AC33" s="32"/>
      <c r="AD33" s="32"/>
      <c r="AE33" s="32"/>
    </row>
    <row r="34" spans="1:31" s="2" customFormat="1" ht="14.45" customHeight="1">
      <c r="A34" s="32"/>
      <c r="B34" s="37"/>
      <c r="C34" s="32"/>
      <c r="D34" s="32"/>
      <c r="E34" s="32"/>
      <c r="F34" s="119" t="s">
        <v>38</v>
      </c>
      <c r="G34" s="32"/>
      <c r="H34" s="32"/>
      <c r="I34" s="119" t="s">
        <v>37</v>
      </c>
      <c r="J34" s="119" t="s">
        <v>39</v>
      </c>
      <c r="K34" s="32"/>
      <c r="L34" s="111"/>
      <c r="S34" s="32"/>
      <c r="T34" s="32"/>
      <c r="U34" s="32"/>
      <c r="V34" s="32"/>
      <c r="W34" s="32"/>
      <c r="X34" s="32"/>
      <c r="Y34" s="32"/>
      <c r="Z34" s="32"/>
      <c r="AA34" s="32"/>
      <c r="AB34" s="32"/>
      <c r="AC34" s="32"/>
      <c r="AD34" s="32"/>
      <c r="AE34" s="32"/>
    </row>
    <row r="35" spans="1:31" s="2" customFormat="1" ht="14.45" customHeight="1">
      <c r="A35" s="32"/>
      <c r="B35" s="37"/>
      <c r="C35" s="32"/>
      <c r="D35" s="120" t="s">
        <v>40</v>
      </c>
      <c r="E35" s="110" t="s">
        <v>41</v>
      </c>
      <c r="F35" s="121">
        <f>ROUND((SUM(BE91:BE113)),2)</f>
        <v>0</v>
      </c>
      <c r="G35" s="32"/>
      <c r="H35" s="32"/>
      <c r="I35" s="122">
        <v>0.21</v>
      </c>
      <c r="J35" s="121">
        <f>ROUND(((SUM(BE91:BE113))*I35),2)</f>
        <v>0</v>
      </c>
      <c r="K35" s="32"/>
      <c r="L35" s="111"/>
      <c r="S35" s="32"/>
      <c r="T35" s="32"/>
      <c r="U35" s="32"/>
      <c r="V35" s="32"/>
      <c r="W35" s="32"/>
      <c r="X35" s="32"/>
      <c r="Y35" s="32"/>
      <c r="Z35" s="32"/>
      <c r="AA35" s="32"/>
      <c r="AB35" s="32"/>
      <c r="AC35" s="32"/>
      <c r="AD35" s="32"/>
      <c r="AE35" s="32"/>
    </row>
    <row r="36" spans="1:31" s="2" customFormat="1" ht="14.45" customHeight="1">
      <c r="A36" s="32"/>
      <c r="B36" s="37"/>
      <c r="C36" s="32"/>
      <c r="D36" s="32"/>
      <c r="E36" s="110" t="s">
        <v>42</v>
      </c>
      <c r="F36" s="121">
        <f>ROUND((SUM(BF91:BF113)),2)</f>
        <v>0</v>
      </c>
      <c r="G36" s="32"/>
      <c r="H36" s="32"/>
      <c r="I36" s="122">
        <v>0.15</v>
      </c>
      <c r="J36" s="121">
        <f>ROUND(((SUM(BF91:BF113))*I36),2)</f>
        <v>0</v>
      </c>
      <c r="K36" s="32"/>
      <c r="L36" s="111"/>
      <c r="S36" s="32"/>
      <c r="T36" s="32"/>
      <c r="U36" s="32"/>
      <c r="V36" s="32"/>
      <c r="W36" s="32"/>
      <c r="X36" s="32"/>
      <c r="Y36" s="32"/>
      <c r="Z36" s="32"/>
      <c r="AA36" s="32"/>
      <c r="AB36" s="32"/>
      <c r="AC36" s="32"/>
      <c r="AD36" s="32"/>
      <c r="AE36" s="32"/>
    </row>
    <row r="37" spans="1:31" s="2" customFormat="1" ht="14.45" customHeight="1" hidden="1">
      <c r="A37" s="32"/>
      <c r="B37" s="37"/>
      <c r="C37" s="32"/>
      <c r="D37" s="32"/>
      <c r="E37" s="110" t="s">
        <v>43</v>
      </c>
      <c r="F37" s="121">
        <f>ROUND((SUM(BG91:BG113)),2)</f>
        <v>0</v>
      </c>
      <c r="G37" s="32"/>
      <c r="H37" s="32"/>
      <c r="I37" s="122">
        <v>0.21</v>
      </c>
      <c r="J37" s="121">
        <f>0</f>
        <v>0</v>
      </c>
      <c r="K37" s="32"/>
      <c r="L37" s="111"/>
      <c r="S37" s="32"/>
      <c r="T37" s="32"/>
      <c r="U37" s="32"/>
      <c r="V37" s="32"/>
      <c r="W37" s="32"/>
      <c r="X37" s="32"/>
      <c r="Y37" s="32"/>
      <c r="Z37" s="32"/>
      <c r="AA37" s="32"/>
      <c r="AB37" s="32"/>
      <c r="AC37" s="32"/>
      <c r="AD37" s="32"/>
      <c r="AE37" s="32"/>
    </row>
    <row r="38" spans="1:31" s="2" customFormat="1" ht="14.45" customHeight="1" hidden="1">
      <c r="A38" s="32"/>
      <c r="B38" s="37"/>
      <c r="C38" s="32"/>
      <c r="D38" s="32"/>
      <c r="E38" s="110" t="s">
        <v>44</v>
      </c>
      <c r="F38" s="121">
        <f>ROUND((SUM(BH91:BH113)),2)</f>
        <v>0</v>
      </c>
      <c r="G38" s="32"/>
      <c r="H38" s="32"/>
      <c r="I38" s="122">
        <v>0.15</v>
      </c>
      <c r="J38" s="121">
        <f>0</f>
        <v>0</v>
      </c>
      <c r="K38" s="32"/>
      <c r="L38" s="111"/>
      <c r="S38" s="32"/>
      <c r="T38" s="32"/>
      <c r="U38" s="32"/>
      <c r="V38" s="32"/>
      <c r="W38" s="32"/>
      <c r="X38" s="32"/>
      <c r="Y38" s="32"/>
      <c r="Z38" s="32"/>
      <c r="AA38" s="32"/>
      <c r="AB38" s="32"/>
      <c r="AC38" s="32"/>
      <c r="AD38" s="32"/>
      <c r="AE38" s="32"/>
    </row>
    <row r="39" spans="1:31" s="2" customFormat="1" ht="14.45" customHeight="1" hidden="1">
      <c r="A39" s="32"/>
      <c r="B39" s="37"/>
      <c r="C39" s="32"/>
      <c r="D39" s="32"/>
      <c r="E39" s="110" t="s">
        <v>45</v>
      </c>
      <c r="F39" s="121">
        <f>ROUND((SUM(BI91:BI113)),2)</f>
        <v>0</v>
      </c>
      <c r="G39" s="32"/>
      <c r="H39" s="32"/>
      <c r="I39" s="122">
        <v>0</v>
      </c>
      <c r="J39" s="121">
        <f>0</f>
        <v>0</v>
      </c>
      <c r="K39" s="32"/>
      <c r="L39" s="111"/>
      <c r="S39" s="32"/>
      <c r="T39" s="32"/>
      <c r="U39" s="32"/>
      <c r="V39" s="32"/>
      <c r="W39" s="32"/>
      <c r="X39" s="32"/>
      <c r="Y39" s="32"/>
      <c r="Z39" s="32"/>
      <c r="AA39" s="32"/>
      <c r="AB39" s="32"/>
      <c r="AC39" s="32"/>
      <c r="AD39" s="32"/>
      <c r="AE39" s="32"/>
    </row>
    <row r="40" spans="1:31" s="2" customFormat="1" ht="6.95" customHeight="1">
      <c r="A40" s="32"/>
      <c r="B40" s="37"/>
      <c r="C40" s="32"/>
      <c r="D40" s="32"/>
      <c r="E40" s="32"/>
      <c r="F40" s="32"/>
      <c r="G40" s="32"/>
      <c r="H40" s="32"/>
      <c r="I40" s="32"/>
      <c r="J40" s="32"/>
      <c r="K40" s="32"/>
      <c r="L40" s="111"/>
      <c r="S40" s="32"/>
      <c r="T40" s="32"/>
      <c r="U40" s="32"/>
      <c r="V40" s="32"/>
      <c r="W40" s="32"/>
      <c r="X40" s="32"/>
      <c r="Y40" s="32"/>
      <c r="Z40" s="32"/>
      <c r="AA40" s="32"/>
      <c r="AB40" s="32"/>
      <c r="AC40" s="32"/>
      <c r="AD40" s="32"/>
      <c r="AE40" s="32"/>
    </row>
    <row r="41" spans="1:31" s="2" customFormat="1" ht="25.35" customHeight="1">
      <c r="A41" s="32"/>
      <c r="B41" s="37"/>
      <c r="C41" s="123"/>
      <c r="D41" s="124" t="s">
        <v>46</v>
      </c>
      <c r="E41" s="125"/>
      <c r="F41" s="125"/>
      <c r="G41" s="126" t="s">
        <v>47</v>
      </c>
      <c r="H41" s="127" t="s">
        <v>48</v>
      </c>
      <c r="I41" s="125"/>
      <c r="J41" s="128">
        <f>SUM(J32:J39)</f>
        <v>0</v>
      </c>
      <c r="K41" s="129"/>
      <c r="L41" s="111"/>
      <c r="S41" s="32"/>
      <c r="T41" s="32"/>
      <c r="U41" s="32"/>
      <c r="V41" s="32"/>
      <c r="W41" s="32"/>
      <c r="X41" s="32"/>
      <c r="Y41" s="32"/>
      <c r="Z41" s="32"/>
      <c r="AA41" s="32"/>
      <c r="AB41" s="32"/>
      <c r="AC41" s="32"/>
      <c r="AD41" s="32"/>
      <c r="AE41" s="32"/>
    </row>
    <row r="42" spans="1:31" s="2" customFormat="1" ht="14.45" customHeight="1">
      <c r="A42" s="32"/>
      <c r="B42" s="130"/>
      <c r="C42" s="131"/>
      <c r="D42" s="131"/>
      <c r="E42" s="131"/>
      <c r="F42" s="131"/>
      <c r="G42" s="131"/>
      <c r="H42" s="131"/>
      <c r="I42" s="131"/>
      <c r="J42" s="131"/>
      <c r="K42" s="131"/>
      <c r="L42" s="111"/>
      <c r="S42" s="32"/>
      <c r="T42" s="32"/>
      <c r="U42" s="32"/>
      <c r="V42" s="32"/>
      <c r="W42" s="32"/>
      <c r="X42" s="32"/>
      <c r="Y42" s="32"/>
      <c r="Z42" s="32"/>
      <c r="AA42" s="32"/>
      <c r="AB42" s="32"/>
      <c r="AC42" s="32"/>
      <c r="AD42" s="32"/>
      <c r="AE42" s="32"/>
    </row>
    <row r="46" spans="1:31" s="2" customFormat="1" ht="6.95" customHeight="1">
      <c r="A46" s="32"/>
      <c r="B46" s="132"/>
      <c r="C46" s="133"/>
      <c r="D46" s="133"/>
      <c r="E46" s="133"/>
      <c r="F46" s="133"/>
      <c r="G46" s="133"/>
      <c r="H46" s="133"/>
      <c r="I46" s="133"/>
      <c r="J46" s="133"/>
      <c r="K46" s="133"/>
      <c r="L46" s="111"/>
      <c r="S46" s="32"/>
      <c r="T46" s="32"/>
      <c r="U46" s="32"/>
      <c r="V46" s="32"/>
      <c r="W46" s="32"/>
      <c r="X46" s="32"/>
      <c r="Y46" s="32"/>
      <c r="Z46" s="32"/>
      <c r="AA46" s="32"/>
      <c r="AB46" s="32"/>
      <c r="AC46" s="32"/>
      <c r="AD46" s="32"/>
      <c r="AE46" s="32"/>
    </row>
    <row r="47" spans="1:31" s="2" customFormat="1" ht="24.95" customHeight="1">
      <c r="A47" s="32"/>
      <c r="B47" s="33"/>
      <c r="C47" s="21" t="s">
        <v>147</v>
      </c>
      <c r="D47" s="34"/>
      <c r="E47" s="34"/>
      <c r="F47" s="34"/>
      <c r="G47" s="34"/>
      <c r="H47" s="34"/>
      <c r="I47" s="34"/>
      <c r="J47" s="34"/>
      <c r="K47" s="34"/>
      <c r="L47" s="111"/>
      <c r="S47" s="32"/>
      <c r="T47" s="32"/>
      <c r="U47" s="32"/>
      <c r="V47" s="32"/>
      <c r="W47" s="32"/>
      <c r="X47" s="32"/>
      <c r="Y47" s="32"/>
      <c r="Z47" s="32"/>
      <c r="AA47" s="32"/>
      <c r="AB47" s="32"/>
      <c r="AC47" s="32"/>
      <c r="AD47" s="32"/>
      <c r="AE47" s="32"/>
    </row>
    <row r="48" spans="1:31" s="2" customFormat="1" ht="6.95" customHeight="1">
      <c r="A48" s="32"/>
      <c r="B48" s="33"/>
      <c r="C48" s="34"/>
      <c r="D48" s="34"/>
      <c r="E48" s="34"/>
      <c r="F48" s="34"/>
      <c r="G48" s="34"/>
      <c r="H48" s="34"/>
      <c r="I48" s="34"/>
      <c r="J48" s="34"/>
      <c r="K48" s="34"/>
      <c r="L48" s="111"/>
      <c r="S48" s="32"/>
      <c r="T48" s="32"/>
      <c r="U48" s="32"/>
      <c r="V48" s="32"/>
      <c r="W48" s="32"/>
      <c r="X48" s="32"/>
      <c r="Y48" s="32"/>
      <c r="Z48" s="32"/>
      <c r="AA48" s="32"/>
      <c r="AB48" s="32"/>
      <c r="AC48" s="32"/>
      <c r="AD48" s="32"/>
      <c r="AE48" s="32"/>
    </row>
    <row r="49" spans="1:31" s="2" customFormat="1" ht="12" customHeight="1">
      <c r="A49" s="32"/>
      <c r="B49" s="33"/>
      <c r="C49" s="27" t="s">
        <v>16</v>
      </c>
      <c r="D49" s="34"/>
      <c r="E49" s="34"/>
      <c r="F49" s="34"/>
      <c r="G49" s="34"/>
      <c r="H49" s="34"/>
      <c r="I49" s="34"/>
      <c r="J49" s="34"/>
      <c r="K49" s="34"/>
      <c r="L49" s="111"/>
      <c r="S49" s="32"/>
      <c r="T49" s="32"/>
      <c r="U49" s="32"/>
      <c r="V49" s="32"/>
      <c r="W49" s="32"/>
      <c r="X49" s="32"/>
      <c r="Y49" s="32"/>
      <c r="Z49" s="32"/>
      <c r="AA49" s="32"/>
      <c r="AB49" s="32"/>
      <c r="AC49" s="32"/>
      <c r="AD49" s="32"/>
      <c r="AE49" s="32"/>
    </row>
    <row r="50" spans="1:31" s="2" customFormat="1" ht="14.45" customHeight="1">
      <c r="A50" s="32"/>
      <c r="B50" s="33"/>
      <c r="C50" s="34"/>
      <c r="D50" s="34"/>
      <c r="E50" s="700" t="str">
        <f>E7</f>
        <v>Úpravy gastroprovozu Úřadu vlády ČR v 1.pp Strakovy akademie</v>
      </c>
      <c r="F50" s="701"/>
      <c r="G50" s="701"/>
      <c r="H50" s="701"/>
      <c r="I50" s="34"/>
      <c r="J50" s="34"/>
      <c r="K50" s="34"/>
      <c r="L50" s="111"/>
      <c r="S50" s="32"/>
      <c r="T50" s="32"/>
      <c r="U50" s="32"/>
      <c r="V50" s="32"/>
      <c r="W50" s="32"/>
      <c r="X50" s="32"/>
      <c r="Y50" s="32"/>
      <c r="Z50" s="32"/>
      <c r="AA50" s="32"/>
      <c r="AB50" s="32"/>
      <c r="AC50" s="32"/>
      <c r="AD50" s="32"/>
      <c r="AE50" s="32"/>
    </row>
    <row r="51" spans="2:12" s="1" customFormat="1" ht="12" customHeight="1">
      <c r="B51" s="19"/>
      <c r="C51" s="27" t="s">
        <v>142</v>
      </c>
      <c r="D51" s="20"/>
      <c r="E51" s="20"/>
      <c r="F51" s="20"/>
      <c r="G51" s="20"/>
      <c r="H51" s="20"/>
      <c r="I51" s="20"/>
      <c r="J51" s="20"/>
      <c r="K51" s="20"/>
      <c r="L51" s="18"/>
    </row>
    <row r="52" spans="1:31" s="2" customFormat="1" ht="14.45" customHeight="1">
      <c r="A52" s="32"/>
      <c r="B52" s="33"/>
      <c r="C52" s="34"/>
      <c r="D52" s="34"/>
      <c r="E52" s="700" t="s">
        <v>1496</v>
      </c>
      <c r="F52" s="699"/>
      <c r="G52" s="699"/>
      <c r="H52" s="699"/>
      <c r="I52" s="34"/>
      <c r="J52" s="34"/>
      <c r="K52" s="34"/>
      <c r="L52" s="111"/>
      <c r="S52" s="32"/>
      <c r="T52" s="32"/>
      <c r="U52" s="32"/>
      <c r="V52" s="32"/>
      <c r="W52" s="32"/>
      <c r="X52" s="32"/>
      <c r="Y52" s="32"/>
      <c r="Z52" s="32"/>
      <c r="AA52" s="32"/>
      <c r="AB52" s="32"/>
      <c r="AC52" s="32"/>
      <c r="AD52" s="32"/>
      <c r="AE52" s="32"/>
    </row>
    <row r="53" spans="1:31" s="2" customFormat="1" ht="12" customHeight="1">
      <c r="A53" s="32"/>
      <c r="B53" s="33"/>
      <c r="C53" s="27" t="s">
        <v>144</v>
      </c>
      <c r="D53" s="34"/>
      <c r="E53" s="34"/>
      <c r="F53" s="34"/>
      <c r="G53" s="34"/>
      <c r="H53" s="34"/>
      <c r="I53" s="34"/>
      <c r="J53" s="34"/>
      <c r="K53" s="34"/>
      <c r="L53" s="111"/>
      <c r="S53" s="32"/>
      <c r="T53" s="32"/>
      <c r="U53" s="32"/>
      <c r="V53" s="32"/>
      <c r="W53" s="32"/>
      <c r="X53" s="32"/>
      <c r="Y53" s="32"/>
      <c r="Z53" s="32"/>
      <c r="AA53" s="32"/>
      <c r="AB53" s="32"/>
      <c r="AC53" s="32"/>
      <c r="AD53" s="32"/>
      <c r="AE53" s="32"/>
    </row>
    <row r="54" spans="1:31" s="2" customFormat="1" ht="14.45" customHeight="1">
      <c r="A54" s="32"/>
      <c r="B54" s="33"/>
      <c r="C54" s="34"/>
      <c r="D54" s="34"/>
      <c r="E54" s="696" t="str">
        <f>E11</f>
        <v xml:space="preserve">VON - Soupis prací - Vedlejší a ostatní náklady </v>
      </c>
      <c r="F54" s="699"/>
      <c r="G54" s="699"/>
      <c r="H54" s="699"/>
      <c r="I54" s="34"/>
      <c r="J54" s="34"/>
      <c r="K54" s="34"/>
      <c r="L54" s="111"/>
      <c r="S54" s="32"/>
      <c r="T54" s="32"/>
      <c r="U54" s="32"/>
      <c r="V54" s="32"/>
      <c r="W54" s="32"/>
      <c r="X54" s="32"/>
      <c r="Y54" s="32"/>
      <c r="Z54" s="32"/>
      <c r="AA54" s="32"/>
      <c r="AB54" s="32"/>
      <c r="AC54" s="32"/>
      <c r="AD54" s="32"/>
      <c r="AE54" s="32"/>
    </row>
    <row r="55" spans="1:31" s="2" customFormat="1" ht="6.95" customHeight="1">
      <c r="A55" s="32"/>
      <c r="B55" s="33"/>
      <c r="C55" s="34"/>
      <c r="D55" s="34"/>
      <c r="E55" s="34"/>
      <c r="F55" s="34"/>
      <c r="G55" s="34"/>
      <c r="H55" s="34"/>
      <c r="I55" s="34"/>
      <c r="J55" s="34"/>
      <c r="K55" s="34"/>
      <c r="L55" s="111"/>
      <c r="S55" s="32"/>
      <c r="T55" s="32"/>
      <c r="U55" s="32"/>
      <c r="V55" s="32"/>
      <c r="W55" s="32"/>
      <c r="X55" s="32"/>
      <c r="Y55" s="32"/>
      <c r="Z55" s="32"/>
      <c r="AA55" s="32"/>
      <c r="AB55" s="32"/>
      <c r="AC55" s="32"/>
      <c r="AD55" s="32"/>
      <c r="AE55" s="32"/>
    </row>
    <row r="56" spans="1:31" s="2" customFormat="1" ht="12" customHeight="1">
      <c r="A56" s="32"/>
      <c r="B56" s="33"/>
      <c r="C56" s="27" t="s">
        <v>21</v>
      </c>
      <c r="D56" s="34"/>
      <c r="E56" s="34"/>
      <c r="F56" s="25" t="str">
        <f>F14</f>
        <v xml:space="preserve"> </v>
      </c>
      <c r="G56" s="34"/>
      <c r="H56" s="34"/>
      <c r="I56" s="27" t="s">
        <v>23</v>
      </c>
      <c r="J56" s="57" t="str">
        <f>IF(J14="","",J14)</f>
        <v>Vyplň údaj</v>
      </c>
      <c r="K56" s="34"/>
      <c r="L56" s="111"/>
      <c r="S56" s="32"/>
      <c r="T56" s="32"/>
      <c r="U56" s="32"/>
      <c r="V56" s="32"/>
      <c r="W56" s="32"/>
      <c r="X56" s="32"/>
      <c r="Y56" s="32"/>
      <c r="Z56" s="32"/>
      <c r="AA56" s="32"/>
      <c r="AB56" s="32"/>
      <c r="AC56" s="32"/>
      <c r="AD56" s="32"/>
      <c r="AE56" s="32"/>
    </row>
    <row r="57" spans="1:31" s="2" customFormat="1" ht="6.95" customHeight="1">
      <c r="A57" s="32"/>
      <c r="B57" s="33"/>
      <c r="C57" s="34"/>
      <c r="D57" s="34"/>
      <c r="E57" s="34"/>
      <c r="F57" s="34"/>
      <c r="G57" s="34"/>
      <c r="H57" s="34"/>
      <c r="I57" s="34"/>
      <c r="J57" s="34"/>
      <c r="K57" s="34"/>
      <c r="L57" s="111"/>
      <c r="S57" s="32"/>
      <c r="T57" s="32"/>
      <c r="U57" s="32"/>
      <c r="V57" s="32"/>
      <c r="W57" s="32"/>
      <c r="X57" s="32"/>
      <c r="Y57" s="32"/>
      <c r="Z57" s="32"/>
      <c r="AA57" s="32"/>
      <c r="AB57" s="32"/>
      <c r="AC57" s="32"/>
      <c r="AD57" s="32"/>
      <c r="AE57" s="32"/>
    </row>
    <row r="58" spans="1:31" s="2" customFormat="1" ht="26.45" customHeight="1">
      <c r="A58" s="32"/>
      <c r="B58" s="33"/>
      <c r="C58" s="27" t="s">
        <v>24</v>
      </c>
      <c r="D58" s="34"/>
      <c r="E58" s="34"/>
      <c r="F58" s="25" t="str">
        <f>E17</f>
        <v xml:space="preserve">Úřad vlády České republiky </v>
      </c>
      <c r="G58" s="34"/>
      <c r="H58" s="34"/>
      <c r="I58" s="27" t="s">
        <v>30</v>
      </c>
      <c r="J58" s="30" t="str">
        <f>E23</f>
        <v>Ateliér Simona Group</v>
      </c>
      <c r="K58" s="34"/>
      <c r="L58" s="111"/>
      <c r="S58" s="32"/>
      <c r="T58" s="32"/>
      <c r="U58" s="32"/>
      <c r="V58" s="32"/>
      <c r="W58" s="32"/>
      <c r="X58" s="32"/>
      <c r="Y58" s="32"/>
      <c r="Z58" s="32"/>
      <c r="AA58" s="32"/>
      <c r="AB58" s="32"/>
      <c r="AC58" s="32"/>
      <c r="AD58" s="32"/>
      <c r="AE58" s="32"/>
    </row>
    <row r="59" spans="1:31" s="2" customFormat="1" ht="26.45" customHeight="1">
      <c r="A59" s="32"/>
      <c r="B59" s="33"/>
      <c r="C59" s="27" t="s">
        <v>28</v>
      </c>
      <c r="D59" s="34"/>
      <c r="E59" s="34"/>
      <c r="F59" s="25" t="str">
        <f>IF(E20="","",E20)</f>
        <v>Vyplň údaj</v>
      </c>
      <c r="G59" s="34"/>
      <c r="H59" s="34"/>
      <c r="I59" s="27" t="s">
        <v>33</v>
      </c>
      <c r="J59" s="30" t="str">
        <f>E26</f>
        <v>Ateliér Simona Group</v>
      </c>
      <c r="K59" s="34"/>
      <c r="L59" s="111"/>
      <c r="S59" s="32"/>
      <c r="T59" s="32"/>
      <c r="U59" s="32"/>
      <c r="V59" s="32"/>
      <c r="W59" s="32"/>
      <c r="X59" s="32"/>
      <c r="Y59" s="32"/>
      <c r="Z59" s="32"/>
      <c r="AA59" s="32"/>
      <c r="AB59" s="32"/>
      <c r="AC59" s="32"/>
      <c r="AD59" s="32"/>
      <c r="AE59" s="32"/>
    </row>
    <row r="60" spans="1:31" s="2" customFormat="1" ht="10.35" customHeight="1">
      <c r="A60" s="32"/>
      <c r="B60" s="33"/>
      <c r="C60" s="34"/>
      <c r="D60" s="34"/>
      <c r="E60" s="34"/>
      <c r="F60" s="34"/>
      <c r="G60" s="34"/>
      <c r="H60" s="34"/>
      <c r="I60" s="34"/>
      <c r="J60" s="34"/>
      <c r="K60" s="34"/>
      <c r="L60" s="111"/>
      <c r="S60" s="32"/>
      <c r="T60" s="32"/>
      <c r="U60" s="32"/>
      <c r="V60" s="32"/>
      <c r="W60" s="32"/>
      <c r="X60" s="32"/>
      <c r="Y60" s="32"/>
      <c r="Z60" s="32"/>
      <c r="AA60" s="32"/>
      <c r="AB60" s="32"/>
      <c r="AC60" s="32"/>
      <c r="AD60" s="32"/>
      <c r="AE60" s="32"/>
    </row>
    <row r="61" spans="1:31" s="2" customFormat="1" ht="29.25" customHeight="1">
      <c r="A61" s="32"/>
      <c r="B61" s="33"/>
      <c r="C61" s="134" t="s">
        <v>148</v>
      </c>
      <c r="D61" s="135"/>
      <c r="E61" s="135"/>
      <c r="F61" s="135"/>
      <c r="G61" s="135"/>
      <c r="H61" s="135"/>
      <c r="I61" s="135"/>
      <c r="J61" s="136" t="s">
        <v>149</v>
      </c>
      <c r="K61" s="135"/>
      <c r="L61" s="111"/>
      <c r="S61" s="32"/>
      <c r="T61" s="32"/>
      <c r="U61" s="32"/>
      <c r="V61" s="32"/>
      <c r="W61" s="32"/>
      <c r="X61" s="32"/>
      <c r="Y61" s="32"/>
      <c r="Z61" s="32"/>
      <c r="AA61" s="32"/>
      <c r="AB61" s="32"/>
      <c r="AC61" s="32"/>
      <c r="AD61" s="32"/>
      <c r="AE61" s="32"/>
    </row>
    <row r="62" spans="1:31" s="2" customFormat="1" ht="10.35" customHeight="1">
      <c r="A62" s="32"/>
      <c r="B62" s="33"/>
      <c r="C62" s="34"/>
      <c r="D62" s="34"/>
      <c r="E62" s="34"/>
      <c r="F62" s="34"/>
      <c r="G62" s="34"/>
      <c r="H62" s="34"/>
      <c r="I62" s="34"/>
      <c r="J62" s="34"/>
      <c r="K62" s="34"/>
      <c r="L62" s="111"/>
      <c r="S62" s="32"/>
      <c r="T62" s="32"/>
      <c r="U62" s="32"/>
      <c r="V62" s="32"/>
      <c r="W62" s="32"/>
      <c r="X62" s="32"/>
      <c r="Y62" s="32"/>
      <c r="Z62" s="32"/>
      <c r="AA62" s="32"/>
      <c r="AB62" s="32"/>
      <c r="AC62" s="32"/>
      <c r="AD62" s="32"/>
      <c r="AE62" s="32"/>
    </row>
    <row r="63" spans="1:47" s="2" customFormat="1" ht="22.9" customHeight="1">
      <c r="A63" s="32"/>
      <c r="B63" s="33"/>
      <c r="C63" s="137" t="s">
        <v>68</v>
      </c>
      <c r="D63" s="34"/>
      <c r="E63" s="34"/>
      <c r="F63" s="34"/>
      <c r="G63" s="34"/>
      <c r="H63" s="34"/>
      <c r="I63" s="34"/>
      <c r="J63" s="75">
        <f>J91</f>
        <v>0</v>
      </c>
      <c r="K63" s="34"/>
      <c r="L63" s="111"/>
      <c r="S63" s="32"/>
      <c r="T63" s="32"/>
      <c r="U63" s="32"/>
      <c r="V63" s="32"/>
      <c r="W63" s="32"/>
      <c r="X63" s="32"/>
      <c r="Y63" s="32"/>
      <c r="Z63" s="32"/>
      <c r="AA63" s="32"/>
      <c r="AB63" s="32"/>
      <c r="AC63" s="32"/>
      <c r="AD63" s="32"/>
      <c r="AE63" s="32"/>
      <c r="AU63" s="15" t="s">
        <v>150</v>
      </c>
    </row>
    <row r="64" spans="2:12" s="9" customFormat="1" ht="24.95" customHeight="1">
      <c r="B64" s="138"/>
      <c r="C64" s="139"/>
      <c r="D64" s="140" t="s">
        <v>1498</v>
      </c>
      <c r="E64" s="141"/>
      <c r="F64" s="141"/>
      <c r="G64" s="141"/>
      <c r="H64" s="141"/>
      <c r="I64" s="141"/>
      <c r="J64" s="142">
        <f>J92</f>
        <v>0</v>
      </c>
      <c r="K64" s="139"/>
      <c r="L64" s="143"/>
    </row>
    <row r="65" spans="2:12" s="10" customFormat="1" ht="19.9" customHeight="1">
      <c r="B65" s="144"/>
      <c r="C65" s="95"/>
      <c r="D65" s="145" t="s">
        <v>1499</v>
      </c>
      <c r="E65" s="146"/>
      <c r="F65" s="146"/>
      <c r="G65" s="146"/>
      <c r="H65" s="146"/>
      <c r="I65" s="146"/>
      <c r="J65" s="147">
        <f>J93</f>
        <v>0</v>
      </c>
      <c r="K65" s="95"/>
      <c r="L65" s="148"/>
    </row>
    <row r="66" spans="2:12" s="10" customFormat="1" ht="19.9" customHeight="1">
      <c r="B66" s="144"/>
      <c r="C66" s="95"/>
      <c r="D66" s="145" t="s">
        <v>1500</v>
      </c>
      <c r="E66" s="146"/>
      <c r="F66" s="146"/>
      <c r="G66" s="146"/>
      <c r="H66" s="146"/>
      <c r="I66" s="146"/>
      <c r="J66" s="147">
        <f>J95</f>
        <v>0</v>
      </c>
      <c r="K66" s="95"/>
      <c r="L66" s="148"/>
    </row>
    <row r="67" spans="2:12" s="10" customFormat="1" ht="19.9" customHeight="1">
      <c r="B67" s="144"/>
      <c r="C67" s="95"/>
      <c r="D67" s="145" t="s">
        <v>1501</v>
      </c>
      <c r="E67" s="146"/>
      <c r="F67" s="146"/>
      <c r="G67" s="146"/>
      <c r="H67" s="146"/>
      <c r="I67" s="146"/>
      <c r="J67" s="147">
        <f>J102</f>
        <v>0</v>
      </c>
      <c r="K67" s="95"/>
      <c r="L67" s="148"/>
    </row>
    <row r="68" spans="2:12" s="10" customFormat="1" ht="19.9" customHeight="1">
      <c r="B68" s="144"/>
      <c r="C68" s="95"/>
      <c r="D68" s="145" t="s">
        <v>1502</v>
      </c>
      <c r="E68" s="146"/>
      <c r="F68" s="146"/>
      <c r="G68" s="146"/>
      <c r="H68" s="146"/>
      <c r="I68" s="146"/>
      <c r="J68" s="147">
        <f>J107</f>
        <v>0</v>
      </c>
      <c r="K68" s="95"/>
      <c r="L68" s="148"/>
    </row>
    <row r="69" spans="2:12" s="10" customFormat="1" ht="19.9" customHeight="1">
      <c r="B69" s="144"/>
      <c r="C69" s="95"/>
      <c r="D69" s="145" t="s">
        <v>1503</v>
      </c>
      <c r="E69" s="146"/>
      <c r="F69" s="146"/>
      <c r="G69" s="146"/>
      <c r="H69" s="146"/>
      <c r="I69" s="146"/>
      <c r="J69" s="147">
        <f>J111</f>
        <v>0</v>
      </c>
      <c r="K69" s="95"/>
      <c r="L69" s="148"/>
    </row>
    <row r="70" spans="1:31" s="2" customFormat="1" ht="21.75" customHeight="1">
      <c r="A70" s="32"/>
      <c r="B70" s="33"/>
      <c r="C70" s="34"/>
      <c r="D70" s="34"/>
      <c r="E70" s="34"/>
      <c r="F70" s="34"/>
      <c r="G70" s="34"/>
      <c r="H70" s="34"/>
      <c r="I70" s="34"/>
      <c r="J70" s="34"/>
      <c r="K70" s="34"/>
      <c r="L70" s="111"/>
      <c r="S70" s="32"/>
      <c r="T70" s="32"/>
      <c r="U70" s="32"/>
      <c r="V70" s="32"/>
      <c r="W70" s="32"/>
      <c r="X70" s="32"/>
      <c r="Y70" s="32"/>
      <c r="Z70" s="32"/>
      <c r="AA70" s="32"/>
      <c r="AB70" s="32"/>
      <c r="AC70" s="32"/>
      <c r="AD70" s="32"/>
      <c r="AE70" s="32"/>
    </row>
    <row r="71" spans="1:31" s="2" customFormat="1" ht="6.95" customHeight="1">
      <c r="A71" s="32"/>
      <c r="B71" s="45"/>
      <c r="C71" s="46"/>
      <c r="D71" s="46"/>
      <c r="E71" s="46"/>
      <c r="F71" s="46"/>
      <c r="G71" s="46"/>
      <c r="H71" s="46"/>
      <c r="I71" s="46"/>
      <c r="J71" s="46"/>
      <c r="K71" s="46"/>
      <c r="L71" s="111"/>
      <c r="S71" s="32"/>
      <c r="T71" s="32"/>
      <c r="U71" s="32"/>
      <c r="V71" s="32"/>
      <c r="W71" s="32"/>
      <c r="X71" s="32"/>
      <c r="Y71" s="32"/>
      <c r="Z71" s="32"/>
      <c r="AA71" s="32"/>
      <c r="AB71" s="32"/>
      <c r="AC71" s="32"/>
      <c r="AD71" s="32"/>
      <c r="AE71" s="32"/>
    </row>
    <row r="75" spans="1:31" s="2" customFormat="1" ht="6.95" customHeight="1">
      <c r="A75" s="32"/>
      <c r="B75" s="47"/>
      <c r="C75" s="48"/>
      <c r="D75" s="48"/>
      <c r="E75" s="48"/>
      <c r="F75" s="48"/>
      <c r="G75" s="48"/>
      <c r="H75" s="48"/>
      <c r="I75" s="48"/>
      <c r="J75" s="48"/>
      <c r="K75" s="48"/>
      <c r="L75" s="111"/>
      <c r="S75" s="32"/>
      <c r="T75" s="32"/>
      <c r="U75" s="32"/>
      <c r="V75" s="32"/>
      <c r="W75" s="32"/>
      <c r="X75" s="32"/>
      <c r="Y75" s="32"/>
      <c r="Z75" s="32"/>
      <c r="AA75" s="32"/>
      <c r="AB75" s="32"/>
      <c r="AC75" s="32"/>
      <c r="AD75" s="32"/>
      <c r="AE75" s="32"/>
    </row>
    <row r="76" spans="1:31" s="2" customFormat="1" ht="24.95" customHeight="1">
      <c r="A76" s="32"/>
      <c r="B76" s="33"/>
      <c r="C76" s="21" t="s">
        <v>181</v>
      </c>
      <c r="D76" s="34"/>
      <c r="E76" s="34"/>
      <c r="F76" s="34"/>
      <c r="G76" s="34"/>
      <c r="H76" s="34"/>
      <c r="I76" s="34"/>
      <c r="J76" s="34"/>
      <c r="K76" s="34"/>
      <c r="L76" s="111"/>
      <c r="S76" s="32"/>
      <c r="T76" s="32"/>
      <c r="U76" s="32"/>
      <c r="V76" s="32"/>
      <c r="W76" s="32"/>
      <c r="X76" s="32"/>
      <c r="Y76" s="32"/>
      <c r="Z76" s="32"/>
      <c r="AA76" s="32"/>
      <c r="AB76" s="32"/>
      <c r="AC76" s="32"/>
      <c r="AD76" s="32"/>
      <c r="AE76" s="32"/>
    </row>
    <row r="77" spans="1:31" s="2" customFormat="1" ht="6.95" customHeight="1">
      <c r="A77" s="32"/>
      <c r="B77" s="33"/>
      <c r="C77" s="34"/>
      <c r="D77" s="34"/>
      <c r="E77" s="34"/>
      <c r="F77" s="34"/>
      <c r="G77" s="34"/>
      <c r="H77" s="34"/>
      <c r="I77" s="34"/>
      <c r="J77" s="34"/>
      <c r="K77" s="34"/>
      <c r="L77" s="111"/>
      <c r="S77" s="32"/>
      <c r="T77" s="32"/>
      <c r="U77" s="32"/>
      <c r="V77" s="32"/>
      <c r="W77" s="32"/>
      <c r="X77" s="32"/>
      <c r="Y77" s="32"/>
      <c r="Z77" s="32"/>
      <c r="AA77" s="32"/>
      <c r="AB77" s="32"/>
      <c r="AC77" s="32"/>
      <c r="AD77" s="32"/>
      <c r="AE77" s="32"/>
    </row>
    <row r="78" spans="1:31" s="2" customFormat="1" ht="12" customHeight="1">
      <c r="A78" s="32"/>
      <c r="B78" s="33"/>
      <c r="C78" s="27" t="s">
        <v>16</v>
      </c>
      <c r="D78" s="34"/>
      <c r="E78" s="34"/>
      <c r="F78" s="34"/>
      <c r="G78" s="34"/>
      <c r="H78" s="34"/>
      <c r="I78" s="34"/>
      <c r="J78" s="34"/>
      <c r="K78" s="34"/>
      <c r="L78" s="111"/>
      <c r="S78" s="32"/>
      <c r="T78" s="32"/>
      <c r="U78" s="32"/>
      <c r="V78" s="32"/>
      <c r="W78" s="32"/>
      <c r="X78" s="32"/>
      <c r="Y78" s="32"/>
      <c r="Z78" s="32"/>
      <c r="AA78" s="32"/>
      <c r="AB78" s="32"/>
      <c r="AC78" s="32"/>
      <c r="AD78" s="32"/>
      <c r="AE78" s="32"/>
    </row>
    <row r="79" spans="1:31" s="2" customFormat="1" ht="14.45" customHeight="1">
      <c r="A79" s="32"/>
      <c r="B79" s="33"/>
      <c r="C79" s="34"/>
      <c r="D79" s="34"/>
      <c r="E79" s="700" t="str">
        <f>E7</f>
        <v>Úpravy gastroprovozu Úřadu vlády ČR v 1.pp Strakovy akademie</v>
      </c>
      <c r="F79" s="701"/>
      <c r="G79" s="701"/>
      <c r="H79" s="701"/>
      <c r="I79" s="34"/>
      <c r="J79" s="34"/>
      <c r="K79" s="34"/>
      <c r="L79" s="111"/>
      <c r="S79" s="32"/>
      <c r="T79" s="32"/>
      <c r="U79" s="32"/>
      <c r="V79" s="32"/>
      <c r="W79" s="32"/>
      <c r="X79" s="32"/>
      <c r="Y79" s="32"/>
      <c r="Z79" s="32"/>
      <c r="AA79" s="32"/>
      <c r="AB79" s="32"/>
      <c r="AC79" s="32"/>
      <c r="AD79" s="32"/>
      <c r="AE79" s="32"/>
    </row>
    <row r="80" spans="2:12" s="1" customFormat="1" ht="12" customHeight="1">
      <c r="B80" s="19"/>
      <c r="C80" s="27" t="s">
        <v>142</v>
      </c>
      <c r="D80" s="20"/>
      <c r="E80" s="20"/>
      <c r="F80" s="20"/>
      <c r="G80" s="20"/>
      <c r="H80" s="20"/>
      <c r="I80" s="20"/>
      <c r="J80" s="20"/>
      <c r="K80" s="20"/>
      <c r="L80" s="18"/>
    </row>
    <row r="81" spans="1:31" s="2" customFormat="1" ht="14.45" customHeight="1">
      <c r="A81" s="32"/>
      <c r="B81" s="33"/>
      <c r="C81" s="34"/>
      <c r="D81" s="34"/>
      <c r="E81" s="700" t="s">
        <v>1496</v>
      </c>
      <c r="F81" s="699"/>
      <c r="G81" s="699"/>
      <c r="H81" s="699"/>
      <c r="I81" s="34"/>
      <c r="J81" s="34"/>
      <c r="K81" s="34"/>
      <c r="L81" s="111"/>
      <c r="S81" s="32"/>
      <c r="T81" s="32"/>
      <c r="U81" s="32"/>
      <c r="V81" s="32"/>
      <c r="W81" s="32"/>
      <c r="X81" s="32"/>
      <c r="Y81" s="32"/>
      <c r="Z81" s="32"/>
      <c r="AA81" s="32"/>
      <c r="AB81" s="32"/>
      <c r="AC81" s="32"/>
      <c r="AD81" s="32"/>
      <c r="AE81" s="32"/>
    </row>
    <row r="82" spans="1:31" s="2" customFormat="1" ht="12" customHeight="1">
      <c r="A82" s="32"/>
      <c r="B82" s="33"/>
      <c r="C82" s="27" t="s">
        <v>144</v>
      </c>
      <c r="D82" s="34"/>
      <c r="E82" s="34"/>
      <c r="F82" s="34"/>
      <c r="G82" s="34"/>
      <c r="H82" s="34"/>
      <c r="I82" s="34"/>
      <c r="J82" s="34"/>
      <c r="K82" s="34"/>
      <c r="L82" s="111"/>
      <c r="S82" s="32"/>
      <c r="T82" s="32"/>
      <c r="U82" s="32"/>
      <c r="V82" s="32"/>
      <c r="W82" s="32"/>
      <c r="X82" s="32"/>
      <c r="Y82" s="32"/>
      <c r="Z82" s="32"/>
      <c r="AA82" s="32"/>
      <c r="AB82" s="32"/>
      <c r="AC82" s="32"/>
      <c r="AD82" s="32"/>
      <c r="AE82" s="32"/>
    </row>
    <row r="83" spans="1:31" s="2" customFormat="1" ht="14.45" customHeight="1">
      <c r="A83" s="32"/>
      <c r="B83" s="33"/>
      <c r="C83" s="34"/>
      <c r="D83" s="34"/>
      <c r="E83" s="696" t="str">
        <f>E11</f>
        <v xml:space="preserve">VON - Soupis prací - Vedlejší a ostatní náklady </v>
      </c>
      <c r="F83" s="699"/>
      <c r="G83" s="699"/>
      <c r="H83" s="699"/>
      <c r="I83" s="34"/>
      <c r="J83" s="34"/>
      <c r="K83" s="34"/>
      <c r="L83" s="111"/>
      <c r="S83" s="32"/>
      <c r="T83" s="32"/>
      <c r="U83" s="32"/>
      <c r="V83" s="32"/>
      <c r="W83" s="32"/>
      <c r="X83" s="32"/>
      <c r="Y83" s="32"/>
      <c r="Z83" s="32"/>
      <c r="AA83" s="32"/>
      <c r="AB83" s="32"/>
      <c r="AC83" s="32"/>
      <c r="AD83" s="32"/>
      <c r="AE83" s="32"/>
    </row>
    <row r="84" spans="1:31" s="2" customFormat="1" ht="6.95" customHeight="1">
      <c r="A84" s="32"/>
      <c r="B84" s="33"/>
      <c r="C84" s="34"/>
      <c r="D84" s="34"/>
      <c r="E84" s="34"/>
      <c r="F84" s="34"/>
      <c r="G84" s="34"/>
      <c r="H84" s="34"/>
      <c r="I84" s="34"/>
      <c r="J84" s="34"/>
      <c r="K84" s="34"/>
      <c r="L84" s="111"/>
      <c r="S84" s="32"/>
      <c r="T84" s="32"/>
      <c r="U84" s="32"/>
      <c r="V84" s="32"/>
      <c r="W84" s="32"/>
      <c r="X84" s="32"/>
      <c r="Y84" s="32"/>
      <c r="Z84" s="32"/>
      <c r="AA84" s="32"/>
      <c r="AB84" s="32"/>
      <c r="AC84" s="32"/>
      <c r="AD84" s="32"/>
      <c r="AE84" s="32"/>
    </row>
    <row r="85" spans="1:31" s="2" customFormat="1" ht="12" customHeight="1">
      <c r="A85" s="32"/>
      <c r="B85" s="33"/>
      <c r="C85" s="27" t="s">
        <v>21</v>
      </c>
      <c r="D85" s="34"/>
      <c r="E85" s="34"/>
      <c r="F85" s="25" t="str">
        <f>F14</f>
        <v xml:space="preserve"> </v>
      </c>
      <c r="G85" s="34"/>
      <c r="H85" s="34"/>
      <c r="I85" s="27" t="s">
        <v>23</v>
      </c>
      <c r="J85" s="57" t="str">
        <f>IF(J14="","",J14)</f>
        <v>Vyplň údaj</v>
      </c>
      <c r="K85" s="34"/>
      <c r="L85" s="111"/>
      <c r="S85" s="32"/>
      <c r="T85" s="32"/>
      <c r="U85" s="32"/>
      <c r="V85" s="32"/>
      <c r="W85" s="32"/>
      <c r="X85" s="32"/>
      <c r="Y85" s="32"/>
      <c r="Z85" s="32"/>
      <c r="AA85" s="32"/>
      <c r="AB85" s="32"/>
      <c r="AC85" s="32"/>
      <c r="AD85" s="32"/>
      <c r="AE85" s="32"/>
    </row>
    <row r="86" spans="1:31" s="2" customFormat="1" ht="6.95" customHeight="1">
      <c r="A86" s="32"/>
      <c r="B86" s="33"/>
      <c r="C86" s="34"/>
      <c r="D86" s="34"/>
      <c r="E86" s="34"/>
      <c r="F86" s="34"/>
      <c r="G86" s="34"/>
      <c r="H86" s="34"/>
      <c r="I86" s="34"/>
      <c r="J86" s="34"/>
      <c r="K86" s="34"/>
      <c r="L86" s="111"/>
      <c r="S86" s="32"/>
      <c r="T86" s="32"/>
      <c r="U86" s="32"/>
      <c r="V86" s="32"/>
      <c r="W86" s="32"/>
      <c r="X86" s="32"/>
      <c r="Y86" s="32"/>
      <c r="Z86" s="32"/>
      <c r="AA86" s="32"/>
      <c r="AB86" s="32"/>
      <c r="AC86" s="32"/>
      <c r="AD86" s="32"/>
      <c r="AE86" s="32"/>
    </row>
    <row r="87" spans="1:31" s="2" customFormat="1" ht="26.45" customHeight="1">
      <c r="A87" s="32"/>
      <c r="B87" s="33"/>
      <c r="C87" s="27" t="s">
        <v>24</v>
      </c>
      <c r="D87" s="34"/>
      <c r="E87" s="34"/>
      <c r="F87" s="25" t="str">
        <f>E17</f>
        <v xml:space="preserve">Úřad vlády České republiky </v>
      </c>
      <c r="G87" s="34"/>
      <c r="H87" s="34"/>
      <c r="I87" s="27" t="s">
        <v>30</v>
      </c>
      <c r="J87" s="30" t="str">
        <f>E23</f>
        <v>Ateliér Simona Group</v>
      </c>
      <c r="K87" s="34"/>
      <c r="L87" s="111"/>
      <c r="S87" s="32"/>
      <c r="T87" s="32"/>
      <c r="U87" s="32"/>
      <c r="V87" s="32"/>
      <c r="W87" s="32"/>
      <c r="X87" s="32"/>
      <c r="Y87" s="32"/>
      <c r="Z87" s="32"/>
      <c r="AA87" s="32"/>
      <c r="AB87" s="32"/>
      <c r="AC87" s="32"/>
      <c r="AD87" s="32"/>
      <c r="AE87" s="32"/>
    </row>
    <row r="88" spans="1:31" s="2" customFormat="1" ht="26.45" customHeight="1">
      <c r="A88" s="32"/>
      <c r="B88" s="33"/>
      <c r="C88" s="27" t="s">
        <v>28</v>
      </c>
      <c r="D88" s="34"/>
      <c r="E88" s="34"/>
      <c r="F88" s="25" t="str">
        <f>IF(E20="","",E20)</f>
        <v>Vyplň údaj</v>
      </c>
      <c r="G88" s="34"/>
      <c r="H88" s="34"/>
      <c r="I88" s="27" t="s">
        <v>33</v>
      </c>
      <c r="J88" s="30" t="str">
        <f>E26</f>
        <v>Ateliér Simona Group</v>
      </c>
      <c r="K88" s="34"/>
      <c r="L88" s="111"/>
      <c r="S88" s="32"/>
      <c r="T88" s="32"/>
      <c r="U88" s="32"/>
      <c r="V88" s="32"/>
      <c r="W88" s="32"/>
      <c r="X88" s="32"/>
      <c r="Y88" s="32"/>
      <c r="Z88" s="32"/>
      <c r="AA88" s="32"/>
      <c r="AB88" s="32"/>
      <c r="AC88" s="32"/>
      <c r="AD88" s="32"/>
      <c r="AE88" s="32"/>
    </row>
    <row r="89" spans="1:31" s="2" customFormat="1" ht="10.35" customHeight="1">
      <c r="A89" s="32"/>
      <c r="B89" s="33"/>
      <c r="C89" s="34"/>
      <c r="D89" s="34"/>
      <c r="E89" s="34"/>
      <c r="F89" s="34"/>
      <c r="G89" s="34"/>
      <c r="H89" s="34"/>
      <c r="I89" s="34"/>
      <c r="J89" s="34"/>
      <c r="K89" s="34"/>
      <c r="L89" s="111"/>
      <c r="S89" s="32"/>
      <c r="T89" s="32"/>
      <c r="U89" s="32"/>
      <c r="V89" s="32"/>
      <c r="W89" s="32"/>
      <c r="X89" s="32"/>
      <c r="Y89" s="32"/>
      <c r="Z89" s="32"/>
      <c r="AA89" s="32"/>
      <c r="AB89" s="32"/>
      <c r="AC89" s="32"/>
      <c r="AD89" s="32"/>
      <c r="AE89" s="32"/>
    </row>
    <row r="90" spans="1:31" s="11" customFormat="1" ht="29.25" customHeight="1">
      <c r="A90" s="149"/>
      <c r="B90" s="150"/>
      <c r="C90" s="151" t="s">
        <v>182</v>
      </c>
      <c r="D90" s="152" t="s">
        <v>55</v>
      </c>
      <c r="E90" s="152" t="s">
        <v>51</v>
      </c>
      <c r="F90" s="152" t="s">
        <v>52</v>
      </c>
      <c r="G90" s="152" t="s">
        <v>183</v>
      </c>
      <c r="H90" s="152" t="s">
        <v>184</v>
      </c>
      <c r="I90" s="152" t="s">
        <v>185</v>
      </c>
      <c r="J90" s="152" t="s">
        <v>149</v>
      </c>
      <c r="K90" s="153" t="s">
        <v>186</v>
      </c>
      <c r="L90" s="154"/>
      <c r="M90" s="66" t="s">
        <v>19</v>
      </c>
      <c r="N90" s="67" t="s">
        <v>40</v>
      </c>
      <c r="O90" s="67" t="s">
        <v>187</v>
      </c>
      <c r="P90" s="67" t="s">
        <v>188</v>
      </c>
      <c r="Q90" s="67" t="s">
        <v>189</v>
      </c>
      <c r="R90" s="67" t="s">
        <v>190</v>
      </c>
      <c r="S90" s="67" t="s">
        <v>191</v>
      </c>
      <c r="T90" s="68" t="s">
        <v>192</v>
      </c>
      <c r="U90" s="149"/>
      <c r="V90" s="149"/>
      <c r="W90" s="149"/>
      <c r="X90" s="149"/>
      <c r="Y90" s="149"/>
      <c r="Z90" s="149"/>
      <c r="AA90" s="149"/>
      <c r="AB90" s="149"/>
      <c r="AC90" s="149"/>
      <c r="AD90" s="149"/>
      <c r="AE90" s="149"/>
    </row>
    <row r="91" spans="1:63" s="2" customFormat="1" ht="22.9" customHeight="1">
      <c r="A91" s="32"/>
      <c r="B91" s="33"/>
      <c r="C91" s="73" t="s">
        <v>193</v>
      </c>
      <c r="D91" s="34"/>
      <c r="E91" s="34"/>
      <c r="F91" s="34"/>
      <c r="G91" s="34"/>
      <c r="H91" s="34"/>
      <c r="I91" s="34"/>
      <c r="J91" s="155">
        <f>BK91</f>
        <v>0</v>
      </c>
      <c r="K91" s="34"/>
      <c r="L91" s="37"/>
      <c r="M91" s="69"/>
      <c r="N91" s="156"/>
      <c r="O91" s="70"/>
      <c r="P91" s="157">
        <f>P92</f>
        <v>0</v>
      </c>
      <c r="Q91" s="70"/>
      <c r="R91" s="157">
        <f>R92</f>
        <v>0</v>
      </c>
      <c r="S91" s="70"/>
      <c r="T91" s="158">
        <f>T92</f>
        <v>0</v>
      </c>
      <c r="U91" s="32"/>
      <c r="V91" s="32"/>
      <c r="W91" s="32"/>
      <c r="X91" s="32"/>
      <c r="Y91" s="32"/>
      <c r="Z91" s="32"/>
      <c r="AA91" s="32"/>
      <c r="AB91" s="32"/>
      <c r="AC91" s="32"/>
      <c r="AD91" s="32"/>
      <c r="AE91" s="32"/>
      <c r="AT91" s="15" t="s">
        <v>69</v>
      </c>
      <c r="AU91" s="15" t="s">
        <v>150</v>
      </c>
      <c r="BK91" s="159">
        <f>BK92</f>
        <v>0</v>
      </c>
    </row>
    <row r="92" spans="2:63" s="12" customFormat="1" ht="25.9" customHeight="1">
      <c r="B92" s="160"/>
      <c r="C92" s="161"/>
      <c r="D92" s="162" t="s">
        <v>69</v>
      </c>
      <c r="E92" s="163" t="s">
        <v>1504</v>
      </c>
      <c r="F92" s="163" t="s">
        <v>1505</v>
      </c>
      <c r="G92" s="161"/>
      <c r="H92" s="161"/>
      <c r="I92" s="164"/>
      <c r="J92" s="165">
        <f>BK92</f>
        <v>0</v>
      </c>
      <c r="K92" s="161"/>
      <c r="L92" s="166"/>
      <c r="M92" s="167"/>
      <c r="N92" s="168"/>
      <c r="O92" s="168"/>
      <c r="P92" s="169">
        <f>P93+P95+P102+P107+P111</f>
        <v>0</v>
      </c>
      <c r="Q92" s="168"/>
      <c r="R92" s="169">
        <f>R93+R95+R102+R107+R111</f>
        <v>0</v>
      </c>
      <c r="S92" s="168"/>
      <c r="T92" s="170">
        <f>T93+T95+T102+T107+T111</f>
        <v>0</v>
      </c>
      <c r="AR92" s="171" t="s">
        <v>217</v>
      </c>
      <c r="AT92" s="172" t="s">
        <v>69</v>
      </c>
      <c r="AU92" s="172" t="s">
        <v>70</v>
      </c>
      <c r="AY92" s="171" t="s">
        <v>196</v>
      </c>
      <c r="BK92" s="173">
        <f>BK93+BK95+BK102+BK107+BK111</f>
        <v>0</v>
      </c>
    </row>
    <row r="93" spans="2:63" s="12" customFormat="1" ht="22.9" customHeight="1">
      <c r="B93" s="160"/>
      <c r="C93" s="161"/>
      <c r="D93" s="162" t="s">
        <v>69</v>
      </c>
      <c r="E93" s="174" t="s">
        <v>1506</v>
      </c>
      <c r="F93" s="174" t="s">
        <v>1507</v>
      </c>
      <c r="G93" s="161"/>
      <c r="H93" s="161"/>
      <c r="I93" s="164"/>
      <c r="J93" s="175">
        <f>BK93</f>
        <v>0</v>
      </c>
      <c r="K93" s="161"/>
      <c r="L93" s="166"/>
      <c r="M93" s="167"/>
      <c r="N93" s="168"/>
      <c r="O93" s="168"/>
      <c r="P93" s="169">
        <f>P94</f>
        <v>0</v>
      </c>
      <c r="Q93" s="168"/>
      <c r="R93" s="169">
        <f>R94</f>
        <v>0</v>
      </c>
      <c r="S93" s="168"/>
      <c r="T93" s="170">
        <f>T94</f>
        <v>0</v>
      </c>
      <c r="AR93" s="171" t="s">
        <v>217</v>
      </c>
      <c r="AT93" s="172" t="s">
        <v>69</v>
      </c>
      <c r="AU93" s="172" t="s">
        <v>77</v>
      </c>
      <c r="AY93" s="171" t="s">
        <v>196</v>
      </c>
      <c r="BK93" s="173">
        <f>BK94</f>
        <v>0</v>
      </c>
    </row>
    <row r="94" spans="1:65" s="2" customFormat="1" ht="13.9" customHeight="1">
      <c r="A94" s="32"/>
      <c r="B94" s="33"/>
      <c r="C94" s="176" t="s">
        <v>77</v>
      </c>
      <c r="D94" s="176" t="s">
        <v>198</v>
      </c>
      <c r="E94" s="177" t="s">
        <v>1508</v>
      </c>
      <c r="F94" s="178" t="s">
        <v>1507</v>
      </c>
      <c r="G94" s="179" t="s">
        <v>1509</v>
      </c>
      <c r="H94" s="180">
        <v>1</v>
      </c>
      <c r="I94" s="181"/>
      <c r="J94" s="182">
        <f>ROUND(I94*H94,2)</f>
        <v>0</v>
      </c>
      <c r="K94" s="178" t="s">
        <v>202</v>
      </c>
      <c r="L94" s="37"/>
      <c r="M94" s="183" t="s">
        <v>19</v>
      </c>
      <c r="N94" s="184" t="s">
        <v>41</v>
      </c>
      <c r="O94" s="62"/>
      <c r="P94" s="185">
        <f>O94*H94</f>
        <v>0</v>
      </c>
      <c r="Q94" s="185">
        <v>0</v>
      </c>
      <c r="R94" s="185">
        <f>Q94*H94</f>
        <v>0</v>
      </c>
      <c r="S94" s="185">
        <v>0</v>
      </c>
      <c r="T94" s="186">
        <f>S94*H94</f>
        <v>0</v>
      </c>
      <c r="U94" s="32"/>
      <c r="V94" s="32"/>
      <c r="W94" s="32"/>
      <c r="X94" s="32"/>
      <c r="Y94" s="32"/>
      <c r="Z94" s="32"/>
      <c r="AA94" s="32"/>
      <c r="AB94" s="32"/>
      <c r="AC94" s="32"/>
      <c r="AD94" s="32"/>
      <c r="AE94" s="32"/>
      <c r="AR94" s="187" t="s">
        <v>1510</v>
      </c>
      <c r="AT94" s="187" t="s">
        <v>198</v>
      </c>
      <c r="AU94" s="187" t="s">
        <v>79</v>
      </c>
      <c r="AY94" s="15" t="s">
        <v>196</v>
      </c>
      <c r="BE94" s="188">
        <f>IF(N94="základní",J94,0)</f>
        <v>0</v>
      </c>
      <c r="BF94" s="188">
        <f>IF(N94="snížená",J94,0)</f>
        <v>0</v>
      </c>
      <c r="BG94" s="188">
        <f>IF(N94="zákl. přenesená",J94,0)</f>
        <v>0</v>
      </c>
      <c r="BH94" s="188">
        <f>IF(N94="sníž. přenesená",J94,0)</f>
        <v>0</v>
      </c>
      <c r="BI94" s="188">
        <f>IF(N94="nulová",J94,0)</f>
        <v>0</v>
      </c>
      <c r="BJ94" s="15" t="s">
        <v>77</v>
      </c>
      <c r="BK94" s="188">
        <f>ROUND(I94*H94,2)</f>
        <v>0</v>
      </c>
      <c r="BL94" s="15" t="s">
        <v>1510</v>
      </c>
      <c r="BM94" s="187" t="s">
        <v>1511</v>
      </c>
    </row>
    <row r="95" spans="2:63" s="12" customFormat="1" ht="22.9" customHeight="1">
      <c r="B95" s="160"/>
      <c r="C95" s="161"/>
      <c r="D95" s="162" t="s">
        <v>69</v>
      </c>
      <c r="E95" s="174" t="s">
        <v>1512</v>
      </c>
      <c r="F95" s="174" t="s">
        <v>1513</v>
      </c>
      <c r="G95" s="161"/>
      <c r="H95" s="161"/>
      <c r="I95" s="164"/>
      <c r="J95" s="175">
        <f>BK95</f>
        <v>0</v>
      </c>
      <c r="K95" s="161"/>
      <c r="L95" s="166"/>
      <c r="M95" s="167"/>
      <c r="N95" s="168"/>
      <c r="O95" s="168"/>
      <c r="P95" s="169">
        <f>SUM(P96:P101)</f>
        <v>0</v>
      </c>
      <c r="Q95" s="168"/>
      <c r="R95" s="169">
        <f>SUM(R96:R101)</f>
        <v>0</v>
      </c>
      <c r="S95" s="168"/>
      <c r="T95" s="170">
        <f>SUM(T96:T101)</f>
        <v>0</v>
      </c>
      <c r="AR95" s="171" t="s">
        <v>217</v>
      </c>
      <c r="AT95" s="172" t="s">
        <v>69</v>
      </c>
      <c r="AU95" s="172" t="s">
        <v>77</v>
      </c>
      <c r="AY95" s="171" t="s">
        <v>196</v>
      </c>
      <c r="BK95" s="173">
        <f>SUM(BK96:BK101)</f>
        <v>0</v>
      </c>
    </row>
    <row r="96" spans="1:65" s="2" customFormat="1" ht="13.9" customHeight="1">
      <c r="A96" s="32"/>
      <c r="B96" s="33"/>
      <c r="C96" s="176" t="s">
        <v>79</v>
      </c>
      <c r="D96" s="176" t="s">
        <v>198</v>
      </c>
      <c r="E96" s="177" t="s">
        <v>1514</v>
      </c>
      <c r="F96" s="178" t="s">
        <v>1515</v>
      </c>
      <c r="G96" s="179" t="s">
        <v>1509</v>
      </c>
      <c r="H96" s="180">
        <v>1</v>
      </c>
      <c r="I96" s="181"/>
      <c r="J96" s="182">
        <f aca="true" t="shared" si="0" ref="J96:J101">ROUND(I96*H96,2)</f>
        <v>0</v>
      </c>
      <c r="K96" s="178" t="s">
        <v>202</v>
      </c>
      <c r="L96" s="37"/>
      <c r="M96" s="183" t="s">
        <v>19</v>
      </c>
      <c r="N96" s="184" t="s">
        <v>41</v>
      </c>
      <c r="O96" s="62"/>
      <c r="P96" s="185">
        <f aca="true" t="shared" si="1" ref="P96:P101">O96*H96</f>
        <v>0</v>
      </c>
      <c r="Q96" s="185">
        <v>0</v>
      </c>
      <c r="R96" s="185">
        <f aca="true" t="shared" si="2" ref="R96:R101">Q96*H96</f>
        <v>0</v>
      </c>
      <c r="S96" s="185">
        <v>0</v>
      </c>
      <c r="T96" s="186">
        <f aca="true" t="shared" si="3" ref="T96:T101">S96*H96</f>
        <v>0</v>
      </c>
      <c r="U96" s="32"/>
      <c r="V96" s="32"/>
      <c r="W96" s="32"/>
      <c r="X96" s="32"/>
      <c r="Y96" s="32"/>
      <c r="Z96" s="32"/>
      <c r="AA96" s="32"/>
      <c r="AB96" s="32"/>
      <c r="AC96" s="32"/>
      <c r="AD96" s="32"/>
      <c r="AE96" s="32"/>
      <c r="AR96" s="187" t="s">
        <v>1510</v>
      </c>
      <c r="AT96" s="187" t="s">
        <v>198</v>
      </c>
      <c r="AU96" s="187" t="s">
        <v>79</v>
      </c>
      <c r="AY96" s="15" t="s">
        <v>196</v>
      </c>
      <c r="BE96" s="188">
        <f aca="true" t="shared" si="4" ref="BE96:BE101">IF(N96="základní",J96,0)</f>
        <v>0</v>
      </c>
      <c r="BF96" s="188">
        <f aca="true" t="shared" si="5" ref="BF96:BF101">IF(N96="snížená",J96,0)</f>
        <v>0</v>
      </c>
      <c r="BG96" s="188">
        <f aca="true" t="shared" si="6" ref="BG96:BG101">IF(N96="zákl. přenesená",J96,0)</f>
        <v>0</v>
      </c>
      <c r="BH96" s="188">
        <f aca="true" t="shared" si="7" ref="BH96:BH101">IF(N96="sníž. přenesená",J96,0)</f>
        <v>0</v>
      </c>
      <c r="BI96" s="188">
        <f aca="true" t="shared" si="8" ref="BI96:BI101">IF(N96="nulová",J96,0)</f>
        <v>0</v>
      </c>
      <c r="BJ96" s="15" t="s">
        <v>77</v>
      </c>
      <c r="BK96" s="188">
        <f aca="true" t="shared" si="9" ref="BK96:BK101">ROUND(I96*H96,2)</f>
        <v>0</v>
      </c>
      <c r="BL96" s="15" t="s">
        <v>1510</v>
      </c>
      <c r="BM96" s="187" t="s">
        <v>1516</v>
      </c>
    </row>
    <row r="97" spans="1:65" s="2" customFormat="1" ht="13.9" customHeight="1">
      <c r="A97" s="32"/>
      <c r="B97" s="33"/>
      <c r="C97" s="176" t="s">
        <v>102</v>
      </c>
      <c r="D97" s="176" t="s">
        <v>198</v>
      </c>
      <c r="E97" s="177" t="s">
        <v>1517</v>
      </c>
      <c r="F97" s="178" t="s">
        <v>1518</v>
      </c>
      <c r="G97" s="179" t="s">
        <v>1509</v>
      </c>
      <c r="H97" s="180">
        <v>1</v>
      </c>
      <c r="I97" s="181"/>
      <c r="J97" s="182">
        <f t="shared" si="0"/>
        <v>0</v>
      </c>
      <c r="K97" s="178" t="s">
        <v>202</v>
      </c>
      <c r="L97" s="37"/>
      <c r="M97" s="183" t="s">
        <v>19</v>
      </c>
      <c r="N97" s="184" t="s">
        <v>41</v>
      </c>
      <c r="O97" s="62"/>
      <c r="P97" s="185">
        <f t="shared" si="1"/>
        <v>0</v>
      </c>
      <c r="Q97" s="185">
        <v>0</v>
      </c>
      <c r="R97" s="185">
        <f t="shared" si="2"/>
        <v>0</v>
      </c>
      <c r="S97" s="185">
        <v>0</v>
      </c>
      <c r="T97" s="186">
        <f t="shared" si="3"/>
        <v>0</v>
      </c>
      <c r="U97" s="32"/>
      <c r="V97" s="32"/>
      <c r="W97" s="32"/>
      <c r="X97" s="32"/>
      <c r="Y97" s="32"/>
      <c r="Z97" s="32"/>
      <c r="AA97" s="32"/>
      <c r="AB97" s="32"/>
      <c r="AC97" s="32"/>
      <c r="AD97" s="32"/>
      <c r="AE97" s="32"/>
      <c r="AR97" s="187" t="s">
        <v>1510</v>
      </c>
      <c r="AT97" s="187" t="s">
        <v>198</v>
      </c>
      <c r="AU97" s="187" t="s">
        <v>79</v>
      </c>
      <c r="AY97" s="15" t="s">
        <v>196</v>
      </c>
      <c r="BE97" s="188">
        <f t="shared" si="4"/>
        <v>0</v>
      </c>
      <c r="BF97" s="188">
        <f t="shared" si="5"/>
        <v>0</v>
      </c>
      <c r="BG97" s="188">
        <f t="shared" si="6"/>
        <v>0</v>
      </c>
      <c r="BH97" s="188">
        <f t="shared" si="7"/>
        <v>0</v>
      </c>
      <c r="BI97" s="188">
        <f t="shared" si="8"/>
        <v>0</v>
      </c>
      <c r="BJ97" s="15" t="s">
        <v>77</v>
      </c>
      <c r="BK97" s="188">
        <f t="shared" si="9"/>
        <v>0</v>
      </c>
      <c r="BL97" s="15" t="s">
        <v>1510</v>
      </c>
      <c r="BM97" s="187" t="s">
        <v>1519</v>
      </c>
    </row>
    <row r="98" spans="1:65" s="2" customFormat="1" ht="13.9" customHeight="1">
      <c r="A98" s="32"/>
      <c r="B98" s="33"/>
      <c r="C98" s="176" t="s">
        <v>203</v>
      </c>
      <c r="D98" s="176" t="s">
        <v>198</v>
      </c>
      <c r="E98" s="177" t="s">
        <v>1520</v>
      </c>
      <c r="F98" s="178" t="s">
        <v>1521</v>
      </c>
      <c r="G98" s="179" t="s">
        <v>1509</v>
      </c>
      <c r="H98" s="180">
        <v>1</v>
      </c>
      <c r="I98" s="181"/>
      <c r="J98" s="182">
        <f t="shared" si="0"/>
        <v>0</v>
      </c>
      <c r="K98" s="178" t="s">
        <v>202</v>
      </c>
      <c r="L98" s="37"/>
      <c r="M98" s="183" t="s">
        <v>19</v>
      </c>
      <c r="N98" s="184" t="s">
        <v>41</v>
      </c>
      <c r="O98" s="62"/>
      <c r="P98" s="185">
        <f t="shared" si="1"/>
        <v>0</v>
      </c>
      <c r="Q98" s="185">
        <v>0</v>
      </c>
      <c r="R98" s="185">
        <f t="shared" si="2"/>
        <v>0</v>
      </c>
      <c r="S98" s="185">
        <v>0</v>
      </c>
      <c r="T98" s="186">
        <f t="shared" si="3"/>
        <v>0</v>
      </c>
      <c r="U98" s="32"/>
      <c r="V98" s="32"/>
      <c r="W98" s="32"/>
      <c r="X98" s="32"/>
      <c r="Y98" s="32"/>
      <c r="Z98" s="32"/>
      <c r="AA98" s="32"/>
      <c r="AB98" s="32"/>
      <c r="AC98" s="32"/>
      <c r="AD98" s="32"/>
      <c r="AE98" s="32"/>
      <c r="AR98" s="187" t="s">
        <v>1510</v>
      </c>
      <c r="AT98" s="187" t="s">
        <v>198</v>
      </c>
      <c r="AU98" s="187" t="s">
        <v>79</v>
      </c>
      <c r="AY98" s="15" t="s">
        <v>196</v>
      </c>
      <c r="BE98" s="188">
        <f t="shared" si="4"/>
        <v>0</v>
      </c>
      <c r="BF98" s="188">
        <f t="shared" si="5"/>
        <v>0</v>
      </c>
      <c r="BG98" s="188">
        <f t="shared" si="6"/>
        <v>0</v>
      </c>
      <c r="BH98" s="188">
        <f t="shared" si="7"/>
        <v>0</v>
      </c>
      <c r="BI98" s="188">
        <f t="shared" si="8"/>
        <v>0</v>
      </c>
      <c r="BJ98" s="15" t="s">
        <v>77</v>
      </c>
      <c r="BK98" s="188">
        <f t="shared" si="9"/>
        <v>0</v>
      </c>
      <c r="BL98" s="15" t="s">
        <v>1510</v>
      </c>
      <c r="BM98" s="187" t="s">
        <v>1522</v>
      </c>
    </row>
    <row r="99" spans="1:65" s="2" customFormat="1" ht="13.9" customHeight="1">
      <c r="A99" s="32"/>
      <c r="B99" s="33"/>
      <c r="C99" s="176" t="s">
        <v>217</v>
      </c>
      <c r="D99" s="176" t="s">
        <v>198</v>
      </c>
      <c r="E99" s="177" t="s">
        <v>1523</v>
      </c>
      <c r="F99" s="178" t="s">
        <v>1524</v>
      </c>
      <c r="G99" s="179" t="s">
        <v>1509</v>
      </c>
      <c r="H99" s="180">
        <v>1</v>
      </c>
      <c r="I99" s="181"/>
      <c r="J99" s="182">
        <f t="shared" si="0"/>
        <v>0</v>
      </c>
      <c r="K99" s="178" t="s">
        <v>202</v>
      </c>
      <c r="L99" s="37"/>
      <c r="M99" s="183" t="s">
        <v>19</v>
      </c>
      <c r="N99" s="184" t="s">
        <v>41</v>
      </c>
      <c r="O99" s="62"/>
      <c r="P99" s="185">
        <f t="shared" si="1"/>
        <v>0</v>
      </c>
      <c r="Q99" s="185">
        <v>0</v>
      </c>
      <c r="R99" s="185">
        <f t="shared" si="2"/>
        <v>0</v>
      </c>
      <c r="S99" s="185">
        <v>0</v>
      </c>
      <c r="T99" s="186">
        <f t="shared" si="3"/>
        <v>0</v>
      </c>
      <c r="U99" s="32"/>
      <c r="V99" s="32"/>
      <c r="W99" s="32"/>
      <c r="X99" s="32"/>
      <c r="Y99" s="32"/>
      <c r="Z99" s="32"/>
      <c r="AA99" s="32"/>
      <c r="AB99" s="32"/>
      <c r="AC99" s="32"/>
      <c r="AD99" s="32"/>
      <c r="AE99" s="32"/>
      <c r="AR99" s="187" t="s">
        <v>1510</v>
      </c>
      <c r="AT99" s="187" t="s">
        <v>198</v>
      </c>
      <c r="AU99" s="187" t="s">
        <v>79</v>
      </c>
      <c r="AY99" s="15" t="s">
        <v>196</v>
      </c>
      <c r="BE99" s="188">
        <f t="shared" si="4"/>
        <v>0</v>
      </c>
      <c r="BF99" s="188">
        <f t="shared" si="5"/>
        <v>0</v>
      </c>
      <c r="BG99" s="188">
        <f t="shared" si="6"/>
        <v>0</v>
      </c>
      <c r="BH99" s="188">
        <f t="shared" si="7"/>
        <v>0</v>
      </c>
      <c r="BI99" s="188">
        <f t="shared" si="8"/>
        <v>0</v>
      </c>
      <c r="BJ99" s="15" t="s">
        <v>77</v>
      </c>
      <c r="BK99" s="188">
        <f t="shared" si="9"/>
        <v>0</v>
      </c>
      <c r="BL99" s="15" t="s">
        <v>1510</v>
      </c>
      <c r="BM99" s="187" t="s">
        <v>1525</v>
      </c>
    </row>
    <row r="100" spans="1:65" s="2" customFormat="1" ht="13.9" customHeight="1">
      <c r="A100" s="32"/>
      <c r="B100" s="33"/>
      <c r="C100" s="176" t="s">
        <v>221</v>
      </c>
      <c r="D100" s="176" t="s">
        <v>198</v>
      </c>
      <c r="E100" s="177" t="s">
        <v>1526</v>
      </c>
      <c r="F100" s="178" t="s">
        <v>1527</v>
      </c>
      <c r="G100" s="179" t="s">
        <v>1509</v>
      </c>
      <c r="H100" s="180">
        <v>1</v>
      </c>
      <c r="I100" s="181"/>
      <c r="J100" s="182">
        <f t="shared" si="0"/>
        <v>0</v>
      </c>
      <c r="K100" s="178" t="s">
        <v>202</v>
      </c>
      <c r="L100" s="37"/>
      <c r="M100" s="183" t="s">
        <v>19</v>
      </c>
      <c r="N100" s="184" t="s">
        <v>41</v>
      </c>
      <c r="O100" s="62"/>
      <c r="P100" s="185">
        <f t="shared" si="1"/>
        <v>0</v>
      </c>
      <c r="Q100" s="185">
        <v>0</v>
      </c>
      <c r="R100" s="185">
        <f t="shared" si="2"/>
        <v>0</v>
      </c>
      <c r="S100" s="185">
        <v>0</v>
      </c>
      <c r="T100" s="186">
        <f t="shared" si="3"/>
        <v>0</v>
      </c>
      <c r="U100" s="32"/>
      <c r="V100" s="32"/>
      <c r="W100" s="32"/>
      <c r="X100" s="32"/>
      <c r="Y100" s="32"/>
      <c r="Z100" s="32"/>
      <c r="AA100" s="32"/>
      <c r="AB100" s="32"/>
      <c r="AC100" s="32"/>
      <c r="AD100" s="32"/>
      <c r="AE100" s="32"/>
      <c r="AR100" s="187" t="s">
        <v>1510</v>
      </c>
      <c r="AT100" s="187" t="s">
        <v>198</v>
      </c>
      <c r="AU100" s="187" t="s">
        <v>79</v>
      </c>
      <c r="AY100" s="15" t="s">
        <v>196</v>
      </c>
      <c r="BE100" s="188">
        <f t="shared" si="4"/>
        <v>0</v>
      </c>
      <c r="BF100" s="188">
        <f t="shared" si="5"/>
        <v>0</v>
      </c>
      <c r="BG100" s="188">
        <f t="shared" si="6"/>
        <v>0</v>
      </c>
      <c r="BH100" s="188">
        <f t="shared" si="7"/>
        <v>0</v>
      </c>
      <c r="BI100" s="188">
        <f t="shared" si="8"/>
        <v>0</v>
      </c>
      <c r="BJ100" s="15" t="s">
        <v>77</v>
      </c>
      <c r="BK100" s="188">
        <f t="shared" si="9"/>
        <v>0</v>
      </c>
      <c r="BL100" s="15" t="s">
        <v>1510</v>
      </c>
      <c r="BM100" s="187" t="s">
        <v>1528</v>
      </c>
    </row>
    <row r="101" spans="1:65" s="2" customFormat="1" ht="13.9" customHeight="1">
      <c r="A101" s="32"/>
      <c r="B101" s="33"/>
      <c r="C101" s="176" t="s">
        <v>225</v>
      </c>
      <c r="D101" s="176" t="s">
        <v>198</v>
      </c>
      <c r="E101" s="177" t="s">
        <v>1529</v>
      </c>
      <c r="F101" s="178" t="s">
        <v>1530</v>
      </c>
      <c r="G101" s="179" t="s">
        <v>1509</v>
      </c>
      <c r="H101" s="180">
        <v>1</v>
      </c>
      <c r="I101" s="181"/>
      <c r="J101" s="182">
        <f t="shared" si="0"/>
        <v>0</v>
      </c>
      <c r="K101" s="178" t="s">
        <v>202</v>
      </c>
      <c r="L101" s="37"/>
      <c r="M101" s="183" t="s">
        <v>19</v>
      </c>
      <c r="N101" s="184" t="s">
        <v>41</v>
      </c>
      <c r="O101" s="62"/>
      <c r="P101" s="185">
        <f t="shared" si="1"/>
        <v>0</v>
      </c>
      <c r="Q101" s="185">
        <v>0</v>
      </c>
      <c r="R101" s="185">
        <f t="shared" si="2"/>
        <v>0</v>
      </c>
      <c r="S101" s="185">
        <v>0</v>
      </c>
      <c r="T101" s="186">
        <f t="shared" si="3"/>
        <v>0</v>
      </c>
      <c r="U101" s="32"/>
      <c r="V101" s="32"/>
      <c r="W101" s="32"/>
      <c r="X101" s="32"/>
      <c r="Y101" s="32"/>
      <c r="Z101" s="32"/>
      <c r="AA101" s="32"/>
      <c r="AB101" s="32"/>
      <c r="AC101" s="32"/>
      <c r="AD101" s="32"/>
      <c r="AE101" s="32"/>
      <c r="AR101" s="187" t="s">
        <v>1510</v>
      </c>
      <c r="AT101" s="187" t="s">
        <v>198</v>
      </c>
      <c r="AU101" s="187" t="s">
        <v>79</v>
      </c>
      <c r="AY101" s="15" t="s">
        <v>196</v>
      </c>
      <c r="BE101" s="188">
        <f t="shared" si="4"/>
        <v>0</v>
      </c>
      <c r="BF101" s="188">
        <f t="shared" si="5"/>
        <v>0</v>
      </c>
      <c r="BG101" s="188">
        <f t="shared" si="6"/>
        <v>0</v>
      </c>
      <c r="BH101" s="188">
        <f t="shared" si="7"/>
        <v>0</v>
      </c>
      <c r="BI101" s="188">
        <f t="shared" si="8"/>
        <v>0</v>
      </c>
      <c r="BJ101" s="15" t="s">
        <v>77</v>
      </c>
      <c r="BK101" s="188">
        <f t="shared" si="9"/>
        <v>0</v>
      </c>
      <c r="BL101" s="15" t="s">
        <v>1510</v>
      </c>
      <c r="BM101" s="187" t="s">
        <v>1531</v>
      </c>
    </row>
    <row r="102" spans="2:63" s="12" customFormat="1" ht="22.9" customHeight="1">
      <c r="B102" s="160"/>
      <c r="C102" s="161"/>
      <c r="D102" s="162" t="s">
        <v>69</v>
      </c>
      <c r="E102" s="174" t="s">
        <v>1532</v>
      </c>
      <c r="F102" s="174" t="s">
        <v>1533</v>
      </c>
      <c r="G102" s="161"/>
      <c r="H102" s="161"/>
      <c r="I102" s="164"/>
      <c r="J102" s="175">
        <f>BK102</f>
        <v>0</v>
      </c>
      <c r="K102" s="161"/>
      <c r="L102" s="166"/>
      <c r="M102" s="167"/>
      <c r="N102" s="168"/>
      <c r="O102" s="168"/>
      <c r="P102" s="169">
        <f>SUM(P103:P106)</f>
        <v>0</v>
      </c>
      <c r="Q102" s="168"/>
      <c r="R102" s="169">
        <f>SUM(R103:R106)</f>
        <v>0</v>
      </c>
      <c r="S102" s="168"/>
      <c r="T102" s="170">
        <f>SUM(T103:T106)</f>
        <v>0</v>
      </c>
      <c r="AR102" s="171" t="s">
        <v>217</v>
      </c>
      <c r="AT102" s="172" t="s">
        <v>69</v>
      </c>
      <c r="AU102" s="172" t="s">
        <v>77</v>
      </c>
      <c r="AY102" s="171" t="s">
        <v>196</v>
      </c>
      <c r="BK102" s="173">
        <f>SUM(BK103:BK106)</f>
        <v>0</v>
      </c>
    </row>
    <row r="103" spans="1:65" s="2" customFormat="1" ht="13.9" customHeight="1">
      <c r="A103" s="32"/>
      <c r="B103" s="33"/>
      <c r="C103" s="176" t="s">
        <v>230</v>
      </c>
      <c r="D103" s="176" t="s">
        <v>198</v>
      </c>
      <c r="E103" s="177" t="s">
        <v>1534</v>
      </c>
      <c r="F103" s="178" t="s">
        <v>1535</v>
      </c>
      <c r="G103" s="179" t="s">
        <v>1509</v>
      </c>
      <c r="H103" s="180">
        <v>1</v>
      </c>
      <c r="I103" s="181"/>
      <c r="J103" s="182">
        <f>ROUND(I103*H103,2)</f>
        <v>0</v>
      </c>
      <c r="K103" s="178" t="s">
        <v>202</v>
      </c>
      <c r="L103" s="37"/>
      <c r="M103" s="183" t="s">
        <v>19</v>
      </c>
      <c r="N103" s="184" t="s">
        <v>41</v>
      </c>
      <c r="O103" s="62"/>
      <c r="P103" s="185">
        <f>O103*H103</f>
        <v>0</v>
      </c>
      <c r="Q103" s="185">
        <v>0</v>
      </c>
      <c r="R103" s="185">
        <f>Q103*H103</f>
        <v>0</v>
      </c>
      <c r="S103" s="185">
        <v>0</v>
      </c>
      <c r="T103" s="186">
        <f>S103*H103</f>
        <v>0</v>
      </c>
      <c r="U103" s="32"/>
      <c r="V103" s="32"/>
      <c r="W103" s="32"/>
      <c r="X103" s="32"/>
      <c r="Y103" s="32"/>
      <c r="Z103" s="32"/>
      <c r="AA103" s="32"/>
      <c r="AB103" s="32"/>
      <c r="AC103" s="32"/>
      <c r="AD103" s="32"/>
      <c r="AE103" s="32"/>
      <c r="AR103" s="187" t="s">
        <v>1510</v>
      </c>
      <c r="AT103" s="187" t="s">
        <v>198</v>
      </c>
      <c r="AU103" s="187" t="s">
        <v>79</v>
      </c>
      <c r="AY103" s="15" t="s">
        <v>196</v>
      </c>
      <c r="BE103" s="188">
        <f>IF(N103="základní",J103,0)</f>
        <v>0</v>
      </c>
      <c r="BF103" s="188">
        <f>IF(N103="snížená",J103,0)</f>
        <v>0</v>
      </c>
      <c r="BG103" s="188">
        <f>IF(N103="zákl. přenesená",J103,0)</f>
        <v>0</v>
      </c>
      <c r="BH103" s="188">
        <f>IF(N103="sníž. přenesená",J103,0)</f>
        <v>0</v>
      </c>
      <c r="BI103" s="188">
        <f>IF(N103="nulová",J103,0)</f>
        <v>0</v>
      </c>
      <c r="BJ103" s="15" t="s">
        <v>77</v>
      </c>
      <c r="BK103" s="188">
        <f>ROUND(I103*H103,2)</f>
        <v>0</v>
      </c>
      <c r="BL103" s="15" t="s">
        <v>1510</v>
      </c>
      <c r="BM103" s="187" t="s">
        <v>1536</v>
      </c>
    </row>
    <row r="104" spans="1:65" s="2" customFormat="1" ht="13.9" customHeight="1">
      <c r="A104" s="32"/>
      <c r="B104" s="33"/>
      <c r="C104" s="176" t="s">
        <v>234</v>
      </c>
      <c r="D104" s="176" t="s">
        <v>198</v>
      </c>
      <c r="E104" s="177" t="s">
        <v>1537</v>
      </c>
      <c r="F104" s="178" t="s">
        <v>1538</v>
      </c>
      <c r="G104" s="179" t="s">
        <v>1509</v>
      </c>
      <c r="H104" s="180">
        <v>1</v>
      </c>
      <c r="I104" s="181"/>
      <c r="J104" s="182">
        <f>ROUND(I104*H104,2)</f>
        <v>0</v>
      </c>
      <c r="K104" s="178" t="s">
        <v>202</v>
      </c>
      <c r="L104" s="37"/>
      <c r="M104" s="183" t="s">
        <v>19</v>
      </c>
      <c r="N104" s="184" t="s">
        <v>41</v>
      </c>
      <c r="O104" s="62"/>
      <c r="P104" s="185">
        <f>O104*H104</f>
        <v>0</v>
      </c>
      <c r="Q104" s="185">
        <v>0</v>
      </c>
      <c r="R104" s="185">
        <f>Q104*H104</f>
        <v>0</v>
      </c>
      <c r="S104" s="185">
        <v>0</v>
      </c>
      <c r="T104" s="186">
        <f>S104*H104</f>
        <v>0</v>
      </c>
      <c r="U104" s="32"/>
      <c r="V104" s="32"/>
      <c r="W104" s="32"/>
      <c r="X104" s="32"/>
      <c r="Y104" s="32"/>
      <c r="Z104" s="32"/>
      <c r="AA104" s="32"/>
      <c r="AB104" s="32"/>
      <c r="AC104" s="32"/>
      <c r="AD104" s="32"/>
      <c r="AE104" s="32"/>
      <c r="AR104" s="187" t="s">
        <v>1510</v>
      </c>
      <c r="AT104" s="187" t="s">
        <v>198</v>
      </c>
      <c r="AU104" s="187" t="s">
        <v>79</v>
      </c>
      <c r="AY104" s="15" t="s">
        <v>196</v>
      </c>
      <c r="BE104" s="188">
        <f>IF(N104="základní",J104,0)</f>
        <v>0</v>
      </c>
      <c r="BF104" s="188">
        <f>IF(N104="snížená",J104,0)</f>
        <v>0</v>
      </c>
      <c r="BG104" s="188">
        <f>IF(N104="zákl. přenesená",J104,0)</f>
        <v>0</v>
      </c>
      <c r="BH104" s="188">
        <f>IF(N104="sníž. přenesená",J104,0)</f>
        <v>0</v>
      </c>
      <c r="BI104" s="188">
        <f>IF(N104="nulová",J104,0)</f>
        <v>0</v>
      </c>
      <c r="BJ104" s="15" t="s">
        <v>77</v>
      </c>
      <c r="BK104" s="188">
        <f>ROUND(I104*H104,2)</f>
        <v>0</v>
      </c>
      <c r="BL104" s="15" t="s">
        <v>1510</v>
      </c>
      <c r="BM104" s="187" t="s">
        <v>1539</v>
      </c>
    </row>
    <row r="105" spans="1:65" s="2" customFormat="1" ht="13.9" customHeight="1">
      <c r="A105" s="32"/>
      <c r="B105" s="33"/>
      <c r="C105" s="176" t="s">
        <v>239</v>
      </c>
      <c r="D105" s="176" t="s">
        <v>198</v>
      </c>
      <c r="E105" s="177" t="s">
        <v>1540</v>
      </c>
      <c r="F105" s="178" t="s">
        <v>1541</v>
      </c>
      <c r="G105" s="179" t="s">
        <v>1509</v>
      </c>
      <c r="H105" s="180">
        <v>1</v>
      </c>
      <c r="I105" s="181"/>
      <c r="J105" s="182">
        <f>ROUND(I105*H105,2)</f>
        <v>0</v>
      </c>
      <c r="K105" s="178" t="s">
        <v>202</v>
      </c>
      <c r="L105" s="37"/>
      <c r="M105" s="183" t="s">
        <v>19</v>
      </c>
      <c r="N105" s="184" t="s">
        <v>41</v>
      </c>
      <c r="O105" s="62"/>
      <c r="P105" s="185">
        <f>O105*H105</f>
        <v>0</v>
      </c>
      <c r="Q105" s="185">
        <v>0</v>
      </c>
      <c r="R105" s="185">
        <f>Q105*H105</f>
        <v>0</v>
      </c>
      <c r="S105" s="185">
        <v>0</v>
      </c>
      <c r="T105" s="186">
        <f>S105*H105</f>
        <v>0</v>
      </c>
      <c r="U105" s="32"/>
      <c r="V105" s="32"/>
      <c r="W105" s="32"/>
      <c r="X105" s="32"/>
      <c r="Y105" s="32"/>
      <c r="Z105" s="32"/>
      <c r="AA105" s="32"/>
      <c r="AB105" s="32"/>
      <c r="AC105" s="32"/>
      <c r="AD105" s="32"/>
      <c r="AE105" s="32"/>
      <c r="AR105" s="187" t="s">
        <v>1510</v>
      </c>
      <c r="AT105" s="187" t="s">
        <v>198</v>
      </c>
      <c r="AU105" s="187" t="s">
        <v>79</v>
      </c>
      <c r="AY105" s="15" t="s">
        <v>196</v>
      </c>
      <c r="BE105" s="188">
        <f>IF(N105="základní",J105,0)</f>
        <v>0</v>
      </c>
      <c r="BF105" s="188">
        <f>IF(N105="snížená",J105,0)</f>
        <v>0</v>
      </c>
      <c r="BG105" s="188">
        <f>IF(N105="zákl. přenesená",J105,0)</f>
        <v>0</v>
      </c>
      <c r="BH105" s="188">
        <f>IF(N105="sníž. přenesená",J105,0)</f>
        <v>0</v>
      </c>
      <c r="BI105" s="188">
        <f>IF(N105="nulová",J105,0)</f>
        <v>0</v>
      </c>
      <c r="BJ105" s="15" t="s">
        <v>77</v>
      </c>
      <c r="BK105" s="188">
        <f>ROUND(I105*H105,2)</f>
        <v>0</v>
      </c>
      <c r="BL105" s="15" t="s">
        <v>1510</v>
      </c>
      <c r="BM105" s="187" t="s">
        <v>1542</v>
      </c>
    </row>
    <row r="106" spans="1:65" s="2" customFormat="1" ht="13.9" customHeight="1">
      <c r="A106" s="32"/>
      <c r="B106" s="33"/>
      <c r="C106" s="176" t="s">
        <v>245</v>
      </c>
      <c r="D106" s="176" t="s">
        <v>198</v>
      </c>
      <c r="E106" s="177" t="s">
        <v>1543</v>
      </c>
      <c r="F106" s="178" t="s">
        <v>1544</v>
      </c>
      <c r="G106" s="179" t="s">
        <v>1509</v>
      </c>
      <c r="H106" s="180">
        <v>1</v>
      </c>
      <c r="I106" s="181"/>
      <c r="J106" s="182">
        <f>ROUND(I106*H106,2)</f>
        <v>0</v>
      </c>
      <c r="K106" s="178" t="s">
        <v>202</v>
      </c>
      <c r="L106" s="37"/>
      <c r="M106" s="183" t="s">
        <v>19</v>
      </c>
      <c r="N106" s="184" t="s">
        <v>41</v>
      </c>
      <c r="O106" s="62"/>
      <c r="P106" s="185">
        <f>O106*H106</f>
        <v>0</v>
      </c>
      <c r="Q106" s="185">
        <v>0</v>
      </c>
      <c r="R106" s="185">
        <f>Q106*H106</f>
        <v>0</v>
      </c>
      <c r="S106" s="185">
        <v>0</v>
      </c>
      <c r="T106" s="186">
        <f>S106*H106</f>
        <v>0</v>
      </c>
      <c r="U106" s="32"/>
      <c r="V106" s="32"/>
      <c r="W106" s="32"/>
      <c r="X106" s="32"/>
      <c r="Y106" s="32"/>
      <c r="Z106" s="32"/>
      <c r="AA106" s="32"/>
      <c r="AB106" s="32"/>
      <c r="AC106" s="32"/>
      <c r="AD106" s="32"/>
      <c r="AE106" s="32"/>
      <c r="AR106" s="187" t="s">
        <v>1510</v>
      </c>
      <c r="AT106" s="187" t="s">
        <v>198</v>
      </c>
      <c r="AU106" s="187" t="s">
        <v>79</v>
      </c>
      <c r="AY106" s="15" t="s">
        <v>196</v>
      </c>
      <c r="BE106" s="188">
        <f>IF(N106="základní",J106,0)</f>
        <v>0</v>
      </c>
      <c r="BF106" s="188">
        <f>IF(N106="snížená",J106,0)</f>
        <v>0</v>
      </c>
      <c r="BG106" s="188">
        <f>IF(N106="zákl. přenesená",J106,0)</f>
        <v>0</v>
      </c>
      <c r="BH106" s="188">
        <f>IF(N106="sníž. přenesená",J106,0)</f>
        <v>0</v>
      </c>
      <c r="BI106" s="188">
        <f>IF(N106="nulová",J106,0)</f>
        <v>0</v>
      </c>
      <c r="BJ106" s="15" t="s">
        <v>77</v>
      </c>
      <c r="BK106" s="188">
        <f>ROUND(I106*H106,2)</f>
        <v>0</v>
      </c>
      <c r="BL106" s="15" t="s">
        <v>1510</v>
      </c>
      <c r="BM106" s="187" t="s">
        <v>1545</v>
      </c>
    </row>
    <row r="107" spans="2:63" s="12" customFormat="1" ht="22.9" customHeight="1">
      <c r="B107" s="160"/>
      <c r="C107" s="161"/>
      <c r="D107" s="162" t="s">
        <v>69</v>
      </c>
      <c r="E107" s="174" t="s">
        <v>1546</v>
      </c>
      <c r="F107" s="174" t="s">
        <v>1547</v>
      </c>
      <c r="G107" s="161"/>
      <c r="H107" s="161"/>
      <c r="I107" s="164"/>
      <c r="J107" s="175">
        <f>BK107</f>
        <v>0</v>
      </c>
      <c r="K107" s="161"/>
      <c r="L107" s="166"/>
      <c r="M107" s="167"/>
      <c r="N107" s="168"/>
      <c r="O107" s="168"/>
      <c r="P107" s="169">
        <f>SUM(P108:P110)</f>
        <v>0</v>
      </c>
      <c r="Q107" s="168"/>
      <c r="R107" s="169">
        <f>SUM(R108:R110)</f>
        <v>0</v>
      </c>
      <c r="S107" s="168"/>
      <c r="T107" s="170">
        <f>SUM(T108:T110)</f>
        <v>0</v>
      </c>
      <c r="AR107" s="171" t="s">
        <v>217</v>
      </c>
      <c r="AT107" s="172" t="s">
        <v>69</v>
      </c>
      <c r="AU107" s="172" t="s">
        <v>77</v>
      </c>
      <c r="AY107" s="171" t="s">
        <v>196</v>
      </c>
      <c r="BK107" s="173">
        <f>SUM(BK108:BK110)</f>
        <v>0</v>
      </c>
    </row>
    <row r="108" spans="1:65" s="2" customFormat="1" ht="13.9" customHeight="1">
      <c r="A108" s="32"/>
      <c r="B108" s="33"/>
      <c r="C108" s="176" t="s">
        <v>250</v>
      </c>
      <c r="D108" s="176" t="s">
        <v>198</v>
      </c>
      <c r="E108" s="177" t="s">
        <v>1548</v>
      </c>
      <c r="F108" s="178" t="s">
        <v>1549</v>
      </c>
      <c r="G108" s="179" t="s">
        <v>1509</v>
      </c>
      <c r="H108" s="180">
        <v>1</v>
      </c>
      <c r="I108" s="181"/>
      <c r="J108" s="182">
        <f>ROUND(I108*H108,2)</f>
        <v>0</v>
      </c>
      <c r="K108" s="178" t="s">
        <v>202</v>
      </c>
      <c r="L108" s="37"/>
      <c r="M108" s="183" t="s">
        <v>19</v>
      </c>
      <c r="N108" s="184" t="s">
        <v>41</v>
      </c>
      <c r="O108" s="62"/>
      <c r="P108" s="185">
        <f>O108*H108</f>
        <v>0</v>
      </c>
      <c r="Q108" s="185">
        <v>0</v>
      </c>
      <c r="R108" s="185">
        <f>Q108*H108</f>
        <v>0</v>
      </c>
      <c r="S108" s="185">
        <v>0</v>
      </c>
      <c r="T108" s="186">
        <f>S108*H108</f>
        <v>0</v>
      </c>
      <c r="U108" s="32"/>
      <c r="V108" s="32"/>
      <c r="W108" s="32"/>
      <c r="X108" s="32"/>
      <c r="Y108" s="32"/>
      <c r="Z108" s="32"/>
      <c r="AA108" s="32"/>
      <c r="AB108" s="32"/>
      <c r="AC108" s="32"/>
      <c r="AD108" s="32"/>
      <c r="AE108" s="32"/>
      <c r="AR108" s="187" t="s">
        <v>1510</v>
      </c>
      <c r="AT108" s="187" t="s">
        <v>198</v>
      </c>
      <c r="AU108" s="187" t="s">
        <v>79</v>
      </c>
      <c r="AY108" s="15" t="s">
        <v>196</v>
      </c>
      <c r="BE108" s="188">
        <f>IF(N108="základní",J108,0)</f>
        <v>0</v>
      </c>
      <c r="BF108" s="188">
        <f>IF(N108="snížená",J108,0)</f>
        <v>0</v>
      </c>
      <c r="BG108" s="188">
        <f>IF(N108="zákl. přenesená",J108,0)</f>
        <v>0</v>
      </c>
      <c r="BH108" s="188">
        <f>IF(N108="sníž. přenesená",J108,0)</f>
        <v>0</v>
      </c>
      <c r="BI108" s="188">
        <f>IF(N108="nulová",J108,0)</f>
        <v>0</v>
      </c>
      <c r="BJ108" s="15" t="s">
        <v>77</v>
      </c>
      <c r="BK108" s="188">
        <f>ROUND(I108*H108,2)</f>
        <v>0</v>
      </c>
      <c r="BL108" s="15" t="s">
        <v>1510</v>
      </c>
      <c r="BM108" s="187" t="s">
        <v>1550</v>
      </c>
    </row>
    <row r="109" spans="1:65" s="2" customFormat="1" ht="13.9" customHeight="1">
      <c r="A109" s="32"/>
      <c r="B109" s="33"/>
      <c r="C109" s="176" t="s">
        <v>255</v>
      </c>
      <c r="D109" s="176" t="s">
        <v>198</v>
      </c>
      <c r="E109" s="177" t="s">
        <v>1551</v>
      </c>
      <c r="F109" s="178" t="s">
        <v>1552</v>
      </c>
      <c r="G109" s="179" t="s">
        <v>1509</v>
      </c>
      <c r="H109" s="180">
        <v>1</v>
      </c>
      <c r="I109" s="181"/>
      <c r="J109" s="182">
        <f>ROUND(I109*H109,2)</f>
        <v>0</v>
      </c>
      <c r="K109" s="178" t="s">
        <v>202</v>
      </c>
      <c r="L109" s="37"/>
      <c r="M109" s="183" t="s">
        <v>19</v>
      </c>
      <c r="N109" s="184" t="s">
        <v>41</v>
      </c>
      <c r="O109" s="62"/>
      <c r="P109" s="185">
        <f>O109*H109</f>
        <v>0</v>
      </c>
      <c r="Q109" s="185">
        <v>0</v>
      </c>
      <c r="R109" s="185">
        <f>Q109*H109</f>
        <v>0</v>
      </c>
      <c r="S109" s="185">
        <v>0</v>
      </c>
      <c r="T109" s="186">
        <f>S109*H109</f>
        <v>0</v>
      </c>
      <c r="U109" s="32"/>
      <c r="V109" s="32"/>
      <c r="W109" s="32"/>
      <c r="X109" s="32"/>
      <c r="Y109" s="32"/>
      <c r="Z109" s="32"/>
      <c r="AA109" s="32"/>
      <c r="AB109" s="32"/>
      <c r="AC109" s="32"/>
      <c r="AD109" s="32"/>
      <c r="AE109" s="32"/>
      <c r="AR109" s="187" t="s">
        <v>1510</v>
      </c>
      <c r="AT109" s="187" t="s">
        <v>198</v>
      </c>
      <c r="AU109" s="187" t="s">
        <v>79</v>
      </c>
      <c r="AY109" s="15" t="s">
        <v>196</v>
      </c>
      <c r="BE109" s="188">
        <f>IF(N109="základní",J109,0)</f>
        <v>0</v>
      </c>
      <c r="BF109" s="188">
        <f>IF(N109="snížená",J109,0)</f>
        <v>0</v>
      </c>
      <c r="BG109" s="188">
        <f>IF(N109="zákl. přenesená",J109,0)</f>
        <v>0</v>
      </c>
      <c r="BH109" s="188">
        <f>IF(N109="sníž. přenesená",J109,0)</f>
        <v>0</v>
      </c>
      <c r="BI109" s="188">
        <f>IF(N109="nulová",J109,0)</f>
        <v>0</v>
      </c>
      <c r="BJ109" s="15" t="s">
        <v>77</v>
      </c>
      <c r="BK109" s="188">
        <f>ROUND(I109*H109,2)</f>
        <v>0</v>
      </c>
      <c r="BL109" s="15" t="s">
        <v>1510</v>
      </c>
      <c r="BM109" s="187" t="s">
        <v>1553</v>
      </c>
    </row>
    <row r="110" spans="1:65" s="2" customFormat="1" ht="13.9" customHeight="1">
      <c r="A110" s="32"/>
      <c r="B110" s="33"/>
      <c r="C110" s="176" t="s">
        <v>261</v>
      </c>
      <c r="D110" s="176" t="s">
        <v>198</v>
      </c>
      <c r="E110" s="177" t="s">
        <v>1554</v>
      </c>
      <c r="F110" s="178" t="s">
        <v>1555</v>
      </c>
      <c r="G110" s="179" t="s">
        <v>1509</v>
      </c>
      <c r="H110" s="180">
        <v>1</v>
      </c>
      <c r="I110" s="181"/>
      <c r="J110" s="182">
        <f>ROUND(I110*H110,2)</f>
        <v>0</v>
      </c>
      <c r="K110" s="178" t="s">
        <v>202</v>
      </c>
      <c r="L110" s="37"/>
      <c r="M110" s="183" t="s">
        <v>19</v>
      </c>
      <c r="N110" s="184" t="s">
        <v>41</v>
      </c>
      <c r="O110" s="62"/>
      <c r="P110" s="185">
        <f>O110*H110</f>
        <v>0</v>
      </c>
      <c r="Q110" s="185">
        <v>0</v>
      </c>
      <c r="R110" s="185">
        <f>Q110*H110</f>
        <v>0</v>
      </c>
      <c r="S110" s="185">
        <v>0</v>
      </c>
      <c r="T110" s="186">
        <f>S110*H110</f>
        <v>0</v>
      </c>
      <c r="U110" s="32"/>
      <c r="V110" s="32"/>
      <c r="W110" s="32"/>
      <c r="X110" s="32"/>
      <c r="Y110" s="32"/>
      <c r="Z110" s="32"/>
      <c r="AA110" s="32"/>
      <c r="AB110" s="32"/>
      <c r="AC110" s="32"/>
      <c r="AD110" s="32"/>
      <c r="AE110" s="32"/>
      <c r="AR110" s="187" t="s">
        <v>1510</v>
      </c>
      <c r="AT110" s="187" t="s">
        <v>198</v>
      </c>
      <c r="AU110" s="187" t="s">
        <v>79</v>
      </c>
      <c r="AY110" s="15" t="s">
        <v>196</v>
      </c>
      <c r="BE110" s="188">
        <f>IF(N110="základní",J110,0)</f>
        <v>0</v>
      </c>
      <c r="BF110" s="188">
        <f>IF(N110="snížená",J110,0)</f>
        <v>0</v>
      </c>
      <c r="BG110" s="188">
        <f>IF(N110="zákl. přenesená",J110,0)</f>
        <v>0</v>
      </c>
      <c r="BH110" s="188">
        <f>IF(N110="sníž. přenesená",J110,0)</f>
        <v>0</v>
      </c>
      <c r="BI110" s="188">
        <f>IF(N110="nulová",J110,0)</f>
        <v>0</v>
      </c>
      <c r="BJ110" s="15" t="s">
        <v>77</v>
      </c>
      <c r="BK110" s="188">
        <f>ROUND(I110*H110,2)</f>
        <v>0</v>
      </c>
      <c r="BL110" s="15" t="s">
        <v>1510</v>
      </c>
      <c r="BM110" s="187" t="s">
        <v>1556</v>
      </c>
    </row>
    <row r="111" spans="2:63" s="12" customFormat="1" ht="22.9" customHeight="1">
      <c r="B111" s="160"/>
      <c r="C111" s="161"/>
      <c r="D111" s="162" t="s">
        <v>69</v>
      </c>
      <c r="E111" s="174" t="s">
        <v>1557</v>
      </c>
      <c r="F111" s="174" t="s">
        <v>1558</v>
      </c>
      <c r="G111" s="161"/>
      <c r="H111" s="161"/>
      <c r="I111" s="164"/>
      <c r="J111" s="175">
        <f>BK111</f>
        <v>0</v>
      </c>
      <c r="K111" s="161"/>
      <c r="L111" s="166"/>
      <c r="M111" s="167"/>
      <c r="N111" s="168"/>
      <c r="O111" s="168"/>
      <c r="P111" s="169">
        <f>SUM(P112:P113)</f>
        <v>0</v>
      </c>
      <c r="Q111" s="168"/>
      <c r="R111" s="169">
        <f>SUM(R112:R113)</f>
        <v>0</v>
      </c>
      <c r="S111" s="168"/>
      <c r="T111" s="170">
        <f>SUM(T112:T113)</f>
        <v>0</v>
      </c>
      <c r="AR111" s="171" t="s">
        <v>217</v>
      </c>
      <c r="AT111" s="172" t="s">
        <v>69</v>
      </c>
      <c r="AU111" s="172" t="s">
        <v>77</v>
      </c>
      <c r="AY111" s="171" t="s">
        <v>196</v>
      </c>
      <c r="BK111" s="173">
        <f>SUM(BK112:BK113)</f>
        <v>0</v>
      </c>
    </row>
    <row r="112" spans="1:65" s="2" customFormat="1" ht="13.9" customHeight="1">
      <c r="A112" s="32"/>
      <c r="B112" s="33"/>
      <c r="C112" s="176" t="s">
        <v>8</v>
      </c>
      <c r="D112" s="176" t="s">
        <v>198</v>
      </c>
      <c r="E112" s="177" t="s">
        <v>1559</v>
      </c>
      <c r="F112" s="178" t="s">
        <v>1560</v>
      </c>
      <c r="G112" s="179" t="s">
        <v>1509</v>
      </c>
      <c r="H112" s="180">
        <v>1</v>
      </c>
      <c r="I112" s="181"/>
      <c r="J112" s="182">
        <f>ROUND(I112*H112,2)</f>
        <v>0</v>
      </c>
      <c r="K112" s="178" t="s">
        <v>202</v>
      </c>
      <c r="L112" s="37"/>
      <c r="M112" s="183" t="s">
        <v>19</v>
      </c>
      <c r="N112" s="184" t="s">
        <v>41</v>
      </c>
      <c r="O112" s="62"/>
      <c r="P112" s="185">
        <f>O112*H112</f>
        <v>0</v>
      </c>
      <c r="Q112" s="185">
        <v>0</v>
      </c>
      <c r="R112" s="185">
        <f>Q112*H112</f>
        <v>0</v>
      </c>
      <c r="S112" s="185">
        <v>0</v>
      </c>
      <c r="T112" s="186">
        <f>S112*H112</f>
        <v>0</v>
      </c>
      <c r="U112" s="32"/>
      <c r="V112" s="32"/>
      <c r="W112" s="32"/>
      <c r="X112" s="32"/>
      <c r="Y112" s="32"/>
      <c r="Z112" s="32"/>
      <c r="AA112" s="32"/>
      <c r="AB112" s="32"/>
      <c r="AC112" s="32"/>
      <c r="AD112" s="32"/>
      <c r="AE112" s="32"/>
      <c r="AR112" s="187" t="s">
        <v>1510</v>
      </c>
      <c r="AT112" s="187" t="s">
        <v>198</v>
      </c>
      <c r="AU112" s="187" t="s">
        <v>79</v>
      </c>
      <c r="AY112" s="15" t="s">
        <v>196</v>
      </c>
      <c r="BE112" s="188">
        <f>IF(N112="základní",J112,0)</f>
        <v>0</v>
      </c>
      <c r="BF112" s="188">
        <f>IF(N112="snížená",J112,0)</f>
        <v>0</v>
      </c>
      <c r="BG112" s="188">
        <f>IF(N112="zákl. přenesená",J112,0)</f>
        <v>0</v>
      </c>
      <c r="BH112" s="188">
        <f>IF(N112="sníž. přenesená",J112,0)</f>
        <v>0</v>
      </c>
      <c r="BI112" s="188">
        <f>IF(N112="nulová",J112,0)</f>
        <v>0</v>
      </c>
      <c r="BJ112" s="15" t="s">
        <v>77</v>
      </c>
      <c r="BK112" s="188">
        <f>ROUND(I112*H112,2)</f>
        <v>0</v>
      </c>
      <c r="BL112" s="15" t="s">
        <v>1510</v>
      </c>
      <c r="BM112" s="187" t="s">
        <v>1561</v>
      </c>
    </row>
    <row r="113" spans="1:65" s="2" customFormat="1" ht="13.9" customHeight="1">
      <c r="A113" s="32"/>
      <c r="B113" s="33"/>
      <c r="C113" s="176" t="s">
        <v>270</v>
      </c>
      <c r="D113" s="176" t="s">
        <v>198</v>
      </c>
      <c r="E113" s="177" t="s">
        <v>1562</v>
      </c>
      <c r="F113" s="178" t="s">
        <v>1563</v>
      </c>
      <c r="G113" s="179" t="s">
        <v>1509</v>
      </c>
      <c r="H113" s="180">
        <v>1</v>
      </c>
      <c r="I113" s="181"/>
      <c r="J113" s="182">
        <f>ROUND(I113*H113,2)</f>
        <v>0</v>
      </c>
      <c r="K113" s="178" t="s">
        <v>202</v>
      </c>
      <c r="L113" s="37"/>
      <c r="M113" s="204" t="s">
        <v>19</v>
      </c>
      <c r="N113" s="205" t="s">
        <v>41</v>
      </c>
      <c r="O113" s="206"/>
      <c r="P113" s="207">
        <f>O113*H113</f>
        <v>0</v>
      </c>
      <c r="Q113" s="207">
        <v>0</v>
      </c>
      <c r="R113" s="207">
        <f>Q113*H113</f>
        <v>0</v>
      </c>
      <c r="S113" s="207">
        <v>0</v>
      </c>
      <c r="T113" s="208">
        <f>S113*H113</f>
        <v>0</v>
      </c>
      <c r="U113" s="32"/>
      <c r="V113" s="32"/>
      <c r="W113" s="32"/>
      <c r="X113" s="32"/>
      <c r="Y113" s="32"/>
      <c r="Z113" s="32"/>
      <c r="AA113" s="32"/>
      <c r="AB113" s="32"/>
      <c r="AC113" s="32"/>
      <c r="AD113" s="32"/>
      <c r="AE113" s="32"/>
      <c r="AR113" s="187" t="s">
        <v>1510</v>
      </c>
      <c r="AT113" s="187" t="s">
        <v>198</v>
      </c>
      <c r="AU113" s="187" t="s">
        <v>79</v>
      </c>
      <c r="AY113" s="15" t="s">
        <v>196</v>
      </c>
      <c r="BE113" s="188">
        <f>IF(N113="základní",J113,0)</f>
        <v>0</v>
      </c>
      <c r="BF113" s="188">
        <f>IF(N113="snížená",J113,0)</f>
        <v>0</v>
      </c>
      <c r="BG113" s="188">
        <f>IF(N113="zákl. přenesená",J113,0)</f>
        <v>0</v>
      </c>
      <c r="BH113" s="188">
        <f>IF(N113="sníž. přenesená",J113,0)</f>
        <v>0</v>
      </c>
      <c r="BI113" s="188">
        <f>IF(N113="nulová",J113,0)</f>
        <v>0</v>
      </c>
      <c r="BJ113" s="15" t="s">
        <v>77</v>
      </c>
      <c r="BK113" s="188">
        <f>ROUND(I113*H113,2)</f>
        <v>0</v>
      </c>
      <c r="BL113" s="15" t="s">
        <v>1510</v>
      </c>
      <c r="BM113" s="187" t="s">
        <v>1564</v>
      </c>
    </row>
    <row r="114" spans="1:31" s="2" customFormat="1" ht="6.95" customHeight="1">
      <c r="A114" s="32"/>
      <c r="B114" s="45"/>
      <c r="C114" s="46"/>
      <c r="D114" s="46"/>
      <c r="E114" s="46"/>
      <c r="F114" s="46"/>
      <c r="G114" s="46"/>
      <c r="H114" s="46"/>
      <c r="I114" s="46"/>
      <c r="J114" s="46"/>
      <c r="K114" s="46"/>
      <c r="L114" s="37"/>
      <c r="M114" s="32"/>
      <c r="O114" s="32"/>
      <c r="P114" s="32"/>
      <c r="Q114" s="32"/>
      <c r="R114" s="32"/>
      <c r="S114" s="32"/>
      <c r="T114" s="32"/>
      <c r="U114" s="32"/>
      <c r="V114" s="32"/>
      <c r="W114" s="32"/>
      <c r="X114" s="32"/>
      <c r="Y114" s="32"/>
      <c r="Z114" s="32"/>
      <c r="AA114" s="32"/>
      <c r="AB114" s="32"/>
      <c r="AC114" s="32"/>
      <c r="AD114" s="32"/>
      <c r="AE114" s="32"/>
    </row>
  </sheetData>
  <sheetProtection algorithmName="SHA-512" hashValue="6MjoAyhzvLTjdKMoy/R/8GNmYxrUYWRHbfy6T7qgBbdEzQMc6nrprwXG7Y3NuC+Rl2ZX6EOsxUiL6IhX8P26Wg==" saltValue="VQpM4nRyU1X29910BQFbboqruNnG/4TLlD6DTssENfqRsi9FjCOB0MilLwrtYu6l65f2kob8IyZ8X8C1ydiICQ==" spinCount="100000" sheet="1" objects="1" scenarios="1" formatColumns="0" formatRows="0" autoFilter="0"/>
  <autoFilter ref="C90:K113"/>
  <mergeCells count="12">
    <mergeCell ref="E83:H83"/>
    <mergeCell ref="L2:V2"/>
    <mergeCell ref="E50:H50"/>
    <mergeCell ref="E52:H52"/>
    <mergeCell ref="E54:H54"/>
    <mergeCell ref="E79:H79"/>
    <mergeCell ref="E81:H81"/>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2:K218"/>
  <sheetViews>
    <sheetView showGridLines="0" zoomScale="110" zoomScaleNormal="110" workbookViewId="0" topLeftCell="A190"/>
  </sheetViews>
  <sheetFormatPr defaultColWidth="9.140625" defaultRowHeight="12"/>
  <cols>
    <col min="1" max="1" width="8.28125" style="209" customWidth="1"/>
    <col min="2" max="2" width="1.7109375" style="209" customWidth="1"/>
    <col min="3" max="4" width="5.00390625" style="209" customWidth="1"/>
    <col min="5" max="5" width="11.7109375" style="209" customWidth="1"/>
    <col min="6" max="6" width="9.140625" style="209" customWidth="1"/>
    <col min="7" max="7" width="5.00390625" style="209" customWidth="1"/>
    <col min="8" max="8" width="77.8515625" style="209" customWidth="1"/>
    <col min="9" max="10" width="20.00390625" style="209" customWidth="1"/>
    <col min="11" max="11" width="1.7109375" style="209" customWidth="1"/>
  </cols>
  <sheetData>
    <row r="1" s="1" customFormat="1" ht="37.5" customHeight="1"/>
    <row r="2" spans="2:11" s="1" customFormat="1" ht="7.5" customHeight="1">
      <c r="B2" s="210"/>
      <c r="C2" s="211"/>
      <c r="D2" s="211"/>
      <c r="E2" s="211"/>
      <c r="F2" s="211"/>
      <c r="G2" s="211"/>
      <c r="H2" s="211"/>
      <c r="I2" s="211"/>
      <c r="J2" s="211"/>
      <c r="K2" s="212"/>
    </row>
    <row r="3" spans="2:11" s="13" customFormat="1" ht="45" customHeight="1">
      <c r="B3" s="213"/>
      <c r="C3" s="780" t="s">
        <v>1565</v>
      </c>
      <c r="D3" s="780"/>
      <c r="E3" s="780"/>
      <c r="F3" s="780"/>
      <c r="G3" s="780"/>
      <c r="H3" s="780"/>
      <c r="I3" s="780"/>
      <c r="J3" s="780"/>
      <c r="K3" s="214"/>
    </row>
    <row r="4" spans="2:11" s="1" customFormat="1" ht="25.5" customHeight="1">
      <c r="B4" s="215"/>
      <c r="C4" s="785" t="s">
        <v>1566</v>
      </c>
      <c r="D4" s="785"/>
      <c r="E4" s="785"/>
      <c r="F4" s="785"/>
      <c r="G4" s="785"/>
      <c r="H4" s="785"/>
      <c r="I4" s="785"/>
      <c r="J4" s="785"/>
      <c r="K4" s="216"/>
    </row>
    <row r="5" spans="2:11" s="1" customFormat="1" ht="5.25" customHeight="1">
      <c r="B5" s="215"/>
      <c r="C5" s="217"/>
      <c r="D5" s="217"/>
      <c r="E5" s="217"/>
      <c r="F5" s="217"/>
      <c r="G5" s="217"/>
      <c r="H5" s="217"/>
      <c r="I5" s="217"/>
      <c r="J5" s="217"/>
      <c r="K5" s="216"/>
    </row>
    <row r="6" spans="2:11" s="1" customFormat="1" ht="15" customHeight="1">
      <c r="B6" s="215"/>
      <c r="C6" s="784" t="s">
        <v>1567</v>
      </c>
      <c r="D6" s="784"/>
      <c r="E6" s="784"/>
      <c r="F6" s="784"/>
      <c r="G6" s="784"/>
      <c r="H6" s="784"/>
      <c r="I6" s="784"/>
      <c r="J6" s="784"/>
      <c r="K6" s="216"/>
    </row>
    <row r="7" spans="2:11" s="1" customFormat="1" ht="15" customHeight="1">
      <c r="B7" s="219"/>
      <c r="C7" s="784" t="s">
        <v>1568</v>
      </c>
      <c r="D7" s="784"/>
      <c r="E7" s="784"/>
      <c r="F7" s="784"/>
      <c r="G7" s="784"/>
      <c r="H7" s="784"/>
      <c r="I7" s="784"/>
      <c r="J7" s="784"/>
      <c r="K7" s="216"/>
    </row>
    <row r="8" spans="2:11" s="1" customFormat="1" ht="12.75" customHeight="1">
      <c r="B8" s="219"/>
      <c r="C8" s="218"/>
      <c r="D8" s="218"/>
      <c r="E8" s="218"/>
      <c r="F8" s="218"/>
      <c r="G8" s="218"/>
      <c r="H8" s="218"/>
      <c r="I8" s="218"/>
      <c r="J8" s="218"/>
      <c r="K8" s="216"/>
    </row>
    <row r="9" spans="2:11" s="1" customFormat="1" ht="15" customHeight="1">
      <c r="B9" s="219"/>
      <c r="C9" s="784" t="s">
        <v>1569</v>
      </c>
      <c r="D9" s="784"/>
      <c r="E9" s="784"/>
      <c r="F9" s="784"/>
      <c r="G9" s="784"/>
      <c r="H9" s="784"/>
      <c r="I9" s="784"/>
      <c r="J9" s="784"/>
      <c r="K9" s="216"/>
    </row>
    <row r="10" spans="2:11" s="1" customFormat="1" ht="15" customHeight="1">
      <c r="B10" s="219"/>
      <c r="C10" s="218"/>
      <c r="D10" s="784" t="s">
        <v>1570</v>
      </c>
      <c r="E10" s="784"/>
      <c r="F10" s="784"/>
      <c r="G10" s="784"/>
      <c r="H10" s="784"/>
      <c r="I10" s="784"/>
      <c r="J10" s="784"/>
      <c r="K10" s="216"/>
    </row>
    <row r="11" spans="2:11" s="1" customFormat="1" ht="15" customHeight="1">
      <c r="B11" s="219"/>
      <c r="C11" s="220"/>
      <c r="D11" s="784" t="s">
        <v>1571</v>
      </c>
      <c r="E11" s="784"/>
      <c r="F11" s="784"/>
      <c r="G11" s="784"/>
      <c r="H11" s="784"/>
      <c r="I11" s="784"/>
      <c r="J11" s="784"/>
      <c r="K11" s="216"/>
    </row>
    <row r="12" spans="2:11" s="1" customFormat="1" ht="15" customHeight="1">
      <c r="B12" s="219"/>
      <c r="C12" s="220"/>
      <c r="D12" s="218"/>
      <c r="E12" s="218"/>
      <c r="F12" s="218"/>
      <c r="G12" s="218"/>
      <c r="H12" s="218"/>
      <c r="I12" s="218"/>
      <c r="J12" s="218"/>
      <c r="K12" s="216"/>
    </row>
    <row r="13" spans="2:11" s="1" customFormat="1" ht="15" customHeight="1">
      <c r="B13" s="219"/>
      <c r="C13" s="220"/>
      <c r="D13" s="221" t="s">
        <v>1572</v>
      </c>
      <c r="E13" s="218"/>
      <c r="F13" s="218"/>
      <c r="G13" s="218"/>
      <c r="H13" s="218"/>
      <c r="I13" s="218"/>
      <c r="J13" s="218"/>
      <c r="K13" s="216"/>
    </row>
    <row r="14" spans="2:11" s="1" customFormat="1" ht="12.75" customHeight="1">
      <c r="B14" s="219"/>
      <c r="C14" s="220"/>
      <c r="D14" s="220"/>
      <c r="E14" s="220"/>
      <c r="F14" s="220"/>
      <c r="G14" s="220"/>
      <c r="H14" s="220"/>
      <c r="I14" s="220"/>
      <c r="J14" s="220"/>
      <c r="K14" s="216"/>
    </row>
    <row r="15" spans="2:11" s="1" customFormat="1" ht="15" customHeight="1">
      <c r="B15" s="219"/>
      <c r="C15" s="220"/>
      <c r="D15" s="784" t="s">
        <v>1573</v>
      </c>
      <c r="E15" s="784"/>
      <c r="F15" s="784"/>
      <c r="G15" s="784"/>
      <c r="H15" s="784"/>
      <c r="I15" s="784"/>
      <c r="J15" s="784"/>
      <c r="K15" s="216"/>
    </row>
    <row r="16" spans="2:11" s="1" customFormat="1" ht="15" customHeight="1">
      <c r="B16" s="219"/>
      <c r="C16" s="220"/>
      <c r="D16" s="784" t="s">
        <v>1574</v>
      </c>
      <c r="E16" s="784"/>
      <c r="F16" s="784"/>
      <c r="G16" s="784"/>
      <c r="H16" s="784"/>
      <c r="I16" s="784"/>
      <c r="J16" s="784"/>
      <c r="K16" s="216"/>
    </row>
    <row r="17" spans="2:11" s="1" customFormat="1" ht="15" customHeight="1">
      <c r="B17" s="219"/>
      <c r="C17" s="220"/>
      <c r="D17" s="784" t="s">
        <v>1575</v>
      </c>
      <c r="E17" s="784"/>
      <c r="F17" s="784"/>
      <c r="G17" s="784"/>
      <c r="H17" s="784"/>
      <c r="I17" s="784"/>
      <c r="J17" s="784"/>
      <c r="K17" s="216"/>
    </row>
    <row r="18" spans="2:11" s="1" customFormat="1" ht="15" customHeight="1">
      <c r="B18" s="219"/>
      <c r="C18" s="220"/>
      <c r="D18" s="220"/>
      <c r="E18" s="222" t="s">
        <v>76</v>
      </c>
      <c r="F18" s="784" t="s">
        <v>1576</v>
      </c>
      <c r="G18" s="784"/>
      <c r="H18" s="784"/>
      <c r="I18" s="784"/>
      <c r="J18" s="784"/>
      <c r="K18" s="216"/>
    </row>
    <row r="19" spans="2:11" s="1" customFormat="1" ht="15" customHeight="1">
      <c r="B19" s="219"/>
      <c r="C19" s="220"/>
      <c r="D19" s="220"/>
      <c r="E19" s="222" t="s">
        <v>1577</v>
      </c>
      <c r="F19" s="784" t="s">
        <v>1578</v>
      </c>
      <c r="G19" s="784"/>
      <c r="H19" s="784"/>
      <c r="I19" s="784"/>
      <c r="J19" s="784"/>
      <c r="K19" s="216"/>
    </row>
    <row r="20" spans="2:11" s="1" customFormat="1" ht="15" customHeight="1">
      <c r="B20" s="219"/>
      <c r="C20" s="220"/>
      <c r="D20" s="220"/>
      <c r="E20" s="222" t="s">
        <v>1579</v>
      </c>
      <c r="F20" s="784" t="s">
        <v>1580</v>
      </c>
      <c r="G20" s="784"/>
      <c r="H20" s="784"/>
      <c r="I20" s="784"/>
      <c r="J20" s="784"/>
      <c r="K20" s="216"/>
    </row>
    <row r="21" spans="2:11" s="1" customFormat="1" ht="15" customHeight="1">
      <c r="B21" s="219"/>
      <c r="C21" s="220"/>
      <c r="D21" s="220"/>
      <c r="E21" s="222" t="s">
        <v>136</v>
      </c>
      <c r="F21" s="784" t="s">
        <v>1581</v>
      </c>
      <c r="G21" s="784"/>
      <c r="H21" s="784"/>
      <c r="I21" s="784"/>
      <c r="J21" s="784"/>
      <c r="K21" s="216"/>
    </row>
    <row r="22" spans="2:11" s="1" customFormat="1" ht="15" customHeight="1">
      <c r="B22" s="219"/>
      <c r="C22" s="220"/>
      <c r="D22" s="220"/>
      <c r="E22" s="222" t="s">
        <v>1582</v>
      </c>
      <c r="F22" s="784" t="s">
        <v>1583</v>
      </c>
      <c r="G22" s="784"/>
      <c r="H22" s="784"/>
      <c r="I22" s="784"/>
      <c r="J22" s="784"/>
      <c r="K22" s="216"/>
    </row>
    <row r="23" spans="2:11" s="1" customFormat="1" ht="15" customHeight="1">
      <c r="B23" s="219"/>
      <c r="C23" s="220"/>
      <c r="D23" s="220"/>
      <c r="E23" s="222" t="s">
        <v>83</v>
      </c>
      <c r="F23" s="784" t="s">
        <v>1584</v>
      </c>
      <c r="G23" s="784"/>
      <c r="H23" s="784"/>
      <c r="I23" s="784"/>
      <c r="J23" s="784"/>
      <c r="K23" s="216"/>
    </row>
    <row r="24" spans="2:11" s="1" customFormat="1" ht="12.75" customHeight="1">
      <c r="B24" s="219"/>
      <c r="C24" s="220"/>
      <c r="D24" s="220"/>
      <c r="E24" s="220"/>
      <c r="F24" s="220"/>
      <c r="G24" s="220"/>
      <c r="H24" s="220"/>
      <c r="I24" s="220"/>
      <c r="J24" s="220"/>
      <c r="K24" s="216"/>
    </row>
    <row r="25" spans="2:11" s="1" customFormat="1" ht="15" customHeight="1">
      <c r="B25" s="219"/>
      <c r="C25" s="784" t="s">
        <v>1585</v>
      </c>
      <c r="D25" s="784"/>
      <c r="E25" s="784"/>
      <c r="F25" s="784"/>
      <c r="G25" s="784"/>
      <c r="H25" s="784"/>
      <c r="I25" s="784"/>
      <c r="J25" s="784"/>
      <c r="K25" s="216"/>
    </row>
    <row r="26" spans="2:11" s="1" customFormat="1" ht="15" customHeight="1">
      <c r="B26" s="219"/>
      <c r="C26" s="784" t="s">
        <v>1586</v>
      </c>
      <c r="D26" s="784"/>
      <c r="E26" s="784"/>
      <c r="F26" s="784"/>
      <c r="G26" s="784"/>
      <c r="H26" s="784"/>
      <c r="I26" s="784"/>
      <c r="J26" s="784"/>
      <c r="K26" s="216"/>
    </row>
    <row r="27" spans="2:11" s="1" customFormat="1" ht="15" customHeight="1">
      <c r="B27" s="219"/>
      <c r="C27" s="218"/>
      <c r="D27" s="784" t="s">
        <v>1587</v>
      </c>
      <c r="E27" s="784"/>
      <c r="F27" s="784"/>
      <c r="G27" s="784"/>
      <c r="H27" s="784"/>
      <c r="I27" s="784"/>
      <c r="J27" s="784"/>
      <c r="K27" s="216"/>
    </row>
    <row r="28" spans="2:11" s="1" customFormat="1" ht="15" customHeight="1">
      <c r="B28" s="219"/>
      <c r="C28" s="220"/>
      <c r="D28" s="784" t="s">
        <v>1588</v>
      </c>
      <c r="E28" s="784"/>
      <c r="F28" s="784"/>
      <c r="G28" s="784"/>
      <c r="H28" s="784"/>
      <c r="I28" s="784"/>
      <c r="J28" s="784"/>
      <c r="K28" s="216"/>
    </row>
    <row r="29" spans="2:11" s="1" customFormat="1" ht="12.75" customHeight="1">
      <c r="B29" s="219"/>
      <c r="C29" s="220"/>
      <c r="D29" s="220"/>
      <c r="E29" s="220"/>
      <c r="F29" s="220"/>
      <c r="G29" s="220"/>
      <c r="H29" s="220"/>
      <c r="I29" s="220"/>
      <c r="J29" s="220"/>
      <c r="K29" s="216"/>
    </row>
    <row r="30" spans="2:11" s="1" customFormat="1" ht="15" customHeight="1">
      <c r="B30" s="219"/>
      <c r="C30" s="220"/>
      <c r="D30" s="784" t="s">
        <v>1589</v>
      </c>
      <c r="E30" s="784"/>
      <c r="F30" s="784"/>
      <c r="G30" s="784"/>
      <c r="H30" s="784"/>
      <c r="I30" s="784"/>
      <c r="J30" s="784"/>
      <c r="K30" s="216"/>
    </row>
    <row r="31" spans="2:11" s="1" customFormat="1" ht="15" customHeight="1">
      <c r="B31" s="219"/>
      <c r="C31" s="220"/>
      <c r="D31" s="784" t="s">
        <v>1590</v>
      </c>
      <c r="E31" s="784"/>
      <c r="F31" s="784"/>
      <c r="G31" s="784"/>
      <c r="H31" s="784"/>
      <c r="I31" s="784"/>
      <c r="J31" s="784"/>
      <c r="K31" s="216"/>
    </row>
    <row r="32" spans="2:11" s="1" customFormat="1" ht="12.75" customHeight="1">
      <c r="B32" s="219"/>
      <c r="C32" s="220"/>
      <c r="D32" s="220"/>
      <c r="E32" s="220"/>
      <c r="F32" s="220"/>
      <c r="G32" s="220"/>
      <c r="H32" s="220"/>
      <c r="I32" s="220"/>
      <c r="J32" s="220"/>
      <c r="K32" s="216"/>
    </row>
    <row r="33" spans="2:11" s="1" customFormat="1" ht="15" customHeight="1">
      <c r="B33" s="219"/>
      <c r="C33" s="220"/>
      <c r="D33" s="784" t="s">
        <v>1591</v>
      </c>
      <c r="E33" s="784"/>
      <c r="F33" s="784"/>
      <c r="G33" s="784"/>
      <c r="H33" s="784"/>
      <c r="I33" s="784"/>
      <c r="J33" s="784"/>
      <c r="K33" s="216"/>
    </row>
    <row r="34" spans="2:11" s="1" customFormat="1" ht="15" customHeight="1">
      <c r="B34" s="219"/>
      <c r="C34" s="220"/>
      <c r="D34" s="784" t="s">
        <v>1592</v>
      </c>
      <c r="E34" s="784"/>
      <c r="F34" s="784"/>
      <c r="G34" s="784"/>
      <c r="H34" s="784"/>
      <c r="I34" s="784"/>
      <c r="J34" s="784"/>
      <c r="K34" s="216"/>
    </row>
    <row r="35" spans="2:11" s="1" customFormat="1" ht="15" customHeight="1">
      <c r="B35" s="219"/>
      <c r="C35" s="220"/>
      <c r="D35" s="784" t="s">
        <v>1593</v>
      </c>
      <c r="E35" s="784"/>
      <c r="F35" s="784"/>
      <c r="G35" s="784"/>
      <c r="H35" s="784"/>
      <c r="I35" s="784"/>
      <c r="J35" s="784"/>
      <c r="K35" s="216"/>
    </row>
    <row r="36" spans="2:11" s="1" customFormat="1" ht="15" customHeight="1">
      <c r="B36" s="219"/>
      <c r="C36" s="220"/>
      <c r="D36" s="218"/>
      <c r="E36" s="221" t="s">
        <v>182</v>
      </c>
      <c r="F36" s="218"/>
      <c r="G36" s="784" t="s">
        <v>1594</v>
      </c>
      <c r="H36" s="784"/>
      <c r="I36" s="784"/>
      <c r="J36" s="784"/>
      <c r="K36" s="216"/>
    </row>
    <row r="37" spans="2:11" s="1" customFormat="1" ht="30.75" customHeight="1">
      <c r="B37" s="219"/>
      <c r="C37" s="220"/>
      <c r="D37" s="218"/>
      <c r="E37" s="221" t="s">
        <v>1595</v>
      </c>
      <c r="F37" s="218"/>
      <c r="G37" s="784" t="s">
        <v>1596</v>
      </c>
      <c r="H37" s="784"/>
      <c r="I37" s="784"/>
      <c r="J37" s="784"/>
      <c r="K37" s="216"/>
    </row>
    <row r="38" spans="2:11" s="1" customFormat="1" ht="15" customHeight="1">
      <c r="B38" s="219"/>
      <c r="C38" s="220"/>
      <c r="D38" s="218"/>
      <c r="E38" s="221" t="s">
        <v>51</v>
      </c>
      <c r="F38" s="218"/>
      <c r="G38" s="784" t="s">
        <v>1597</v>
      </c>
      <c r="H38" s="784"/>
      <c r="I38" s="784"/>
      <c r="J38" s="784"/>
      <c r="K38" s="216"/>
    </row>
    <row r="39" spans="2:11" s="1" customFormat="1" ht="15" customHeight="1">
      <c r="B39" s="219"/>
      <c r="C39" s="220"/>
      <c r="D39" s="218"/>
      <c r="E39" s="221" t="s">
        <v>52</v>
      </c>
      <c r="F39" s="218"/>
      <c r="G39" s="784" t="s">
        <v>1598</v>
      </c>
      <c r="H39" s="784"/>
      <c r="I39" s="784"/>
      <c r="J39" s="784"/>
      <c r="K39" s="216"/>
    </row>
    <row r="40" spans="2:11" s="1" customFormat="1" ht="15" customHeight="1">
      <c r="B40" s="219"/>
      <c r="C40" s="220"/>
      <c r="D40" s="218"/>
      <c r="E40" s="221" t="s">
        <v>183</v>
      </c>
      <c r="F40" s="218"/>
      <c r="G40" s="784" t="s">
        <v>1599</v>
      </c>
      <c r="H40" s="784"/>
      <c r="I40" s="784"/>
      <c r="J40" s="784"/>
      <c r="K40" s="216"/>
    </row>
    <row r="41" spans="2:11" s="1" customFormat="1" ht="15" customHeight="1">
      <c r="B41" s="219"/>
      <c r="C41" s="220"/>
      <c r="D41" s="218"/>
      <c r="E41" s="221" t="s">
        <v>184</v>
      </c>
      <c r="F41" s="218"/>
      <c r="G41" s="784" t="s">
        <v>1600</v>
      </c>
      <c r="H41" s="784"/>
      <c r="I41" s="784"/>
      <c r="J41" s="784"/>
      <c r="K41" s="216"/>
    </row>
    <row r="42" spans="2:11" s="1" customFormat="1" ht="15" customHeight="1">
      <c r="B42" s="219"/>
      <c r="C42" s="220"/>
      <c r="D42" s="218"/>
      <c r="E42" s="221" t="s">
        <v>1601</v>
      </c>
      <c r="F42" s="218"/>
      <c r="G42" s="784" t="s">
        <v>1602</v>
      </c>
      <c r="H42" s="784"/>
      <c r="I42" s="784"/>
      <c r="J42" s="784"/>
      <c r="K42" s="216"/>
    </row>
    <row r="43" spans="2:11" s="1" customFormat="1" ht="15" customHeight="1">
      <c r="B43" s="219"/>
      <c r="C43" s="220"/>
      <c r="D43" s="218"/>
      <c r="E43" s="221"/>
      <c r="F43" s="218"/>
      <c r="G43" s="784" t="s">
        <v>1603</v>
      </c>
      <c r="H43" s="784"/>
      <c r="I43" s="784"/>
      <c r="J43" s="784"/>
      <c r="K43" s="216"/>
    </row>
    <row r="44" spans="2:11" s="1" customFormat="1" ht="15" customHeight="1">
      <c r="B44" s="219"/>
      <c r="C44" s="220"/>
      <c r="D44" s="218"/>
      <c r="E44" s="221" t="s">
        <v>1604</v>
      </c>
      <c r="F44" s="218"/>
      <c r="G44" s="784" t="s">
        <v>1605</v>
      </c>
      <c r="H44" s="784"/>
      <c r="I44" s="784"/>
      <c r="J44" s="784"/>
      <c r="K44" s="216"/>
    </row>
    <row r="45" spans="2:11" s="1" customFormat="1" ht="15" customHeight="1">
      <c r="B45" s="219"/>
      <c r="C45" s="220"/>
      <c r="D45" s="218"/>
      <c r="E45" s="221" t="s">
        <v>186</v>
      </c>
      <c r="F45" s="218"/>
      <c r="G45" s="784" t="s">
        <v>1606</v>
      </c>
      <c r="H45" s="784"/>
      <c r="I45" s="784"/>
      <c r="J45" s="784"/>
      <c r="K45" s="216"/>
    </row>
    <row r="46" spans="2:11" s="1" customFormat="1" ht="12.75" customHeight="1">
      <c r="B46" s="219"/>
      <c r="C46" s="220"/>
      <c r="D46" s="218"/>
      <c r="E46" s="218"/>
      <c r="F46" s="218"/>
      <c r="G46" s="218"/>
      <c r="H46" s="218"/>
      <c r="I46" s="218"/>
      <c r="J46" s="218"/>
      <c r="K46" s="216"/>
    </row>
    <row r="47" spans="2:11" s="1" customFormat="1" ht="15" customHeight="1">
      <c r="B47" s="219"/>
      <c r="C47" s="220"/>
      <c r="D47" s="784" t="s">
        <v>1607</v>
      </c>
      <c r="E47" s="784"/>
      <c r="F47" s="784"/>
      <c r="G47" s="784"/>
      <c r="H47" s="784"/>
      <c r="I47" s="784"/>
      <c r="J47" s="784"/>
      <c r="K47" s="216"/>
    </row>
    <row r="48" spans="2:11" s="1" customFormat="1" ht="15" customHeight="1">
      <c r="B48" s="219"/>
      <c r="C48" s="220"/>
      <c r="D48" s="220"/>
      <c r="E48" s="784" t="s">
        <v>1608</v>
      </c>
      <c r="F48" s="784"/>
      <c r="G48" s="784"/>
      <c r="H48" s="784"/>
      <c r="I48" s="784"/>
      <c r="J48" s="784"/>
      <c r="K48" s="216"/>
    </row>
    <row r="49" spans="2:11" s="1" customFormat="1" ht="15" customHeight="1">
      <c r="B49" s="219"/>
      <c r="C49" s="220"/>
      <c r="D49" s="220"/>
      <c r="E49" s="784" t="s">
        <v>1609</v>
      </c>
      <c r="F49" s="784"/>
      <c r="G49" s="784"/>
      <c r="H49" s="784"/>
      <c r="I49" s="784"/>
      <c r="J49" s="784"/>
      <c r="K49" s="216"/>
    </row>
    <row r="50" spans="2:11" s="1" customFormat="1" ht="15" customHeight="1">
      <c r="B50" s="219"/>
      <c r="C50" s="220"/>
      <c r="D50" s="220"/>
      <c r="E50" s="784" t="s">
        <v>1610</v>
      </c>
      <c r="F50" s="784"/>
      <c r="G50" s="784"/>
      <c r="H50" s="784"/>
      <c r="I50" s="784"/>
      <c r="J50" s="784"/>
      <c r="K50" s="216"/>
    </row>
    <row r="51" spans="2:11" s="1" customFormat="1" ht="15" customHeight="1">
      <c r="B51" s="219"/>
      <c r="C51" s="220"/>
      <c r="D51" s="784" t="s">
        <v>1611</v>
      </c>
      <c r="E51" s="784"/>
      <c r="F51" s="784"/>
      <c r="G51" s="784"/>
      <c r="H51" s="784"/>
      <c r="I51" s="784"/>
      <c r="J51" s="784"/>
      <c r="K51" s="216"/>
    </row>
    <row r="52" spans="2:11" s="1" customFormat="1" ht="25.5" customHeight="1">
      <c r="B52" s="215"/>
      <c r="C52" s="785" t="s">
        <v>1612</v>
      </c>
      <c r="D52" s="785"/>
      <c r="E52" s="785"/>
      <c r="F52" s="785"/>
      <c r="G52" s="785"/>
      <c r="H52" s="785"/>
      <c r="I52" s="785"/>
      <c r="J52" s="785"/>
      <c r="K52" s="216"/>
    </row>
    <row r="53" spans="2:11" s="1" customFormat="1" ht="5.25" customHeight="1">
      <c r="B53" s="215"/>
      <c r="C53" s="217"/>
      <c r="D53" s="217"/>
      <c r="E53" s="217"/>
      <c r="F53" s="217"/>
      <c r="G53" s="217"/>
      <c r="H53" s="217"/>
      <c r="I53" s="217"/>
      <c r="J53" s="217"/>
      <c r="K53" s="216"/>
    </row>
    <row r="54" spans="2:11" s="1" customFormat="1" ht="15" customHeight="1">
      <c r="B54" s="215"/>
      <c r="C54" s="784" t="s">
        <v>1613</v>
      </c>
      <c r="D54" s="784"/>
      <c r="E54" s="784"/>
      <c r="F54" s="784"/>
      <c r="G54" s="784"/>
      <c r="H54" s="784"/>
      <c r="I54" s="784"/>
      <c r="J54" s="784"/>
      <c r="K54" s="216"/>
    </row>
    <row r="55" spans="2:11" s="1" customFormat="1" ht="15" customHeight="1">
      <c r="B55" s="215"/>
      <c r="C55" s="784" t="s">
        <v>1614</v>
      </c>
      <c r="D55" s="784"/>
      <c r="E55" s="784"/>
      <c r="F55" s="784"/>
      <c r="G55" s="784"/>
      <c r="H55" s="784"/>
      <c r="I55" s="784"/>
      <c r="J55" s="784"/>
      <c r="K55" s="216"/>
    </row>
    <row r="56" spans="2:11" s="1" customFormat="1" ht="12.75" customHeight="1">
      <c r="B56" s="215"/>
      <c r="C56" s="218"/>
      <c r="D56" s="218"/>
      <c r="E56" s="218"/>
      <c r="F56" s="218"/>
      <c r="G56" s="218"/>
      <c r="H56" s="218"/>
      <c r="I56" s="218"/>
      <c r="J56" s="218"/>
      <c r="K56" s="216"/>
    </row>
    <row r="57" spans="2:11" s="1" customFormat="1" ht="15" customHeight="1">
      <c r="B57" s="215"/>
      <c r="C57" s="784" t="s">
        <v>1615</v>
      </c>
      <c r="D57" s="784"/>
      <c r="E57" s="784"/>
      <c r="F57" s="784"/>
      <c r="G57" s="784"/>
      <c r="H57" s="784"/>
      <c r="I57" s="784"/>
      <c r="J57" s="784"/>
      <c r="K57" s="216"/>
    </row>
    <row r="58" spans="2:11" s="1" customFormat="1" ht="15" customHeight="1">
      <c r="B58" s="215"/>
      <c r="C58" s="220"/>
      <c r="D58" s="784" t="s">
        <v>1616</v>
      </c>
      <c r="E58" s="784"/>
      <c r="F58" s="784"/>
      <c r="G58" s="784"/>
      <c r="H58" s="784"/>
      <c r="I58" s="784"/>
      <c r="J58" s="784"/>
      <c r="K58" s="216"/>
    </row>
    <row r="59" spans="2:11" s="1" customFormat="1" ht="15" customHeight="1">
      <c r="B59" s="215"/>
      <c r="C59" s="220"/>
      <c r="D59" s="784" t="s">
        <v>1617</v>
      </c>
      <c r="E59" s="784"/>
      <c r="F59" s="784"/>
      <c r="G59" s="784"/>
      <c r="H59" s="784"/>
      <c r="I59" s="784"/>
      <c r="J59" s="784"/>
      <c r="K59" s="216"/>
    </row>
    <row r="60" spans="2:11" s="1" customFormat="1" ht="15" customHeight="1">
      <c r="B60" s="215"/>
      <c r="C60" s="220"/>
      <c r="D60" s="784" t="s">
        <v>1618</v>
      </c>
      <c r="E60" s="784"/>
      <c r="F60" s="784"/>
      <c r="G60" s="784"/>
      <c r="H60" s="784"/>
      <c r="I60" s="784"/>
      <c r="J60" s="784"/>
      <c r="K60" s="216"/>
    </row>
    <row r="61" spans="2:11" s="1" customFormat="1" ht="15" customHeight="1">
      <c r="B61" s="215"/>
      <c r="C61" s="220"/>
      <c r="D61" s="784" t="s">
        <v>1619</v>
      </c>
      <c r="E61" s="784"/>
      <c r="F61" s="784"/>
      <c r="G61" s="784"/>
      <c r="H61" s="784"/>
      <c r="I61" s="784"/>
      <c r="J61" s="784"/>
      <c r="K61" s="216"/>
    </row>
    <row r="62" spans="2:11" s="1" customFormat="1" ht="15" customHeight="1">
      <c r="B62" s="215"/>
      <c r="C62" s="220"/>
      <c r="D62" s="786" t="s">
        <v>1620</v>
      </c>
      <c r="E62" s="786"/>
      <c r="F62" s="786"/>
      <c r="G62" s="786"/>
      <c r="H62" s="786"/>
      <c r="I62" s="786"/>
      <c r="J62" s="786"/>
      <c r="K62" s="216"/>
    </row>
    <row r="63" spans="2:11" s="1" customFormat="1" ht="15" customHeight="1">
      <c r="B63" s="215"/>
      <c r="C63" s="220"/>
      <c r="D63" s="784" t="s">
        <v>1621</v>
      </c>
      <c r="E63" s="784"/>
      <c r="F63" s="784"/>
      <c r="G63" s="784"/>
      <c r="H63" s="784"/>
      <c r="I63" s="784"/>
      <c r="J63" s="784"/>
      <c r="K63" s="216"/>
    </row>
    <row r="64" spans="2:11" s="1" customFormat="1" ht="12.75" customHeight="1">
      <c r="B64" s="215"/>
      <c r="C64" s="220"/>
      <c r="D64" s="220"/>
      <c r="E64" s="223"/>
      <c r="F64" s="220"/>
      <c r="G64" s="220"/>
      <c r="H64" s="220"/>
      <c r="I64" s="220"/>
      <c r="J64" s="220"/>
      <c r="K64" s="216"/>
    </row>
    <row r="65" spans="2:11" s="1" customFormat="1" ht="15" customHeight="1">
      <c r="B65" s="215"/>
      <c r="C65" s="220"/>
      <c r="D65" s="784" t="s">
        <v>1622</v>
      </c>
      <c r="E65" s="784"/>
      <c r="F65" s="784"/>
      <c r="G65" s="784"/>
      <c r="H65" s="784"/>
      <c r="I65" s="784"/>
      <c r="J65" s="784"/>
      <c r="K65" s="216"/>
    </row>
    <row r="66" spans="2:11" s="1" customFormat="1" ht="15" customHeight="1">
      <c r="B66" s="215"/>
      <c r="C66" s="220"/>
      <c r="D66" s="786" t="s">
        <v>1623</v>
      </c>
      <c r="E66" s="786"/>
      <c r="F66" s="786"/>
      <c r="G66" s="786"/>
      <c r="H66" s="786"/>
      <c r="I66" s="786"/>
      <c r="J66" s="786"/>
      <c r="K66" s="216"/>
    </row>
    <row r="67" spans="2:11" s="1" customFormat="1" ht="15" customHeight="1">
      <c r="B67" s="215"/>
      <c r="C67" s="220"/>
      <c r="D67" s="784" t="s">
        <v>1624</v>
      </c>
      <c r="E67" s="784"/>
      <c r="F67" s="784"/>
      <c r="G67" s="784"/>
      <c r="H67" s="784"/>
      <c r="I67" s="784"/>
      <c r="J67" s="784"/>
      <c r="K67" s="216"/>
    </row>
    <row r="68" spans="2:11" s="1" customFormat="1" ht="15" customHeight="1">
      <c r="B68" s="215"/>
      <c r="C68" s="220"/>
      <c r="D68" s="784" t="s">
        <v>1625</v>
      </c>
      <c r="E68" s="784"/>
      <c r="F68" s="784"/>
      <c r="G68" s="784"/>
      <c r="H68" s="784"/>
      <c r="I68" s="784"/>
      <c r="J68" s="784"/>
      <c r="K68" s="216"/>
    </row>
    <row r="69" spans="2:11" s="1" customFormat="1" ht="15" customHeight="1">
      <c r="B69" s="215"/>
      <c r="C69" s="220"/>
      <c r="D69" s="784" t="s">
        <v>1626</v>
      </c>
      <c r="E69" s="784"/>
      <c r="F69" s="784"/>
      <c r="G69" s="784"/>
      <c r="H69" s="784"/>
      <c r="I69" s="784"/>
      <c r="J69" s="784"/>
      <c r="K69" s="216"/>
    </row>
    <row r="70" spans="2:11" s="1" customFormat="1" ht="15" customHeight="1">
      <c r="B70" s="215"/>
      <c r="C70" s="220"/>
      <c r="D70" s="784" t="s">
        <v>1627</v>
      </c>
      <c r="E70" s="784"/>
      <c r="F70" s="784"/>
      <c r="G70" s="784"/>
      <c r="H70" s="784"/>
      <c r="I70" s="784"/>
      <c r="J70" s="784"/>
      <c r="K70" s="216"/>
    </row>
    <row r="71" spans="2:11" s="1" customFormat="1" ht="12.75" customHeight="1">
      <c r="B71" s="224"/>
      <c r="C71" s="225"/>
      <c r="D71" s="225"/>
      <c r="E71" s="225"/>
      <c r="F71" s="225"/>
      <c r="G71" s="225"/>
      <c r="H71" s="225"/>
      <c r="I71" s="225"/>
      <c r="J71" s="225"/>
      <c r="K71" s="226"/>
    </row>
    <row r="72" spans="2:11" s="1" customFormat="1" ht="18.75" customHeight="1">
      <c r="B72" s="227"/>
      <c r="C72" s="227"/>
      <c r="D72" s="227"/>
      <c r="E72" s="227"/>
      <c r="F72" s="227"/>
      <c r="G72" s="227"/>
      <c r="H72" s="227"/>
      <c r="I72" s="227"/>
      <c r="J72" s="227"/>
      <c r="K72" s="228"/>
    </row>
    <row r="73" spans="2:11" s="1" customFormat="1" ht="18.75" customHeight="1">
      <c r="B73" s="228"/>
      <c r="C73" s="228"/>
      <c r="D73" s="228"/>
      <c r="E73" s="228"/>
      <c r="F73" s="228"/>
      <c r="G73" s="228"/>
      <c r="H73" s="228"/>
      <c r="I73" s="228"/>
      <c r="J73" s="228"/>
      <c r="K73" s="228"/>
    </row>
    <row r="74" spans="2:11" s="1" customFormat="1" ht="7.5" customHeight="1">
      <c r="B74" s="229"/>
      <c r="C74" s="230"/>
      <c r="D74" s="230"/>
      <c r="E74" s="230"/>
      <c r="F74" s="230"/>
      <c r="G74" s="230"/>
      <c r="H74" s="230"/>
      <c r="I74" s="230"/>
      <c r="J74" s="230"/>
      <c r="K74" s="231"/>
    </row>
    <row r="75" spans="2:11" s="1" customFormat="1" ht="45" customHeight="1">
      <c r="B75" s="232"/>
      <c r="C75" s="779" t="s">
        <v>1628</v>
      </c>
      <c r="D75" s="779"/>
      <c r="E75" s="779"/>
      <c r="F75" s="779"/>
      <c r="G75" s="779"/>
      <c r="H75" s="779"/>
      <c r="I75" s="779"/>
      <c r="J75" s="779"/>
      <c r="K75" s="233"/>
    </row>
    <row r="76" spans="2:11" s="1" customFormat="1" ht="17.25" customHeight="1">
      <c r="B76" s="232"/>
      <c r="C76" s="234" t="s">
        <v>1629</v>
      </c>
      <c r="D76" s="234"/>
      <c r="E76" s="234"/>
      <c r="F76" s="234" t="s">
        <v>1630</v>
      </c>
      <c r="G76" s="235"/>
      <c r="H76" s="234" t="s">
        <v>52</v>
      </c>
      <c r="I76" s="234" t="s">
        <v>55</v>
      </c>
      <c r="J76" s="234" t="s">
        <v>1631</v>
      </c>
      <c r="K76" s="233"/>
    </row>
    <row r="77" spans="2:11" s="1" customFormat="1" ht="17.25" customHeight="1">
      <c r="B77" s="232"/>
      <c r="C77" s="236" t="s">
        <v>1632</v>
      </c>
      <c r="D77" s="236"/>
      <c r="E77" s="236"/>
      <c r="F77" s="237" t="s">
        <v>1633</v>
      </c>
      <c r="G77" s="238"/>
      <c r="H77" s="236"/>
      <c r="I77" s="236"/>
      <c r="J77" s="236" t="s">
        <v>1634</v>
      </c>
      <c r="K77" s="233"/>
    </row>
    <row r="78" spans="2:11" s="1" customFormat="1" ht="5.25" customHeight="1">
      <c r="B78" s="232"/>
      <c r="C78" s="239"/>
      <c r="D78" s="239"/>
      <c r="E78" s="239"/>
      <c r="F78" s="239"/>
      <c r="G78" s="240"/>
      <c r="H78" s="239"/>
      <c r="I78" s="239"/>
      <c r="J78" s="239"/>
      <c r="K78" s="233"/>
    </row>
    <row r="79" spans="2:11" s="1" customFormat="1" ht="15" customHeight="1">
      <c r="B79" s="232"/>
      <c r="C79" s="221" t="s">
        <v>51</v>
      </c>
      <c r="D79" s="241"/>
      <c r="E79" s="241"/>
      <c r="F79" s="242" t="s">
        <v>1635</v>
      </c>
      <c r="G79" s="243"/>
      <c r="H79" s="221" t="s">
        <v>1636</v>
      </c>
      <c r="I79" s="221" t="s">
        <v>1637</v>
      </c>
      <c r="J79" s="221">
        <v>20</v>
      </c>
      <c r="K79" s="233"/>
    </row>
    <row r="80" spans="2:11" s="1" customFormat="1" ht="15" customHeight="1">
      <c r="B80" s="232"/>
      <c r="C80" s="221" t="s">
        <v>1638</v>
      </c>
      <c r="D80" s="221"/>
      <c r="E80" s="221"/>
      <c r="F80" s="242" t="s">
        <v>1635</v>
      </c>
      <c r="G80" s="243"/>
      <c r="H80" s="221" t="s">
        <v>1639</v>
      </c>
      <c r="I80" s="221" t="s">
        <v>1637</v>
      </c>
      <c r="J80" s="221">
        <v>120</v>
      </c>
      <c r="K80" s="233"/>
    </row>
    <row r="81" spans="2:11" s="1" customFormat="1" ht="15" customHeight="1">
      <c r="B81" s="244"/>
      <c r="C81" s="221" t="s">
        <v>1640</v>
      </c>
      <c r="D81" s="221"/>
      <c r="E81" s="221"/>
      <c r="F81" s="242" t="s">
        <v>1641</v>
      </c>
      <c r="G81" s="243"/>
      <c r="H81" s="221" t="s">
        <v>1642</v>
      </c>
      <c r="I81" s="221" t="s">
        <v>1637</v>
      </c>
      <c r="J81" s="221">
        <v>50</v>
      </c>
      <c r="K81" s="233"/>
    </row>
    <row r="82" spans="2:11" s="1" customFormat="1" ht="15" customHeight="1">
      <c r="B82" s="244"/>
      <c r="C82" s="221" t="s">
        <v>1643</v>
      </c>
      <c r="D82" s="221"/>
      <c r="E82" s="221"/>
      <c r="F82" s="242" t="s">
        <v>1635</v>
      </c>
      <c r="G82" s="243"/>
      <c r="H82" s="221" t="s">
        <v>1644</v>
      </c>
      <c r="I82" s="221" t="s">
        <v>1645</v>
      </c>
      <c r="J82" s="221"/>
      <c r="K82" s="233"/>
    </row>
    <row r="83" spans="2:11" s="1" customFormat="1" ht="15" customHeight="1">
      <c r="B83" s="244"/>
      <c r="C83" s="245" t="s">
        <v>1646</v>
      </c>
      <c r="D83" s="245"/>
      <c r="E83" s="245"/>
      <c r="F83" s="246" t="s">
        <v>1641</v>
      </c>
      <c r="G83" s="245"/>
      <c r="H83" s="245" t="s">
        <v>1647</v>
      </c>
      <c r="I83" s="245" t="s">
        <v>1637</v>
      </c>
      <c r="J83" s="245">
        <v>15</v>
      </c>
      <c r="K83" s="233"/>
    </row>
    <row r="84" spans="2:11" s="1" customFormat="1" ht="15" customHeight="1">
      <c r="B84" s="244"/>
      <c r="C84" s="245" t="s">
        <v>1648</v>
      </c>
      <c r="D84" s="245"/>
      <c r="E84" s="245"/>
      <c r="F84" s="246" t="s">
        <v>1641</v>
      </c>
      <c r="G84" s="245"/>
      <c r="H84" s="245" t="s">
        <v>1649</v>
      </c>
      <c r="I84" s="245" t="s">
        <v>1637</v>
      </c>
      <c r="J84" s="245">
        <v>15</v>
      </c>
      <c r="K84" s="233"/>
    </row>
    <row r="85" spans="2:11" s="1" customFormat="1" ht="15" customHeight="1">
      <c r="B85" s="244"/>
      <c r="C85" s="245" t="s">
        <v>1650</v>
      </c>
      <c r="D85" s="245"/>
      <c r="E85" s="245"/>
      <c r="F85" s="246" t="s">
        <v>1641</v>
      </c>
      <c r="G85" s="245"/>
      <c r="H85" s="245" t="s">
        <v>1651</v>
      </c>
      <c r="I85" s="245" t="s">
        <v>1637</v>
      </c>
      <c r="J85" s="245">
        <v>20</v>
      </c>
      <c r="K85" s="233"/>
    </row>
    <row r="86" spans="2:11" s="1" customFormat="1" ht="15" customHeight="1">
      <c r="B86" s="244"/>
      <c r="C86" s="245" t="s">
        <v>1652</v>
      </c>
      <c r="D86" s="245"/>
      <c r="E86" s="245"/>
      <c r="F86" s="246" t="s">
        <v>1641</v>
      </c>
      <c r="G86" s="245"/>
      <c r="H86" s="245" t="s">
        <v>1653</v>
      </c>
      <c r="I86" s="245" t="s">
        <v>1637</v>
      </c>
      <c r="J86" s="245">
        <v>20</v>
      </c>
      <c r="K86" s="233"/>
    </row>
    <row r="87" spans="2:11" s="1" customFormat="1" ht="15" customHeight="1">
      <c r="B87" s="244"/>
      <c r="C87" s="221" t="s">
        <v>1654</v>
      </c>
      <c r="D87" s="221"/>
      <c r="E87" s="221"/>
      <c r="F87" s="242" t="s">
        <v>1641</v>
      </c>
      <c r="G87" s="243"/>
      <c r="H87" s="221" t="s">
        <v>1655</v>
      </c>
      <c r="I87" s="221" t="s">
        <v>1637</v>
      </c>
      <c r="J87" s="221">
        <v>50</v>
      </c>
      <c r="K87" s="233"/>
    </row>
    <row r="88" spans="2:11" s="1" customFormat="1" ht="15" customHeight="1">
      <c r="B88" s="244"/>
      <c r="C88" s="221" t="s">
        <v>1656</v>
      </c>
      <c r="D88" s="221"/>
      <c r="E88" s="221"/>
      <c r="F88" s="242" t="s">
        <v>1641</v>
      </c>
      <c r="G88" s="243"/>
      <c r="H88" s="221" t="s">
        <v>1657</v>
      </c>
      <c r="I88" s="221" t="s">
        <v>1637</v>
      </c>
      <c r="J88" s="221">
        <v>20</v>
      </c>
      <c r="K88" s="233"/>
    </row>
    <row r="89" spans="2:11" s="1" customFormat="1" ht="15" customHeight="1">
      <c r="B89" s="244"/>
      <c r="C89" s="221" t="s">
        <v>1658</v>
      </c>
      <c r="D89" s="221"/>
      <c r="E89" s="221"/>
      <c r="F89" s="242" t="s">
        <v>1641</v>
      </c>
      <c r="G89" s="243"/>
      <c r="H89" s="221" t="s">
        <v>1659</v>
      </c>
      <c r="I89" s="221" t="s">
        <v>1637</v>
      </c>
      <c r="J89" s="221">
        <v>20</v>
      </c>
      <c r="K89" s="233"/>
    </row>
    <row r="90" spans="2:11" s="1" customFormat="1" ht="15" customHeight="1">
      <c r="B90" s="244"/>
      <c r="C90" s="221" t="s">
        <v>1660</v>
      </c>
      <c r="D90" s="221"/>
      <c r="E90" s="221"/>
      <c r="F90" s="242" t="s">
        <v>1641</v>
      </c>
      <c r="G90" s="243"/>
      <c r="H90" s="221" t="s">
        <v>1661</v>
      </c>
      <c r="I90" s="221" t="s">
        <v>1637</v>
      </c>
      <c r="J90" s="221">
        <v>50</v>
      </c>
      <c r="K90" s="233"/>
    </row>
    <row r="91" spans="2:11" s="1" customFormat="1" ht="15" customHeight="1">
      <c r="B91" s="244"/>
      <c r="C91" s="221" t="s">
        <v>1662</v>
      </c>
      <c r="D91" s="221"/>
      <c r="E91" s="221"/>
      <c r="F91" s="242" t="s">
        <v>1641</v>
      </c>
      <c r="G91" s="243"/>
      <c r="H91" s="221" t="s">
        <v>1662</v>
      </c>
      <c r="I91" s="221" t="s">
        <v>1637</v>
      </c>
      <c r="J91" s="221">
        <v>50</v>
      </c>
      <c r="K91" s="233"/>
    </row>
    <row r="92" spans="2:11" s="1" customFormat="1" ht="15" customHeight="1">
      <c r="B92" s="244"/>
      <c r="C92" s="221" t="s">
        <v>1663</v>
      </c>
      <c r="D92" s="221"/>
      <c r="E92" s="221"/>
      <c r="F92" s="242" t="s">
        <v>1641</v>
      </c>
      <c r="G92" s="243"/>
      <c r="H92" s="221" t="s">
        <v>1664</v>
      </c>
      <c r="I92" s="221" t="s">
        <v>1637</v>
      </c>
      <c r="J92" s="221">
        <v>255</v>
      </c>
      <c r="K92" s="233"/>
    </row>
    <row r="93" spans="2:11" s="1" customFormat="1" ht="15" customHeight="1">
      <c r="B93" s="244"/>
      <c r="C93" s="221" t="s">
        <v>1665</v>
      </c>
      <c r="D93" s="221"/>
      <c r="E93" s="221"/>
      <c r="F93" s="242" t="s">
        <v>1635</v>
      </c>
      <c r="G93" s="243"/>
      <c r="H93" s="221" t="s">
        <v>1666</v>
      </c>
      <c r="I93" s="221" t="s">
        <v>1667</v>
      </c>
      <c r="J93" s="221"/>
      <c r="K93" s="233"/>
    </row>
    <row r="94" spans="2:11" s="1" customFormat="1" ht="15" customHeight="1">
      <c r="B94" s="244"/>
      <c r="C94" s="221" t="s">
        <v>1668</v>
      </c>
      <c r="D94" s="221"/>
      <c r="E94" s="221"/>
      <c r="F94" s="242" t="s">
        <v>1635</v>
      </c>
      <c r="G94" s="243"/>
      <c r="H94" s="221" t="s">
        <v>1669</v>
      </c>
      <c r="I94" s="221" t="s">
        <v>1670</v>
      </c>
      <c r="J94" s="221"/>
      <c r="K94" s="233"/>
    </row>
    <row r="95" spans="2:11" s="1" customFormat="1" ht="15" customHeight="1">
      <c r="B95" s="244"/>
      <c r="C95" s="221" t="s">
        <v>1671</v>
      </c>
      <c r="D95" s="221"/>
      <c r="E95" s="221"/>
      <c r="F95" s="242" t="s">
        <v>1635</v>
      </c>
      <c r="G95" s="243"/>
      <c r="H95" s="221" t="s">
        <v>1671</v>
      </c>
      <c r="I95" s="221" t="s">
        <v>1670</v>
      </c>
      <c r="J95" s="221"/>
      <c r="K95" s="233"/>
    </row>
    <row r="96" spans="2:11" s="1" customFormat="1" ht="15" customHeight="1">
      <c r="B96" s="244"/>
      <c r="C96" s="221" t="s">
        <v>36</v>
      </c>
      <c r="D96" s="221"/>
      <c r="E96" s="221"/>
      <c r="F96" s="242" t="s">
        <v>1635</v>
      </c>
      <c r="G96" s="243"/>
      <c r="H96" s="221" t="s">
        <v>1672</v>
      </c>
      <c r="I96" s="221" t="s">
        <v>1670</v>
      </c>
      <c r="J96" s="221"/>
      <c r="K96" s="233"/>
    </row>
    <row r="97" spans="2:11" s="1" customFormat="1" ht="15" customHeight="1">
      <c r="B97" s="244"/>
      <c r="C97" s="221" t="s">
        <v>46</v>
      </c>
      <c r="D97" s="221"/>
      <c r="E97" s="221"/>
      <c r="F97" s="242" t="s">
        <v>1635</v>
      </c>
      <c r="G97" s="243"/>
      <c r="H97" s="221" t="s">
        <v>1673</v>
      </c>
      <c r="I97" s="221" t="s">
        <v>1670</v>
      </c>
      <c r="J97" s="221"/>
      <c r="K97" s="233"/>
    </row>
    <row r="98" spans="2:11" s="1" customFormat="1" ht="15" customHeight="1">
      <c r="B98" s="247"/>
      <c r="C98" s="248"/>
      <c r="D98" s="248"/>
      <c r="E98" s="248"/>
      <c r="F98" s="248"/>
      <c r="G98" s="248"/>
      <c r="H98" s="248"/>
      <c r="I98" s="248"/>
      <c r="J98" s="248"/>
      <c r="K98" s="249"/>
    </row>
    <row r="99" spans="2:11" s="1" customFormat="1" ht="18.75" customHeight="1">
      <c r="B99" s="250"/>
      <c r="C99" s="251"/>
      <c r="D99" s="251"/>
      <c r="E99" s="251"/>
      <c r="F99" s="251"/>
      <c r="G99" s="251"/>
      <c r="H99" s="251"/>
      <c r="I99" s="251"/>
      <c r="J99" s="251"/>
      <c r="K99" s="250"/>
    </row>
    <row r="100" spans="2:11" s="1" customFormat="1" ht="18.75" customHeight="1">
      <c r="B100" s="228"/>
      <c r="C100" s="228"/>
      <c r="D100" s="228"/>
      <c r="E100" s="228"/>
      <c r="F100" s="228"/>
      <c r="G100" s="228"/>
      <c r="H100" s="228"/>
      <c r="I100" s="228"/>
      <c r="J100" s="228"/>
      <c r="K100" s="228"/>
    </row>
    <row r="101" spans="2:11" s="1" customFormat="1" ht="7.5" customHeight="1">
      <c r="B101" s="229"/>
      <c r="C101" s="230"/>
      <c r="D101" s="230"/>
      <c r="E101" s="230"/>
      <c r="F101" s="230"/>
      <c r="G101" s="230"/>
      <c r="H101" s="230"/>
      <c r="I101" s="230"/>
      <c r="J101" s="230"/>
      <c r="K101" s="231"/>
    </row>
    <row r="102" spans="2:11" s="1" customFormat="1" ht="45" customHeight="1">
      <c r="B102" s="232"/>
      <c r="C102" s="779" t="s">
        <v>1674</v>
      </c>
      <c r="D102" s="779"/>
      <c r="E102" s="779"/>
      <c r="F102" s="779"/>
      <c r="G102" s="779"/>
      <c r="H102" s="779"/>
      <c r="I102" s="779"/>
      <c r="J102" s="779"/>
      <c r="K102" s="233"/>
    </row>
    <row r="103" spans="2:11" s="1" customFormat="1" ht="17.25" customHeight="1">
      <c r="B103" s="232"/>
      <c r="C103" s="234" t="s">
        <v>1629</v>
      </c>
      <c r="D103" s="234"/>
      <c r="E103" s="234"/>
      <c r="F103" s="234" t="s">
        <v>1630</v>
      </c>
      <c r="G103" s="235"/>
      <c r="H103" s="234" t="s">
        <v>52</v>
      </c>
      <c r="I103" s="234" t="s">
        <v>55</v>
      </c>
      <c r="J103" s="234" t="s">
        <v>1631</v>
      </c>
      <c r="K103" s="233"/>
    </row>
    <row r="104" spans="2:11" s="1" customFormat="1" ht="17.25" customHeight="1">
      <c r="B104" s="232"/>
      <c r="C104" s="236" t="s">
        <v>1632</v>
      </c>
      <c r="D104" s="236"/>
      <c r="E104" s="236"/>
      <c r="F104" s="237" t="s">
        <v>1633</v>
      </c>
      <c r="G104" s="238"/>
      <c r="H104" s="236"/>
      <c r="I104" s="236"/>
      <c r="J104" s="236" t="s">
        <v>1634</v>
      </c>
      <c r="K104" s="233"/>
    </row>
    <row r="105" spans="2:11" s="1" customFormat="1" ht="5.25" customHeight="1">
      <c r="B105" s="232"/>
      <c r="C105" s="234"/>
      <c r="D105" s="234"/>
      <c r="E105" s="234"/>
      <c r="F105" s="234"/>
      <c r="G105" s="252"/>
      <c r="H105" s="234"/>
      <c r="I105" s="234"/>
      <c r="J105" s="234"/>
      <c r="K105" s="233"/>
    </row>
    <row r="106" spans="2:11" s="1" customFormat="1" ht="15" customHeight="1">
      <c r="B106" s="232"/>
      <c r="C106" s="221" t="s">
        <v>51</v>
      </c>
      <c r="D106" s="241"/>
      <c r="E106" s="241"/>
      <c r="F106" s="242" t="s">
        <v>1635</v>
      </c>
      <c r="G106" s="221"/>
      <c r="H106" s="221" t="s">
        <v>1675</v>
      </c>
      <c r="I106" s="221" t="s">
        <v>1637</v>
      </c>
      <c r="J106" s="221">
        <v>20</v>
      </c>
      <c r="K106" s="233"/>
    </row>
    <row r="107" spans="2:11" s="1" customFormat="1" ht="15" customHeight="1">
      <c r="B107" s="232"/>
      <c r="C107" s="221" t="s">
        <v>1638</v>
      </c>
      <c r="D107" s="221"/>
      <c r="E107" s="221"/>
      <c r="F107" s="242" t="s">
        <v>1635</v>
      </c>
      <c r="G107" s="221"/>
      <c r="H107" s="221" t="s">
        <v>1675</v>
      </c>
      <c r="I107" s="221" t="s">
        <v>1637</v>
      </c>
      <c r="J107" s="221">
        <v>120</v>
      </c>
      <c r="K107" s="233"/>
    </row>
    <row r="108" spans="2:11" s="1" customFormat="1" ht="15" customHeight="1">
      <c r="B108" s="244"/>
      <c r="C108" s="221" t="s">
        <v>1640</v>
      </c>
      <c r="D108" s="221"/>
      <c r="E108" s="221"/>
      <c r="F108" s="242" t="s">
        <v>1641</v>
      </c>
      <c r="G108" s="221"/>
      <c r="H108" s="221" t="s">
        <v>1675</v>
      </c>
      <c r="I108" s="221" t="s">
        <v>1637</v>
      </c>
      <c r="J108" s="221">
        <v>50</v>
      </c>
      <c r="K108" s="233"/>
    </row>
    <row r="109" spans="2:11" s="1" customFormat="1" ht="15" customHeight="1">
      <c r="B109" s="244"/>
      <c r="C109" s="221" t="s">
        <v>1643</v>
      </c>
      <c r="D109" s="221"/>
      <c r="E109" s="221"/>
      <c r="F109" s="242" t="s">
        <v>1635</v>
      </c>
      <c r="G109" s="221"/>
      <c r="H109" s="221" t="s">
        <v>1675</v>
      </c>
      <c r="I109" s="221" t="s">
        <v>1645</v>
      </c>
      <c r="J109" s="221"/>
      <c r="K109" s="233"/>
    </row>
    <row r="110" spans="2:11" s="1" customFormat="1" ht="15" customHeight="1">
      <c r="B110" s="244"/>
      <c r="C110" s="221" t="s">
        <v>1654</v>
      </c>
      <c r="D110" s="221"/>
      <c r="E110" s="221"/>
      <c r="F110" s="242" t="s">
        <v>1641</v>
      </c>
      <c r="G110" s="221"/>
      <c r="H110" s="221" t="s">
        <v>1675</v>
      </c>
      <c r="I110" s="221" t="s">
        <v>1637</v>
      </c>
      <c r="J110" s="221">
        <v>50</v>
      </c>
      <c r="K110" s="233"/>
    </row>
    <row r="111" spans="2:11" s="1" customFormat="1" ht="15" customHeight="1">
      <c r="B111" s="244"/>
      <c r="C111" s="221" t="s">
        <v>1662</v>
      </c>
      <c r="D111" s="221"/>
      <c r="E111" s="221"/>
      <c r="F111" s="242" t="s">
        <v>1641</v>
      </c>
      <c r="G111" s="221"/>
      <c r="H111" s="221" t="s">
        <v>1675</v>
      </c>
      <c r="I111" s="221" t="s">
        <v>1637</v>
      </c>
      <c r="J111" s="221">
        <v>50</v>
      </c>
      <c r="K111" s="233"/>
    </row>
    <row r="112" spans="2:11" s="1" customFormat="1" ht="15" customHeight="1">
      <c r="B112" s="244"/>
      <c r="C112" s="221" t="s">
        <v>1660</v>
      </c>
      <c r="D112" s="221"/>
      <c r="E112" s="221"/>
      <c r="F112" s="242" t="s">
        <v>1641</v>
      </c>
      <c r="G112" s="221"/>
      <c r="H112" s="221" t="s">
        <v>1675</v>
      </c>
      <c r="I112" s="221" t="s">
        <v>1637</v>
      </c>
      <c r="J112" s="221">
        <v>50</v>
      </c>
      <c r="K112" s="233"/>
    </row>
    <row r="113" spans="2:11" s="1" customFormat="1" ht="15" customHeight="1">
      <c r="B113" s="244"/>
      <c r="C113" s="221" t="s">
        <v>51</v>
      </c>
      <c r="D113" s="221"/>
      <c r="E113" s="221"/>
      <c r="F113" s="242" t="s">
        <v>1635</v>
      </c>
      <c r="G113" s="221"/>
      <c r="H113" s="221" t="s">
        <v>1676</v>
      </c>
      <c r="I113" s="221" t="s">
        <v>1637</v>
      </c>
      <c r="J113" s="221">
        <v>20</v>
      </c>
      <c r="K113" s="233"/>
    </row>
    <row r="114" spans="2:11" s="1" customFormat="1" ht="15" customHeight="1">
      <c r="B114" s="244"/>
      <c r="C114" s="221" t="s">
        <v>1677</v>
      </c>
      <c r="D114" s="221"/>
      <c r="E114" s="221"/>
      <c r="F114" s="242" t="s">
        <v>1635</v>
      </c>
      <c r="G114" s="221"/>
      <c r="H114" s="221" t="s">
        <v>1678</v>
      </c>
      <c r="I114" s="221" t="s">
        <v>1637</v>
      </c>
      <c r="J114" s="221">
        <v>120</v>
      </c>
      <c r="K114" s="233"/>
    </row>
    <row r="115" spans="2:11" s="1" customFormat="1" ht="15" customHeight="1">
      <c r="B115" s="244"/>
      <c r="C115" s="221" t="s">
        <v>36</v>
      </c>
      <c r="D115" s="221"/>
      <c r="E115" s="221"/>
      <c r="F115" s="242" t="s">
        <v>1635</v>
      </c>
      <c r="G115" s="221"/>
      <c r="H115" s="221" t="s">
        <v>1679</v>
      </c>
      <c r="I115" s="221" t="s">
        <v>1670</v>
      </c>
      <c r="J115" s="221"/>
      <c r="K115" s="233"/>
    </row>
    <row r="116" spans="2:11" s="1" customFormat="1" ht="15" customHeight="1">
      <c r="B116" s="244"/>
      <c r="C116" s="221" t="s">
        <v>46</v>
      </c>
      <c r="D116" s="221"/>
      <c r="E116" s="221"/>
      <c r="F116" s="242" t="s">
        <v>1635</v>
      </c>
      <c r="G116" s="221"/>
      <c r="H116" s="221" t="s">
        <v>1680</v>
      </c>
      <c r="I116" s="221" t="s">
        <v>1670</v>
      </c>
      <c r="J116" s="221"/>
      <c r="K116" s="233"/>
    </row>
    <row r="117" spans="2:11" s="1" customFormat="1" ht="15" customHeight="1">
      <c r="B117" s="244"/>
      <c r="C117" s="221" t="s">
        <v>55</v>
      </c>
      <c r="D117" s="221"/>
      <c r="E117" s="221"/>
      <c r="F117" s="242" t="s">
        <v>1635</v>
      </c>
      <c r="G117" s="221"/>
      <c r="H117" s="221" t="s">
        <v>1681</v>
      </c>
      <c r="I117" s="221" t="s">
        <v>1682</v>
      </c>
      <c r="J117" s="221"/>
      <c r="K117" s="233"/>
    </row>
    <row r="118" spans="2:11" s="1" customFormat="1" ht="15" customHeight="1">
      <c r="B118" s="247"/>
      <c r="C118" s="253"/>
      <c r="D118" s="253"/>
      <c r="E118" s="253"/>
      <c r="F118" s="253"/>
      <c r="G118" s="253"/>
      <c r="H118" s="253"/>
      <c r="I118" s="253"/>
      <c r="J118" s="253"/>
      <c r="K118" s="249"/>
    </row>
    <row r="119" spans="2:11" s="1" customFormat="1" ht="18.75" customHeight="1">
      <c r="B119" s="254"/>
      <c r="C119" s="255"/>
      <c r="D119" s="255"/>
      <c r="E119" s="255"/>
      <c r="F119" s="256"/>
      <c r="G119" s="255"/>
      <c r="H119" s="255"/>
      <c r="I119" s="255"/>
      <c r="J119" s="255"/>
      <c r="K119" s="254"/>
    </row>
    <row r="120" spans="2:11" s="1" customFormat="1" ht="18.75" customHeight="1">
      <c r="B120" s="228"/>
      <c r="C120" s="228"/>
      <c r="D120" s="228"/>
      <c r="E120" s="228"/>
      <c r="F120" s="228"/>
      <c r="G120" s="228"/>
      <c r="H120" s="228"/>
      <c r="I120" s="228"/>
      <c r="J120" s="228"/>
      <c r="K120" s="228"/>
    </row>
    <row r="121" spans="2:11" s="1" customFormat="1" ht="7.5" customHeight="1">
      <c r="B121" s="257"/>
      <c r="C121" s="258"/>
      <c r="D121" s="258"/>
      <c r="E121" s="258"/>
      <c r="F121" s="258"/>
      <c r="G121" s="258"/>
      <c r="H121" s="258"/>
      <c r="I121" s="258"/>
      <c r="J121" s="258"/>
      <c r="K121" s="259"/>
    </row>
    <row r="122" spans="2:11" s="1" customFormat="1" ht="45" customHeight="1">
      <c r="B122" s="260"/>
      <c r="C122" s="780" t="s">
        <v>1683</v>
      </c>
      <c r="D122" s="780"/>
      <c r="E122" s="780"/>
      <c r="F122" s="780"/>
      <c r="G122" s="780"/>
      <c r="H122" s="780"/>
      <c r="I122" s="780"/>
      <c r="J122" s="780"/>
      <c r="K122" s="261"/>
    </row>
    <row r="123" spans="2:11" s="1" customFormat="1" ht="17.25" customHeight="1">
      <c r="B123" s="262"/>
      <c r="C123" s="234" t="s">
        <v>1629</v>
      </c>
      <c r="D123" s="234"/>
      <c r="E123" s="234"/>
      <c r="F123" s="234" t="s">
        <v>1630</v>
      </c>
      <c r="G123" s="235"/>
      <c r="H123" s="234" t="s">
        <v>52</v>
      </c>
      <c r="I123" s="234" t="s">
        <v>55</v>
      </c>
      <c r="J123" s="234" t="s">
        <v>1631</v>
      </c>
      <c r="K123" s="263"/>
    </row>
    <row r="124" spans="2:11" s="1" customFormat="1" ht="17.25" customHeight="1">
      <c r="B124" s="262"/>
      <c r="C124" s="236" t="s">
        <v>1632</v>
      </c>
      <c r="D124" s="236"/>
      <c r="E124" s="236"/>
      <c r="F124" s="237" t="s">
        <v>1633</v>
      </c>
      <c r="G124" s="238"/>
      <c r="H124" s="236"/>
      <c r="I124" s="236"/>
      <c r="J124" s="236" t="s">
        <v>1634</v>
      </c>
      <c r="K124" s="263"/>
    </row>
    <row r="125" spans="2:11" s="1" customFormat="1" ht="5.25" customHeight="1">
      <c r="B125" s="264"/>
      <c r="C125" s="239"/>
      <c r="D125" s="239"/>
      <c r="E125" s="239"/>
      <c r="F125" s="239"/>
      <c r="G125" s="265"/>
      <c r="H125" s="239"/>
      <c r="I125" s="239"/>
      <c r="J125" s="239"/>
      <c r="K125" s="266"/>
    </row>
    <row r="126" spans="2:11" s="1" customFormat="1" ht="15" customHeight="1">
      <c r="B126" s="264"/>
      <c r="C126" s="221" t="s">
        <v>1638</v>
      </c>
      <c r="D126" s="241"/>
      <c r="E126" s="241"/>
      <c r="F126" s="242" t="s">
        <v>1635</v>
      </c>
      <c r="G126" s="221"/>
      <c r="H126" s="221" t="s">
        <v>1675</v>
      </c>
      <c r="I126" s="221" t="s">
        <v>1637</v>
      </c>
      <c r="J126" s="221">
        <v>120</v>
      </c>
      <c r="K126" s="267"/>
    </row>
    <row r="127" spans="2:11" s="1" customFormat="1" ht="15" customHeight="1">
      <c r="B127" s="264"/>
      <c r="C127" s="221" t="s">
        <v>1684</v>
      </c>
      <c r="D127" s="221"/>
      <c r="E127" s="221"/>
      <c r="F127" s="242" t="s">
        <v>1635</v>
      </c>
      <c r="G127" s="221"/>
      <c r="H127" s="221" t="s">
        <v>1685</v>
      </c>
      <c r="I127" s="221" t="s">
        <v>1637</v>
      </c>
      <c r="J127" s="221" t="s">
        <v>1686</v>
      </c>
      <c r="K127" s="267"/>
    </row>
    <row r="128" spans="2:11" s="1" customFormat="1" ht="15" customHeight="1">
      <c r="B128" s="264"/>
      <c r="C128" s="221" t="s">
        <v>83</v>
      </c>
      <c r="D128" s="221"/>
      <c r="E128" s="221"/>
      <c r="F128" s="242" t="s">
        <v>1635</v>
      </c>
      <c r="G128" s="221"/>
      <c r="H128" s="221" t="s">
        <v>1687</v>
      </c>
      <c r="I128" s="221" t="s">
        <v>1637</v>
      </c>
      <c r="J128" s="221" t="s">
        <v>1686</v>
      </c>
      <c r="K128" s="267"/>
    </row>
    <row r="129" spans="2:11" s="1" customFormat="1" ht="15" customHeight="1">
      <c r="B129" s="264"/>
      <c r="C129" s="221" t="s">
        <v>1646</v>
      </c>
      <c r="D129" s="221"/>
      <c r="E129" s="221"/>
      <c r="F129" s="242" t="s">
        <v>1641</v>
      </c>
      <c r="G129" s="221"/>
      <c r="H129" s="221" t="s">
        <v>1647</v>
      </c>
      <c r="I129" s="221" t="s">
        <v>1637</v>
      </c>
      <c r="J129" s="221">
        <v>15</v>
      </c>
      <c r="K129" s="267"/>
    </row>
    <row r="130" spans="2:11" s="1" customFormat="1" ht="15" customHeight="1">
      <c r="B130" s="264"/>
      <c r="C130" s="245" t="s">
        <v>1648</v>
      </c>
      <c r="D130" s="245"/>
      <c r="E130" s="245"/>
      <c r="F130" s="246" t="s">
        <v>1641</v>
      </c>
      <c r="G130" s="245"/>
      <c r="H130" s="245" t="s">
        <v>1649</v>
      </c>
      <c r="I130" s="245" t="s">
        <v>1637</v>
      </c>
      <c r="J130" s="245">
        <v>15</v>
      </c>
      <c r="K130" s="267"/>
    </row>
    <row r="131" spans="2:11" s="1" customFormat="1" ht="15" customHeight="1">
      <c r="B131" s="264"/>
      <c r="C131" s="245" t="s">
        <v>1650</v>
      </c>
      <c r="D131" s="245"/>
      <c r="E131" s="245"/>
      <c r="F131" s="246" t="s">
        <v>1641</v>
      </c>
      <c r="G131" s="245"/>
      <c r="H131" s="245" t="s">
        <v>1651</v>
      </c>
      <c r="I131" s="245" t="s">
        <v>1637</v>
      </c>
      <c r="J131" s="245">
        <v>20</v>
      </c>
      <c r="K131" s="267"/>
    </row>
    <row r="132" spans="2:11" s="1" customFormat="1" ht="15" customHeight="1">
      <c r="B132" s="264"/>
      <c r="C132" s="245" t="s">
        <v>1652</v>
      </c>
      <c r="D132" s="245"/>
      <c r="E132" s="245"/>
      <c r="F132" s="246" t="s">
        <v>1641</v>
      </c>
      <c r="G132" s="245"/>
      <c r="H132" s="245" t="s">
        <v>1653</v>
      </c>
      <c r="I132" s="245" t="s">
        <v>1637</v>
      </c>
      <c r="J132" s="245">
        <v>20</v>
      </c>
      <c r="K132" s="267"/>
    </row>
    <row r="133" spans="2:11" s="1" customFormat="1" ht="15" customHeight="1">
      <c r="B133" s="264"/>
      <c r="C133" s="221" t="s">
        <v>1640</v>
      </c>
      <c r="D133" s="221"/>
      <c r="E133" s="221"/>
      <c r="F133" s="242" t="s">
        <v>1641</v>
      </c>
      <c r="G133" s="221"/>
      <c r="H133" s="221" t="s">
        <v>1675</v>
      </c>
      <c r="I133" s="221" t="s">
        <v>1637</v>
      </c>
      <c r="J133" s="221">
        <v>50</v>
      </c>
      <c r="K133" s="267"/>
    </row>
    <row r="134" spans="2:11" s="1" customFormat="1" ht="15" customHeight="1">
      <c r="B134" s="264"/>
      <c r="C134" s="221" t="s">
        <v>1654</v>
      </c>
      <c r="D134" s="221"/>
      <c r="E134" s="221"/>
      <c r="F134" s="242" t="s">
        <v>1641</v>
      </c>
      <c r="G134" s="221"/>
      <c r="H134" s="221" t="s">
        <v>1675</v>
      </c>
      <c r="I134" s="221" t="s">
        <v>1637</v>
      </c>
      <c r="J134" s="221">
        <v>50</v>
      </c>
      <c r="K134" s="267"/>
    </row>
    <row r="135" spans="2:11" s="1" customFormat="1" ht="15" customHeight="1">
      <c r="B135" s="264"/>
      <c r="C135" s="221" t="s">
        <v>1660</v>
      </c>
      <c r="D135" s="221"/>
      <c r="E135" s="221"/>
      <c r="F135" s="242" t="s">
        <v>1641</v>
      </c>
      <c r="G135" s="221"/>
      <c r="H135" s="221" t="s">
        <v>1675</v>
      </c>
      <c r="I135" s="221" t="s">
        <v>1637</v>
      </c>
      <c r="J135" s="221">
        <v>50</v>
      </c>
      <c r="K135" s="267"/>
    </row>
    <row r="136" spans="2:11" s="1" customFormat="1" ht="15" customHeight="1">
      <c r="B136" s="264"/>
      <c r="C136" s="221" t="s">
        <v>1662</v>
      </c>
      <c r="D136" s="221"/>
      <c r="E136" s="221"/>
      <c r="F136" s="242" t="s">
        <v>1641</v>
      </c>
      <c r="G136" s="221"/>
      <c r="H136" s="221" t="s">
        <v>1675</v>
      </c>
      <c r="I136" s="221" t="s">
        <v>1637</v>
      </c>
      <c r="J136" s="221">
        <v>50</v>
      </c>
      <c r="K136" s="267"/>
    </row>
    <row r="137" spans="2:11" s="1" customFormat="1" ht="15" customHeight="1">
      <c r="B137" s="264"/>
      <c r="C137" s="221" t="s">
        <v>1663</v>
      </c>
      <c r="D137" s="221"/>
      <c r="E137" s="221"/>
      <c r="F137" s="242" t="s">
        <v>1641</v>
      </c>
      <c r="G137" s="221"/>
      <c r="H137" s="221" t="s">
        <v>1688</v>
      </c>
      <c r="I137" s="221" t="s">
        <v>1637</v>
      </c>
      <c r="J137" s="221">
        <v>255</v>
      </c>
      <c r="K137" s="267"/>
    </row>
    <row r="138" spans="2:11" s="1" customFormat="1" ht="15" customHeight="1">
      <c r="B138" s="264"/>
      <c r="C138" s="221" t="s">
        <v>1665</v>
      </c>
      <c r="D138" s="221"/>
      <c r="E138" s="221"/>
      <c r="F138" s="242" t="s">
        <v>1635</v>
      </c>
      <c r="G138" s="221"/>
      <c r="H138" s="221" t="s">
        <v>1689</v>
      </c>
      <c r="I138" s="221" t="s">
        <v>1667</v>
      </c>
      <c r="J138" s="221"/>
      <c r="K138" s="267"/>
    </row>
    <row r="139" spans="2:11" s="1" customFormat="1" ht="15" customHeight="1">
      <c r="B139" s="264"/>
      <c r="C139" s="221" t="s">
        <v>1668</v>
      </c>
      <c r="D139" s="221"/>
      <c r="E139" s="221"/>
      <c r="F139" s="242" t="s">
        <v>1635</v>
      </c>
      <c r="G139" s="221"/>
      <c r="H139" s="221" t="s">
        <v>1690</v>
      </c>
      <c r="I139" s="221" t="s">
        <v>1670</v>
      </c>
      <c r="J139" s="221"/>
      <c r="K139" s="267"/>
    </row>
    <row r="140" spans="2:11" s="1" customFormat="1" ht="15" customHeight="1">
      <c r="B140" s="264"/>
      <c r="C140" s="221" t="s">
        <v>1671</v>
      </c>
      <c r="D140" s="221"/>
      <c r="E140" s="221"/>
      <c r="F140" s="242" t="s">
        <v>1635</v>
      </c>
      <c r="G140" s="221"/>
      <c r="H140" s="221" t="s">
        <v>1671</v>
      </c>
      <c r="I140" s="221" t="s">
        <v>1670</v>
      </c>
      <c r="J140" s="221"/>
      <c r="K140" s="267"/>
    </row>
    <row r="141" spans="2:11" s="1" customFormat="1" ht="15" customHeight="1">
      <c r="B141" s="264"/>
      <c r="C141" s="221" t="s">
        <v>36</v>
      </c>
      <c r="D141" s="221"/>
      <c r="E141" s="221"/>
      <c r="F141" s="242" t="s">
        <v>1635</v>
      </c>
      <c r="G141" s="221"/>
      <c r="H141" s="221" t="s">
        <v>1691</v>
      </c>
      <c r="I141" s="221" t="s">
        <v>1670</v>
      </c>
      <c r="J141" s="221"/>
      <c r="K141" s="267"/>
    </row>
    <row r="142" spans="2:11" s="1" customFormat="1" ht="15" customHeight="1">
      <c r="B142" s="264"/>
      <c r="C142" s="221" t="s">
        <v>1692</v>
      </c>
      <c r="D142" s="221"/>
      <c r="E142" s="221"/>
      <c r="F142" s="242" t="s">
        <v>1635</v>
      </c>
      <c r="G142" s="221"/>
      <c r="H142" s="221" t="s">
        <v>1693</v>
      </c>
      <c r="I142" s="221" t="s">
        <v>1670</v>
      </c>
      <c r="J142" s="221"/>
      <c r="K142" s="267"/>
    </row>
    <row r="143" spans="2:11" s="1" customFormat="1" ht="15" customHeight="1">
      <c r="B143" s="268"/>
      <c r="C143" s="269"/>
      <c r="D143" s="269"/>
      <c r="E143" s="269"/>
      <c r="F143" s="269"/>
      <c r="G143" s="269"/>
      <c r="H143" s="269"/>
      <c r="I143" s="269"/>
      <c r="J143" s="269"/>
      <c r="K143" s="270"/>
    </row>
    <row r="144" spans="2:11" s="1" customFormat="1" ht="18.75" customHeight="1">
      <c r="B144" s="255"/>
      <c r="C144" s="255"/>
      <c r="D144" s="255"/>
      <c r="E144" s="255"/>
      <c r="F144" s="256"/>
      <c r="G144" s="255"/>
      <c r="H144" s="255"/>
      <c r="I144" s="255"/>
      <c r="J144" s="255"/>
      <c r="K144" s="255"/>
    </row>
    <row r="145" spans="2:11" s="1" customFormat="1" ht="18.75" customHeight="1">
      <c r="B145" s="228"/>
      <c r="C145" s="228"/>
      <c r="D145" s="228"/>
      <c r="E145" s="228"/>
      <c r="F145" s="228"/>
      <c r="G145" s="228"/>
      <c r="H145" s="228"/>
      <c r="I145" s="228"/>
      <c r="J145" s="228"/>
      <c r="K145" s="228"/>
    </row>
    <row r="146" spans="2:11" s="1" customFormat="1" ht="7.5" customHeight="1">
      <c r="B146" s="229"/>
      <c r="C146" s="230"/>
      <c r="D146" s="230"/>
      <c r="E146" s="230"/>
      <c r="F146" s="230"/>
      <c r="G146" s="230"/>
      <c r="H146" s="230"/>
      <c r="I146" s="230"/>
      <c r="J146" s="230"/>
      <c r="K146" s="231"/>
    </row>
    <row r="147" spans="2:11" s="1" customFormat="1" ht="45" customHeight="1">
      <c r="B147" s="232"/>
      <c r="C147" s="779" t="s">
        <v>1694</v>
      </c>
      <c r="D147" s="779"/>
      <c r="E147" s="779"/>
      <c r="F147" s="779"/>
      <c r="G147" s="779"/>
      <c r="H147" s="779"/>
      <c r="I147" s="779"/>
      <c r="J147" s="779"/>
      <c r="K147" s="233"/>
    </row>
    <row r="148" spans="2:11" s="1" customFormat="1" ht="17.25" customHeight="1">
      <c r="B148" s="232"/>
      <c r="C148" s="234" t="s">
        <v>1629</v>
      </c>
      <c r="D148" s="234"/>
      <c r="E148" s="234"/>
      <c r="F148" s="234" t="s">
        <v>1630</v>
      </c>
      <c r="G148" s="235"/>
      <c r="H148" s="234" t="s">
        <v>52</v>
      </c>
      <c r="I148" s="234" t="s">
        <v>55</v>
      </c>
      <c r="J148" s="234" t="s">
        <v>1631</v>
      </c>
      <c r="K148" s="233"/>
    </row>
    <row r="149" spans="2:11" s="1" customFormat="1" ht="17.25" customHeight="1">
      <c r="B149" s="232"/>
      <c r="C149" s="236" t="s">
        <v>1632</v>
      </c>
      <c r="D149" s="236"/>
      <c r="E149" s="236"/>
      <c r="F149" s="237" t="s">
        <v>1633</v>
      </c>
      <c r="G149" s="238"/>
      <c r="H149" s="236"/>
      <c r="I149" s="236"/>
      <c r="J149" s="236" t="s">
        <v>1634</v>
      </c>
      <c r="K149" s="233"/>
    </row>
    <row r="150" spans="2:11" s="1" customFormat="1" ht="5.25" customHeight="1">
      <c r="B150" s="244"/>
      <c r="C150" s="239"/>
      <c r="D150" s="239"/>
      <c r="E150" s="239"/>
      <c r="F150" s="239"/>
      <c r="G150" s="240"/>
      <c r="H150" s="239"/>
      <c r="I150" s="239"/>
      <c r="J150" s="239"/>
      <c r="K150" s="267"/>
    </row>
    <row r="151" spans="2:11" s="1" customFormat="1" ht="15" customHeight="1">
      <c r="B151" s="244"/>
      <c r="C151" s="271" t="s">
        <v>1638</v>
      </c>
      <c r="D151" s="221"/>
      <c r="E151" s="221"/>
      <c r="F151" s="272" t="s">
        <v>1635</v>
      </c>
      <c r="G151" s="221"/>
      <c r="H151" s="271" t="s">
        <v>1675</v>
      </c>
      <c r="I151" s="271" t="s">
        <v>1637</v>
      </c>
      <c r="J151" s="271">
        <v>120</v>
      </c>
      <c r="K151" s="267"/>
    </row>
    <row r="152" spans="2:11" s="1" customFormat="1" ht="15" customHeight="1">
      <c r="B152" s="244"/>
      <c r="C152" s="271" t="s">
        <v>1684</v>
      </c>
      <c r="D152" s="221"/>
      <c r="E152" s="221"/>
      <c r="F152" s="272" t="s">
        <v>1635</v>
      </c>
      <c r="G152" s="221"/>
      <c r="H152" s="271" t="s">
        <v>1695</v>
      </c>
      <c r="I152" s="271" t="s">
        <v>1637</v>
      </c>
      <c r="J152" s="271" t="s">
        <v>1686</v>
      </c>
      <c r="K152" s="267"/>
    </row>
    <row r="153" spans="2:11" s="1" customFormat="1" ht="15" customHeight="1">
      <c r="B153" s="244"/>
      <c r="C153" s="271" t="s">
        <v>83</v>
      </c>
      <c r="D153" s="221"/>
      <c r="E153" s="221"/>
      <c r="F153" s="272" t="s">
        <v>1635</v>
      </c>
      <c r="G153" s="221"/>
      <c r="H153" s="271" t="s">
        <v>1696</v>
      </c>
      <c r="I153" s="271" t="s">
        <v>1637</v>
      </c>
      <c r="J153" s="271" t="s">
        <v>1686</v>
      </c>
      <c r="K153" s="267"/>
    </row>
    <row r="154" spans="2:11" s="1" customFormat="1" ht="15" customHeight="1">
      <c r="B154" s="244"/>
      <c r="C154" s="271" t="s">
        <v>1640</v>
      </c>
      <c r="D154" s="221"/>
      <c r="E154" s="221"/>
      <c r="F154" s="272" t="s">
        <v>1641</v>
      </c>
      <c r="G154" s="221"/>
      <c r="H154" s="271" t="s">
        <v>1675</v>
      </c>
      <c r="I154" s="271" t="s">
        <v>1637</v>
      </c>
      <c r="J154" s="271">
        <v>50</v>
      </c>
      <c r="K154" s="267"/>
    </row>
    <row r="155" spans="2:11" s="1" customFormat="1" ht="15" customHeight="1">
      <c r="B155" s="244"/>
      <c r="C155" s="271" t="s">
        <v>1643</v>
      </c>
      <c r="D155" s="221"/>
      <c r="E155" s="221"/>
      <c r="F155" s="272" t="s">
        <v>1635</v>
      </c>
      <c r="G155" s="221"/>
      <c r="H155" s="271" t="s">
        <v>1675</v>
      </c>
      <c r="I155" s="271" t="s">
        <v>1645</v>
      </c>
      <c r="J155" s="271"/>
      <c r="K155" s="267"/>
    </row>
    <row r="156" spans="2:11" s="1" customFormat="1" ht="15" customHeight="1">
      <c r="B156" s="244"/>
      <c r="C156" s="271" t="s">
        <v>1654</v>
      </c>
      <c r="D156" s="221"/>
      <c r="E156" s="221"/>
      <c r="F156" s="272" t="s">
        <v>1641</v>
      </c>
      <c r="G156" s="221"/>
      <c r="H156" s="271" t="s">
        <v>1675</v>
      </c>
      <c r="I156" s="271" t="s">
        <v>1637</v>
      </c>
      <c r="J156" s="271">
        <v>50</v>
      </c>
      <c r="K156" s="267"/>
    </row>
    <row r="157" spans="2:11" s="1" customFormat="1" ht="15" customHeight="1">
      <c r="B157" s="244"/>
      <c r="C157" s="271" t="s">
        <v>1662</v>
      </c>
      <c r="D157" s="221"/>
      <c r="E157" s="221"/>
      <c r="F157" s="272" t="s">
        <v>1641</v>
      </c>
      <c r="G157" s="221"/>
      <c r="H157" s="271" t="s">
        <v>1675</v>
      </c>
      <c r="I157" s="271" t="s">
        <v>1637</v>
      </c>
      <c r="J157" s="271">
        <v>50</v>
      </c>
      <c r="K157" s="267"/>
    </row>
    <row r="158" spans="2:11" s="1" customFormat="1" ht="15" customHeight="1">
      <c r="B158" s="244"/>
      <c r="C158" s="271" t="s">
        <v>1660</v>
      </c>
      <c r="D158" s="221"/>
      <c r="E158" s="221"/>
      <c r="F158" s="272" t="s">
        <v>1641</v>
      </c>
      <c r="G158" s="221"/>
      <c r="H158" s="271" t="s">
        <v>1675</v>
      </c>
      <c r="I158" s="271" t="s">
        <v>1637</v>
      </c>
      <c r="J158" s="271">
        <v>50</v>
      </c>
      <c r="K158" s="267"/>
    </row>
    <row r="159" spans="2:11" s="1" customFormat="1" ht="15" customHeight="1">
      <c r="B159" s="244"/>
      <c r="C159" s="271" t="s">
        <v>148</v>
      </c>
      <c r="D159" s="221"/>
      <c r="E159" s="221"/>
      <c r="F159" s="272" t="s">
        <v>1635</v>
      </c>
      <c r="G159" s="221"/>
      <c r="H159" s="271" t="s">
        <v>1697</v>
      </c>
      <c r="I159" s="271" t="s">
        <v>1637</v>
      </c>
      <c r="J159" s="271" t="s">
        <v>1698</v>
      </c>
      <c r="K159" s="267"/>
    </row>
    <row r="160" spans="2:11" s="1" customFormat="1" ht="15" customHeight="1">
      <c r="B160" s="244"/>
      <c r="C160" s="271" t="s">
        <v>1699</v>
      </c>
      <c r="D160" s="221"/>
      <c r="E160" s="221"/>
      <c r="F160" s="272" t="s">
        <v>1635</v>
      </c>
      <c r="G160" s="221"/>
      <c r="H160" s="271" t="s">
        <v>1700</v>
      </c>
      <c r="I160" s="271" t="s">
        <v>1670</v>
      </c>
      <c r="J160" s="271"/>
      <c r="K160" s="267"/>
    </row>
    <row r="161" spans="2:11" s="1" customFormat="1" ht="15" customHeight="1">
      <c r="B161" s="273"/>
      <c r="C161" s="253"/>
      <c r="D161" s="253"/>
      <c r="E161" s="253"/>
      <c r="F161" s="253"/>
      <c r="G161" s="253"/>
      <c r="H161" s="253"/>
      <c r="I161" s="253"/>
      <c r="J161" s="253"/>
      <c r="K161" s="274"/>
    </row>
    <row r="162" spans="2:11" s="1" customFormat="1" ht="18.75" customHeight="1">
      <c r="B162" s="255"/>
      <c r="C162" s="265"/>
      <c r="D162" s="265"/>
      <c r="E162" s="265"/>
      <c r="F162" s="275"/>
      <c r="G162" s="265"/>
      <c r="H162" s="265"/>
      <c r="I162" s="265"/>
      <c r="J162" s="265"/>
      <c r="K162" s="255"/>
    </row>
    <row r="163" spans="2:11" s="1" customFormat="1" ht="18.75" customHeight="1">
      <c r="B163" s="228"/>
      <c r="C163" s="228"/>
      <c r="D163" s="228"/>
      <c r="E163" s="228"/>
      <c r="F163" s="228"/>
      <c r="G163" s="228"/>
      <c r="H163" s="228"/>
      <c r="I163" s="228"/>
      <c r="J163" s="228"/>
      <c r="K163" s="228"/>
    </row>
    <row r="164" spans="2:11" s="1" customFormat="1" ht="7.5" customHeight="1">
      <c r="B164" s="210"/>
      <c r="C164" s="211"/>
      <c r="D164" s="211"/>
      <c r="E164" s="211"/>
      <c r="F164" s="211"/>
      <c r="G164" s="211"/>
      <c r="H164" s="211"/>
      <c r="I164" s="211"/>
      <c r="J164" s="211"/>
      <c r="K164" s="212"/>
    </row>
    <row r="165" spans="2:11" s="1" customFormat="1" ht="45" customHeight="1">
      <c r="B165" s="213"/>
      <c r="C165" s="780" t="s">
        <v>1701</v>
      </c>
      <c r="D165" s="780"/>
      <c r="E165" s="780"/>
      <c r="F165" s="780"/>
      <c r="G165" s="780"/>
      <c r="H165" s="780"/>
      <c r="I165" s="780"/>
      <c r="J165" s="780"/>
      <c r="K165" s="214"/>
    </row>
    <row r="166" spans="2:11" s="1" customFormat="1" ht="17.25" customHeight="1">
      <c r="B166" s="213"/>
      <c r="C166" s="234" t="s">
        <v>1629</v>
      </c>
      <c r="D166" s="234"/>
      <c r="E166" s="234"/>
      <c r="F166" s="234" t="s">
        <v>1630</v>
      </c>
      <c r="G166" s="276"/>
      <c r="H166" s="277" t="s">
        <v>52</v>
      </c>
      <c r="I166" s="277" t="s">
        <v>55</v>
      </c>
      <c r="J166" s="234" t="s">
        <v>1631</v>
      </c>
      <c r="K166" s="214"/>
    </row>
    <row r="167" spans="2:11" s="1" customFormat="1" ht="17.25" customHeight="1">
      <c r="B167" s="215"/>
      <c r="C167" s="236" t="s">
        <v>1632</v>
      </c>
      <c r="D167" s="236"/>
      <c r="E167" s="236"/>
      <c r="F167" s="237" t="s">
        <v>1633</v>
      </c>
      <c r="G167" s="278"/>
      <c r="H167" s="279"/>
      <c r="I167" s="279"/>
      <c r="J167" s="236" t="s">
        <v>1634</v>
      </c>
      <c r="K167" s="216"/>
    </row>
    <row r="168" spans="2:11" s="1" customFormat="1" ht="5.25" customHeight="1">
      <c r="B168" s="244"/>
      <c r="C168" s="239"/>
      <c r="D168" s="239"/>
      <c r="E168" s="239"/>
      <c r="F168" s="239"/>
      <c r="G168" s="240"/>
      <c r="H168" s="239"/>
      <c r="I168" s="239"/>
      <c r="J168" s="239"/>
      <c r="K168" s="267"/>
    </row>
    <row r="169" spans="2:11" s="1" customFormat="1" ht="15" customHeight="1">
      <c r="B169" s="244"/>
      <c r="C169" s="221" t="s">
        <v>1638</v>
      </c>
      <c r="D169" s="221"/>
      <c r="E169" s="221"/>
      <c r="F169" s="242" t="s">
        <v>1635</v>
      </c>
      <c r="G169" s="221"/>
      <c r="H169" s="221" t="s">
        <v>1675</v>
      </c>
      <c r="I169" s="221" t="s">
        <v>1637</v>
      </c>
      <c r="J169" s="221">
        <v>120</v>
      </c>
      <c r="K169" s="267"/>
    </row>
    <row r="170" spans="2:11" s="1" customFormat="1" ht="15" customHeight="1">
      <c r="B170" s="244"/>
      <c r="C170" s="221" t="s">
        <v>1684</v>
      </c>
      <c r="D170" s="221"/>
      <c r="E170" s="221"/>
      <c r="F170" s="242" t="s">
        <v>1635</v>
      </c>
      <c r="G170" s="221"/>
      <c r="H170" s="221" t="s">
        <v>1685</v>
      </c>
      <c r="I170" s="221" t="s">
        <v>1637</v>
      </c>
      <c r="J170" s="221" t="s">
        <v>1686</v>
      </c>
      <c r="K170" s="267"/>
    </row>
    <row r="171" spans="2:11" s="1" customFormat="1" ht="15" customHeight="1">
      <c r="B171" s="244"/>
      <c r="C171" s="221" t="s">
        <v>83</v>
      </c>
      <c r="D171" s="221"/>
      <c r="E171" s="221"/>
      <c r="F171" s="242" t="s">
        <v>1635</v>
      </c>
      <c r="G171" s="221"/>
      <c r="H171" s="221" t="s">
        <v>1702</v>
      </c>
      <c r="I171" s="221" t="s">
        <v>1637</v>
      </c>
      <c r="J171" s="221" t="s">
        <v>1686</v>
      </c>
      <c r="K171" s="267"/>
    </row>
    <row r="172" spans="2:11" s="1" customFormat="1" ht="15" customHeight="1">
      <c r="B172" s="244"/>
      <c r="C172" s="221" t="s">
        <v>1640</v>
      </c>
      <c r="D172" s="221"/>
      <c r="E172" s="221"/>
      <c r="F172" s="242" t="s">
        <v>1641</v>
      </c>
      <c r="G172" s="221"/>
      <c r="H172" s="221" t="s">
        <v>1702</v>
      </c>
      <c r="I172" s="221" t="s">
        <v>1637</v>
      </c>
      <c r="J172" s="221">
        <v>50</v>
      </c>
      <c r="K172" s="267"/>
    </row>
    <row r="173" spans="2:11" s="1" customFormat="1" ht="15" customHeight="1">
      <c r="B173" s="244"/>
      <c r="C173" s="221" t="s">
        <v>1643</v>
      </c>
      <c r="D173" s="221"/>
      <c r="E173" s="221"/>
      <c r="F173" s="242" t="s">
        <v>1635</v>
      </c>
      <c r="G173" s="221"/>
      <c r="H173" s="221" t="s">
        <v>1702</v>
      </c>
      <c r="I173" s="221" t="s">
        <v>1645</v>
      </c>
      <c r="J173" s="221"/>
      <c r="K173" s="267"/>
    </row>
    <row r="174" spans="2:11" s="1" customFormat="1" ht="15" customHeight="1">
      <c r="B174" s="244"/>
      <c r="C174" s="221" t="s">
        <v>1654</v>
      </c>
      <c r="D174" s="221"/>
      <c r="E174" s="221"/>
      <c r="F174" s="242" t="s">
        <v>1641</v>
      </c>
      <c r="G174" s="221"/>
      <c r="H174" s="221" t="s">
        <v>1702</v>
      </c>
      <c r="I174" s="221" t="s">
        <v>1637</v>
      </c>
      <c r="J174" s="221">
        <v>50</v>
      </c>
      <c r="K174" s="267"/>
    </row>
    <row r="175" spans="2:11" s="1" customFormat="1" ht="15" customHeight="1">
      <c r="B175" s="244"/>
      <c r="C175" s="221" t="s">
        <v>1662</v>
      </c>
      <c r="D175" s="221"/>
      <c r="E175" s="221"/>
      <c r="F175" s="242" t="s">
        <v>1641</v>
      </c>
      <c r="G175" s="221"/>
      <c r="H175" s="221" t="s">
        <v>1702</v>
      </c>
      <c r="I175" s="221" t="s">
        <v>1637</v>
      </c>
      <c r="J175" s="221">
        <v>50</v>
      </c>
      <c r="K175" s="267"/>
    </row>
    <row r="176" spans="2:11" s="1" customFormat="1" ht="15" customHeight="1">
      <c r="B176" s="244"/>
      <c r="C176" s="221" t="s">
        <v>1660</v>
      </c>
      <c r="D176" s="221"/>
      <c r="E176" s="221"/>
      <c r="F176" s="242" t="s">
        <v>1641</v>
      </c>
      <c r="G176" s="221"/>
      <c r="H176" s="221" t="s">
        <v>1702</v>
      </c>
      <c r="I176" s="221" t="s">
        <v>1637</v>
      </c>
      <c r="J176" s="221">
        <v>50</v>
      </c>
      <c r="K176" s="267"/>
    </row>
    <row r="177" spans="2:11" s="1" customFormat="1" ht="15" customHeight="1">
      <c r="B177" s="244"/>
      <c r="C177" s="221" t="s">
        <v>182</v>
      </c>
      <c r="D177" s="221"/>
      <c r="E177" s="221"/>
      <c r="F177" s="242" t="s">
        <v>1635</v>
      </c>
      <c r="G177" s="221"/>
      <c r="H177" s="221" t="s">
        <v>1703</v>
      </c>
      <c r="I177" s="221" t="s">
        <v>1704</v>
      </c>
      <c r="J177" s="221"/>
      <c r="K177" s="267"/>
    </row>
    <row r="178" spans="2:11" s="1" customFormat="1" ht="15" customHeight="1">
      <c r="B178" s="244"/>
      <c r="C178" s="221" t="s">
        <v>55</v>
      </c>
      <c r="D178" s="221"/>
      <c r="E178" s="221"/>
      <c r="F178" s="242" t="s">
        <v>1635</v>
      </c>
      <c r="G178" s="221"/>
      <c r="H178" s="221" t="s">
        <v>1705</v>
      </c>
      <c r="I178" s="221" t="s">
        <v>1706</v>
      </c>
      <c r="J178" s="221">
        <v>1</v>
      </c>
      <c r="K178" s="267"/>
    </row>
    <row r="179" spans="2:11" s="1" customFormat="1" ht="15" customHeight="1">
      <c r="B179" s="244"/>
      <c r="C179" s="221" t="s">
        <v>51</v>
      </c>
      <c r="D179" s="221"/>
      <c r="E179" s="221"/>
      <c r="F179" s="242" t="s">
        <v>1635</v>
      </c>
      <c r="G179" s="221"/>
      <c r="H179" s="221" t="s">
        <v>1707</v>
      </c>
      <c r="I179" s="221" t="s">
        <v>1637</v>
      </c>
      <c r="J179" s="221">
        <v>20</v>
      </c>
      <c r="K179" s="267"/>
    </row>
    <row r="180" spans="2:11" s="1" customFormat="1" ht="15" customHeight="1">
      <c r="B180" s="244"/>
      <c r="C180" s="221" t="s">
        <v>52</v>
      </c>
      <c r="D180" s="221"/>
      <c r="E180" s="221"/>
      <c r="F180" s="242" t="s">
        <v>1635</v>
      </c>
      <c r="G180" s="221"/>
      <c r="H180" s="221" t="s">
        <v>1708</v>
      </c>
      <c r="I180" s="221" t="s">
        <v>1637</v>
      </c>
      <c r="J180" s="221">
        <v>255</v>
      </c>
      <c r="K180" s="267"/>
    </row>
    <row r="181" spans="2:11" s="1" customFormat="1" ht="15" customHeight="1">
      <c r="B181" s="244"/>
      <c r="C181" s="221" t="s">
        <v>183</v>
      </c>
      <c r="D181" s="221"/>
      <c r="E181" s="221"/>
      <c r="F181" s="242" t="s">
        <v>1635</v>
      </c>
      <c r="G181" s="221"/>
      <c r="H181" s="221" t="s">
        <v>1599</v>
      </c>
      <c r="I181" s="221" t="s">
        <v>1637</v>
      </c>
      <c r="J181" s="221">
        <v>10</v>
      </c>
      <c r="K181" s="267"/>
    </row>
    <row r="182" spans="2:11" s="1" customFormat="1" ht="15" customHeight="1">
      <c r="B182" s="244"/>
      <c r="C182" s="221" t="s">
        <v>184</v>
      </c>
      <c r="D182" s="221"/>
      <c r="E182" s="221"/>
      <c r="F182" s="242" t="s">
        <v>1635</v>
      </c>
      <c r="G182" s="221"/>
      <c r="H182" s="221" t="s">
        <v>1709</v>
      </c>
      <c r="I182" s="221" t="s">
        <v>1670</v>
      </c>
      <c r="J182" s="221"/>
      <c r="K182" s="267"/>
    </row>
    <row r="183" spans="2:11" s="1" customFormat="1" ht="15" customHeight="1">
      <c r="B183" s="244"/>
      <c r="C183" s="221" t="s">
        <v>1710</v>
      </c>
      <c r="D183" s="221"/>
      <c r="E183" s="221"/>
      <c r="F183" s="242" t="s">
        <v>1635</v>
      </c>
      <c r="G183" s="221"/>
      <c r="H183" s="221" t="s">
        <v>1711</v>
      </c>
      <c r="I183" s="221" t="s">
        <v>1670</v>
      </c>
      <c r="J183" s="221"/>
      <c r="K183" s="267"/>
    </row>
    <row r="184" spans="2:11" s="1" customFormat="1" ht="15" customHeight="1">
      <c r="B184" s="244"/>
      <c r="C184" s="221" t="s">
        <v>1699</v>
      </c>
      <c r="D184" s="221"/>
      <c r="E184" s="221"/>
      <c r="F184" s="242" t="s">
        <v>1635</v>
      </c>
      <c r="G184" s="221"/>
      <c r="H184" s="221" t="s">
        <v>1712</v>
      </c>
      <c r="I184" s="221" t="s">
        <v>1670</v>
      </c>
      <c r="J184" s="221"/>
      <c r="K184" s="267"/>
    </row>
    <row r="185" spans="2:11" s="1" customFormat="1" ht="15" customHeight="1">
      <c r="B185" s="244"/>
      <c r="C185" s="221" t="s">
        <v>186</v>
      </c>
      <c r="D185" s="221"/>
      <c r="E185" s="221"/>
      <c r="F185" s="242" t="s">
        <v>1641</v>
      </c>
      <c r="G185" s="221"/>
      <c r="H185" s="221" t="s">
        <v>1713</v>
      </c>
      <c r="I185" s="221" t="s">
        <v>1637</v>
      </c>
      <c r="J185" s="221">
        <v>50</v>
      </c>
      <c r="K185" s="267"/>
    </row>
    <row r="186" spans="2:11" s="1" customFormat="1" ht="15" customHeight="1">
      <c r="B186" s="244"/>
      <c r="C186" s="221" t="s">
        <v>1714</v>
      </c>
      <c r="D186" s="221"/>
      <c r="E186" s="221"/>
      <c r="F186" s="242" t="s">
        <v>1641</v>
      </c>
      <c r="G186" s="221"/>
      <c r="H186" s="221" t="s">
        <v>1715</v>
      </c>
      <c r="I186" s="221" t="s">
        <v>1716</v>
      </c>
      <c r="J186" s="221"/>
      <c r="K186" s="267"/>
    </row>
    <row r="187" spans="2:11" s="1" customFormat="1" ht="15" customHeight="1">
      <c r="B187" s="244"/>
      <c r="C187" s="221" t="s">
        <v>1717</v>
      </c>
      <c r="D187" s="221"/>
      <c r="E187" s="221"/>
      <c r="F187" s="242" t="s">
        <v>1641</v>
      </c>
      <c r="G187" s="221"/>
      <c r="H187" s="221" t="s">
        <v>1718</v>
      </c>
      <c r="I187" s="221" t="s">
        <v>1716</v>
      </c>
      <c r="J187" s="221"/>
      <c r="K187" s="267"/>
    </row>
    <row r="188" spans="2:11" s="1" customFormat="1" ht="15" customHeight="1">
      <c r="B188" s="244"/>
      <c r="C188" s="221" t="s">
        <v>1719</v>
      </c>
      <c r="D188" s="221"/>
      <c r="E188" s="221"/>
      <c r="F188" s="242" t="s">
        <v>1641</v>
      </c>
      <c r="G188" s="221"/>
      <c r="H188" s="221" t="s">
        <v>1720</v>
      </c>
      <c r="I188" s="221" t="s">
        <v>1716</v>
      </c>
      <c r="J188" s="221"/>
      <c r="K188" s="267"/>
    </row>
    <row r="189" spans="2:11" s="1" customFormat="1" ht="15" customHeight="1">
      <c r="B189" s="244"/>
      <c r="C189" s="280" t="s">
        <v>1721</v>
      </c>
      <c r="D189" s="221"/>
      <c r="E189" s="221"/>
      <c r="F189" s="242" t="s">
        <v>1641</v>
      </c>
      <c r="G189" s="221"/>
      <c r="H189" s="221" t="s">
        <v>1722</v>
      </c>
      <c r="I189" s="221" t="s">
        <v>1723</v>
      </c>
      <c r="J189" s="281" t="s">
        <v>1724</v>
      </c>
      <c r="K189" s="267"/>
    </row>
    <row r="190" spans="2:11" s="1" customFormat="1" ht="15" customHeight="1">
      <c r="B190" s="244"/>
      <c r="C190" s="280" t="s">
        <v>40</v>
      </c>
      <c r="D190" s="221"/>
      <c r="E190" s="221"/>
      <c r="F190" s="242" t="s">
        <v>1635</v>
      </c>
      <c r="G190" s="221"/>
      <c r="H190" s="218" t="s">
        <v>1725</v>
      </c>
      <c r="I190" s="221" t="s">
        <v>1726</v>
      </c>
      <c r="J190" s="221"/>
      <c r="K190" s="267"/>
    </row>
    <row r="191" spans="2:11" s="1" customFormat="1" ht="15" customHeight="1">
      <c r="B191" s="244"/>
      <c r="C191" s="280" t="s">
        <v>1727</v>
      </c>
      <c r="D191" s="221"/>
      <c r="E191" s="221"/>
      <c r="F191" s="242" t="s">
        <v>1635</v>
      </c>
      <c r="G191" s="221"/>
      <c r="H191" s="221" t="s">
        <v>1728</v>
      </c>
      <c r="I191" s="221" t="s">
        <v>1670</v>
      </c>
      <c r="J191" s="221"/>
      <c r="K191" s="267"/>
    </row>
    <row r="192" spans="2:11" s="1" customFormat="1" ht="15" customHeight="1">
      <c r="B192" s="244"/>
      <c r="C192" s="280" t="s">
        <v>1729</v>
      </c>
      <c r="D192" s="221"/>
      <c r="E192" s="221"/>
      <c r="F192" s="242" t="s">
        <v>1635</v>
      </c>
      <c r="G192" s="221"/>
      <c r="H192" s="221" t="s">
        <v>1730</v>
      </c>
      <c r="I192" s="221" t="s">
        <v>1670</v>
      </c>
      <c r="J192" s="221"/>
      <c r="K192" s="267"/>
    </row>
    <row r="193" spans="2:11" s="1" customFormat="1" ht="15" customHeight="1">
      <c r="B193" s="244"/>
      <c r="C193" s="280" t="s">
        <v>1731</v>
      </c>
      <c r="D193" s="221"/>
      <c r="E193" s="221"/>
      <c r="F193" s="242" t="s">
        <v>1641</v>
      </c>
      <c r="G193" s="221"/>
      <c r="H193" s="221" t="s">
        <v>1732</v>
      </c>
      <c r="I193" s="221" t="s">
        <v>1670</v>
      </c>
      <c r="J193" s="221"/>
      <c r="K193" s="267"/>
    </row>
    <row r="194" spans="2:11" s="1" customFormat="1" ht="15" customHeight="1">
      <c r="B194" s="273"/>
      <c r="C194" s="282"/>
      <c r="D194" s="253"/>
      <c r="E194" s="253"/>
      <c r="F194" s="253"/>
      <c r="G194" s="253"/>
      <c r="H194" s="253"/>
      <c r="I194" s="253"/>
      <c r="J194" s="253"/>
      <c r="K194" s="274"/>
    </row>
    <row r="195" spans="2:11" s="1" customFormat="1" ht="18.75" customHeight="1">
      <c r="B195" s="255"/>
      <c r="C195" s="265"/>
      <c r="D195" s="265"/>
      <c r="E195" s="265"/>
      <c r="F195" s="275"/>
      <c r="G195" s="265"/>
      <c r="H195" s="265"/>
      <c r="I195" s="265"/>
      <c r="J195" s="265"/>
      <c r="K195" s="255"/>
    </row>
    <row r="196" spans="2:11" s="1" customFormat="1" ht="18.75" customHeight="1">
      <c r="B196" s="255"/>
      <c r="C196" s="265"/>
      <c r="D196" s="265"/>
      <c r="E196" s="265"/>
      <c r="F196" s="275"/>
      <c r="G196" s="265"/>
      <c r="H196" s="265"/>
      <c r="I196" s="265"/>
      <c r="J196" s="265"/>
      <c r="K196" s="255"/>
    </row>
    <row r="197" spans="2:11" s="1" customFormat="1" ht="18.75" customHeight="1">
      <c r="B197" s="228"/>
      <c r="C197" s="228"/>
      <c r="D197" s="228"/>
      <c r="E197" s="228"/>
      <c r="F197" s="228"/>
      <c r="G197" s="228"/>
      <c r="H197" s="228"/>
      <c r="I197" s="228"/>
      <c r="J197" s="228"/>
      <c r="K197" s="228"/>
    </row>
    <row r="198" spans="2:11" s="1" customFormat="1" ht="13.5">
      <c r="B198" s="210"/>
      <c r="C198" s="211"/>
      <c r="D198" s="211"/>
      <c r="E198" s="211"/>
      <c r="F198" s="211"/>
      <c r="G198" s="211"/>
      <c r="H198" s="211"/>
      <c r="I198" s="211"/>
      <c r="J198" s="211"/>
      <c r="K198" s="212"/>
    </row>
    <row r="199" spans="2:11" s="1" customFormat="1" ht="21">
      <c r="B199" s="213"/>
      <c r="C199" s="780" t="s">
        <v>1733</v>
      </c>
      <c r="D199" s="780"/>
      <c r="E199" s="780"/>
      <c r="F199" s="780"/>
      <c r="G199" s="780"/>
      <c r="H199" s="780"/>
      <c r="I199" s="780"/>
      <c r="J199" s="780"/>
      <c r="K199" s="214"/>
    </row>
    <row r="200" spans="2:11" s="1" customFormat="1" ht="25.5" customHeight="1">
      <c r="B200" s="213"/>
      <c r="C200" s="283" t="s">
        <v>1734</v>
      </c>
      <c r="D200" s="283"/>
      <c r="E200" s="283"/>
      <c r="F200" s="283" t="s">
        <v>1735</v>
      </c>
      <c r="G200" s="284"/>
      <c r="H200" s="781" t="s">
        <v>1736</v>
      </c>
      <c r="I200" s="781"/>
      <c r="J200" s="781"/>
      <c r="K200" s="214"/>
    </row>
    <row r="201" spans="2:11" s="1" customFormat="1" ht="5.25" customHeight="1">
      <c r="B201" s="244"/>
      <c r="C201" s="239"/>
      <c r="D201" s="239"/>
      <c r="E201" s="239"/>
      <c r="F201" s="239"/>
      <c r="G201" s="265"/>
      <c r="H201" s="239"/>
      <c r="I201" s="239"/>
      <c r="J201" s="239"/>
      <c r="K201" s="267"/>
    </row>
    <row r="202" spans="2:11" s="1" customFormat="1" ht="15" customHeight="1">
      <c r="B202" s="244"/>
      <c r="C202" s="221" t="s">
        <v>1726</v>
      </c>
      <c r="D202" s="221"/>
      <c r="E202" s="221"/>
      <c r="F202" s="242" t="s">
        <v>41</v>
      </c>
      <c r="G202" s="221"/>
      <c r="H202" s="782" t="s">
        <v>1737</v>
      </c>
      <c r="I202" s="782"/>
      <c r="J202" s="782"/>
      <c r="K202" s="267"/>
    </row>
    <row r="203" spans="2:11" s="1" customFormat="1" ht="15" customHeight="1">
      <c r="B203" s="244"/>
      <c r="C203" s="221"/>
      <c r="D203" s="221"/>
      <c r="E203" s="221"/>
      <c r="F203" s="242" t="s">
        <v>42</v>
      </c>
      <c r="G203" s="221"/>
      <c r="H203" s="782" t="s">
        <v>1738</v>
      </c>
      <c r="I203" s="782"/>
      <c r="J203" s="782"/>
      <c r="K203" s="267"/>
    </row>
    <row r="204" spans="2:11" s="1" customFormat="1" ht="15" customHeight="1">
      <c r="B204" s="244"/>
      <c r="C204" s="221"/>
      <c r="D204" s="221"/>
      <c r="E204" s="221"/>
      <c r="F204" s="242" t="s">
        <v>45</v>
      </c>
      <c r="G204" s="221"/>
      <c r="H204" s="782" t="s">
        <v>1739</v>
      </c>
      <c r="I204" s="782"/>
      <c r="J204" s="782"/>
      <c r="K204" s="267"/>
    </row>
    <row r="205" spans="2:11" s="1" customFormat="1" ht="15" customHeight="1">
      <c r="B205" s="244"/>
      <c r="C205" s="221"/>
      <c r="D205" s="221"/>
      <c r="E205" s="221"/>
      <c r="F205" s="242" t="s">
        <v>43</v>
      </c>
      <c r="G205" s="221"/>
      <c r="H205" s="782" t="s">
        <v>1740</v>
      </c>
      <c r="I205" s="782"/>
      <c r="J205" s="782"/>
      <c r="K205" s="267"/>
    </row>
    <row r="206" spans="2:11" s="1" customFormat="1" ht="15" customHeight="1">
      <c r="B206" s="244"/>
      <c r="C206" s="221"/>
      <c r="D206" s="221"/>
      <c r="E206" s="221"/>
      <c r="F206" s="242" t="s">
        <v>44</v>
      </c>
      <c r="G206" s="221"/>
      <c r="H206" s="782" t="s">
        <v>1741</v>
      </c>
      <c r="I206" s="782"/>
      <c r="J206" s="782"/>
      <c r="K206" s="267"/>
    </row>
    <row r="207" spans="2:11" s="1" customFormat="1" ht="15" customHeight="1">
      <c r="B207" s="244"/>
      <c r="C207" s="221"/>
      <c r="D207" s="221"/>
      <c r="E207" s="221"/>
      <c r="F207" s="242"/>
      <c r="G207" s="221"/>
      <c r="H207" s="221"/>
      <c r="I207" s="221"/>
      <c r="J207" s="221"/>
      <c r="K207" s="267"/>
    </row>
    <row r="208" spans="2:11" s="1" customFormat="1" ht="15" customHeight="1">
      <c r="B208" s="244"/>
      <c r="C208" s="221" t="s">
        <v>1682</v>
      </c>
      <c r="D208" s="221"/>
      <c r="E208" s="221"/>
      <c r="F208" s="242" t="s">
        <v>76</v>
      </c>
      <c r="G208" s="221"/>
      <c r="H208" s="782" t="s">
        <v>1742</v>
      </c>
      <c r="I208" s="782"/>
      <c r="J208" s="782"/>
      <c r="K208" s="267"/>
    </row>
    <row r="209" spans="2:11" s="1" customFormat="1" ht="15" customHeight="1">
      <c r="B209" s="244"/>
      <c r="C209" s="221"/>
      <c r="D209" s="221"/>
      <c r="E209" s="221"/>
      <c r="F209" s="242" t="s">
        <v>1579</v>
      </c>
      <c r="G209" s="221"/>
      <c r="H209" s="782" t="s">
        <v>1580</v>
      </c>
      <c r="I209" s="782"/>
      <c r="J209" s="782"/>
      <c r="K209" s="267"/>
    </row>
    <row r="210" spans="2:11" s="1" customFormat="1" ht="15" customHeight="1">
      <c r="B210" s="244"/>
      <c r="C210" s="221"/>
      <c r="D210" s="221"/>
      <c r="E210" s="221"/>
      <c r="F210" s="242" t="s">
        <v>1577</v>
      </c>
      <c r="G210" s="221"/>
      <c r="H210" s="782" t="s">
        <v>1743</v>
      </c>
      <c r="I210" s="782"/>
      <c r="J210" s="782"/>
      <c r="K210" s="267"/>
    </row>
    <row r="211" spans="2:11" s="1" customFormat="1" ht="15" customHeight="1">
      <c r="B211" s="285"/>
      <c r="C211" s="221"/>
      <c r="D211" s="221"/>
      <c r="E211" s="221"/>
      <c r="F211" s="242" t="s">
        <v>136</v>
      </c>
      <c r="G211" s="280"/>
      <c r="H211" s="783" t="s">
        <v>1581</v>
      </c>
      <c r="I211" s="783"/>
      <c r="J211" s="783"/>
      <c r="K211" s="286"/>
    </row>
    <row r="212" spans="2:11" s="1" customFormat="1" ht="15" customHeight="1">
      <c r="B212" s="285"/>
      <c r="C212" s="221"/>
      <c r="D212" s="221"/>
      <c r="E212" s="221"/>
      <c r="F212" s="242" t="s">
        <v>1582</v>
      </c>
      <c r="G212" s="280"/>
      <c r="H212" s="783" t="s">
        <v>1558</v>
      </c>
      <c r="I212" s="783"/>
      <c r="J212" s="783"/>
      <c r="K212" s="286"/>
    </row>
    <row r="213" spans="2:11" s="1" customFormat="1" ht="15" customHeight="1">
      <c r="B213" s="285"/>
      <c r="C213" s="221"/>
      <c r="D213" s="221"/>
      <c r="E213" s="221"/>
      <c r="F213" s="242"/>
      <c r="G213" s="280"/>
      <c r="H213" s="271"/>
      <c r="I213" s="271"/>
      <c r="J213" s="271"/>
      <c r="K213" s="286"/>
    </row>
    <row r="214" spans="2:11" s="1" customFormat="1" ht="15" customHeight="1">
      <c r="B214" s="285"/>
      <c r="C214" s="221" t="s">
        <v>1706</v>
      </c>
      <c r="D214" s="221"/>
      <c r="E214" s="221"/>
      <c r="F214" s="242">
        <v>1</v>
      </c>
      <c r="G214" s="280"/>
      <c r="H214" s="783" t="s">
        <v>1744</v>
      </c>
      <c r="I214" s="783"/>
      <c r="J214" s="783"/>
      <c r="K214" s="286"/>
    </row>
    <row r="215" spans="2:11" s="1" customFormat="1" ht="15" customHeight="1">
      <c r="B215" s="285"/>
      <c r="C215" s="221"/>
      <c r="D215" s="221"/>
      <c r="E215" s="221"/>
      <c r="F215" s="242">
        <v>2</v>
      </c>
      <c r="G215" s="280"/>
      <c r="H215" s="783" t="s">
        <v>1745</v>
      </c>
      <c r="I215" s="783"/>
      <c r="J215" s="783"/>
      <c r="K215" s="286"/>
    </row>
    <row r="216" spans="2:11" s="1" customFormat="1" ht="15" customHeight="1">
      <c r="B216" s="285"/>
      <c r="C216" s="221"/>
      <c r="D216" s="221"/>
      <c r="E216" s="221"/>
      <c r="F216" s="242">
        <v>3</v>
      </c>
      <c r="G216" s="280"/>
      <c r="H216" s="783" t="s">
        <v>1746</v>
      </c>
      <c r="I216" s="783"/>
      <c r="J216" s="783"/>
      <c r="K216" s="286"/>
    </row>
    <row r="217" spans="2:11" s="1" customFormat="1" ht="15" customHeight="1">
      <c r="B217" s="285"/>
      <c r="C217" s="221"/>
      <c r="D217" s="221"/>
      <c r="E217" s="221"/>
      <c r="F217" s="242">
        <v>4</v>
      </c>
      <c r="G217" s="280"/>
      <c r="H217" s="783" t="s">
        <v>1747</v>
      </c>
      <c r="I217" s="783"/>
      <c r="J217" s="783"/>
      <c r="K217" s="286"/>
    </row>
    <row r="218" spans="2:11" s="1" customFormat="1" ht="12.75" customHeight="1">
      <c r="B218" s="287"/>
      <c r="C218" s="288"/>
      <c r="D218" s="288"/>
      <c r="E218" s="288"/>
      <c r="F218" s="288"/>
      <c r="G218" s="288"/>
      <c r="H218" s="288"/>
      <c r="I218" s="288"/>
      <c r="J218" s="288"/>
      <c r="K218" s="289"/>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0" fitToWidth="1"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7FFB0B-AED0-4F3D-91A4-924EFC7E94D4}">
  <sheetPr>
    <tabColor rgb="FFC00000"/>
    <pageSetUpPr fitToPage="1"/>
  </sheetPr>
  <dimension ref="A1:BI115"/>
  <sheetViews>
    <sheetView workbookViewId="0" topLeftCell="A1">
      <pane ySplit="11" topLeftCell="A91" activePane="bottomLeft" state="frozen"/>
      <selection pane="topLeft" activeCell="G56" sqref="G56"/>
      <selection pane="bottomLeft" activeCell="J98" sqref="J98"/>
    </sheetView>
  </sheetViews>
  <sheetFormatPr defaultColWidth="13.57421875" defaultRowHeight="12"/>
  <cols>
    <col min="1" max="1" width="4.28125" style="290" customWidth="1"/>
    <col min="2" max="2" width="8.8515625" style="290" customWidth="1"/>
    <col min="3" max="3" width="16.7109375" style="290" customWidth="1"/>
    <col min="4" max="4" width="70.7109375" style="290" customWidth="1"/>
    <col min="5" max="5" width="7.421875" style="290" customWidth="1"/>
    <col min="6" max="6" width="15.00390625" style="290" customWidth="1"/>
    <col min="7" max="7" width="14.00390625" style="290" customWidth="1"/>
    <col min="8" max="10" width="16.7109375" style="290" customWidth="1"/>
    <col min="11" max="12" width="13.7109375" style="290" customWidth="1"/>
    <col min="13" max="23" width="13.421875" style="290" customWidth="1"/>
    <col min="24" max="61" width="14.140625" style="290" hidden="1" customWidth="1"/>
    <col min="62" max="16384" width="13.421875" style="290" customWidth="1"/>
  </cols>
  <sheetData>
    <row r="1" spans="1:12" ht="72.95" customHeight="1">
      <c r="A1" s="714" t="s">
        <v>1976</v>
      </c>
      <c r="B1" s="715"/>
      <c r="C1" s="715"/>
      <c r="D1" s="715"/>
      <c r="E1" s="715"/>
      <c r="F1" s="715"/>
      <c r="G1" s="715"/>
      <c r="H1" s="715"/>
      <c r="I1" s="715"/>
      <c r="J1" s="715"/>
      <c r="K1" s="715"/>
      <c r="L1" s="715"/>
    </row>
    <row r="2" spans="1:13" ht="12">
      <c r="A2" s="716" t="s">
        <v>1975</v>
      </c>
      <c r="B2" s="717"/>
      <c r="C2" s="717"/>
      <c r="D2" s="718" t="s">
        <v>1974</v>
      </c>
      <c r="E2" s="720" t="s">
        <v>1973</v>
      </c>
      <c r="F2" s="717"/>
      <c r="G2" s="720" t="s">
        <v>146</v>
      </c>
      <c r="H2" s="721" t="s">
        <v>1972</v>
      </c>
      <c r="I2" s="721" t="s">
        <v>1971</v>
      </c>
      <c r="J2" s="717"/>
      <c r="K2" s="717"/>
      <c r="L2" s="717"/>
      <c r="M2" s="321"/>
    </row>
    <row r="3" spans="1:13" ht="12">
      <c r="A3" s="711"/>
      <c r="B3" s="710"/>
      <c r="C3" s="710"/>
      <c r="D3" s="719"/>
      <c r="E3" s="710"/>
      <c r="F3" s="710"/>
      <c r="G3" s="710"/>
      <c r="H3" s="710"/>
      <c r="I3" s="710"/>
      <c r="J3" s="710"/>
      <c r="K3" s="710"/>
      <c r="L3" s="710"/>
      <c r="M3" s="321"/>
    </row>
    <row r="4" spans="1:13" ht="12">
      <c r="A4" s="709" t="s">
        <v>1970</v>
      </c>
      <c r="B4" s="710"/>
      <c r="C4" s="710"/>
      <c r="D4" s="712" t="s">
        <v>1969</v>
      </c>
      <c r="E4" s="713" t="s">
        <v>1968</v>
      </c>
      <c r="F4" s="710"/>
      <c r="G4" s="713" t="s">
        <v>1963</v>
      </c>
      <c r="H4" s="712" t="s">
        <v>30</v>
      </c>
      <c r="I4" s="712" t="s">
        <v>1967</v>
      </c>
      <c r="J4" s="710"/>
      <c r="K4" s="710"/>
      <c r="L4" s="710"/>
      <c r="M4" s="321"/>
    </row>
    <row r="5" spans="1:13" ht="12">
      <c r="A5" s="711"/>
      <c r="B5" s="710"/>
      <c r="C5" s="710"/>
      <c r="D5" s="710"/>
      <c r="E5" s="710"/>
      <c r="F5" s="710"/>
      <c r="G5" s="710"/>
      <c r="H5" s="710"/>
      <c r="I5" s="710"/>
      <c r="J5" s="710"/>
      <c r="K5" s="710"/>
      <c r="L5" s="710"/>
      <c r="M5" s="321"/>
    </row>
    <row r="6" spans="1:13" ht="12">
      <c r="A6" s="709" t="s">
        <v>1966</v>
      </c>
      <c r="B6" s="710"/>
      <c r="C6" s="710"/>
      <c r="D6" s="712" t="s">
        <v>1965</v>
      </c>
      <c r="E6" s="713" t="s">
        <v>1964</v>
      </c>
      <c r="F6" s="710"/>
      <c r="G6" s="713" t="s">
        <v>1963</v>
      </c>
      <c r="H6" s="712" t="s">
        <v>1962</v>
      </c>
      <c r="I6" s="728">
        <v>0</v>
      </c>
      <c r="J6" s="710"/>
      <c r="K6" s="710"/>
      <c r="L6" s="710"/>
      <c r="M6" s="321"/>
    </row>
    <row r="7" spans="1:13" ht="12">
      <c r="A7" s="711"/>
      <c r="B7" s="710"/>
      <c r="C7" s="710"/>
      <c r="D7" s="710"/>
      <c r="E7" s="710"/>
      <c r="F7" s="710"/>
      <c r="G7" s="710"/>
      <c r="H7" s="710"/>
      <c r="I7" s="710"/>
      <c r="J7" s="710"/>
      <c r="K7" s="710"/>
      <c r="L7" s="710"/>
      <c r="M7" s="321"/>
    </row>
    <row r="8" spans="1:13" ht="12">
      <c r="A8" s="709" t="s">
        <v>1961</v>
      </c>
      <c r="B8" s="710"/>
      <c r="C8" s="710"/>
      <c r="D8" s="728">
        <v>0</v>
      </c>
      <c r="E8" s="713" t="s">
        <v>1960</v>
      </c>
      <c r="F8" s="710"/>
      <c r="G8" s="713" t="s">
        <v>1959</v>
      </c>
      <c r="H8" s="712" t="s">
        <v>1958</v>
      </c>
      <c r="I8" s="712" t="s">
        <v>1957</v>
      </c>
      <c r="J8" s="710"/>
      <c r="K8" s="710"/>
      <c r="L8" s="710"/>
      <c r="M8" s="321"/>
    </row>
    <row r="9" spans="1:13" ht="13.5" thickBot="1">
      <c r="A9" s="726"/>
      <c r="B9" s="727"/>
      <c r="C9" s="727"/>
      <c r="D9" s="727"/>
      <c r="E9" s="727"/>
      <c r="F9" s="727"/>
      <c r="G9" s="727"/>
      <c r="H9" s="727"/>
      <c r="I9" s="727"/>
      <c r="J9" s="727"/>
      <c r="K9" s="727"/>
      <c r="L9" s="727"/>
      <c r="M9" s="321"/>
    </row>
    <row r="10" spans="1:13" ht="12">
      <c r="A10" s="320" t="s">
        <v>1956</v>
      </c>
      <c r="B10" s="319" t="s">
        <v>1684</v>
      </c>
      <c r="C10" s="319" t="s">
        <v>51</v>
      </c>
      <c r="D10" s="319" t="s">
        <v>1955</v>
      </c>
      <c r="E10" s="319" t="s">
        <v>1954</v>
      </c>
      <c r="F10" s="318" t="s">
        <v>184</v>
      </c>
      <c r="G10" s="317" t="s">
        <v>1947</v>
      </c>
      <c r="H10" s="729" t="s">
        <v>1953</v>
      </c>
      <c r="I10" s="730"/>
      <c r="J10" s="731"/>
      <c r="K10" s="729" t="s">
        <v>1952</v>
      </c>
      <c r="L10" s="731"/>
      <c r="M10" s="309"/>
    </row>
    <row r="11" spans="1:61" ht="13.5" thickBot="1">
      <c r="A11" s="316" t="s">
        <v>146</v>
      </c>
      <c r="B11" s="314" t="s">
        <v>146</v>
      </c>
      <c r="C11" s="314" t="s">
        <v>146</v>
      </c>
      <c r="D11" s="315" t="s">
        <v>1951</v>
      </c>
      <c r="E11" s="314" t="s">
        <v>146</v>
      </c>
      <c r="F11" s="314" t="s">
        <v>146</v>
      </c>
      <c r="G11" s="313" t="s">
        <v>1950</v>
      </c>
      <c r="H11" s="311" t="s">
        <v>1949</v>
      </c>
      <c r="I11" s="312" t="s">
        <v>1948</v>
      </c>
      <c r="J11" s="310" t="s">
        <v>1946</v>
      </c>
      <c r="K11" s="311" t="s">
        <v>1947</v>
      </c>
      <c r="L11" s="310" t="s">
        <v>1946</v>
      </c>
      <c r="M11" s="309"/>
      <c r="Y11" s="296" t="s">
        <v>1945</v>
      </c>
      <c r="Z11" s="296" t="s">
        <v>1944</v>
      </c>
      <c r="AA11" s="296" t="s">
        <v>1943</v>
      </c>
      <c r="AB11" s="296" t="s">
        <v>1942</v>
      </c>
      <c r="AC11" s="296" t="s">
        <v>1941</v>
      </c>
      <c r="AD11" s="296" t="s">
        <v>1940</v>
      </c>
      <c r="AE11" s="296" t="s">
        <v>1939</v>
      </c>
      <c r="AF11" s="296" t="s">
        <v>1938</v>
      </c>
      <c r="AG11" s="296" t="s">
        <v>1937</v>
      </c>
      <c r="BG11" s="296" t="s">
        <v>1936</v>
      </c>
      <c r="BH11" s="296" t="s">
        <v>1935</v>
      </c>
      <c r="BI11" s="296" t="s">
        <v>1934</v>
      </c>
    </row>
    <row r="12" spans="1:46" ht="12">
      <c r="A12" s="322"/>
      <c r="B12" s="323"/>
      <c r="C12" s="323" t="s">
        <v>255</v>
      </c>
      <c r="D12" s="323" t="s">
        <v>197</v>
      </c>
      <c r="E12" s="322" t="s">
        <v>146</v>
      </c>
      <c r="F12" s="322" t="s">
        <v>146</v>
      </c>
      <c r="G12" s="324" t="s">
        <v>146</v>
      </c>
      <c r="H12" s="325">
        <f>SUM(H13:H15)</f>
        <v>0</v>
      </c>
      <c r="I12" s="325">
        <f>SUM(I13:I15)</f>
        <v>0</v>
      </c>
      <c r="J12" s="325">
        <f>SUM(J13:J15)</f>
        <v>0</v>
      </c>
      <c r="K12" s="326"/>
      <c r="L12" s="325">
        <f>SUM(L13:L15)</f>
        <v>1.1322</v>
      </c>
      <c r="AH12" s="296"/>
      <c r="AR12" s="301">
        <f>SUM(AI13:AI15)</f>
        <v>0</v>
      </c>
      <c r="AS12" s="301">
        <f>SUM(AJ13:AJ15)</f>
        <v>0</v>
      </c>
      <c r="AT12" s="301">
        <f>SUM(AK13:AK15)</f>
        <v>0</v>
      </c>
    </row>
    <row r="13" spans="1:61" ht="12">
      <c r="A13" s="327" t="s">
        <v>77</v>
      </c>
      <c r="B13" s="327"/>
      <c r="C13" s="327" t="s">
        <v>1933</v>
      </c>
      <c r="D13" s="327" t="s">
        <v>1932</v>
      </c>
      <c r="E13" s="327" t="s">
        <v>201</v>
      </c>
      <c r="F13" s="328">
        <v>1</v>
      </c>
      <c r="G13" s="329">
        <v>0</v>
      </c>
      <c r="H13" s="328">
        <f>F13*AN13</f>
        <v>0</v>
      </c>
      <c r="I13" s="328">
        <f>F13*AO13</f>
        <v>0</v>
      </c>
      <c r="J13" s="328">
        <f>F13*G13</f>
        <v>0</v>
      </c>
      <c r="K13" s="328">
        <v>0</v>
      </c>
      <c r="L13" s="328">
        <f>F13*K13</f>
        <v>0</v>
      </c>
      <c r="Y13" s="295">
        <f>IF(AP13="5",BI13,0)</f>
        <v>0</v>
      </c>
      <c r="AA13" s="295">
        <f>IF(AP13="1",BG13,0)</f>
        <v>0</v>
      </c>
      <c r="AB13" s="295">
        <f>IF(AP13="1",BH13,0)</f>
        <v>0</v>
      </c>
      <c r="AC13" s="295">
        <f>IF(AP13="7",BG13,0)</f>
        <v>0</v>
      </c>
      <c r="AD13" s="295">
        <f>IF(AP13="7",BH13,0)</f>
        <v>0</v>
      </c>
      <c r="AE13" s="295">
        <f>IF(AP13="2",BG13,0)</f>
        <v>0</v>
      </c>
      <c r="AF13" s="295">
        <f>IF(AP13="2",BH13,0)</f>
        <v>0</v>
      </c>
      <c r="AG13" s="295">
        <f>IF(AP13="0",BI13,0)</f>
        <v>0</v>
      </c>
      <c r="AH13" s="296"/>
      <c r="AI13" s="294">
        <f>IF(AM13=0,J13,0)</f>
        <v>0</v>
      </c>
      <c r="AJ13" s="294">
        <f>IF(AM13=15,J13,0)</f>
        <v>0</v>
      </c>
      <c r="AK13" s="294">
        <f>IF(AM13=21,J13,0)</f>
        <v>0</v>
      </c>
      <c r="AM13" s="295">
        <v>21</v>
      </c>
      <c r="AN13" s="295">
        <f>G13*0</f>
        <v>0</v>
      </c>
      <c r="AO13" s="295">
        <f>G13*(1-0)</f>
        <v>0</v>
      </c>
      <c r="AP13" s="298" t="s">
        <v>77</v>
      </c>
      <c r="AU13" s="295">
        <f>AV13+AW13</f>
        <v>0</v>
      </c>
      <c r="AV13" s="295">
        <f>F13*AN13</f>
        <v>0</v>
      </c>
      <c r="AW13" s="295">
        <f>F13*AO13</f>
        <v>0</v>
      </c>
      <c r="AX13" s="297" t="s">
        <v>1927</v>
      </c>
      <c r="AY13" s="297" t="s">
        <v>1926</v>
      </c>
      <c r="AZ13" s="296" t="s">
        <v>1749</v>
      </c>
      <c r="BB13" s="295">
        <f>AV13+AW13</f>
        <v>0</v>
      </c>
      <c r="BC13" s="295">
        <f>G13/(100-BD13)*100</f>
        <v>0</v>
      </c>
      <c r="BD13" s="295">
        <v>0</v>
      </c>
      <c r="BE13" s="295">
        <f>L13</f>
        <v>0</v>
      </c>
      <c r="BG13" s="294">
        <f>F13*AN13</f>
        <v>0</v>
      </c>
      <c r="BH13" s="294">
        <f>F13*AO13</f>
        <v>0</v>
      </c>
      <c r="BI13" s="294">
        <f>F13*G13</f>
        <v>0</v>
      </c>
    </row>
    <row r="14" spans="1:61" ht="12">
      <c r="A14" s="327" t="s">
        <v>79</v>
      </c>
      <c r="B14" s="327"/>
      <c r="C14" s="327" t="s">
        <v>1931</v>
      </c>
      <c r="D14" s="327" t="s">
        <v>1930</v>
      </c>
      <c r="E14" s="327" t="s">
        <v>201</v>
      </c>
      <c r="F14" s="328">
        <v>1</v>
      </c>
      <c r="G14" s="329">
        <v>0</v>
      </c>
      <c r="H14" s="328">
        <f>F14*AN14</f>
        <v>0</v>
      </c>
      <c r="I14" s="328">
        <f>F14*AO14</f>
        <v>0</v>
      </c>
      <c r="J14" s="328">
        <f>F14*G14</f>
        <v>0</v>
      </c>
      <c r="K14" s="328">
        <v>1.1322</v>
      </c>
      <c r="L14" s="328">
        <f>F14*K14</f>
        <v>1.1322</v>
      </c>
      <c r="Y14" s="295">
        <f>IF(AP14="5",BI14,0)</f>
        <v>0</v>
      </c>
      <c r="AA14" s="295">
        <f>IF(AP14="1",BG14,0)</f>
        <v>0</v>
      </c>
      <c r="AB14" s="295">
        <f>IF(AP14="1",BH14,0)</f>
        <v>0</v>
      </c>
      <c r="AC14" s="295">
        <f>IF(AP14="7",BG14,0)</f>
        <v>0</v>
      </c>
      <c r="AD14" s="295">
        <f>IF(AP14="7",BH14,0)</f>
        <v>0</v>
      </c>
      <c r="AE14" s="295">
        <f>IF(AP14="2",BG14,0)</f>
        <v>0</v>
      </c>
      <c r="AF14" s="295">
        <f>IF(AP14="2",BH14,0)</f>
        <v>0</v>
      </c>
      <c r="AG14" s="295">
        <f>IF(AP14="0",BI14,0)</f>
        <v>0</v>
      </c>
      <c r="AH14" s="296"/>
      <c r="AI14" s="294">
        <f>IF(AM14=0,J14,0)</f>
        <v>0</v>
      </c>
      <c r="AJ14" s="294">
        <f>IF(AM14=15,J14,0)</f>
        <v>0</v>
      </c>
      <c r="AK14" s="294">
        <f>IF(AM14=21,J14,0)</f>
        <v>0</v>
      </c>
      <c r="AM14" s="295">
        <v>21</v>
      </c>
      <c r="AN14" s="295">
        <f>G14*0.522464962901896</f>
        <v>0</v>
      </c>
      <c r="AO14" s="295">
        <f>G14*(1-0.522464962901896)</f>
        <v>0</v>
      </c>
      <c r="AP14" s="298" t="s">
        <v>77</v>
      </c>
      <c r="AU14" s="295">
        <f>AV14+AW14</f>
        <v>0</v>
      </c>
      <c r="AV14" s="295">
        <f>F14*AN14</f>
        <v>0</v>
      </c>
      <c r="AW14" s="295">
        <f>F14*AO14</f>
        <v>0</v>
      </c>
      <c r="AX14" s="297" t="s">
        <v>1927</v>
      </c>
      <c r="AY14" s="297" t="s">
        <v>1926</v>
      </c>
      <c r="AZ14" s="296" t="s">
        <v>1749</v>
      </c>
      <c r="BB14" s="295">
        <f>AV14+AW14</f>
        <v>0</v>
      </c>
      <c r="BC14" s="295">
        <f>G14/(100-BD14)*100</f>
        <v>0</v>
      </c>
      <c r="BD14" s="295">
        <v>0</v>
      </c>
      <c r="BE14" s="295">
        <f>L14</f>
        <v>1.1322</v>
      </c>
      <c r="BG14" s="294">
        <f>F14*AN14</f>
        <v>0</v>
      </c>
      <c r="BH14" s="294">
        <f>F14*AO14</f>
        <v>0</v>
      </c>
      <c r="BI14" s="294">
        <f>F14*G14</f>
        <v>0</v>
      </c>
    </row>
    <row r="15" spans="1:61" ht="12">
      <c r="A15" s="327" t="s">
        <v>102</v>
      </c>
      <c r="B15" s="327"/>
      <c r="C15" s="327" t="s">
        <v>1929</v>
      </c>
      <c r="D15" s="327" t="s">
        <v>1928</v>
      </c>
      <c r="E15" s="327" t="s">
        <v>201</v>
      </c>
      <c r="F15" s="328">
        <v>1</v>
      </c>
      <c r="G15" s="329">
        <v>0</v>
      </c>
      <c r="H15" s="328">
        <f>F15*AN15</f>
        <v>0</v>
      </c>
      <c r="I15" s="328">
        <f>F15*AO15</f>
        <v>0</v>
      </c>
      <c r="J15" s="328">
        <f>F15*G15</f>
        <v>0</v>
      </c>
      <c r="K15" s="328">
        <v>0</v>
      </c>
      <c r="L15" s="328">
        <f>F15*K15</f>
        <v>0</v>
      </c>
      <c r="Y15" s="295">
        <f>IF(AP15="5",BI15,0)</f>
        <v>0</v>
      </c>
      <c r="AA15" s="295">
        <f>IF(AP15="1",BG15,0)</f>
        <v>0</v>
      </c>
      <c r="AB15" s="295">
        <f>IF(AP15="1",BH15,0)</f>
        <v>0</v>
      </c>
      <c r="AC15" s="295">
        <f>IF(AP15="7",BG15,0)</f>
        <v>0</v>
      </c>
      <c r="AD15" s="295">
        <f>IF(AP15="7",BH15,0)</f>
        <v>0</v>
      </c>
      <c r="AE15" s="295">
        <f>IF(AP15="2",BG15,0)</f>
        <v>0</v>
      </c>
      <c r="AF15" s="295">
        <f>IF(AP15="2",BH15,0)</f>
        <v>0</v>
      </c>
      <c r="AG15" s="295">
        <f>IF(AP15="0",BI15,0)</f>
        <v>0</v>
      </c>
      <c r="AH15" s="296"/>
      <c r="AI15" s="294">
        <f>IF(AM15=0,J15,0)</f>
        <v>0</v>
      </c>
      <c r="AJ15" s="294">
        <f>IF(AM15=15,J15,0)</f>
        <v>0</v>
      </c>
      <c r="AK15" s="294">
        <f>IF(AM15=21,J15,0)</f>
        <v>0</v>
      </c>
      <c r="AM15" s="295">
        <v>21</v>
      </c>
      <c r="AN15" s="295">
        <f>G15*0</f>
        <v>0</v>
      </c>
      <c r="AO15" s="295">
        <f>G15*(1-0)</f>
        <v>0</v>
      </c>
      <c r="AP15" s="298" t="s">
        <v>77</v>
      </c>
      <c r="AU15" s="295">
        <f>AV15+AW15</f>
        <v>0</v>
      </c>
      <c r="AV15" s="295">
        <f>F15*AN15</f>
        <v>0</v>
      </c>
      <c r="AW15" s="295">
        <f>F15*AO15</f>
        <v>0</v>
      </c>
      <c r="AX15" s="297" t="s">
        <v>1927</v>
      </c>
      <c r="AY15" s="297" t="s">
        <v>1926</v>
      </c>
      <c r="AZ15" s="296" t="s">
        <v>1749</v>
      </c>
      <c r="BB15" s="295">
        <f>AV15+AW15</f>
        <v>0</v>
      </c>
      <c r="BC15" s="295">
        <f>G15/(100-BD15)*100</f>
        <v>0</v>
      </c>
      <c r="BD15" s="295">
        <v>0</v>
      </c>
      <c r="BE15" s="295">
        <f>L15</f>
        <v>0</v>
      </c>
      <c r="BG15" s="294">
        <f>F15*AN15</f>
        <v>0</v>
      </c>
      <c r="BH15" s="294">
        <f>F15*AO15</f>
        <v>0</v>
      </c>
      <c r="BI15" s="294">
        <f>F15*G15</f>
        <v>0</v>
      </c>
    </row>
    <row r="16" spans="1:46" ht="12">
      <c r="A16" s="330"/>
      <c r="B16" s="331"/>
      <c r="C16" s="331" t="s">
        <v>1435</v>
      </c>
      <c r="D16" s="331" t="s">
        <v>1925</v>
      </c>
      <c r="E16" s="330" t="s">
        <v>146</v>
      </c>
      <c r="F16" s="330" t="s">
        <v>146</v>
      </c>
      <c r="G16" s="332" t="s">
        <v>146</v>
      </c>
      <c r="H16" s="333">
        <f>SUM(H17:H35)</f>
        <v>0</v>
      </c>
      <c r="I16" s="333">
        <f>SUM(I17:I35)</f>
        <v>0</v>
      </c>
      <c r="J16" s="333">
        <f>SUM(J17:J35)</f>
        <v>0</v>
      </c>
      <c r="K16" s="334"/>
      <c r="L16" s="333">
        <f>SUM(L17:L35)</f>
        <v>0.40224</v>
      </c>
      <c r="AH16" s="296"/>
      <c r="AR16" s="301">
        <f>SUM(AI17:AI35)</f>
        <v>0</v>
      </c>
      <c r="AS16" s="301">
        <f>SUM(AJ17:AJ35)</f>
        <v>0</v>
      </c>
      <c r="AT16" s="301">
        <f>SUM(AK17:AK35)</f>
        <v>0</v>
      </c>
    </row>
    <row r="17" spans="1:61" ht="12">
      <c r="A17" s="327" t="s">
        <v>203</v>
      </c>
      <c r="B17" s="327"/>
      <c r="C17" s="327" t="s">
        <v>1924</v>
      </c>
      <c r="D17" s="327" t="s">
        <v>1923</v>
      </c>
      <c r="E17" s="327" t="s">
        <v>310</v>
      </c>
      <c r="F17" s="328">
        <v>50</v>
      </c>
      <c r="G17" s="329">
        <v>0</v>
      </c>
      <c r="H17" s="328">
        <f aca="true" t="shared" si="0" ref="H17:H35">F17*AN17</f>
        <v>0</v>
      </c>
      <c r="I17" s="328">
        <f aca="true" t="shared" si="1" ref="I17:I35">F17*AO17</f>
        <v>0</v>
      </c>
      <c r="J17" s="328">
        <f aca="true" t="shared" si="2" ref="J17:J35">F17*G17</f>
        <v>0</v>
      </c>
      <c r="K17" s="328">
        <v>0.0021</v>
      </c>
      <c r="L17" s="328">
        <f aca="true" t="shared" si="3" ref="L17:L35">F17*K17</f>
        <v>0.105</v>
      </c>
      <c r="Y17" s="295">
        <f aca="true" t="shared" si="4" ref="Y17:Y35">IF(AP17="5",BI17,0)</f>
        <v>0</v>
      </c>
      <c r="AA17" s="295">
        <f aca="true" t="shared" si="5" ref="AA17:AA35">IF(AP17="1",BG17,0)</f>
        <v>0</v>
      </c>
      <c r="AB17" s="295">
        <f aca="true" t="shared" si="6" ref="AB17:AB35">IF(AP17="1",BH17,0)</f>
        <v>0</v>
      </c>
      <c r="AC17" s="295">
        <f aca="true" t="shared" si="7" ref="AC17:AC35">IF(AP17="7",BG17,0)</f>
        <v>0</v>
      </c>
      <c r="AD17" s="295">
        <f aca="true" t="shared" si="8" ref="AD17:AD35">IF(AP17="7",BH17,0)</f>
        <v>0</v>
      </c>
      <c r="AE17" s="295">
        <f aca="true" t="shared" si="9" ref="AE17:AE35">IF(AP17="2",BG17,0)</f>
        <v>0</v>
      </c>
      <c r="AF17" s="295">
        <f aca="true" t="shared" si="10" ref="AF17:AF35">IF(AP17="2",BH17,0)</f>
        <v>0</v>
      </c>
      <c r="AG17" s="295">
        <f aca="true" t="shared" si="11" ref="AG17:AG35">IF(AP17="0",BI17,0)</f>
        <v>0</v>
      </c>
      <c r="AH17" s="296"/>
      <c r="AI17" s="294">
        <f aca="true" t="shared" si="12" ref="AI17:AI35">IF(AM17=0,J17,0)</f>
        <v>0</v>
      </c>
      <c r="AJ17" s="294">
        <f aca="true" t="shared" si="13" ref="AJ17:AJ35">IF(AM17=15,J17,0)</f>
        <v>0</v>
      </c>
      <c r="AK17" s="294">
        <f aca="true" t="shared" si="14" ref="AK17:AK35">IF(AM17=21,J17,0)</f>
        <v>0</v>
      </c>
      <c r="AM17" s="295">
        <v>21</v>
      </c>
      <c r="AN17" s="295">
        <f>G17*0</f>
        <v>0</v>
      </c>
      <c r="AO17" s="295">
        <f>G17*(1-0)</f>
        <v>0</v>
      </c>
      <c r="AP17" s="298" t="s">
        <v>225</v>
      </c>
      <c r="AU17" s="295">
        <f aca="true" t="shared" si="15" ref="AU17:AU35">AV17+AW17</f>
        <v>0</v>
      </c>
      <c r="AV17" s="295">
        <f aca="true" t="shared" si="16" ref="AV17:AV35">F17*AN17</f>
        <v>0</v>
      </c>
      <c r="AW17" s="295">
        <f aca="true" t="shared" si="17" ref="AW17:AW35">F17*AO17</f>
        <v>0</v>
      </c>
      <c r="AX17" s="297" t="s">
        <v>1886</v>
      </c>
      <c r="AY17" s="297" t="s">
        <v>1755</v>
      </c>
      <c r="AZ17" s="296" t="s">
        <v>1749</v>
      </c>
      <c r="BB17" s="295">
        <f aca="true" t="shared" si="18" ref="BB17:BB35">AV17+AW17</f>
        <v>0</v>
      </c>
      <c r="BC17" s="295">
        <f aca="true" t="shared" si="19" ref="BC17:BC35">G17/(100-BD17)*100</f>
        <v>0</v>
      </c>
      <c r="BD17" s="295">
        <v>0</v>
      </c>
      <c r="BE17" s="295">
        <f aca="true" t="shared" si="20" ref="BE17:BE35">L17</f>
        <v>0.105</v>
      </c>
      <c r="BG17" s="294">
        <f aca="true" t="shared" si="21" ref="BG17:BG35">F17*AN17</f>
        <v>0</v>
      </c>
      <c r="BH17" s="294">
        <f aca="true" t="shared" si="22" ref="BH17:BH35">F17*AO17</f>
        <v>0</v>
      </c>
      <c r="BI17" s="294">
        <f aca="true" t="shared" si="23" ref="BI17:BI35">F17*G17</f>
        <v>0</v>
      </c>
    </row>
    <row r="18" spans="1:61" ht="12">
      <c r="A18" s="327" t="s">
        <v>217</v>
      </c>
      <c r="B18" s="327"/>
      <c r="C18" s="327" t="s">
        <v>1922</v>
      </c>
      <c r="D18" s="327" t="s">
        <v>1921</v>
      </c>
      <c r="E18" s="327" t="s">
        <v>258</v>
      </c>
      <c r="F18" s="328">
        <v>2</v>
      </c>
      <c r="G18" s="329">
        <v>0</v>
      </c>
      <c r="H18" s="328">
        <f t="shared" si="0"/>
        <v>0</v>
      </c>
      <c r="I18" s="328">
        <f t="shared" si="1"/>
        <v>0</v>
      </c>
      <c r="J18" s="328">
        <f t="shared" si="2"/>
        <v>0</v>
      </c>
      <c r="K18" s="328">
        <v>0.02961</v>
      </c>
      <c r="L18" s="328">
        <f t="shared" si="3"/>
        <v>0.05922</v>
      </c>
      <c r="Y18" s="295">
        <f t="shared" si="4"/>
        <v>0</v>
      </c>
      <c r="AA18" s="295">
        <f t="shared" si="5"/>
        <v>0</v>
      </c>
      <c r="AB18" s="295">
        <f t="shared" si="6"/>
        <v>0</v>
      </c>
      <c r="AC18" s="295">
        <f t="shared" si="7"/>
        <v>0</v>
      </c>
      <c r="AD18" s="295">
        <f t="shared" si="8"/>
        <v>0</v>
      </c>
      <c r="AE18" s="295">
        <f t="shared" si="9"/>
        <v>0</v>
      </c>
      <c r="AF18" s="295">
        <f t="shared" si="10"/>
        <v>0</v>
      </c>
      <c r="AG18" s="295">
        <f t="shared" si="11"/>
        <v>0</v>
      </c>
      <c r="AH18" s="296"/>
      <c r="AI18" s="294">
        <f t="shared" si="12"/>
        <v>0</v>
      </c>
      <c r="AJ18" s="294">
        <f t="shared" si="13"/>
        <v>0</v>
      </c>
      <c r="AK18" s="294">
        <f t="shared" si="14"/>
        <v>0</v>
      </c>
      <c r="AM18" s="295">
        <v>21</v>
      </c>
      <c r="AN18" s="295">
        <f>G18*0</f>
        <v>0</v>
      </c>
      <c r="AO18" s="295">
        <f>G18*(1-0)</f>
        <v>0</v>
      </c>
      <c r="AP18" s="298" t="s">
        <v>225</v>
      </c>
      <c r="AU18" s="295">
        <f t="shared" si="15"/>
        <v>0</v>
      </c>
      <c r="AV18" s="295">
        <f t="shared" si="16"/>
        <v>0</v>
      </c>
      <c r="AW18" s="295">
        <f t="shared" si="17"/>
        <v>0</v>
      </c>
      <c r="AX18" s="297" t="s">
        <v>1886</v>
      </c>
      <c r="AY18" s="297" t="s">
        <v>1755</v>
      </c>
      <c r="AZ18" s="296" t="s">
        <v>1749</v>
      </c>
      <c r="BB18" s="295">
        <f t="shared" si="18"/>
        <v>0</v>
      </c>
      <c r="BC18" s="295">
        <f t="shared" si="19"/>
        <v>0</v>
      </c>
      <c r="BD18" s="295">
        <v>0</v>
      </c>
      <c r="BE18" s="295">
        <f t="shared" si="20"/>
        <v>0.05922</v>
      </c>
      <c r="BG18" s="294">
        <f t="shared" si="21"/>
        <v>0</v>
      </c>
      <c r="BH18" s="294">
        <f t="shared" si="22"/>
        <v>0</v>
      </c>
      <c r="BI18" s="294">
        <f t="shared" si="23"/>
        <v>0</v>
      </c>
    </row>
    <row r="19" spans="1:61" ht="12">
      <c r="A19" s="327" t="s">
        <v>221</v>
      </c>
      <c r="B19" s="327"/>
      <c r="C19" s="327" t="s">
        <v>1920</v>
      </c>
      <c r="D19" s="327" t="s">
        <v>1919</v>
      </c>
      <c r="E19" s="327" t="s">
        <v>258</v>
      </c>
      <c r="F19" s="328">
        <v>1</v>
      </c>
      <c r="G19" s="329">
        <v>0</v>
      </c>
      <c r="H19" s="328">
        <f t="shared" si="0"/>
        <v>0</v>
      </c>
      <c r="I19" s="328">
        <f t="shared" si="1"/>
        <v>0</v>
      </c>
      <c r="J19" s="328">
        <f t="shared" si="2"/>
        <v>0</v>
      </c>
      <c r="K19" s="328">
        <v>0.0921</v>
      </c>
      <c r="L19" s="328">
        <f t="shared" si="3"/>
        <v>0.0921</v>
      </c>
      <c r="Y19" s="295">
        <f t="shared" si="4"/>
        <v>0</v>
      </c>
      <c r="AA19" s="295">
        <f t="shared" si="5"/>
        <v>0</v>
      </c>
      <c r="AB19" s="295">
        <f t="shared" si="6"/>
        <v>0</v>
      </c>
      <c r="AC19" s="295">
        <f t="shared" si="7"/>
        <v>0</v>
      </c>
      <c r="AD19" s="295">
        <f t="shared" si="8"/>
        <v>0</v>
      </c>
      <c r="AE19" s="295">
        <f t="shared" si="9"/>
        <v>0</v>
      </c>
      <c r="AF19" s="295">
        <f t="shared" si="10"/>
        <v>0</v>
      </c>
      <c r="AG19" s="295">
        <f t="shared" si="11"/>
        <v>0</v>
      </c>
      <c r="AH19" s="296"/>
      <c r="AI19" s="294">
        <f t="shared" si="12"/>
        <v>0</v>
      </c>
      <c r="AJ19" s="294">
        <f t="shared" si="13"/>
        <v>0</v>
      </c>
      <c r="AK19" s="294">
        <f t="shared" si="14"/>
        <v>0</v>
      </c>
      <c r="AM19" s="295">
        <v>21</v>
      </c>
      <c r="AN19" s="295">
        <f>G19*0.603845728413368</f>
        <v>0</v>
      </c>
      <c r="AO19" s="295">
        <f>G19*(1-0.603845728413368)</f>
        <v>0</v>
      </c>
      <c r="AP19" s="298" t="s">
        <v>225</v>
      </c>
      <c r="AU19" s="295">
        <f t="shared" si="15"/>
        <v>0</v>
      </c>
      <c r="AV19" s="295">
        <f t="shared" si="16"/>
        <v>0</v>
      </c>
      <c r="AW19" s="295">
        <f t="shared" si="17"/>
        <v>0</v>
      </c>
      <c r="AX19" s="297" t="s">
        <v>1886</v>
      </c>
      <c r="AY19" s="297" t="s">
        <v>1755</v>
      </c>
      <c r="AZ19" s="296" t="s">
        <v>1749</v>
      </c>
      <c r="BB19" s="295">
        <f t="shared" si="18"/>
        <v>0</v>
      </c>
      <c r="BC19" s="295">
        <f t="shared" si="19"/>
        <v>0</v>
      </c>
      <c r="BD19" s="295">
        <v>0</v>
      </c>
      <c r="BE19" s="295">
        <f t="shared" si="20"/>
        <v>0.0921</v>
      </c>
      <c r="BG19" s="294">
        <f t="shared" si="21"/>
        <v>0</v>
      </c>
      <c r="BH19" s="294">
        <f t="shared" si="22"/>
        <v>0</v>
      </c>
      <c r="BI19" s="294">
        <f t="shared" si="23"/>
        <v>0</v>
      </c>
    </row>
    <row r="20" spans="1:61" ht="12">
      <c r="A20" s="327" t="s">
        <v>225</v>
      </c>
      <c r="B20" s="327"/>
      <c r="C20" s="327" t="s">
        <v>1918</v>
      </c>
      <c r="D20" s="327" t="s">
        <v>1917</v>
      </c>
      <c r="E20" s="327" t="s">
        <v>258</v>
      </c>
      <c r="F20" s="328">
        <v>9</v>
      </c>
      <c r="G20" s="329">
        <v>0</v>
      </c>
      <c r="H20" s="328">
        <f t="shared" si="0"/>
        <v>0</v>
      </c>
      <c r="I20" s="328">
        <f t="shared" si="1"/>
        <v>0</v>
      </c>
      <c r="J20" s="328">
        <f t="shared" si="2"/>
        <v>0</v>
      </c>
      <c r="K20" s="328">
        <v>0.00038</v>
      </c>
      <c r="L20" s="328">
        <f t="shared" si="3"/>
        <v>0.0034200000000000003</v>
      </c>
      <c r="Y20" s="295">
        <f t="shared" si="4"/>
        <v>0</v>
      </c>
      <c r="AA20" s="295">
        <f t="shared" si="5"/>
        <v>0</v>
      </c>
      <c r="AB20" s="295">
        <f t="shared" si="6"/>
        <v>0</v>
      </c>
      <c r="AC20" s="295">
        <f t="shared" si="7"/>
        <v>0</v>
      </c>
      <c r="AD20" s="295">
        <f t="shared" si="8"/>
        <v>0</v>
      </c>
      <c r="AE20" s="295">
        <f t="shared" si="9"/>
        <v>0</v>
      </c>
      <c r="AF20" s="295">
        <f t="shared" si="10"/>
        <v>0</v>
      </c>
      <c r="AG20" s="295">
        <f t="shared" si="11"/>
        <v>0</v>
      </c>
      <c r="AH20" s="296"/>
      <c r="AI20" s="294">
        <f t="shared" si="12"/>
        <v>0</v>
      </c>
      <c r="AJ20" s="294">
        <f t="shared" si="13"/>
        <v>0</v>
      </c>
      <c r="AK20" s="294">
        <f t="shared" si="14"/>
        <v>0</v>
      </c>
      <c r="AM20" s="295">
        <v>21</v>
      </c>
      <c r="AN20" s="295">
        <f>G20*0.793080895008606</f>
        <v>0</v>
      </c>
      <c r="AO20" s="295">
        <f>G20*(1-0.793080895008606)</f>
        <v>0</v>
      </c>
      <c r="AP20" s="298" t="s">
        <v>225</v>
      </c>
      <c r="AU20" s="295">
        <f t="shared" si="15"/>
        <v>0</v>
      </c>
      <c r="AV20" s="295">
        <f t="shared" si="16"/>
        <v>0</v>
      </c>
      <c r="AW20" s="295">
        <f t="shared" si="17"/>
        <v>0</v>
      </c>
      <c r="AX20" s="297" t="s">
        <v>1886</v>
      </c>
      <c r="AY20" s="297" t="s">
        <v>1755</v>
      </c>
      <c r="AZ20" s="296" t="s">
        <v>1749</v>
      </c>
      <c r="BB20" s="295">
        <f t="shared" si="18"/>
        <v>0</v>
      </c>
      <c r="BC20" s="295">
        <f t="shared" si="19"/>
        <v>0</v>
      </c>
      <c r="BD20" s="295">
        <v>0</v>
      </c>
      <c r="BE20" s="295">
        <f t="shared" si="20"/>
        <v>0.0034200000000000003</v>
      </c>
      <c r="BG20" s="294">
        <f t="shared" si="21"/>
        <v>0</v>
      </c>
      <c r="BH20" s="294">
        <f t="shared" si="22"/>
        <v>0</v>
      </c>
      <c r="BI20" s="294">
        <f t="shared" si="23"/>
        <v>0</v>
      </c>
    </row>
    <row r="21" spans="1:61" ht="12">
      <c r="A21" s="327" t="s">
        <v>230</v>
      </c>
      <c r="B21" s="327"/>
      <c r="C21" s="327" t="s">
        <v>1916</v>
      </c>
      <c r="D21" s="327" t="s">
        <v>1915</v>
      </c>
      <c r="E21" s="327" t="s">
        <v>310</v>
      </c>
      <c r="F21" s="328">
        <v>35</v>
      </c>
      <c r="G21" s="329">
        <v>0</v>
      </c>
      <c r="H21" s="328">
        <f t="shared" si="0"/>
        <v>0</v>
      </c>
      <c r="I21" s="328">
        <f t="shared" si="1"/>
        <v>0</v>
      </c>
      <c r="J21" s="328">
        <f t="shared" si="2"/>
        <v>0</v>
      </c>
      <c r="K21" s="328">
        <v>0.00034</v>
      </c>
      <c r="L21" s="328">
        <f t="shared" si="3"/>
        <v>0.0119</v>
      </c>
      <c r="Y21" s="295">
        <f t="shared" si="4"/>
        <v>0</v>
      </c>
      <c r="AA21" s="295">
        <f t="shared" si="5"/>
        <v>0</v>
      </c>
      <c r="AB21" s="295">
        <f t="shared" si="6"/>
        <v>0</v>
      </c>
      <c r="AC21" s="295">
        <f t="shared" si="7"/>
        <v>0</v>
      </c>
      <c r="AD21" s="295">
        <f t="shared" si="8"/>
        <v>0</v>
      </c>
      <c r="AE21" s="295">
        <f t="shared" si="9"/>
        <v>0</v>
      </c>
      <c r="AF21" s="295">
        <f t="shared" si="10"/>
        <v>0</v>
      </c>
      <c r="AG21" s="295">
        <f t="shared" si="11"/>
        <v>0</v>
      </c>
      <c r="AH21" s="296"/>
      <c r="AI21" s="294">
        <f t="shared" si="12"/>
        <v>0</v>
      </c>
      <c r="AJ21" s="294">
        <f t="shared" si="13"/>
        <v>0</v>
      </c>
      <c r="AK21" s="294">
        <f t="shared" si="14"/>
        <v>0</v>
      </c>
      <c r="AM21" s="295">
        <v>21</v>
      </c>
      <c r="AN21" s="295">
        <f>G21*0.39220618556701</f>
        <v>0</v>
      </c>
      <c r="AO21" s="295">
        <f>G21*(1-0.39220618556701)</f>
        <v>0</v>
      </c>
      <c r="AP21" s="298" t="s">
        <v>225</v>
      </c>
      <c r="AU21" s="295">
        <f t="shared" si="15"/>
        <v>0</v>
      </c>
      <c r="AV21" s="295">
        <f t="shared" si="16"/>
        <v>0</v>
      </c>
      <c r="AW21" s="295">
        <f t="shared" si="17"/>
        <v>0</v>
      </c>
      <c r="AX21" s="297" t="s">
        <v>1886</v>
      </c>
      <c r="AY21" s="297" t="s">
        <v>1755</v>
      </c>
      <c r="AZ21" s="296" t="s">
        <v>1749</v>
      </c>
      <c r="BB21" s="295">
        <f t="shared" si="18"/>
        <v>0</v>
      </c>
      <c r="BC21" s="295">
        <f t="shared" si="19"/>
        <v>0</v>
      </c>
      <c r="BD21" s="295">
        <v>0</v>
      </c>
      <c r="BE21" s="295">
        <f t="shared" si="20"/>
        <v>0.0119</v>
      </c>
      <c r="BG21" s="294">
        <f t="shared" si="21"/>
        <v>0</v>
      </c>
      <c r="BH21" s="294">
        <f t="shared" si="22"/>
        <v>0</v>
      </c>
      <c r="BI21" s="294">
        <f t="shared" si="23"/>
        <v>0</v>
      </c>
    </row>
    <row r="22" spans="1:61" ht="12">
      <c r="A22" s="327" t="s">
        <v>234</v>
      </c>
      <c r="B22" s="327"/>
      <c r="C22" s="327" t="s">
        <v>1914</v>
      </c>
      <c r="D22" s="327" t="s">
        <v>1913</v>
      </c>
      <c r="E22" s="327" t="s">
        <v>310</v>
      </c>
      <c r="F22" s="328">
        <v>15</v>
      </c>
      <c r="G22" s="329">
        <v>0</v>
      </c>
      <c r="H22" s="328">
        <f t="shared" si="0"/>
        <v>0</v>
      </c>
      <c r="I22" s="328">
        <f t="shared" si="1"/>
        <v>0</v>
      </c>
      <c r="J22" s="328">
        <f t="shared" si="2"/>
        <v>0</v>
      </c>
      <c r="K22" s="328">
        <v>0.00038</v>
      </c>
      <c r="L22" s="328">
        <f t="shared" si="3"/>
        <v>0.0057</v>
      </c>
      <c r="Y22" s="295">
        <f t="shared" si="4"/>
        <v>0</v>
      </c>
      <c r="AA22" s="295">
        <f t="shared" si="5"/>
        <v>0</v>
      </c>
      <c r="AB22" s="295">
        <f t="shared" si="6"/>
        <v>0</v>
      </c>
      <c r="AC22" s="295">
        <f t="shared" si="7"/>
        <v>0</v>
      </c>
      <c r="AD22" s="295">
        <f t="shared" si="8"/>
        <v>0</v>
      </c>
      <c r="AE22" s="295">
        <f t="shared" si="9"/>
        <v>0</v>
      </c>
      <c r="AF22" s="295">
        <f t="shared" si="10"/>
        <v>0</v>
      </c>
      <c r="AG22" s="295">
        <f t="shared" si="11"/>
        <v>0</v>
      </c>
      <c r="AH22" s="296"/>
      <c r="AI22" s="294">
        <f t="shared" si="12"/>
        <v>0</v>
      </c>
      <c r="AJ22" s="294">
        <f t="shared" si="13"/>
        <v>0</v>
      </c>
      <c r="AK22" s="294">
        <f t="shared" si="14"/>
        <v>0</v>
      </c>
      <c r="AM22" s="295">
        <v>21</v>
      </c>
      <c r="AN22" s="295">
        <f>G22*0.339058295964126</f>
        <v>0</v>
      </c>
      <c r="AO22" s="295">
        <f>G22*(1-0.339058295964126)</f>
        <v>0</v>
      </c>
      <c r="AP22" s="298" t="s">
        <v>225</v>
      </c>
      <c r="AU22" s="295">
        <f t="shared" si="15"/>
        <v>0</v>
      </c>
      <c r="AV22" s="295">
        <f t="shared" si="16"/>
        <v>0</v>
      </c>
      <c r="AW22" s="295">
        <f t="shared" si="17"/>
        <v>0</v>
      </c>
      <c r="AX22" s="297" t="s">
        <v>1886</v>
      </c>
      <c r="AY22" s="297" t="s">
        <v>1755</v>
      </c>
      <c r="AZ22" s="296" t="s">
        <v>1749</v>
      </c>
      <c r="BB22" s="295">
        <f t="shared" si="18"/>
        <v>0</v>
      </c>
      <c r="BC22" s="295">
        <f t="shared" si="19"/>
        <v>0</v>
      </c>
      <c r="BD22" s="295">
        <v>0</v>
      </c>
      <c r="BE22" s="295">
        <f t="shared" si="20"/>
        <v>0.0057</v>
      </c>
      <c r="BG22" s="294">
        <f t="shared" si="21"/>
        <v>0</v>
      </c>
      <c r="BH22" s="294">
        <f t="shared" si="22"/>
        <v>0</v>
      </c>
      <c r="BI22" s="294">
        <f t="shared" si="23"/>
        <v>0</v>
      </c>
    </row>
    <row r="23" spans="1:61" ht="12">
      <c r="A23" s="327" t="s">
        <v>239</v>
      </c>
      <c r="B23" s="327"/>
      <c r="C23" s="327" t="s">
        <v>1912</v>
      </c>
      <c r="D23" s="327" t="s">
        <v>1911</v>
      </c>
      <c r="E23" s="327" t="s">
        <v>310</v>
      </c>
      <c r="F23" s="328">
        <v>40</v>
      </c>
      <c r="G23" s="329">
        <v>0</v>
      </c>
      <c r="H23" s="328">
        <f t="shared" si="0"/>
        <v>0</v>
      </c>
      <c r="I23" s="328">
        <f t="shared" si="1"/>
        <v>0</v>
      </c>
      <c r="J23" s="328">
        <f t="shared" si="2"/>
        <v>0</v>
      </c>
      <c r="K23" s="328">
        <v>0.00047</v>
      </c>
      <c r="L23" s="328">
        <f t="shared" si="3"/>
        <v>0.0188</v>
      </c>
      <c r="Y23" s="295">
        <f t="shared" si="4"/>
        <v>0</v>
      </c>
      <c r="AA23" s="295">
        <f t="shared" si="5"/>
        <v>0</v>
      </c>
      <c r="AB23" s="295">
        <f t="shared" si="6"/>
        <v>0</v>
      </c>
      <c r="AC23" s="295">
        <f t="shared" si="7"/>
        <v>0</v>
      </c>
      <c r="AD23" s="295">
        <f t="shared" si="8"/>
        <v>0</v>
      </c>
      <c r="AE23" s="295">
        <f t="shared" si="9"/>
        <v>0</v>
      </c>
      <c r="AF23" s="295">
        <f t="shared" si="10"/>
        <v>0</v>
      </c>
      <c r="AG23" s="295">
        <f t="shared" si="11"/>
        <v>0</v>
      </c>
      <c r="AH23" s="296"/>
      <c r="AI23" s="294">
        <f t="shared" si="12"/>
        <v>0</v>
      </c>
      <c r="AJ23" s="294">
        <f t="shared" si="13"/>
        <v>0</v>
      </c>
      <c r="AK23" s="294">
        <f t="shared" si="14"/>
        <v>0</v>
      </c>
      <c r="AM23" s="295">
        <v>21</v>
      </c>
      <c r="AN23" s="295">
        <f>G23*0.323721881390593</f>
        <v>0</v>
      </c>
      <c r="AO23" s="295">
        <f>G23*(1-0.323721881390593)</f>
        <v>0</v>
      </c>
      <c r="AP23" s="298" t="s">
        <v>225</v>
      </c>
      <c r="AU23" s="295">
        <f t="shared" si="15"/>
        <v>0</v>
      </c>
      <c r="AV23" s="295">
        <f t="shared" si="16"/>
        <v>0</v>
      </c>
      <c r="AW23" s="295">
        <f t="shared" si="17"/>
        <v>0</v>
      </c>
      <c r="AX23" s="297" t="s">
        <v>1886</v>
      </c>
      <c r="AY23" s="297" t="s">
        <v>1755</v>
      </c>
      <c r="AZ23" s="296" t="s">
        <v>1749</v>
      </c>
      <c r="BB23" s="295">
        <f t="shared" si="18"/>
        <v>0</v>
      </c>
      <c r="BC23" s="295">
        <f t="shared" si="19"/>
        <v>0</v>
      </c>
      <c r="BD23" s="295">
        <v>0</v>
      </c>
      <c r="BE23" s="295">
        <f t="shared" si="20"/>
        <v>0.0188</v>
      </c>
      <c r="BG23" s="294">
        <f t="shared" si="21"/>
        <v>0</v>
      </c>
      <c r="BH23" s="294">
        <f t="shared" si="22"/>
        <v>0</v>
      </c>
      <c r="BI23" s="294">
        <f t="shared" si="23"/>
        <v>0</v>
      </c>
    </row>
    <row r="24" spans="1:61" ht="12">
      <c r="A24" s="327" t="s">
        <v>245</v>
      </c>
      <c r="B24" s="327"/>
      <c r="C24" s="327" t="s">
        <v>1910</v>
      </c>
      <c r="D24" s="327" t="s">
        <v>1909</v>
      </c>
      <c r="E24" s="327" t="s">
        <v>310</v>
      </c>
      <c r="F24" s="328">
        <v>3</v>
      </c>
      <c r="G24" s="329">
        <v>0</v>
      </c>
      <c r="H24" s="328">
        <f t="shared" si="0"/>
        <v>0</v>
      </c>
      <c r="I24" s="328">
        <f t="shared" si="1"/>
        <v>0</v>
      </c>
      <c r="J24" s="328">
        <f t="shared" si="2"/>
        <v>0</v>
      </c>
      <c r="K24" s="328">
        <v>0.00152</v>
      </c>
      <c r="L24" s="328">
        <f t="shared" si="3"/>
        <v>0.00456</v>
      </c>
      <c r="Y24" s="295">
        <f t="shared" si="4"/>
        <v>0</v>
      </c>
      <c r="AA24" s="295">
        <f t="shared" si="5"/>
        <v>0</v>
      </c>
      <c r="AB24" s="295">
        <f t="shared" si="6"/>
        <v>0</v>
      </c>
      <c r="AC24" s="295">
        <f t="shared" si="7"/>
        <v>0</v>
      </c>
      <c r="AD24" s="295">
        <f t="shared" si="8"/>
        <v>0</v>
      </c>
      <c r="AE24" s="295">
        <f t="shared" si="9"/>
        <v>0</v>
      </c>
      <c r="AF24" s="295">
        <f t="shared" si="10"/>
        <v>0</v>
      </c>
      <c r="AG24" s="295">
        <f t="shared" si="11"/>
        <v>0</v>
      </c>
      <c r="AH24" s="296"/>
      <c r="AI24" s="294">
        <f t="shared" si="12"/>
        <v>0</v>
      </c>
      <c r="AJ24" s="294">
        <f t="shared" si="13"/>
        <v>0</v>
      </c>
      <c r="AK24" s="294">
        <f t="shared" si="14"/>
        <v>0</v>
      </c>
      <c r="AM24" s="295">
        <v>21</v>
      </c>
      <c r="AN24" s="295">
        <f>G24*0.307580025608195</f>
        <v>0</v>
      </c>
      <c r="AO24" s="295">
        <f>G24*(1-0.307580025608195)</f>
        <v>0</v>
      </c>
      <c r="AP24" s="298" t="s">
        <v>225</v>
      </c>
      <c r="AU24" s="295">
        <f t="shared" si="15"/>
        <v>0</v>
      </c>
      <c r="AV24" s="295">
        <f t="shared" si="16"/>
        <v>0</v>
      </c>
      <c r="AW24" s="295">
        <f t="shared" si="17"/>
        <v>0</v>
      </c>
      <c r="AX24" s="297" t="s">
        <v>1886</v>
      </c>
      <c r="AY24" s="297" t="s">
        <v>1755</v>
      </c>
      <c r="AZ24" s="296" t="s">
        <v>1749</v>
      </c>
      <c r="BB24" s="295">
        <f t="shared" si="18"/>
        <v>0</v>
      </c>
      <c r="BC24" s="295">
        <f t="shared" si="19"/>
        <v>0</v>
      </c>
      <c r="BD24" s="295">
        <v>0</v>
      </c>
      <c r="BE24" s="295">
        <f t="shared" si="20"/>
        <v>0.00456</v>
      </c>
      <c r="BG24" s="294">
        <f t="shared" si="21"/>
        <v>0</v>
      </c>
      <c r="BH24" s="294">
        <f t="shared" si="22"/>
        <v>0</v>
      </c>
      <c r="BI24" s="294">
        <f t="shared" si="23"/>
        <v>0</v>
      </c>
    </row>
    <row r="25" spans="1:61" ht="12">
      <c r="A25" s="327" t="s">
        <v>250</v>
      </c>
      <c r="B25" s="327"/>
      <c r="C25" s="327" t="s">
        <v>1908</v>
      </c>
      <c r="D25" s="327" t="s">
        <v>1907</v>
      </c>
      <c r="E25" s="327" t="s">
        <v>310</v>
      </c>
      <c r="F25" s="328">
        <v>30</v>
      </c>
      <c r="G25" s="329">
        <v>0</v>
      </c>
      <c r="H25" s="328">
        <f t="shared" si="0"/>
        <v>0</v>
      </c>
      <c r="I25" s="328">
        <f t="shared" si="1"/>
        <v>0</v>
      </c>
      <c r="J25" s="328">
        <f t="shared" si="2"/>
        <v>0</v>
      </c>
      <c r="K25" s="328">
        <v>0.00144</v>
      </c>
      <c r="L25" s="328">
        <f t="shared" si="3"/>
        <v>0.0432</v>
      </c>
      <c r="Y25" s="295">
        <f t="shared" si="4"/>
        <v>0</v>
      </c>
      <c r="AA25" s="295">
        <f t="shared" si="5"/>
        <v>0</v>
      </c>
      <c r="AB25" s="295">
        <f t="shared" si="6"/>
        <v>0</v>
      </c>
      <c r="AC25" s="295">
        <f t="shared" si="7"/>
        <v>0</v>
      </c>
      <c r="AD25" s="295">
        <f t="shared" si="8"/>
        <v>0</v>
      </c>
      <c r="AE25" s="295">
        <f t="shared" si="9"/>
        <v>0</v>
      </c>
      <c r="AF25" s="295">
        <f t="shared" si="10"/>
        <v>0</v>
      </c>
      <c r="AG25" s="295">
        <f t="shared" si="11"/>
        <v>0</v>
      </c>
      <c r="AH25" s="296"/>
      <c r="AI25" s="294">
        <f t="shared" si="12"/>
        <v>0</v>
      </c>
      <c r="AJ25" s="294">
        <f t="shared" si="13"/>
        <v>0</v>
      </c>
      <c r="AK25" s="294">
        <f t="shared" si="14"/>
        <v>0</v>
      </c>
      <c r="AM25" s="295">
        <v>21</v>
      </c>
      <c r="AN25" s="295">
        <f>G25*0.407588424437299</f>
        <v>0</v>
      </c>
      <c r="AO25" s="295">
        <f>G25*(1-0.407588424437299)</f>
        <v>0</v>
      </c>
      <c r="AP25" s="298" t="s">
        <v>225</v>
      </c>
      <c r="AU25" s="295">
        <f t="shared" si="15"/>
        <v>0</v>
      </c>
      <c r="AV25" s="295">
        <f t="shared" si="16"/>
        <v>0</v>
      </c>
      <c r="AW25" s="295">
        <f t="shared" si="17"/>
        <v>0</v>
      </c>
      <c r="AX25" s="297" t="s">
        <v>1886</v>
      </c>
      <c r="AY25" s="297" t="s">
        <v>1755</v>
      </c>
      <c r="AZ25" s="296" t="s">
        <v>1749</v>
      </c>
      <c r="BB25" s="295">
        <f t="shared" si="18"/>
        <v>0</v>
      </c>
      <c r="BC25" s="295">
        <f t="shared" si="19"/>
        <v>0</v>
      </c>
      <c r="BD25" s="295">
        <v>0</v>
      </c>
      <c r="BE25" s="295">
        <f t="shared" si="20"/>
        <v>0.0432</v>
      </c>
      <c r="BG25" s="294">
        <f t="shared" si="21"/>
        <v>0</v>
      </c>
      <c r="BH25" s="294">
        <f t="shared" si="22"/>
        <v>0</v>
      </c>
      <c r="BI25" s="294">
        <f t="shared" si="23"/>
        <v>0</v>
      </c>
    </row>
    <row r="26" spans="1:61" ht="12">
      <c r="A26" s="327" t="s">
        <v>255</v>
      </c>
      <c r="B26" s="327"/>
      <c r="C26" s="327" t="s">
        <v>1906</v>
      </c>
      <c r="D26" s="327" t="s">
        <v>1905</v>
      </c>
      <c r="E26" s="327" t="s">
        <v>310</v>
      </c>
      <c r="F26" s="328">
        <v>8</v>
      </c>
      <c r="G26" s="329">
        <v>0</v>
      </c>
      <c r="H26" s="328">
        <f t="shared" si="0"/>
        <v>0</v>
      </c>
      <c r="I26" s="328">
        <f t="shared" si="1"/>
        <v>0</v>
      </c>
      <c r="J26" s="328">
        <f t="shared" si="2"/>
        <v>0</v>
      </c>
      <c r="K26" s="328">
        <v>0.00188</v>
      </c>
      <c r="L26" s="328">
        <f t="shared" si="3"/>
        <v>0.01504</v>
      </c>
      <c r="Y26" s="295">
        <f t="shared" si="4"/>
        <v>0</v>
      </c>
      <c r="AA26" s="295">
        <f t="shared" si="5"/>
        <v>0</v>
      </c>
      <c r="AB26" s="295">
        <f t="shared" si="6"/>
        <v>0</v>
      </c>
      <c r="AC26" s="295">
        <f t="shared" si="7"/>
        <v>0</v>
      </c>
      <c r="AD26" s="295">
        <f t="shared" si="8"/>
        <v>0</v>
      </c>
      <c r="AE26" s="295">
        <f t="shared" si="9"/>
        <v>0</v>
      </c>
      <c r="AF26" s="295">
        <f t="shared" si="10"/>
        <v>0</v>
      </c>
      <c r="AG26" s="295">
        <f t="shared" si="11"/>
        <v>0</v>
      </c>
      <c r="AH26" s="296"/>
      <c r="AI26" s="294">
        <f t="shared" si="12"/>
        <v>0</v>
      </c>
      <c r="AJ26" s="294">
        <f t="shared" si="13"/>
        <v>0</v>
      </c>
      <c r="AK26" s="294">
        <f t="shared" si="14"/>
        <v>0</v>
      </c>
      <c r="AM26" s="295">
        <v>21</v>
      </c>
      <c r="AN26" s="295">
        <f>G26*0.665929283771532</f>
        <v>0</v>
      </c>
      <c r="AO26" s="295">
        <f>G26*(1-0.665929283771532)</f>
        <v>0</v>
      </c>
      <c r="AP26" s="298" t="s">
        <v>225</v>
      </c>
      <c r="AU26" s="295">
        <f t="shared" si="15"/>
        <v>0</v>
      </c>
      <c r="AV26" s="295">
        <f t="shared" si="16"/>
        <v>0</v>
      </c>
      <c r="AW26" s="295">
        <f t="shared" si="17"/>
        <v>0</v>
      </c>
      <c r="AX26" s="297" t="s">
        <v>1886</v>
      </c>
      <c r="AY26" s="297" t="s">
        <v>1755</v>
      </c>
      <c r="AZ26" s="296" t="s">
        <v>1749</v>
      </c>
      <c r="BB26" s="295">
        <f t="shared" si="18"/>
        <v>0</v>
      </c>
      <c r="BC26" s="295">
        <f t="shared" si="19"/>
        <v>0</v>
      </c>
      <c r="BD26" s="295">
        <v>0</v>
      </c>
      <c r="BE26" s="295">
        <f t="shared" si="20"/>
        <v>0.01504</v>
      </c>
      <c r="BG26" s="294">
        <f t="shared" si="21"/>
        <v>0</v>
      </c>
      <c r="BH26" s="294">
        <f t="shared" si="22"/>
        <v>0</v>
      </c>
      <c r="BI26" s="294">
        <f t="shared" si="23"/>
        <v>0</v>
      </c>
    </row>
    <row r="27" spans="1:61" ht="12">
      <c r="A27" s="327" t="s">
        <v>261</v>
      </c>
      <c r="B27" s="327"/>
      <c r="C27" s="327" t="s">
        <v>1904</v>
      </c>
      <c r="D27" s="327" t="s">
        <v>1903</v>
      </c>
      <c r="E27" s="327" t="s">
        <v>310</v>
      </c>
      <c r="F27" s="328">
        <v>15</v>
      </c>
      <c r="G27" s="329">
        <v>0</v>
      </c>
      <c r="H27" s="328">
        <f t="shared" si="0"/>
        <v>0</v>
      </c>
      <c r="I27" s="328">
        <f t="shared" si="1"/>
        <v>0</v>
      </c>
      <c r="J27" s="328">
        <f t="shared" si="2"/>
        <v>0</v>
      </c>
      <c r="K27" s="328">
        <v>0.00277</v>
      </c>
      <c r="L27" s="328">
        <f t="shared" si="3"/>
        <v>0.04155</v>
      </c>
      <c r="Y27" s="295">
        <f t="shared" si="4"/>
        <v>0</v>
      </c>
      <c r="AA27" s="295">
        <f t="shared" si="5"/>
        <v>0</v>
      </c>
      <c r="AB27" s="295">
        <f t="shared" si="6"/>
        <v>0</v>
      </c>
      <c r="AC27" s="295">
        <f t="shared" si="7"/>
        <v>0</v>
      </c>
      <c r="AD27" s="295">
        <f t="shared" si="8"/>
        <v>0</v>
      </c>
      <c r="AE27" s="295">
        <f t="shared" si="9"/>
        <v>0</v>
      </c>
      <c r="AF27" s="295">
        <f t="shared" si="10"/>
        <v>0</v>
      </c>
      <c r="AG27" s="295">
        <f t="shared" si="11"/>
        <v>0</v>
      </c>
      <c r="AH27" s="296"/>
      <c r="AI27" s="294">
        <f t="shared" si="12"/>
        <v>0</v>
      </c>
      <c r="AJ27" s="294">
        <f t="shared" si="13"/>
        <v>0</v>
      </c>
      <c r="AK27" s="294">
        <f t="shared" si="14"/>
        <v>0</v>
      </c>
      <c r="AM27" s="295">
        <v>21</v>
      </c>
      <c r="AN27" s="295">
        <f>G27*0.779713043478261</f>
        <v>0</v>
      </c>
      <c r="AO27" s="295">
        <f>G27*(1-0.779713043478261)</f>
        <v>0</v>
      </c>
      <c r="AP27" s="298" t="s">
        <v>225</v>
      </c>
      <c r="AU27" s="295">
        <f t="shared" si="15"/>
        <v>0</v>
      </c>
      <c r="AV27" s="295">
        <f t="shared" si="16"/>
        <v>0</v>
      </c>
      <c r="AW27" s="295">
        <f t="shared" si="17"/>
        <v>0</v>
      </c>
      <c r="AX27" s="297" t="s">
        <v>1886</v>
      </c>
      <c r="AY27" s="297" t="s">
        <v>1755</v>
      </c>
      <c r="AZ27" s="296" t="s">
        <v>1749</v>
      </c>
      <c r="BB27" s="295">
        <f t="shared" si="18"/>
        <v>0</v>
      </c>
      <c r="BC27" s="295">
        <f t="shared" si="19"/>
        <v>0</v>
      </c>
      <c r="BD27" s="295">
        <v>0</v>
      </c>
      <c r="BE27" s="295">
        <f t="shared" si="20"/>
        <v>0.04155</v>
      </c>
      <c r="BG27" s="294">
        <f t="shared" si="21"/>
        <v>0</v>
      </c>
      <c r="BH27" s="294">
        <f t="shared" si="22"/>
        <v>0</v>
      </c>
      <c r="BI27" s="294">
        <f t="shared" si="23"/>
        <v>0</v>
      </c>
    </row>
    <row r="28" spans="1:61" ht="12">
      <c r="A28" s="335" t="s">
        <v>8</v>
      </c>
      <c r="B28" s="335"/>
      <c r="C28" s="335" t="s">
        <v>1902</v>
      </c>
      <c r="D28" s="335" t="s">
        <v>1901</v>
      </c>
      <c r="E28" s="335" t="s">
        <v>258</v>
      </c>
      <c r="F28" s="336">
        <v>1</v>
      </c>
      <c r="G28" s="337">
        <v>0</v>
      </c>
      <c r="H28" s="336">
        <f t="shared" si="0"/>
        <v>0</v>
      </c>
      <c r="I28" s="336">
        <f t="shared" si="1"/>
        <v>0</v>
      </c>
      <c r="J28" s="336">
        <f t="shared" si="2"/>
        <v>0</v>
      </c>
      <c r="K28" s="336">
        <v>0.00063</v>
      </c>
      <c r="L28" s="336">
        <f t="shared" si="3"/>
        <v>0.00063</v>
      </c>
      <c r="Y28" s="295">
        <f t="shared" si="4"/>
        <v>0</v>
      </c>
      <c r="AA28" s="295">
        <f t="shared" si="5"/>
        <v>0</v>
      </c>
      <c r="AB28" s="295">
        <f t="shared" si="6"/>
        <v>0</v>
      </c>
      <c r="AC28" s="295">
        <f t="shared" si="7"/>
        <v>0</v>
      </c>
      <c r="AD28" s="295">
        <f t="shared" si="8"/>
        <v>0</v>
      </c>
      <c r="AE28" s="295">
        <f t="shared" si="9"/>
        <v>0</v>
      </c>
      <c r="AF28" s="295">
        <f t="shared" si="10"/>
        <v>0</v>
      </c>
      <c r="AG28" s="295">
        <f t="shared" si="11"/>
        <v>0</v>
      </c>
      <c r="AH28" s="296"/>
      <c r="AI28" s="305">
        <f t="shared" si="12"/>
        <v>0</v>
      </c>
      <c r="AJ28" s="305">
        <f t="shared" si="13"/>
        <v>0</v>
      </c>
      <c r="AK28" s="305">
        <f t="shared" si="14"/>
        <v>0</v>
      </c>
      <c r="AM28" s="295">
        <v>21</v>
      </c>
      <c r="AN28" s="295">
        <f>G28*1</f>
        <v>0</v>
      </c>
      <c r="AO28" s="295">
        <f>G28*(1-1)</f>
        <v>0</v>
      </c>
      <c r="AP28" s="306" t="s">
        <v>225</v>
      </c>
      <c r="AU28" s="295">
        <f t="shared" si="15"/>
        <v>0</v>
      </c>
      <c r="AV28" s="295">
        <f t="shared" si="16"/>
        <v>0</v>
      </c>
      <c r="AW28" s="295">
        <f t="shared" si="17"/>
        <v>0</v>
      </c>
      <c r="AX28" s="297" t="s">
        <v>1886</v>
      </c>
      <c r="AY28" s="297" t="s">
        <v>1755</v>
      </c>
      <c r="AZ28" s="296" t="s">
        <v>1749</v>
      </c>
      <c r="BB28" s="295">
        <f t="shared" si="18"/>
        <v>0</v>
      </c>
      <c r="BC28" s="295">
        <f t="shared" si="19"/>
        <v>0</v>
      </c>
      <c r="BD28" s="295">
        <v>0</v>
      </c>
      <c r="BE28" s="295">
        <f t="shared" si="20"/>
        <v>0.00063</v>
      </c>
      <c r="BG28" s="305">
        <f t="shared" si="21"/>
        <v>0</v>
      </c>
      <c r="BH28" s="305">
        <f t="shared" si="22"/>
        <v>0</v>
      </c>
      <c r="BI28" s="305">
        <f t="shared" si="23"/>
        <v>0</v>
      </c>
    </row>
    <row r="29" spans="1:61" ht="12">
      <c r="A29" s="327" t="s">
        <v>270</v>
      </c>
      <c r="B29" s="327"/>
      <c r="C29" s="327" t="s">
        <v>1900</v>
      </c>
      <c r="D29" s="327" t="s">
        <v>1899</v>
      </c>
      <c r="E29" s="327" t="s">
        <v>258</v>
      </c>
      <c r="F29" s="328">
        <v>3</v>
      </c>
      <c r="G29" s="329">
        <v>0</v>
      </c>
      <c r="H29" s="328">
        <f t="shared" si="0"/>
        <v>0</v>
      </c>
      <c r="I29" s="328">
        <f t="shared" si="1"/>
        <v>0</v>
      </c>
      <c r="J29" s="328">
        <f t="shared" si="2"/>
        <v>0</v>
      </c>
      <c r="K29" s="328">
        <v>0</v>
      </c>
      <c r="L29" s="328">
        <f t="shared" si="3"/>
        <v>0</v>
      </c>
      <c r="Y29" s="295">
        <f t="shared" si="4"/>
        <v>0</v>
      </c>
      <c r="AA29" s="295">
        <f t="shared" si="5"/>
        <v>0</v>
      </c>
      <c r="AB29" s="295">
        <f t="shared" si="6"/>
        <v>0</v>
      </c>
      <c r="AC29" s="295">
        <f t="shared" si="7"/>
        <v>0</v>
      </c>
      <c r="AD29" s="295">
        <f t="shared" si="8"/>
        <v>0</v>
      </c>
      <c r="AE29" s="295">
        <f t="shared" si="9"/>
        <v>0</v>
      </c>
      <c r="AF29" s="295">
        <f t="shared" si="10"/>
        <v>0</v>
      </c>
      <c r="AG29" s="295">
        <f t="shared" si="11"/>
        <v>0</v>
      </c>
      <c r="AH29" s="296"/>
      <c r="AI29" s="294">
        <f t="shared" si="12"/>
        <v>0</v>
      </c>
      <c r="AJ29" s="294">
        <f t="shared" si="13"/>
        <v>0</v>
      </c>
      <c r="AK29" s="294">
        <f t="shared" si="14"/>
        <v>0</v>
      </c>
      <c r="AM29" s="295">
        <v>21</v>
      </c>
      <c r="AN29" s="295">
        <f>G29*0</f>
        <v>0</v>
      </c>
      <c r="AO29" s="295">
        <f>G29*(1-0)</f>
        <v>0</v>
      </c>
      <c r="AP29" s="298" t="s">
        <v>225</v>
      </c>
      <c r="AU29" s="295">
        <f t="shared" si="15"/>
        <v>0</v>
      </c>
      <c r="AV29" s="295">
        <f t="shared" si="16"/>
        <v>0</v>
      </c>
      <c r="AW29" s="295">
        <f t="shared" si="17"/>
        <v>0</v>
      </c>
      <c r="AX29" s="297" t="s">
        <v>1886</v>
      </c>
      <c r="AY29" s="297" t="s">
        <v>1755</v>
      </c>
      <c r="AZ29" s="296" t="s">
        <v>1749</v>
      </c>
      <c r="BB29" s="295">
        <f t="shared" si="18"/>
        <v>0</v>
      </c>
      <c r="BC29" s="295">
        <f t="shared" si="19"/>
        <v>0</v>
      </c>
      <c r="BD29" s="295">
        <v>0</v>
      </c>
      <c r="BE29" s="295">
        <f t="shared" si="20"/>
        <v>0</v>
      </c>
      <c r="BG29" s="294">
        <f t="shared" si="21"/>
        <v>0</v>
      </c>
      <c r="BH29" s="294">
        <f t="shared" si="22"/>
        <v>0</v>
      </c>
      <c r="BI29" s="294">
        <f t="shared" si="23"/>
        <v>0</v>
      </c>
    </row>
    <row r="30" spans="1:61" ht="12">
      <c r="A30" s="327" t="s">
        <v>274</v>
      </c>
      <c r="B30" s="327"/>
      <c r="C30" s="327" t="s">
        <v>1898</v>
      </c>
      <c r="D30" s="327" t="s">
        <v>1897</v>
      </c>
      <c r="E30" s="327" t="s">
        <v>258</v>
      </c>
      <c r="F30" s="328">
        <v>22</v>
      </c>
      <c r="G30" s="329">
        <v>0</v>
      </c>
      <c r="H30" s="328">
        <f t="shared" si="0"/>
        <v>0</v>
      </c>
      <c r="I30" s="328">
        <f t="shared" si="1"/>
        <v>0</v>
      </c>
      <c r="J30" s="328">
        <f t="shared" si="2"/>
        <v>0</v>
      </c>
      <c r="K30" s="328">
        <v>0</v>
      </c>
      <c r="L30" s="328">
        <f t="shared" si="3"/>
        <v>0</v>
      </c>
      <c r="Y30" s="295">
        <f t="shared" si="4"/>
        <v>0</v>
      </c>
      <c r="AA30" s="295">
        <f t="shared" si="5"/>
        <v>0</v>
      </c>
      <c r="AB30" s="295">
        <f t="shared" si="6"/>
        <v>0</v>
      </c>
      <c r="AC30" s="295">
        <f t="shared" si="7"/>
        <v>0</v>
      </c>
      <c r="AD30" s="295">
        <f t="shared" si="8"/>
        <v>0</v>
      </c>
      <c r="AE30" s="295">
        <f t="shared" si="9"/>
        <v>0</v>
      </c>
      <c r="AF30" s="295">
        <f t="shared" si="10"/>
        <v>0</v>
      </c>
      <c r="AG30" s="295">
        <f t="shared" si="11"/>
        <v>0</v>
      </c>
      <c r="AH30" s="296"/>
      <c r="AI30" s="294">
        <f t="shared" si="12"/>
        <v>0</v>
      </c>
      <c r="AJ30" s="294">
        <f t="shared" si="13"/>
        <v>0</v>
      </c>
      <c r="AK30" s="294">
        <f t="shared" si="14"/>
        <v>0</v>
      </c>
      <c r="AM30" s="295">
        <v>21</v>
      </c>
      <c r="AN30" s="295">
        <f>G30*0</f>
        <v>0</v>
      </c>
      <c r="AO30" s="295">
        <f>G30*(1-0)</f>
        <v>0</v>
      </c>
      <c r="AP30" s="298" t="s">
        <v>225</v>
      </c>
      <c r="AU30" s="295">
        <f t="shared" si="15"/>
        <v>0</v>
      </c>
      <c r="AV30" s="295">
        <f t="shared" si="16"/>
        <v>0</v>
      </c>
      <c r="AW30" s="295">
        <f t="shared" si="17"/>
        <v>0</v>
      </c>
      <c r="AX30" s="297" t="s">
        <v>1886</v>
      </c>
      <c r="AY30" s="297" t="s">
        <v>1755</v>
      </c>
      <c r="AZ30" s="296" t="s">
        <v>1749</v>
      </c>
      <c r="BB30" s="295">
        <f t="shared" si="18"/>
        <v>0</v>
      </c>
      <c r="BC30" s="295">
        <f t="shared" si="19"/>
        <v>0</v>
      </c>
      <c r="BD30" s="295">
        <v>0</v>
      </c>
      <c r="BE30" s="295">
        <f t="shared" si="20"/>
        <v>0</v>
      </c>
      <c r="BG30" s="294">
        <f t="shared" si="21"/>
        <v>0</v>
      </c>
      <c r="BH30" s="294">
        <f t="shared" si="22"/>
        <v>0</v>
      </c>
      <c r="BI30" s="294">
        <f t="shared" si="23"/>
        <v>0</v>
      </c>
    </row>
    <row r="31" spans="1:61" ht="12">
      <c r="A31" s="327" t="s">
        <v>279</v>
      </c>
      <c r="B31" s="327"/>
      <c r="C31" s="327" t="s">
        <v>1896</v>
      </c>
      <c r="D31" s="327" t="s">
        <v>1895</v>
      </c>
      <c r="E31" s="327" t="s">
        <v>258</v>
      </c>
      <c r="F31" s="328">
        <v>2</v>
      </c>
      <c r="G31" s="329">
        <v>0</v>
      </c>
      <c r="H31" s="328">
        <f t="shared" si="0"/>
        <v>0</v>
      </c>
      <c r="I31" s="328">
        <f t="shared" si="1"/>
        <v>0</v>
      </c>
      <c r="J31" s="328">
        <f t="shared" si="2"/>
        <v>0</v>
      </c>
      <c r="K31" s="328">
        <v>0</v>
      </c>
      <c r="L31" s="328">
        <f t="shared" si="3"/>
        <v>0</v>
      </c>
      <c r="Y31" s="295">
        <f t="shared" si="4"/>
        <v>0</v>
      </c>
      <c r="AA31" s="295">
        <f t="shared" si="5"/>
        <v>0</v>
      </c>
      <c r="AB31" s="295">
        <f t="shared" si="6"/>
        <v>0</v>
      </c>
      <c r="AC31" s="295">
        <f t="shared" si="7"/>
        <v>0</v>
      </c>
      <c r="AD31" s="295">
        <f t="shared" si="8"/>
        <v>0</v>
      </c>
      <c r="AE31" s="295">
        <f t="shared" si="9"/>
        <v>0</v>
      </c>
      <c r="AF31" s="295">
        <f t="shared" si="10"/>
        <v>0</v>
      </c>
      <c r="AG31" s="295">
        <f t="shared" si="11"/>
        <v>0</v>
      </c>
      <c r="AH31" s="296"/>
      <c r="AI31" s="294">
        <f t="shared" si="12"/>
        <v>0</v>
      </c>
      <c r="AJ31" s="294">
        <f t="shared" si="13"/>
        <v>0</v>
      </c>
      <c r="AK31" s="294">
        <f t="shared" si="14"/>
        <v>0</v>
      </c>
      <c r="AM31" s="295">
        <v>21</v>
      </c>
      <c r="AN31" s="295">
        <f>G31*0</f>
        <v>0</v>
      </c>
      <c r="AO31" s="295">
        <f>G31*(1-0)</f>
        <v>0</v>
      </c>
      <c r="AP31" s="298" t="s">
        <v>225</v>
      </c>
      <c r="AU31" s="295">
        <f t="shared" si="15"/>
        <v>0</v>
      </c>
      <c r="AV31" s="295">
        <f t="shared" si="16"/>
        <v>0</v>
      </c>
      <c r="AW31" s="295">
        <f t="shared" si="17"/>
        <v>0</v>
      </c>
      <c r="AX31" s="297" t="s">
        <v>1886</v>
      </c>
      <c r="AY31" s="297" t="s">
        <v>1755</v>
      </c>
      <c r="AZ31" s="296" t="s">
        <v>1749</v>
      </c>
      <c r="BB31" s="295">
        <f t="shared" si="18"/>
        <v>0</v>
      </c>
      <c r="BC31" s="295">
        <f t="shared" si="19"/>
        <v>0</v>
      </c>
      <c r="BD31" s="295">
        <v>0</v>
      </c>
      <c r="BE31" s="295">
        <f t="shared" si="20"/>
        <v>0</v>
      </c>
      <c r="BG31" s="294">
        <f t="shared" si="21"/>
        <v>0</v>
      </c>
      <c r="BH31" s="294">
        <f t="shared" si="22"/>
        <v>0</v>
      </c>
      <c r="BI31" s="294">
        <f t="shared" si="23"/>
        <v>0</v>
      </c>
    </row>
    <row r="32" spans="1:61" ht="12">
      <c r="A32" s="327" t="s">
        <v>283</v>
      </c>
      <c r="B32" s="327"/>
      <c r="C32" s="327" t="s">
        <v>1894</v>
      </c>
      <c r="D32" s="327" t="s">
        <v>1893</v>
      </c>
      <c r="E32" s="327" t="s">
        <v>310</v>
      </c>
      <c r="F32" s="328">
        <v>130</v>
      </c>
      <c r="G32" s="329">
        <v>0</v>
      </c>
      <c r="H32" s="328">
        <f t="shared" si="0"/>
        <v>0</v>
      </c>
      <c r="I32" s="328">
        <f t="shared" si="1"/>
        <v>0</v>
      </c>
      <c r="J32" s="328">
        <f t="shared" si="2"/>
        <v>0</v>
      </c>
      <c r="K32" s="328">
        <v>0</v>
      </c>
      <c r="L32" s="328">
        <f t="shared" si="3"/>
        <v>0</v>
      </c>
      <c r="Y32" s="295">
        <f t="shared" si="4"/>
        <v>0</v>
      </c>
      <c r="AA32" s="295">
        <f t="shared" si="5"/>
        <v>0</v>
      </c>
      <c r="AB32" s="295">
        <f t="shared" si="6"/>
        <v>0</v>
      </c>
      <c r="AC32" s="295">
        <f t="shared" si="7"/>
        <v>0</v>
      </c>
      <c r="AD32" s="295">
        <f t="shared" si="8"/>
        <v>0</v>
      </c>
      <c r="AE32" s="295">
        <f t="shared" si="9"/>
        <v>0</v>
      </c>
      <c r="AF32" s="295">
        <f t="shared" si="10"/>
        <v>0</v>
      </c>
      <c r="AG32" s="295">
        <f t="shared" si="11"/>
        <v>0</v>
      </c>
      <c r="AH32" s="296"/>
      <c r="AI32" s="294">
        <f t="shared" si="12"/>
        <v>0</v>
      </c>
      <c r="AJ32" s="294">
        <f t="shared" si="13"/>
        <v>0</v>
      </c>
      <c r="AK32" s="294">
        <f t="shared" si="14"/>
        <v>0</v>
      </c>
      <c r="AM32" s="295">
        <v>21</v>
      </c>
      <c r="AN32" s="295">
        <f>G32*0.026431718061674</f>
        <v>0</v>
      </c>
      <c r="AO32" s="295">
        <f>G32*(1-0.026431718061674)</f>
        <v>0</v>
      </c>
      <c r="AP32" s="298" t="s">
        <v>225</v>
      </c>
      <c r="AU32" s="295">
        <f t="shared" si="15"/>
        <v>0</v>
      </c>
      <c r="AV32" s="295">
        <f t="shared" si="16"/>
        <v>0</v>
      </c>
      <c r="AW32" s="295">
        <f t="shared" si="17"/>
        <v>0</v>
      </c>
      <c r="AX32" s="297" t="s">
        <v>1886</v>
      </c>
      <c r="AY32" s="297" t="s">
        <v>1755</v>
      </c>
      <c r="AZ32" s="296" t="s">
        <v>1749</v>
      </c>
      <c r="BB32" s="295">
        <f t="shared" si="18"/>
        <v>0</v>
      </c>
      <c r="BC32" s="295">
        <f t="shared" si="19"/>
        <v>0</v>
      </c>
      <c r="BD32" s="295">
        <v>0</v>
      </c>
      <c r="BE32" s="295">
        <f t="shared" si="20"/>
        <v>0</v>
      </c>
      <c r="BG32" s="294">
        <f t="shared" si="21"/>
        <v>0</v>
      </c>
      <c r="BH32" s="294">
        <f t="shared" si="22"/>
        <v>0</v>
      </c>
      <c r="BI32" s="294">
        <f t="shared" si="23"/>
        <v>0</v>
      </c>
    </row>
    <row r="33" spans="1:61" ht="12">
      <c r="A33" s="327" t="s">
        <v>288</v>
      </c>
      <c r="B33" s="327"/>
      <c r="C33" s="327" t="s">
        <v>1892</v>
      </c>
      <c r="D33" s="327" t="s">
        <v>1891</v>
      </c>
      <c r="E33" s="327" t="s">
        <v>310</v>
      </c>
      <c r="F33" s="328">
        <v>15</v>
      </c>
      <c r="G33" s="329">
        <v>0</v>
      </c>
      <c r="H33" s="328">
        <f t="shared" si="0"/>
        <v>0</v>
      </c>
      <c r="I33" s="328">
        <f t="shared" si="1"/>
        <v>0</v>
      </c>
      <c r="J33" s="328">
        <f t="shared" si="2"/>
        <v>0</v>
      </c>
      <c r="K33" s="328">
        <v>0</v>
      </c>
      <c r="L33" s="328">
        <f t="shared" si="3"/>
        <v>0</v>
      </c>
      <c r="Y33" s="295">
        <f t="shared" si="4"/>
        <v>0</v>
      </c>
      <c r="AA33" s="295">
        <f t="shared" si="5"/>
        <v>0</v>
      </c>
      <c r="AB33" s="295">
        <f t="shared" si="6"/>
        <v>0</v>
      </c>
      <c r="AC33" s="295">
        <f t="shared" si="7"/>
        <v>0</v>
      </c>
      <c r="AD33" s="295">
        <f t="shared" si="8"/>
        <v>0</v>
      </c>
      <c r="AE33" s="295">
        <f t="shared" si="9"/>
        <v>0</v>
      </c>
      <c r="AF33" s="295">
        <f t="shared" si="10"/>
        <v>0</v>
      </c>
      <c r="AG33" s="295">
        <f t="shared" si="11"/>
        <v>0</v>
      </c>
      <c r="AH33" s="296"/>
      <c r="AI33" s="294">
        <f t="shared" si="12"/>
        <v>0</v>
      </c>
      <c r="AJ33" s="294">
        <f t="shared" si="13"/>
        <v>0</v>
      </c>
      <c r="AK33" s="294">
        <f t="shared" si="14"/>
        <v>0</v>
      </c>
      <c r="AM33" s="295">
        <v>21</v>
      </c>
      <c r="AN33" s="295">
        <f>G33*0.0800271278399457</f>
        <v>0</v>
      </c>
      <c r="AO33" s="295">
        <f>G33*(1-0.0800271278399457)</f>
        <v>0</v>
      </c>
      <c r="AP33" s="298" t="s">
        <v>225</v>
      </c>
      <c r="AU33" s="295">
        <f t="shared" si="15"/>
        <v>0</v>
      </c>
      <c r="AV33" s="295">
        <f t="shared" si="16"/>
        <v>0</v>
      </c>
      <c r="AW33" s="295">
        <f t="shared" si="17"/>
        <v>0</v>
      </c>
      <c r="AX33" s="297" t="s">
        <v>1886</v>
      </c>
      <c r="AY33" s="297" t="s">
        <v>1755</v>
      </c>
      <c r="AZ33" s="296" t="s">
        <v>1749</v>
      </c>
      <c r="BB33" s="295">
        <f t="shared" si="18"/>
        <v>0</v>
      </c>
      <c r="BC33" s="295">
        <f t="shared" si="19"/>
        <v>0</v>
      </c>
      <c r="BD33" s="295">
        <v>0</v>
      </c>
      <c r="BE33" s="295">
        <f t="shared" si="20"/>
        <v>0</v>
      </c>
      <c r="BG33" s="294">
        <f t="shared" si="21"/>
        <v>0</v>
      </c>
      <c r="BH33" s="294">
        <f t="shared" si="22"/>
        <v>0</v>
      </c>
      <c r="BI33" s="294">
        <f t="shared" si="23"/>
        <v>0</v>
      </c>
    </row>
    <row r="34" spans="1:61" ht="12">
      <c r="A34" s="327" t="s">
        <v>7</v>
      </c>
      <c r="B34" s="327"/>
      <c r="C34" s="327" t="s">
        <v>1890</v>
      </c>
      <c r="D34" s="327" t="s">
        <v>1889</v>
      </c>
      <c r="E34" s="327" t="s">
        <v>258</v>
      </c>
      <c r="F34" s="328">
        <v>2</v>
      </c>
      <c r="G34" s="329">
        <v>0</v>
      </c>
      <c r="H34" s="328">
        <f t="shared" si="0"/>
        <v>0</v>
      </c>
      <c r="I34" s="328">
        <f t="shared" si="1"/>
        <v>0</v>
      </c>
      <c r="J34" s="328">
        <f t="shared" si="2"/>
        <v>0</v>
      </c>
      <c r="K34" s="328">
        <v>0.00056</v>
      </c>
      <c r="L34" s="328">
        <f t="shared" si="3"/>
        <v>0.00112</v>
      </c>
      <c r="Y34" s="295">
        <f t="shared" si="4"/>
        <v>0</v>
      </c>
      <c r="AA34" s="295">
        <f t="shared" si="5"/>
        <v>0</v>
      </c>
      <c r="AB34" s="295">
        <f t="shared" si="6"/>
        <v>0</v>
      </c>
      <c r="AC34" s="295">
        <f t="shared" si="7"/>
        <v>0</v>
      </c>
      <c r="AD34" s="295">
        <f t="shared" si="8"/>
        <v>0</v>
      </c>
      <c r="AE34" s="295">
        <f t="shared" si="9"/>
        <v>0</v>
      </c>
      <c r="AF34" s="295">
        <f t="shared" si="10"/>
        <v>0</v>
      </c>
      <c r="AG34" s="295">
        <f t="shared" si="11"/>
        <v>0</v>
      </c>
      <c r="AH34" s="296"/>
      <c r="AI34" s="294">
        <f t="shared" si="12"/>
        <v>0</v>
      </c>
      <c r="AJ34" s="294">
        <f t="shared" si="13"/>
        <v>0</v>
      </c>
      <c r="AK34" s="294">
        <f t="shared" si="14"/>
        <v>0</v>
      </c>
      <c r="AM34" s="295">
        <v>21</v>
      </c>
      <c r="AN34" s="295">
        <f>G34*0.901229449606862</f>
        <v>0</v>
      </c>
      <c r="AO34" s="295">
        <f>G34*(1-0.901229449606862)</f>
        <v>0</v>
      </c>
      <c r="AP34" s="298" t="s">
        <v>225</v>
      </c>
      <c r="AU34" s="295">
        <f t="shared" si="15"/>
        <v>0</v>
      </c>
      <c r="AV34" s="295">
        <f t="shared" si="16"/>
        <v>0</v>
      </c>
      <c r="AW34" s="295">
        <f t="shared" si="17"/>
        <v>0</v>
      </c>
      <c r="AX34" s="297" t="s">
        <v>1886</v>
      </c>
      <c r="AY34" s="297" t="s">
        <v>1755</v>
      </c>
      <c r="AZ34" s="296" t="s">
        <v>1749</v>
      </c>
      <c r="BB34" s="295">
        <f t="shared" si="18"/>
        <v>0</v>
      </c>
      <c r="BC34" s="295">
        <f t="shared" si="19"/>
        <v>0</v>
      </c>
      <c r="BD34" s="295">
        <v>0</v>
      </c>
      <c r="BE34" s="295">
        <f t="shared" si="20"/>
        <v>0.00112</v>
      </c>
      <c r="BG34" s="294">
        <f t="shared" si="21"/>
        <v>0</v>
      </c>
      <c r="BH34" s="294">
        <f t="shared" si="22"/>
        <v>0</v>
      </c>
      <c r="BI34" s="294">
        <f t="shared" si="23"/>
        <v>0</v>
      </c>
    </row>
    <row r="35" spans="1:61" ht="12">
      <c r="A35" s="327" t="s">
        <v>295</v>
      </c>
      <c r="B35" s="327"/>
      <c r="C35" s="327" t="s">
        <v>1888</v>
      </c>
      <c r="D35" s="327" t="s">
        <v>1887</v>
      </c>
      <c r="E35" s="327" t="s">
        <v>242</v>
      </c>
      <c r="F35" s="328">
        <v>0.4022</v>
      </c>
      <c r="G35" s="329">
        <v>0</v>
      </c>
      <c r="H35" s="328">
        <f t="shared" si="0"/>
        <v>0</v>
      </c>
      <c r="I35" s="328">
        <f t="shared" si="1"/>
        <v>0</v>
      </c>
      <c r="J35" s="328">
        <f t="shared" si="2"/>
        <v>0</v>
      </c>
      <c r="K35" s="328">
        <v>0</v>
      </c>
      <c r="L35" s="328">
        <f t="shared" si="3"/>
        <v>0</v>
      </c>
      <c r="Y35" s="295">
        <f t="shared" si="4"/>
        <v>0</v>
      </c>
      <c r="AA35" s="295">
        <f t="shared" si="5"/>
        <v>0</v>
      </c>
      <c r="AB35" s="295">
        <f t="shared" si="6"/>
        <v>0</v>
      </c>
      <c r="AC35" s="295">
        <f t="shared" si="7"/>
        <v>0</v>
      </c>
      <c r="AD35" s="295">
        <f t="shared" si="8"/>
        <v>0</v>
      </c>
      <c r="AE35" s="295">
        <f t="shared" si="9"/>
        <v>0</v>
      </c>
      <c r="AF35" s="295">
        <f t="shared" si="10"/>
        <v>0</v>
      </c>
      <c r="AG35" s="295">
        <f t="shared" si="11"/>
        <v>0</v>
      </c>
      <c r="AH35" s="296"/>
      <c r="AI35" s="294">
        <f t="shared" si="12"/>
        <v>0</v>
      </c>
      <c r="AJ35" s="294">
        <f t="shared" si="13"/>
        <v>0</v>
      </c>
      <c r="AK35" s="294">
        <f t="shared" si="14"/>
        <v>0</v>
      </c>
      <c r="AM35" s="295">
        <v>21</v>
      </c>
      <c r="AN35" s="295">
        <f>G35*0</f>
        <v>0</v>
      </c>
      <c r="AO35" s="295">
        <f>G35*(1-0)</f>
        <v>0</v>
      </c>
      <c r="AP35" s="298" t="s">
        <v>225</v>
      </c>
      <c r="AU35" s="295">
        <f t="shared" si="15"/>
        <v>0</v>
      </c>
      <c r="AV35" s="295">
        <f t="shared" si="16"/>
        <v>0</v>
      </c>
      <c r="AW35" s="295">
        <f t="shared" si="17"/>
        <v>0</v>
      </c>
      <c r="AX35" s="297" t="s">
        <v>1886</v>
      </c>
      <c r="AY35" s="297" t="s">
        <v>1755</v>
      </c>
      <c r="AZ35" s="296" t="s">
        <v>1749</v>
      </c>
      <c r="BB35" s="295">
        <f t="shared" si="18"/>
        <v>0</v>
      </c>
      <c r="BC35" s="295">
        <f t="shared" si="19"/>
        <v>0</v>
      </c>
      <c r="BD35" s="295">
        <v>0</v>
      </c>
      <c r="BE35" s="295">
        <f t="shared" si="20"/>
        <v>0</v>
      </c>
      <c r="BG35" s="294">
        <f t="shared" si="21"/>
        <v>0</v>
      </c>
      <c r="BH35" s="294">
        <f t="shared" si="22"/>
        <v>0</v>
      </c>
      <c r="BI35" s="294">
        <f t="shared" si="23"/>
        <v>0</v>
      </c>
    </row>
    <row r="36" spans="1:46" ht="12">
      <c r="A36" s="330"/>
      <c r="B36" s="331"/>
      <c r="C36" s="331" t="s">
        <v>1885</v>
      </c>
      <c r="D36" s="331" t="s">
        <v>1884</v>
      </c>
      <c r="E36" s="330" t="s">
        <v>146</v>
      </c>
      <c r="F36" s="330" t="s">
        <v>146</v>
      </c>
      <c r="G36" s="332" t="s">
        <v>146</v>
      </c>
      <c r="H36" s="333">
        <f>SUM(H37:H70)</f>
        <v>0</v>
      </c>
      <c r="I36" s="333">
        <f>SUM(I37:I70)</f>
        <v>0</v>
      </c>
      <c r="J36" s="333">
        <f>SUM(J37:J70)</f>
        <v>0</v>
      </c>
      <c r="K36" s="334"/>
      <c r="L36" s="333">
        <f>SUM(L37:L70)</f>
        <v>0.4359099999999999</v>
      </c>
      <c r="AH36" s="296"/>
      <c r="AR36" s="301">
        <f>SUM(AI37:AI70)</f>
        <v>0</v>
      </c>
      <c r="AS36" s="301">
        <f>SUM(AJ37:AJ70)</f>
        <v>0</v>
      </c>
      <c r="AT36" s="301">
        <f>SUM(AK37:AK70)</f>
        <v>0</v>
      </c>
    </row>
    <row r="37" spans="1:61" ht="12">
      <c r="A37" s="327" t="s">
        <v>299</v>
      </c>
      <c r="B37" s="327"/>
      <c r="C37" s="327" t="s">
        <v>1883</v>
      </c>
      <c r="D37" s="327" t="s">
        <v>1882</v>
      </c>
      <c r="E37" s="327" t="s">
        <v>310</v>
      </c>
      <c r="F37" s="328">
        <v>40</v>
      </c>
      <c r="G37" s="329">
        <v>0</v>
      </c>
      <c r="H37" s="328">
        <f aca="true" t="shared" si="24" ref="H37:H45">F37*AN37</f>
        <v>0</v>
      </c>
      <c r="I37" s="328">
        <f aca="true" t="shared" si="25" ref="I37:I45">F37*AO37</f>
        <v>0</v>
      </c>
      <c r="J37" s="328">
        <f aca="true" t="shared" si="26" ref="J37:J45">F37*G37</f>
        <v>0</v>
      </c>
      <c r="K37" s="328">
        <v>0.00213</v>
      </c>
      <c r="L37" s="328">
        <f aca="true" t="shared" si="27" ref="L37:L45">F37*K37</f>
        <v>0.0852</v>
      </c>
      <c r="Y37" s="295">
        <f aca="true" t="shared" si="28" ref="Y37:Y45">IF(AP37="5",BI37,0)</f>
        <v>0</v>
      </c>
      <c r="AA37" s="295">
        <f aca="true" t="shared" si="29" ref="AA37:AA45">IF(AP37="1",BG37,0)</f>
        <v>0</v>
      </c>
      <c r="AB37" s="295">
        <f aca="true" t="shared" si="30" ref="AB37:AB45">IF(AP37="1",BH37,0)</f>
        <v>0</v>
      </c>
      <c r="AC37" s="295">
        <f aca="true" t="shared" si="31" ref="AC37:AC45">IF(AP37="7",BG37,0)</f>
        <v>0</v>
      </c>
      <c r="AD37" s="295">
        <f aca="true" t="shared" si="32" ref="AD37:AD45">IF(AP37="7",BH37,0)</f>
        <v>0</v>
      </c>
      <c r="AE37" s="295">
        <f aca="true" t="shared" si="33" ref="AE37:AE45">IF(AP37="2",BG37,0)</f>
        <v>0</v>
      </c>
      <c r="AF37" s="295">
        <f aca="true" t="shared" si="34" ref="AF37:AF45">IF(AP37="2",BH37,0)</f>
        <v>0</v>
      </c>
      <c r="AG37" s="295">
        <f aca="true" t="shared" si="35" ref="AG37:AG45">IF(AP37="0",BI37,0)</f>
        <v>0</v>
      </c>
      <c r="AH37" s="296"/>
      <c r="AI37" s="294">
        <f aca="true" t="shared" si="36" ref="AI37:AI45">IF(AM37=0,J37,0)</f>
        <v>0</v>
      </c>
      <c r="AJ37" s="294">
        <f aca="true" t="shared" si="37" ref="AJ37:AJ45">IF(AM37=15,J37,0)</f>
        <v>0</v>
      </c>
      <c r="AK37" s="294">
        <f aca="true" t="shared" si="38" ref="AK37:AK45">IF(AM37=21,J37,0)</f>
        <v>0</v>
      </c>
      <c r="AM37" s="295">
        <v>21</v>
      </c>
      <c r="AN37" s="295">
        <f>G37*0</f>
        <v>0</v>
      </c>
      <c r="AO37" s="295">
        <f>G37*(1-0)</f>
        <v>0</v>
      </c>
      <c r="AP37" s="298" t="s">
        <v>225</v>
      </c>
      <c r="AU37" s="295">
        <f aca="true" t="shared" si="39" ref="AU37:AU45">AV37+AW37</f>
        <v>0</v>
      </c>
      <c r="AV37" s="295">
        <f aca="true" t="shared" si="40" ref="AV37:AV45">F37*AN37</f>
        <v>0</v>
      </c>
      <c r="AW37" s="295">
        <f aca="true" t="shared" si="41" ref="AW37:AW45">F37*AO37</f>
        <v>0</v>
      </c>
      <c r="AX37" s="297" t="s">
        <v>1825</v>
      </c>
      <c r="AY37" s="297" t="s">
        <v>1755</v>
      </c>
      <c r="AZ37" s="296" t="s">
        <v>1749</v>
      </c>
      <c r="BB37" s="295">
        <f aca="true" t="shared" si="42" ref="BB37:BB45">AV37+AW37</f>
        <v>0</v>
      </c>
      <c r="BC37" s="295">
        <f aca="true" t="shared" si="43" ref="BC37:BC45">G37/(100-BD37)*100</f>
        <v>0</v>
      </c>
      <c r="BD37" s="295">
        <v>0</v>
      </c>
      <c r="BE37" s="295">
        <f aca="true" t="shared" si="44" ref="BE37:BE45">L37</f>
        <v>0.0852</v>
      </c>
      <c r="BG37" s="294">
        <f aca="true" t="shared" si="45" ref="BG37:BG45">F37*AN37</f>
        <v>0</v>
      </c>
      <c r="BH37" s="294">
        <f aca="true" t="shared" si="46" ref="BH37:BH45">F37*AO37</f>
        <v>0</v>
      </c>
      <c r="BI37" s="294">
        <f aca="true" t="shared" si="47" ref="BI37:BI45">F37*G37</f>
        <v>0</v>
      </c>
    </row>
    <row r="38" spans="1:61" ht="12">
      <c r="A38" s="327" t="s">
        <v>303</v>
      </c>
      <c r="B38" s="327"/>
      <c r="C38" s="327" t="s">
        <v>1881</v>
      </c>
      <c r="D38" s="327" t="s">
        <v>1880</v>
      </c>
      <c r="E38" s="327" t="s">
        <v>310</v>
      </c>
      <c r="F38" s="328">
        <v>30</v>
      </c>
      <c r="G38" s="329">
        <v>0</v>
      </c>
      <c r="H38" s="328">
        <f t="shared" si="24"/>
        <v>0</v>
      </c>
      <c r="I38" s="328">
        <f t="shared" si="25"/>
        <v>0</v>
      </c>
      <c r="J38" s="328">
        <f t="shared" si="26"/>
        <v>0</v>
      </c>
      <c r="K38" s="328">
        <v>0.00497</v>
      </c>
      <c r="L38" s="328">
        <f t="shared" si="27"/>
        <v>0.14909999999999998</v>
      </c>
      <c r="Y38" s="295">
        <f t="shared" si="28"/>
        <v>0</v>
      </c>
      <c r="AA38" s="295">
        <f t="shared" si="29"/>
        <v>0</v>
      </c>
      <c r="AB38" s="295">
        <f t="shared" si="30"/>
        <v>0</v>
      </c>
      <c r="AC38" s="295">
        <f t="shared" si="31"/>
        <v>0</v>
      </c>
      <c r="AD38" s="295">
        <f t="shared" si="32"/>
        <v>0</v>
      </c>
      <c r="AE38" s="295">
        <f t="shared" si="33"/>
        <v>0</v>
      </c>
      <c r="AF38" s="295">
        <f t="shared" si="34"/>
        <v>0</v>
      </c>
      <c r="AG38" s="295">
        <f t="shared" si="35"/>
        <v>0</v>
      </c>
      <c r="AH38" s="296"/>
      <c r="AI38" s="294">
        <f t="shared" si="36"/>
        <v>0</v>
      </c>
      <c r="AJ38" s="294">
        <f t="shared" si="37"/>
        <v>0</v>
      </c>
      <c r="AK38" s="294">
        <f t="shared" si="38"/>
        <v>0</v>
      </c>
      <c r="AM38" s="295">
        <v>21</v>
      </c>
      <c r="AN38" s="295">
        <f>G38*0</f>
        <v>0</v>
      </c>
      <c r="AO38" s="295">
        <f>G38*(1-0)</f>
        <v>0</v>
      </c>
      <c r="AP38" s="298" t="s">
        <v>225</v>
      </c>
      <c r="AU38" s="295">
        <f t="shared" si="39"/>
        <v>0</v>
      </c>
      <c r="AV38" s="295">
        <f t="shared" si="40"/>
        <v>0</v>
      </c>
      <c r="AW38" s="295">
        <f t="shared" si="41"/>
        <v>0</v>
      </c>
      <c r="AX38" s="297" t="s">
        <v>1825</v>
      </c>
      <c r="AY38" s="297" t="s">
        <v>1755</v>
      </c>
      <c r="AZ38" s="296" t="s">
        <v>1749</v>
      </c>
      <c r="BB38" s="295">
        <f t="shared" si="42"/>
        <v>0</v>
      </c>
      <c r="BC38" s="295">
        <f t="shared" si="43"/>
        <v>0</v>
      </c>
      <c r="BD38" s="295">
        <v>0</v>
      </c>
      <c r="BE38" s="295">
        <f t="shared" si="44"/>
        <v>0.14909999999999998</v>
      </c>
      <c r="BG38" s="294">
        <f t="shared" si="45"/>
        <v>0</v>
      </c>
      <c r="BH38" s="294">
        <f t="shared" si="46"/>
        <v>0</v>
      </c>
      <c r="BI38" s="294">
        <f t="shared" si="47"/>
        <v>0</v>
      </c>
    </row>
    <row r="39" spans="1:61" ht="12">
      <c r="A39" s="327" t="s">
        <v>307</v>
      </c>
      <c r="B39" s="327"/>
      <c r="C39" s="327" t="s">
        <v>1879</v>
      </c>
      <c r="D39" s="327" t="s">
        <v>1878</v>
      </c>
      <c r="E39" s="327" t="s">
        <v>310</v>
      </c>
      <c r="F39" s="328">
        <v>130</v>
      </c>
      <c r="G39" s="329">
        <v>0</v>
      </c>
      <c r="H39" s="328">
        <f t="shared" si="24"/>
        <v>0</v>
      </c>
      <c r="I39" s="328">
        <f t="shared" si="25"/>
        <v>0</v>
      </c>
      <c r="J39" s="328">
        <f t="shared" si="26"/>
        <v>0</v>
      </c>
      <c r="K39" s="328">
        <v>0.00041</v>
      </c>
      <c r="L39" s="328">
        <f t="shared" si="27"/>
        <v>0.0533</v>
      </c>
      <c r="Y39" s="295">
        <f t="shared" si="28"/>
        <v>0</v>
      </c>
      <c r="AA39" s="295">
        <f t="shared" si="29"/>
        <v>0</v>
      </c>
      <c r="AB39" s="295">
        <f t="shared" si="30"/>
        <v>0</v>
      </c>
      <c r="AC39" s="295">
        <f t="shared" si="31"/>
        <v>0</v>
      </c>
      <c r="AD39" s="295">
        <f t="shared" si="32"/>
        <v>0</v>
      </c>
      <c r="AE39" s="295">
        <f t="shared" si="33"/>
        <v>0</v>
      </c>
      <c r="AF39" s="295">
        <f t="shared" si="34"/>
        <v>0</v>
      </c>
      <c r="AG39" s="295">
        <f t="shared" si="35"/>
        <v>0</v>
      </c>
      <c r="AH39" s="296"/>
      <c r="AI39" s="294">
        <f t="shared" si="36"/>
        <v>0</v>
      </c>
      <c r="AJ39" s="294">
        <f t="shared" si="37"/>
        <v>0</v>
      </c>
      <c r="AK39" s="294">
        <f t="shared" si="38"/>
        <v>0</v>
      </c>
      <c r="AM39" s="295">
        <v>21</v>
      </c>
      <c r="AN39" s="295">
        <f>G39*0.314148936170213</f>
        <v>0</v>
      </c>
      <c r="AO39" s="295">
        <f>G39*(1-0.314148936170213)</f>
        <v>0</v>
      </c>
      <c r="AP39" s="298" t="s">
        <v>225</v>
      </c>
      <c r="AU39" s="295">
        <f t="shared" si="39"/>
        <v>0</v>
      </c>
      <c r="AV39" s="295">
        <f t="shared" si="40"/>
        <v>0</v>
      </c>
      <c r="AW39" s="295">
        <f t="shared" si="41"/>
        <v>0</v>
      </c>
      <c r="AX39" s="297" t="s">
        <v>1825</v>
      </c>
      <c r="AY39" s="297" t="s">
        <v>1755</v>
      </c>
      <c r="AZ39" s="296" t="s">
        <v>1749</v>
      </c>
      <c r="BB39" s="295">
        <f t="shared" si="42"/>
        <v>0</v>
      </c>
      <c r="BC39" s="295">
        <f t="shared" si="43"/>
        <v>0</v>
      </c>
      <c r="BD39" s="295">
        <v>0</v>
      </c>
      <c r="BE39" s="295">
        <f t="shared" si="44"/>
        <v>0.0533</v>
      </c>
      <c r="BG39" s="294">
        <f t="shared" si="45"/>
        <v>0</v>
      </c>
      <c r="BH39" s="294">
        <f t="shared" si="46"/>
        <v>0</v>
      </c>
      <c r="BI39" s="294">
        <f t="shared" si="47"/>
        <v>0</v>
      </c>
    </row>
    <row r="40" spans="1:61" ht="12">
      <c r="A40" s="327" t="s">
        <v>313</v>
      </c>
      <c r="B40" s="327"/>
      <c r="C40" s="327" t="s">
        <v>1877</v>
      </c>
      <c r="D40" s="327" t="s">
        <v>1876</v>
      </c>
      <c r="E40" s="327" t="s">
        <v>310</v>
      </c>
      <c r="F40" s="328">
        <v>45</v>
      </c>
      <c r="G40" s="329">
        <v>0</v>
      </c>
      <c r="H40" s="328">
        <f t="shared" si="24"/>
        <v>0</v>
      </c>
      <c r="I40" s="328">
        <f t="shared" si="25"/>
        <v>0</v>
      </c>
      <c r="J40" s="328">
        <f t="shared" si="26"/>
        <v>0</v>
      </c>
      <c r="K40" s="328">
        <v>0.00053</v>
      </c>
      <c r="L40" s="328">
        <f t="shared" si="27"/>
        <v>0.02385</v>
      </c>
      <c r="Y40" s="295">
        <f t="shared" si="28"/>
        <v>0</v>
      </c>
      <c r="AA40" s="295">
        <f t="shared" si="29"/>
        <v>0</v>
      </c>
      <c r="AB40" s="295">
        <f t="shared" si="30"/>
        <v>0</v>
      </c>
      <c r="AC40" s="295">
        <f t="shared" si="31"/>
        <v>0</v>
      </c>
      <c r="AD40" s="295">
        <f t="shared" si="32"/>
        <v>0</v>
      </c>
      <c r="AE40" s="295">
        <f t="shared" si="33"/>
        <v>0</v>
      </c>
      <c r="AF40" s="295">
        <f t="shared" si="34"/>
        <v>0</v>
      </c>
      <c r="AG40" s="295">
        <f t="shared" si="35"/>
        <v>0</v>
      </c>
      <c r="AH40" s="296"/>
      <c r="AI40" s="294">
        <f t="shared" si="36"/>
        <v>0</v>
      </c>
      <c r="AJ40" s="294">
        <f t="shared" si="37"/>
        <v>0</v>
      </c>
      <c r="AK40" s="294">
        <f t="shared" si="38"/>
        <v>0</v>
      </c>
      <c r="AM40" s="295">
        <v>21</v>
      </c>
      <c r="AN40" s="295">
        <f>G40*0.385506607929515</f>
        <v>0</v>
      </c>
      <c r="AO40" s="295">
        <f>G40*(1-0.385506607929515)</f>
        <v>0</v>
      </c>
      <c r="AP40" s="298" t="s">
        <v>225</v>
      </c>
      <c r="AU40" s="295">
        <f t="shared" si="39"/>
        <v>0</v>
      </c>
      <c r="AV40" s="295">
        <f t="shared" si="40"/>
        <v>0</v>
      </c>
      <c r="AW40" s="295">
        <f t="shared" si="41"/>
        <v>0</v>
      </c>
      <c r="AX40" s="297" t="s">
        <v>1825</v>
      </c>
      <c r="AY40" s="297" t="s">
        <v>1755</v>
      </c>
      <c r="AZ40" s="296" t="s">
        <v>1749</v>
      </c>
      <c r="BB40" s="295">
        <f t="shared" si="42"/>
        <v>0</v>
      </c>
      <c r="BC40" s="295">
        <f t="shared" si="43"/>
        <v>0</v>
      </c>
      <c r="BD40" s="295">
        <v>0</v>
      </c>
      <c r="BE40" s="295">
        <f t="shared" si="44"/>
        <v>0.02385</v>
      </c>
      <c r="BG40" s="294">
        <f t="shared" si="45"/>
        <v>0</v>
      </c>
      <c r="BH40" s="294">
        <f t="shared" si="46"/>
        <v>0</v>
      </c>
      <c r="BI40" s="294">
        <f t="shared" si="47"/>
        <v>0</v>
      </c>
    </row>
    <row r="41" spans="1:61" ht="12">
      <c r="A41" s="327" t="s">
        <v>317</v>
      </c>
      <c r="B41" s="327"/>
      <c r="C41" s="327" t="s">
        <v>1875</v>
      </c>
      <c r="D41" s="327" t="s">
        <v>1874</v>
      </c>
      <c r="E41" s="327" t="s">
        <v>310</v>
      </c>
      <c r="F41" s="328">
        <v>50</v>
      </c>
      <c r="G41" s="329">
        <v>0</v>
      </c>
      <c r="H41" s="328">
        <f t="shared" si="24"/>
        <v>0</v>
      </c>
      <c r="I41" s="328">
        <f t="shared" si="25"/>
        <v>0</v>
      </c>
      <c r="J41" s="328">
        <f t="shared" si="26"/>
        <v>0</v>
      </c>
      <c r="K41" s="328">
        <v>0.00069</v>
      </c>
      <c r="L41" s="328">
        <f t="shared" si="27"/>
        <v>0.034499999999999996</v>
      </c>
      <c r="Y41" s="295">
        <f t="shared" si="28"/>
        <v>0</v>
      </c>
      <c r="AA41" s="295">
        <f t="shared" si="29"/>
        <v>0</v>
      </c>
      <c r="AB41" s="295">
        <f t="shared" si="30"/>
        <v>0</v>
      </c>
      <c r="AC41" s="295">
        <f t="shared" si="31"/>
        <v>0</v>
      </c>
      <c r="AD41" s="295">
        <f t="shared" si="32"/>
        <v>0</v>
      </c>
      <c r="AE41" s="295">
        <f t="shared" si="33"/>
        <v>0</v>
      </c>
      <c r="AF41" s="295">
        <f t="shared" si="34"/>
        <v>0</v>
      </c>
      <c r="AG41" s="295">
        <f t="shared" si="35"/>
        <v>0</v>
      </c>
      <c r="AH41" s="296"/>
      <c r="AI41" s="294">
        <f t="shared" si="36"/>
        <v>0</v>
      </c>
      <c r="AJ41" s="294">
        <f t="shared" si="37"/>
        <v>0</v>
      </c>
      <c r="AK41" s="294">
        <f t="shared" si="38"/>
        <v>0</v>
      </c>
      <c r="AM41" s="295">
        <v>21</v>
      </c>
      <c r="AN41" s="295">
        <f>G41*0.440472175379427</f>
        <v>0</v>
      </c>
      <c r="AO41" s="295">
        <f>G41*(1-0.440472175379427)</f>
        <v>0</v>
      </c>
      <c r="AP41" s="298" t="s">
        <v>225</v>
      </c>
      <c r="AU41" s="295">
        <f t="shared" si="39"/>
        <v>0</v>
      </c>
      <c r="AV41" s="295">
        <f t="shared" si="40"/>
        <v>0</v>
      </c>
      <c r="AW41" s="295">
        <f t="shared" si="41"/>
        <v>0</v>
      </c>
      <c r="AX41" s="297" t="s">
        <v>1825</v>
      </c>
      <c r="AY41" s="297" t="s">
        <v>1755</v>
      </c>
      <c r="AZ41" s="296" t="s">
        <v>1749</v>
      </c>
      <c r="BB41" s="295">
        <f t="shared" si="42"/>
        <v>0</v>
      </c>
      <c r="BC41" s="295">
        <f t="shared" si="43"/>
        <v>0</v>
      </c>
      <c r="BD41" s="295">
        <v>0</v>
      </c>
      <c r="BE41" s="295">
        <f t="shared" si="44"/>
        <v>0.034499999999999996</v>
      </c>
      <c r="BG41" s="294">
        <f t="shared" si="45"/>
        <v>0</v>
      </c>
      <c r="BH41" s="294">
        <f t="shared" si="46"/>
        <v>0</v>
      </c>
      <c r="BI41" s="294">
        <f t="shared" si="47"/>
        <v>0</v>
      </c>
    </row>
    <row r="42" spans="1:61" ht="12">
      <c r="A42" s="327" t="s">
        <v>322</v>
      </c>
      <c r="B42" s="327"/>
      <c r="C42" s="327" t="s">
        <v>1873</v>
      </c>
      <c r="D42" s="327" t="s">
        <v>1872</v>
      </c>
      <c r="E42" s="327" t="s">
        <v>310</v>
      </c>
      <c r="F42" s="328">
        <v>10</v>
      </c>
      <c r="G42" s="329">
        <v>0</v>
      </c>
      <c r="H42" s="328">
        <f t="shared" si="24"/>
        <v>0</v>
      </c>
      <c r="I42" s="328">
        <f t="shared" si="25"/>
        <v>0</v>
      </c>
      <c r="J42" s="328">
        <f t="shared" si="26"/>
        <v>0</v>
      </c>
      <c r="K42" s="328">
        <v>0.00101</v>
      </c>
      <c r="L42" s="328">
        <f t="shared" si="27"/>
        <v>0.010100000000000001</v>
      </c>
      <c r="Y42" s="295">
        <f t="shared" si="28"/>
        <v>0</v>
      </c>
      <c r="AA42" s="295">
        <f t="shared" si="29"/>
        <v>0</v>
      </c>
      <c r="AB42" s="295">
        <f t="shared" si="30"/>
        <v>0</v>
      </c>
      <c r="AC42" s="295">
        <f t="shared" si="31"/>
        <v>0</v>
      </c>
      <c r="AD42" s="295">
        <f t="shared" si="32"/>
        <v>0</v>
      </c>
      <c r="AE42" s="295">
        <f t="shared" si="33"/>
        <v>0</v>
      </c>
      <c r="AF42" s="295">
        <f t="shared" si="34"/>
        <v>0</v>
      </c>
      <c r="AG42" s="295">
        <f t="shared" si="35"/>
        <v>0</v>
      </c>
      <c r="AH42" s="296"/>
      <c r="AI42" s="294">
        <f t="shared" si="36"/>
        <v>0</v>
      </c>
      <c r="AJ42" s="294">
        <f t="shared" si="37"/>
        <v>0</v>
      </c>
      <c r="AK42" s="294">
        <f t="shared" si="38"/>
        <v>0</v>
      </c>
      <c r="AM42" s="295">
        <v>21</v>
      </c>
      <c r="AN42" s="295">
        <f>G42*0.580589519650655</f>
        <v>0</v>
      </c>
      <c r="AO42" s="295">
        <f>G42*(1-0.580589519650655)</f>
        <v>0</v>
      </c>
      <c r="AP42" s="298" t="s">
        <v>225</v>
      </c>
      <c r="AU42" s="295">
        <f t="shared" si="39"/>
        <v>0</v>
      </c>
      <c r="AV42" s="295">
        <f t="shared" si="40"/>
        <v>0</v>
      </c>
      <c r="AW42" s="295">
        <f t="shared" si="41"/>
        <v>0</v>
      </c>
      <c r="AX42" s="297" t="s">
        <v>1825</v>
      </c>
      <c r="AY42" s="297" t="s">
        <v>1755</v>
      </c>
      <c r="AZ42" s="296" t="s">
        <v>1749</v>
      </c>
      <c r="BB42" s="295">
        <f t="shared" si="42"/>
        <v>0</v>
      </c>
      <c r="BC42" s="295">
        <f t="shared" si="43"/>
        <v>0</v>
      </c>
      <c r="BD42" s="295">
        <v>0</v>
      </c>
      <c r="BE42" s="295">
        <f t="shared" si="44"/>
        <v>0.010100000000000001</v>
      </c>
      <c r="BG42" s="294">
        <f t="shared" si="45"/>
        <v>0</v>
      </c>
      <c r="BH42" s="294">
        <f t="shared" si="46"/>
        <v>0</v>
      </c>
      <c r="BI42" s="294">
        <f t="shared" si="47"/>
        <v>0</v>
      </c>
    </row>
    <row r="43" spans="1:61" ht="12">
      <c r="A43" s="327" t="s">
        <v>327</v>
      </c>
      <c r="B43" s="327"/>
      <c r="C43" s="327" t="s">
        <v>1871</v>
      </c>
      <c r="D43" s="327" t="s">
        <v>1870</v>
      </c>
      <c r="E43" s="327" t="s">
        <v>310</v>
      </c>
      <c r="F43" s="328">
        <v>25</v>
      </c>
      <c r="G43" s="329">
        <v>0</v>
      </c>
      <c r="H43" s="328">
        <f t="shared" si="24"/>
        <v>0</v>
      </c>
      <c r="I43" s="328">
        <f t="shared" si="25"/>
        <v>0</v>
      </c>
      <c r="J43" s="328">
        <f t="shared" si="26"/>
        <v>0</v>
      </c>
      <c r="K43" s="328">
        <v>0.00141</v>
      </c>
      <c r="L43" s="328">
        <f t="shared" si="27"/>
        <v>0.035250000000000004</v>
      </c>
      <c r="Y43" s="295">
        <f t="shared" si="28"/>
        <v>0</v>
      </c>
      <c r="AA43" s="295">
        <f t="shared" si="29"/>
        <v>0</v>
      </c>
      <c r="AB43" s="295">
        <f t="shared" si="30"/>
        <v>0</v>
      </c>
      <c r="AC43" s="295">
        <f t="shared" si="31"/>
        <v>0</v>
      </c>
      <c r="AD43" s="295">
        <f t="shared" si="32"/>
        <v>0</v>
      </c>
      <c r="AE43" s="295">
        <f t="shared" si="33"/>
        <v>0</v>
      </c>
      <c r="AF43" s="295">
        <f t="shared" si="34"/>
        <v>0</v>
      </c>
      <c r="AG43" s="295">
        <f t="shared" si="35"/>
        <v>0</v>
      </c>
      <c r="AH43" s="296"/>
      <c r="AI43" s="294">
        <f t="shared" si="36"/>
        <v>0</v>
      </c>
      <c r="AJ43" s="294">
        <f t="shared" si="37"/>
        <v>0</v>
      </c>
      <c r="AK43" s="294">
        <f t="shared" si="38"/>
        <v>0</v>
      </c>
      <c r="AM43" s="295">
        <v>21</v>
      </c>
      <c r="AN43" s="295">
        <f>G43*0.607084019769357</f>
        <v>0</v>
      </c>
      <c r="AO43" s="295">
        <f>G43*(1-0.607084019769357)</f>
        <v>0</v>
      </c>
      <c r="AP43" s="298" t="s">
        <v>225</v>
      </c>
      <c r="AU43" s="295">
        <f t="shared" si="39"/>
        <v>0</v>
      </c>
      <c r="AV43" s="295">
        <f t="shared" si="40"/>
        <v>0</v>
      </c>
      <c r="AW43" s="295">
        <f t="shared" si="41"/>
        <v>0</v>
      </c>
      <c r="AX43" s="297" t="s">
        <v>1825</v>
      </c>
      <c r="AY43" s="297" t="s">
        <v>1755</v>
      </c>
      <c r="AZ43" s="296" t="s">
        <v>1749</v>
      </c>
      <c r="BB43" s="295">
        <f t="shared" si="42"/>
        <v>0</v>
      </c>
      <c r="BC43" s="295">
        <f t="shared" si="43"/>
        <v>0</v>
      </c>
      <c r="BD43" s="295">
        <v>0</v>
      </c>
      <c r="BE43" s="295">
        <f t="shared" si="44"/>
        <v>0.035250000000000004</v>
      </c>
      <c r="BG43" s="294">
        <f t="shared" si="45"/>
        <v>0</v>
      </c>
      <c r="BH43" s="294">
        <f t="shared" si="46"/>
        <v>0</v>
      </c>
      <c r="BI43" s="294">
        <f t="shared" si="47"/>
        <v>0</v>
      </c>
    </row>
    <row r="44" spans="1:61" ht="12">
      <c r="A44" s="335" t="s">
        <v>331</v>
      </c>
      <c r="B44" s="335"/>
      <c r="C44" s="335" t="s">
        <v>1869</v>
      </c>
      <c r="D44" s="335" t="s">
        <v>1868</v>
      </c>
      <c r="E44" s="335" t="s">
        <v>310</v>
      </c>
      <c r="F44" s="336">
        <v>10</v>
      </c>
      <c r="G44" s="337">
        <v>0</v>
      </c>
      <c r="H44" s="336">
        <f t="shared" si="24"/>
        <v>0</v>
      </c>
      <c r="I44" s="336">
        <f t="shared" si="25"/>
        <v>0</v>
      </c>
      <c r="J44" s="336">
        <f t="shared" si="26"/>
        <v>0</v>
      </c>
      <c r="K44" s="336">
        <v>0.00033</v>
      </c>
      <c r="L44" s="336">
        <f t="shared" si="27"/>
        <v>0.0033</v>
      </c>
      <c r="Y44" s="295">
        <f t="shared" si="28"/>
        <v>0</v>
      </c>
      <c r="AA44" s="295">
        <f t="shared" si="29"/>
        <v>0</v>
      </c>
      <c r="AB44" s="295">
        <f t="shared" si="30"/>
        <v>0</v>
      </c>
      <c r="AC44" s="295">
        <f t="shared" si="31"/>
        <v>0</v>
      </c>
      <c r="AD44" s="295">
        <f t="shared" si="32"/>
        <v>0</v>
      </c>
      <c r="AE44" s="295">
        <f t="shared" si="33"/>
        <v>0</v>
      </c>
      <c r="AF44" s="295">
        <f t="shared" si="34"/>
        <v>0</v>
      </c>
      <c r="AG44" s="295">
        <f t="shared" si="35"/>
        <v>0</v>
      </c>
      <c r="AH44" s="296"/>
      <c r="AI44" s="305">
        <f t="shared" si="36"/>
        <v>0</v>
      </c>
      <c r="AJ44" s="305">
        <f t="shared" si="37"/>
        <v>0</v>
      </c>
      <c r="AK44" s="305">
        <f t="shared" si="38"/>
        <v>0</v>
      </c>
      <c r="AM44" s="295">
        <v>21</v>
      </c>
      <c r="AN44" s="295">
        <f>G44*1</f>
        <v>0</v>
      </c>
      <c r="AO44" s="295">
        <f>G44*(1-1)</f>
        <v>0</v>
      </c>
      <c r="AP44" s="306" t="s">
        <v>225</v>
      </c>
      <c r="AU44" s="295">
        <f t="shared" si="39"/>
        <v>0</v>
      </c>
      <c r="AV44" s="295">
        <f t="shared" si="40"/>
        <v>0</v>
      </c>
      <c r="AW44" s="295">
        <f t="shared" si="41"/>
        <v>0</v>
      </c>
      <c r="AX44" s="297" t="s">
        <v>1825</v>
      </c>
      <c r="AY44" s="297" t="s">
        <v>1755</v>
      </c>
      <c r="AZ44" s="296" t="s">
        <v>1749</v>
      </c>
      <c r="BB44" s="295">
        <f t="shared" si="42"/>
        <v>0</v>
      </c>
      <c r="BC44" s="295">
        <f t="shared" si="43"/>
        <v>0</v>
      </c>
      <c r="BD44" s="295">
        <v>0</v>
      </c>
      <c r="BE44" s="295">
        <f t="shared" si="44"/>
        <v>0.0033</v>
      </c>
      <c r="BG44" s="305">
        <f t="shared" si="45"/>
        <v>0</v>
      </c>
      <c r="BH44" s="305">
        <f t="shared" si="46"/>
        <v>0</v>
      </c>
      <c r="BI44" s="305">
        <f t="shared" si="47"/>
        <v>0</v>
      </c>
    </row>
    <row r="45" spans="1:61" ht="12">
      <c r="A45" s="327" t="s">
        <v>336</v>
      </c>
      <c r="B45" s="327"/>
      <c r="C45" s="327" t="s">
        <v>1977</v>
      </c>
      <c r="D45" s="327" t="s">
        <v>1867</v>
      </c>
      <c r="E45" s="327" t="s">
        <v>310</v>
      </c>
      <c r="F45" s="328">
        <v>130</v>
      </c>
      <c r="G45" s="329">
        <v>0</v>
      </c>
      <c r="H45" s="328">
        <f t="shared" si="24"/>
        <v>0</v>
      </c>
      <c r="I45" s="328">
        <f t="shared" si="25"/>
        <v>0</v>
      </c>
      <c r="J45" s="328">
        <f t="shared" si="26"/>
        <v>0</v>
      </c>
      <c r="K45" s="328">
        <v>4E-05</v>
      </c>
      <c r="L45" s="328">
        <f t="shared" si="27"/>
        <v>0.005200000000000001</v>
      </c>
      <c r="Y45" s="295">
        <f t="shared" si="28"/>
        <v>0</v>
      </c>
      <c r="AA45" s="295">
        <f t="shared" si="29"/>
        <v>0</v>
      </c>
      <c r="AB45" s="295">
        <f t="shared" si="30"/>
        <v>0</v>
      </c>
      <c r="AC45" s="295">
        <f t="shared" si="31"/>
        <v>0</v>
      </c>
      <c r="AD45" s="295">
        <f t="shared" si="32"/>
        <v>0</v>
      </c>
      <c r="AE45" s="295">
        <f t="shared" si="33"/>
        <v>0</v>
      </c>
      <c r="AF45" s="295">
        <f t="shared" si="34"/>
        <v>0</v>
      </c>
      <c r="AG45" s="295">
        <f t="shared" si="35"/>
        <v>0</v>
      </c>
      <c r="AH45" s="296"/>
      <c r="AI45" s="294">
        <f t="shared" si="36"/>
        <v>0</v>
      </c>
      <c r="AJ45" s="294">
        <f t="shared" si="37"/>
        <v>0</v>
      </c>
      <c r="AK45" s="294">
        <f t="shared" si="38"/>
        <v>0</v>
      </c>
      <c r="AM45" s="295">
        <v>21</v>
      </c>
      <c r="AN45" s="295">
        <f>G45*0.337931034482759</f>
        <v>0</v>
      </c>
      <c r="AO45" s="295">
        <f>G45*(1-0.337931034482759)</f>
        <v>0</v>
      </c>
      <c r="AP45" s="298" t="s">
        <v>225</v>
      </c>
      <c r="AU45" s="295">
        <f t="shared" si="39"/>
        <v>0</v>
      </c>
      <c r="AV45" s="295">
        <f t="shared" si="40"/>
        <v>0</v>
      </c>
      <c r="AW45" s="295">
        <f t="shared" si="41"/>
        <v>0</v>
      </c>
      <c r="AX45" s="297" t="s">
        <v>1825</v>
      </c>
      <c r="AY45" s="297" t="s">
        <v>1755</v>
      </c>
      <c r="AZ45" s="296" t="s">
        <v>1749</v>
      </c>
      <c r="BB45" s="295">
        <f t="shared" si="42"/>
        <v>0</v>
      </c>
      <c r="BC45" s="295">
        <f t="shared" si="43"/>
        <v>0</v>
      </c>
      <c r="BD45" s="295">
        <v>0</v>
      </c>
      <c r="BE45" s="295">
        <f t="shared" si="44"/>
        <v>0.005200000000000001</v>
      </c>
      <c r="BG45" s="294">
        <f t="shared" si="45"/>
        <v>0</v>
      </c>
      <c r="BH45" s="294">
        <f t="shared" si="46"/>
        <v>0</v>
      </c>
      <c r="BI45" s="294">
        <f t="shared" si="47"/>
        <v>0</v>
      </c>
    </row>
    <row r="46" spans="1:12" ht="12">
      <c r="A46" s="291"/>
      <c r="B46" s="291"/>
      <c r="C46" s="291"/>
      <c r="D46" s="338" t="s">
        <v>1866</v>
      </c>
      <c r="E46" s="291"/>
      <c r="F46" s="291"/>
      <c r="G46" s="339"/>
      <c r="H46" s="291"/>
      <c r="I46" s="291"/>
      <c r="J46" s="291"/>
      <c r="K46" s="291"/>
      <c r="L46" s="291"/>
    </row>
    <row r="47" spans="1:61" ht="12">
      <c r="A47" s="327" t="s">
        <v>340</v>
      </c>
      <c r="B47" s="327"/>
      <c r="C47" s="327" t="s">
        <v>1978</v>
      </c>
      <c r="D47" s="327" t="s">
        <v>1865</v>
      </c>
      <c r="E47" s="327" t="s">
        <v>310</v>
      </c>
      <c r="F47" s="328">
        <v>45</v>
      </c>
      <c r="G47" s="329">
        <v>0</v>
      </c>
      <c r="H47" s="328">
        <f>F47*AN47</f>
        <v>0</v>
      </c>
      <c r="I47" s="328">
        <f>F47*AO47</f>
        <v>0</v>
      </c>
      <c r="J47" s="328">
        <f>F47*G47</f>
        <v>0</v>
      </c>
      <c r="K47" s="328">
        <v>6E-05</v>
      </c>
      <c r="L47" s="328">
        <f>F47*K47</f>
        <v>0.0027</v>
      </c>
      <c r="Y47" s="295">
        <f>IF(AP47="5",BI47,0)</f>
        <v>0</v>
      </c>
      <c r="AA47" s="295">
        <f>IF(AP47="1",BG47,0)</f>
        <v>0</v>
      </c>
      <c r="AB47" s="295">
        <f>IF(AP47="1",BH47,0)</f>
        <v>0</v>
      </c>
      <c r="AC47" s="295">
        <f>IF(AP47="7",BG47,0)</f>
        <v>0</v>
      </c>
      <c r="AD47" s="295">
        <f>IF(AP47="7",BH47,0)</f>
        <v>0</v>
      </c>
      <c r="AE47" s="295">
        <f>IF(AP47="2",BG47,0)</f>
        <v>0</v>
      </c>
      <c r="AF47" s="295">
        <f>IF(AP47="2",BH47,0)</f>
        <v>0</v>
      </c>
      <c r="AG47" s="295">
        <f>IF(AP47="0",BI47,0)</f>
        <v>0</v>
      </c>
      <c r="AH47" s="296"/>
      <c r="AI47" s="294">
        <f>IF(AM47=0,J47,0)</f>
        <v>0</v>
      </c>
      <c r="AJ47" s="294">
        <f>IF(AM47=15,J47,0)</f>
        <v>0</v>
      </c>
      <c r="AK47" s="294">
        <f>IF(AM47=21,J47,0)</f>
        <v>0</v>
      </c>
      <c r="AM47" s="295">
        <v>21</v>
      </c>
      <c r="AN47" s="295">
        <f>G47*0.361520190023753</f>
        <v>0</v>
      </c>
      <c r="AO47" s="295">
        <f>G47*(1-0.361520190023753)</f>
        <v>0</v>
      </c>
      <c r="AP47" s="298" t="s">
        <v>225</v>
      </c>
      <c r="AU47" s="295">
        <f>AV47+AW47</f>
        <v>0</v>
      </c>
      <c r="AV47" s="295">
        <f>F47*AN47</f>
        <v>0</v>
      </c>
      <c r="AW47" s="295">
        <f>F47*AO47</f>
        <v>0</v>
      </c>
      <c r="AX47" s="297" t="s">
        <v>1825</v>
      </c>
      <c r="AY47" s="297" t="s">
        <v>1755</v>
      </c>
      <c r="AZ47" s="296" t="s">
        <v>1749</v>
      </c>
      <c r="BB47" s="295">
        <f>AV47+AW47</f>
        <v>0</v>
      </c>
      <c r="BC47" s="295">
        <f>G47/(100-BD47)*100</f>
        <v>0</v>
      </c>
      <c r="BD47" s="295">
        <v>0</v>
      </c>
      <c r="BE47" s="295">
        <f>L47</f>
        <v>0.0027</v>
      </c>
      <c r="BG47" s="294">
        <f>F47*AN47</f>
        <v>0</v>
      </c>
      <c r="BH47" s="294">
        <f>F47*AO47</f>
        <v>0</v>
      </c>
      <c r="BI47" s="294">
        <f>F47*G47</f>
        <v>0</v>
      </c>
    </row>
    <row r="48" spans="1:12" ht="12">
      <c r="A48" s="291"/>
      <c r="B48" s="291"/>
      <c r="C48" s="291"/>
      <c r="D48" s="338" t="s">
        <v>1864</v>
      </c>
      <c r="E48" s="291"/>
      <c r="F48" s="291"/>
      <c r="G48" s="339"/>
      <c r="H48" s="291"/>
      <c r="I48" s="291"/>
      <c r="J48" s="291"/>
      <c r="K48" s="291"/>
      <c r="L48" s="291"/>
    </row>
    <row r="49" spans="1:61" ht="12">
      <c r="A49" s="327" t="s">
        <v>344</v>
      </c>
      <c r="B49" s="327"/>
      <c r="C49" s="327" t="s">
        <v>1979</v>
      </c>
      <c r="D49" s="327" t="s">
        <v>1863</v>
      </c>
      <c r="E49" s="327" t="s">
        <v>310</v>
      </c>
      <c r="F49" s="328">
        <v>50</v>
      </c>
      <c r="G49" s="329">
        <v>0</v>
      </c>
      <c r="H49" s="328">
        <f>F49*AN49</f>
        <v>0</v>
      </c>
      <c r="I49" s="328">
        <f>F49*AO49</f>
        <v>0</v>
      </c>
      <c r="J49" s="328">
        <f>F49*G49</f>
        <v>0</v>
      </c>
      <c r="K49" s="328">
        <v>6E-05</v>
      </c>
      <c r="L49" s="328">
        <f>F49*K49</f>
        <v>0.003</v>
      </c>
      <c r="Y49" s="295">
        <f>IF(AP49="5",BI49,0)</f>
        <v>0</v>
      </c>
      <c r="AA49" s="295">
        <f>IF(AP49="1",BG49,0)</f>
        <v>0</v>
      </c>
      <c r="AB49" s="295">
        <f>IF(AP49="1",BH49,0)</f>
        <v>0</v>
      </c>
      <c r="AC49" s="295">
        <f>IF(AP49="7",BG49,0)</f>
        <v>0</v>
      </c>
      <c r="AD49" s="295">
        <f>IF(AP49="7",BH49,0)</f>
        <v>0</v>
      </c>
      <c r="AE49" s="295">
        <f>IF(AP49="2",BG49,0)</f>
        <v>0</v>
      </c>
      <c r="AF49" s="295">
        <f>IF(AP49="2",BH49,0)</f>
        <v>0</v>
      </c>
      <c r="AG49" s="295">
        <f>IF(AP49="0",BI49,0)</f>
        <v>0</v>
      </c>
      <c r="AH49" s="296"/>
      <c r="AI49" s="294">
        <f>IF(AM49=0,J49,0)</f>
        <v>0</v>
      </c>
      <c r="AJ49" s="294">
        <f>IF(AM49=15,J49,0)</f>
        <v>0</v>
      </c>
      <c r="AK49" s="294">
        <f>IF(AM49=21,J49,0)</f>
        <v>0</v>
      </c>
      <c r="AM49" s="295">
        <v>21</v>
      </c>
      <c r="AN49" s="295">
        <f>G49*0.384223124154439</f>
        <v>0</v>
      </c>
      <c r="AO49" s="295">
        <f>G49*(1-0.384223124154439)</f>
        <v>0</v>
      </c>
      <c r="AP49" s="298" t="s">
        <v>225</v>
      </c>
      <c r="AU49" s="295">
        <f>AV49+AW49</f>
        <v>0</v>
      </c>
      <c r="AV49" s="295">
        <f>F49*AN49</f>
        <v>0</v>
      </c>
      <c r="AW49" s="295">
        <f>F49*AO49</f>
        <v>0</v>
      </c>
      <c r="AX49" s="297" t="s">
        <v>1825</v>
      </c>
      <c r="AY49" s="297" t="s">
        <v>1755</v>
      </c>
      <c r="AZ49" s="296" t="s">
        <v>1749</v>
      </c>
      <c r="BB49" s="295">
        <f>AV49+AW49</f>
        <v>0</v>
      </c>
      <c r="BC49" s="295">
        <f>G49/(100-BD49)*100</f>
        <v>0</v>
      </c>
      <c r="BD49" s="295">
        <v>0</v>
      </c>
      <c r="BE49" s="295">
        <f>L49</f>
        <v>0.003</v>
      </c>
      <c r="BG49" s="294">
        <f>F49*AN49</f>
        <v>0</v>
      </c>
      <c r="BH49" s="294">
        <f>F49*AO49</f>
        <v>0</v>
      </c>
      <c r="BI49" s="294">
        <f>F49*G49</f>
        <v>0</v>
      </c>
    </row>
    <row r="50" spans="1:12" ht="12">
      <c r="A50" s="291"/>
      <c r="B50" s="291"/>
      <c r="C50" s="291"/>
      <c r="D50" s="338" t="s">
        <v>1862</v>
      </c>
      <c r="E50" s="291"/>
      <c r="F50" s="291"/>
      <c r="G50" s="339"/>
      <c r="H50" s="291"/>
      <c r="I50" s="291"/>
      <c r="J50" s="291"/>
      <c r="K50" s="291"/>
      <c r="L50" s="291"/>
    </row>
    <row r="51" spans="1:61" ht="12">
      <c r="A51" s="327" t="s">
        <v>348</v>
      </c>
      <c r="B51" s="327"/>
      <c r="C51" s="327" t="s">
        <v>1980</v>
      </c>
      <c r="D51" s="327" t="s">
        <v>1861</v>
      </c>
      <c r="E51" s="327" t="s">
        <v>310</v>
      </c>
      <c r="F51" s="328">
        <v>10</v>
      </c>
      <c r="G51" s="329">
        <v>0</v>
      </c>
      <c r="H51" s="328">
        <f>F51*AN51</f>
        <v>0</v>
      </c>
      <c r="I51" s="328">
        <f>F51*AO51</f>
        <v>0</v>
      </c>
      <c r="J51" s="328">
        <f>F51*G51</f>
        <v>0</v>
      </c>
      <c r="K51" s="328">
        <v>0.00011</v>
      </c>
      <c r="L51" s="328">
        <f>F51*K51</f>
        <v>0.0011</v>
      </c>
      <c r="Y51" s="295">
        <f>IF(AP51="5",BI51,0)</f>
        <v>0</v>
      </c>
      <c r="AA51" s="295">
        <f>IF(AP51="1",BG51,0)</f>
        <v>0</v>
      </c>
      <c r="AB51" s="295">
        <f>IF(AP51="1",BH51,0)</f>
        <v>0</v>
      </c>
      <c r="AC51" s="295">
        <f>IF(AP51="7",BG51,0)</f>
        <v>0</v>
      </c>
      <c r="AD51" s="295">
        <f>IF(AP51="7",BH51,0)</f>
        <v>0</v>
      </c>
      <c r="AE51" s="295">
        <f>IF(AP51="2",BG51,0)</f>
        <v>0</v>
      </c>
      <c r="AF51" s="295">
        <f>IF(AP51="2",BH51,0)</f>
        <v>0</v>
      </c>
      <c r="AG51" s="295">
        <f>IF(AP51="0",BI51,0)</f>
        <v>0</v>
      </c>
      <c r="AH51" s="296"/>
      <c r="AI51" s="294">
        <f>IF(AM51=0,J51,0)</f>
        <v>0</v>
      </c>
      <c r="AJ51" s="294">
        <f>IF(AM51=15,J51,0)</f>
        <v>0</v>
      </c>
      <c r="AK51" s="294">
        <f>IF(AM51=21,J51,0)</f>
        <v>0</v>
      </c>
      <c r="AM51" s="295">
        <v>21</v>
      </c>
      <c r="AN51" s="295">
        <f>G51*0.402465753424658</f>
        <v>0</v>
      </c>
      <c r="AO51" s="295">
        <f>G51*(1-0.402465753424658)</f>
        <v>0</v>
      </c>
      <c r="AP51" s="298" t="s">
        <v>225</v>
      </c>
      <c r="AU51" s="295">
        <f>AV51+AW51</f>
        <v>0</v>
      </c>
      <c r="AV51" s="295">
        <f>F51*AN51</f>
        <v>0</v>
      </c>
      <c r="AW51" s="295">
        <f>F51*AO51</f>
        <v>0</v>
      </c>
      <c r="AX51" s="297" t="s">
        <v>1825</v>
      </c>
      <c r="AY51" s="297" t="s">
        <v>1755</v>
      </c>
      <c r="AZ51" s="296" t="s">
        <v>1749</v>
      </c>
      <c r="BB51" s="295">
        <f>AV51+AW51</f>
        <v>0</v>
      </c>
      <c r="BC51" s="295">
        <f>G51/(100-BD51)*100</f>
        <v>0</v>
      </c>
      <c r="BD51" s="295">
        <v>0</v>
      </c>
      <c r="BE51" s="295">
        <f>L51</f>
        <v>0.0011</v>
      </c>
      <c r="BG51" s="294">
        <f>F51*AN51</f>
        <v>0</v>
      </c>
      <c r="BH51" s="294">
        <f>F51*AO51</f>
        <v>0</v>
      </c>
      <c r="BI51" s="294">
        <f>F51*G51</f>
        <v>0</v>
      </c>
    </row>
    <row r="52" spans="1:12" ht="12">
      <c r="A52" s="291"/>
      <c r="B52" s="291"/>
      <c r="C52" s="291"/>
      <c r="D52" s="338" t="s">
        <v>1860</v>
      </c>
      <c r="E52" s="291"/>
      <c r="F52" s="291"/>
      <c r="G52" s="339"/>
      <c r="H52" s="291"/>
      <c r="I52" s="291"/>
      <c r="J52" s="291"/>
      <c r="K52" s="291"/>
      <c r="L52" s="291"/>
    </row>
    <row r="53" spans="1:61" ht="12">
      <c r="A53" s="327" t="s">
        <v>353</v>
      </c>
      <c r="B53" s="327"/>
      <c r="C53" s="327" t="s">
        <v>1981</v>
      </c>
      <c r="D53" s="327" t="s">
        <v>1859</v>
      </c>
      <c r="E53" s="327" t="s">
        <v>310</v>
      </c>
      <c r="F53" s="328">
        <v>25</v>
      </c>
      <c r="G53" s="329">
        <v>0</v>
      </c>
      <c r="H53" s="328">
        <f>F53*AN53</f>
        <v>0</v>
      </c>
      <c r="I53" s="328">
        <f>F53*AO53</f>
        <v>0</v>
      </c>
      <c r="J53" s="328">
        <f>F53*G53</f>
        <v>0</v>
      </c>
      <c r="K53" s="328">
        <v>0.00014</v>
      </c>
      <c r="L53" s="328">
        <f>F53*K53</f>
        <v>0.0034999999999999996</v>
      </c>
      <c r="Y53" s="295">
        <f>IF(AP53="5",BI53,0)</f>
        <v>0</v>
      </c>
      <c r="AA53" s="295">
        <f>IF(AP53="1",BG53,0)</f>
        <v>0</v>
      </c>
      <c r="AB53" s="295">
        <f>IF(AP53="1",BH53,0)</f>
        <v>0</v>
      </c>
      <c r="AC53" s="295">
        <f>IF(AP53="7",BG53,0)</f>
        <v>0</v>
      </c>
      <c r="AD53" s="295">
        <f>IF(AP53="7",BH53,0)</f>
        <v>0</v>
      </c>
      <c r="AE53" s="295">
        <f>IF(AP53="2",BG53,0)</f>
        <v>0</v>
      </c>
      <c r="AF53" s="295">
        <f>IF(AP53="2",BH53,0)</f>
        <v>0</v>
      </c>
      <c r="AG53" s="295">
        <f>IF(AP53="0",BI53,0)</f>
        <v>0</v>
      </c>
      <c r="AH53" s="296"/>
      <c r="AI53" s="294">
        <f>IF(AM53=0,J53,0)</f>
        <v>0</v>
      </c>
      <c r="AJ53" s="294">
        <f>IF(AM53=15,J53,0)</f>
        <v>0</v>
      </c>
      <c r="AK53" s="294">
        <f>IF(AM53=21,J53,0)</f>
        <v>0</v>
      </c>
      <c r="AM53" s="295">
        <v>21</v>
      </c>
      <c r="AN53" s="295">
        <f>G53*0.428709677419355</f>
        <v>0</v>
      </c>
      <c r="AO53" s="295">
        <f>G53*(1-0.428709677419355)</f>
        <v>0</v>
      </c>
      <c r="AP53" s="298" t="s">
        <v>225</v>
      </c>
      <c r="AU53" s="295">
        <f>AV53+AW53</f>
        <v>0</v>
      </c>
      <c r="AV53" s="295">
        <f>F53*AN53</f>
        <v>0</v>
      </c>
      <c r="AW53" s="295">
        <f>F53*AO53</f>
        <v>0</v>
      </c>
      <c r="AX53" s="297" t="s">
        <v>1825</v>
      </c>
      <c r="AY53" s="297" t="s">
        <v>1755</v>
      </c>
      <c r="AZ53" s="296" t="s">
        <v>1749</v>
      </c>
      <c r="BB53" s="295">
        <f>AV53+AW53</f>
        <v>0</v>
      </c>
      <c r="BC53" s="295">
        <f>G53/(100-BD53)*100</f>
        <v>0</v>
      </c>
      <c r="BD53" s="295">
        <v>0</v>
      </c>
      <c r="BE53" s="295">
        <f>L53</f>
        <v>0.0034999999999999996</v>
      </c>
      <c r="BG53" s="294">
        <f>F53*AN53</f>
        <v>0</v>
      </c>
      <c r="BH53" s="294">
        <f>F53*AO53</f>
        <v>0</v>
      </c>
      <c r="BI53" s="294">
        <f>F53*G53</f>
        <v>0</v>
      </c>
    </row>
    <row r="54" spans="1:12" ht="12">
      <c r="A54" s="291"/>
      <c r="B54" s="291"/>
      <c r="C54" s="291"/>
      <c r="D54" s="338" t="s">
        <v>1858</v>
      </c>
      <c r="E54" s="291"/>
      <c r="F54" s="291"/>
      <c r="G54" s="339"/>
      <c r="H54" s="291"/>
      <c r="I54" s="291"/>
      <c r="J54" s="291"/>
      <c r="K54" s="291"/>
      <c r="L54" s="291"/>
    </row>
    <row r="55" spans="1:61" ht="12">
      <c r="A55" s="327" t="s">
        <v>357</v>
      </c>
      <c r="B55" s="327"/>
      <c r="C55" s="327" t="s">
        <v>1857</v>
      </c>
      <c r="D55" s="327" t="s">
        <v>1856</v>
      </c>
      <c r="E55" s="327" t="s">
        <v>258</v>
      </c>
      <c r="F55" s="328">
        <v>51</v>
      </c>
      <c r="G55" s="329">
        <v>0</v>
      </c>
      <c r="H55" s="328">
        <f aca="true" t="shared" si="48" ref="H55:H70">F55*AN55</f>
        <v>0</v>
      </c>
      <c r="I55" s="328">
        <f aca="true" t="shared" si="49" ref="I55:I70">F55*AO55</f>
        <v>0</v>
      </c>
      <c r="J55" s="328">
        <f aca="true" t="shared" si="50" ref="J55:J70">F55*G55</f>
        <v>0</v>
      </c>
      <c r="K55" s="328">
        <v>0</v>
      </c>
      <c r="L55" s="328">
        <f aca="true" t="shared" si="51" ref="L55:L70">F55*K55</f>
        <v>0</v>
      </c>
      <c r="Y55" s="295">
        <f aca="true" t="shared" si="52" ref="Y55:Y70">IF(AP55="5",BI55,0)</f>
        <v>0</v>
      </c>
      <c r="AA55" s="295">
        <f aca="true" t="shared" si="53" ref="AA55:AA70">IF(AP55="1",BG55,0)</f>
        <v>0</v>
      </c>
      <c r="AB55" s="295">
        <f aca="true" t="shared" si="54" ref="AB55:AB70">IF(AP55="1",BH55,0)</f>
        <v>0</v>
      </c>
      <c r="AC55" s="295">
        <f aca="true" t="shared" si="55" ref="AC55:AC70">IF(AP55="7",BG55,0)</f>
        <v>0</v>
      </c>
      <c r="AD55" s="295">
        <f aca="true" t="shared" si="56" ref="AD55:AD70">IF(AP55="7",BH55,0)</f>
        <v>0</v>
      </c>
      <c r="AE55" s="295">
        <f aca="true" t="shared" si="57" ref="AE55:AE70">IF(AP55="2",BG55,0)</f>
        <v>0</v>
      </c>
      <c r="AF55" s="295">
        <f aca="true" t="shared" si="58" ref="AF55:AF70">IF(AP55="2",BH55,0)</f>
        <v>0</v>
      </c>
      <c r="AG55" s="295">
        <f aca="true" t="shared" si="59" ref="AG55:AG70">IF(AP55="0",BI55,0)</f>
        <v>0</v>
      </c>
      <c r="AH55" s="296"/>
      <c r="AI55" s="294">
        <f aca="true" t="shared" si="60" ref="AI55:AI70">IF(AM55=0,J55,0)</f>
        <v>0</v>
      </c>
      <c r="AJ55" s="294">
        <f aca="true" t="shared" si="61" ref="AJ55:AJ70">IF(AM55=15,J55,0)</f>
        <v>0</v>
      </c>
      <c r="AK55" s="294">
        <f aca="true" t="shared" si="62" ref="AK55:AK70">IF(AM55=21,J55,0)</f>
        <v>0</v>
      </c>
      <c r="AM55" s="295">
        <v>21</v>
      </c>
      <c r="AN55" s="295">
        <f>G55*0</f>
        <v>0</v>
      </c>
      <c r="AO55" s="295">
        <f>G55*(1-0)</f>
        <v>0</v>
      </c>
      <c r="AP55" s="298" t="s">
        <v>225</v>
      </c>
      <c r="AU55" s="295">
        <f aca="true" t="shared" si="63" ref="AU55:AU70">AV55+AW55</f>
        <v>0</v>
      </c>
      <c r="AV55" s="295">
        <f aca="true" t="shared" si="64" ref="AV55:AV70">F55*AN55</f>
        <v>0</v>
      </c>
      <c r="AW55" s="295">
        <f aca="true" t="shared" si="65" ref="AW55:AW70">F55*AO55</f>
        <v>0</v>
      </c>
      <c r="AX55" s="297" t="s">
        <v>1825</v>
      </c>
      <c r="AY55" s="297" t="s">
        <v>1755</v>
      </c>
      <c r="AZ55" s="296" t="s">
        <v>1749</v>
      </c>
      <c r="BB55" s="295">
        <f aca="true" t="shared" si="66" ref="BB55:BB70">AV55+AW55</f>
        <v>0</v>
      </c>
      <c r="BC55" s="295">
        <f aca="true" t="shared" si="67" ref="BC55:BC70">G55/(100-BD55)*100</f>
        <v>0</v>
      </c>
      <c r="BD55" s="295">
        <v>0</v>
      </c>
      <c r="BE55" s="295">
        <f aca="true" t="shared" si="68" ref="BE55:BE70">L55</f>
        <v>0</v>
      </c>
      <c r="BG55" s="294">
        <f aca="true" t="shared" si="69" ref="BG55:BG70">F55*AN55</f>
        <v>0</v>
      </c>
      <c r="BH55" s="294">
        <f aca="true" t="shared" si="70" ref="BH55:BH70">F55*AO55</f>
        <v>0</v>
      </c>
      <c r="BI55" s="294">
        <f aca="true" t="shared" si="71" ref="BI55:BI70">F55*G55</f>
        <v>0</v>
      </c>
    </row>
    <row r="56" spans="1:61" ht="12">
      <c r="A56" s="327" t="s">
        <v>362</v>
      </c>
      <c r="B56" s="327"/>
      <c r="C56" s="327" t="s">
        <v>1855</v>
      </c>
      <c r="D56" s="327" t="s">
        <v>1854</v>
      </c>
      <c r="E56" s="327" t="s">
        <v>258</v>
      </c>
      <c r="F56" s="328">
        <v>51</v>
      </c>
      <c r="G56" s="329">
        <v>0</v>
      </c>
      <c r="H56" s="328">
        <f t="shared" si="48"/>
        <v>0</v>
      </c>
      <c r="I56" s="328">
        <f t="shared" si="49"/>
        <v>0</v>
      </c>
      <c r="J56" s="328">
        <f t="shared" si="50"/>
        <v>0</v>
      </c>
      <c r="K56" s="328">
        <v>0.00018</v>
      </c>
      <c r="L56" s="328">
        <f t="shared" si="51"/>
        <v>0.00918</v>
      </c>
      <c r="Y56" s="295">
        <f t="shared" si="52"/>
        <v>0</v>
      </c>
      <c r="AA56" s="295">
        <f t="shared" si="53"/>
        <v>0</v>
      </c>
      <c r="AB56" s="295">
        <f t="shared" si="54"/>
        <v>0</v>
      </c>
      <c r="AC56" s="295">
        <f t="shared" si="55"/>
        <v>0</v>
      </c>
      <c r="AD56" s="295">
        <f t="shared" si="56"/>
        <v>0</v>
      </c>
      <c r="AE56" s="295">
        <f t="shared" si="57"/>
        <v>0</v>
      </c>
      <c r="AF56" s="295">
        <f t="shared" si="58"/>
        <v>0</v>
      </c>
      <c r="AG56" s="295">
        <f t="shared" si="59"/>
        <v>0</v>
      </c>
      <c r="AH56" s="296"/>
      <c r="AI56" s="294">
        <f t="shared" si="60"/>
        <v>0</v>
      </c>
      <c r="AJ56" s="294">
        <f t="shared" si="61"/>
        <v>0</v>
      </c>
      <c r="AK56" s="294">
        <f t="shared" si="62"/>
        <v>0</v>
      </c>
      <c r="AM56" s="295">
        <v>21</v>
      </c>
      <c r="AN56" s="295">
        <f>G56*0.368901098901099</f>
        <v>0</v>
      </c>
      <c r="AO56" s="295">
        <f>G56*(1-0.368901098901099)</f>
        <v>0</v>
      </c>
      <c r="AP56" s="298" t="s">
        <v>225</v>
      </c>
      <c r="AU56" s="295">
        <f t="shared" si="63"/>
        <v>0</v>
      </c>
      <c r="AV56" s="295">
        <f t="shared" si="64"/>
        <v>0</v>
      </c>
      <c r="AW56" s="295">
        <f t="shared" si="65"/>
        <v>0</v>
      </c>
      <c r="AX56" s="297" t="s">
        <v>1825</v>
      </c>
      <c r="AY56" s="297" t="s">
        <v>1755</v>
      </c>
      <c r="AZ56" s="296" t="s">
        <v>1749</v>
      </c>
      <c r="BB56" s="295">
        <f t="shared" si="66"/>
        <v>0</v>
      </c>
      <c r="BC56" s="295">
        <f t="shared" si="67"/>
        <v>0</v>
      </c>
      <c r="BD56" s="295">
        <v>0</v>
      </c>
      <c r="BE56" s="295">
        <f t="shared" si="68"/>
        <v>0.00918</v>
      </c>
      <c r="BG56" s="294">
        <f t="shared" si="69"/>
        <v>0</v>
      </c>
      <c r="BH56" s="294">
        <f t="shared" si="70"/>
        <v>0</v>
      </c>
      <c r="BI56" s="294">
        <f t="shared" si="71"/>
        <v>0</v>
      </c>
    </row>
    <row r="57" spans="1:61" ht="12">
      <c r="A57" s="327" t="s">
        <v>366</v>
      </c>
      <c r="B57" s="327"/>
      <c r="C57" s="327" t="s">
        <v>1853</v>
      </c>
      <c r="D57" s="327" t="s">
        <v>1852</v>
      </c>
      <c r="E57" s="327" t="s">
        <v>258</v>
      </c>
      <c r="F57" s="328">
        <v>2</v>
      </c>
      <c r="G57" s="329">
        <v>0</v>
      </c>
      <c r="H57" s="328">
        <f t="shared" si="48"/>
        <v>0</v>
      </c>
      <c r="I57" s="328">
        <f t="shared" si="49"/>
        <v>0</v>
      </c>
      <c r="J57" s="328">
        <f t="shared" si="50"/>
        <v>0</v>
      </c>
      <c r="K57" s="328">
        <v>0.00031</v>
      </c>
      <c r="L57" s="328">
        <f t="shared" si="51"/>
        <v>0.00062</v>
      </c>
      <c r="Y57" s="295">
        <f t="shared" si="52"/>
        <v>0</v>
      </c>
      <c r="AA57" s="295">
        <f t="shared" si="53"/>
        <v>0</v>
      </c>
      <c r="AB57" s="295">
        <f t="shared" si="54"/>
        <v>0</v>
      </c>
      <c r="AC57" s="295">
        <f t="shared" si="55"/>
        <v>0</v>
      </c>
      <c r="AD57" s="295">
        <f t="shared" si="56"/>
        <v>0</v>
      </c>
      <c r="AE57" s="295">
        <f t="shared" si="57"/>
        <v>0</v>
      </c>
      <c r="AF57" s="295">
        <f t="shared" si="58"/>
        <v>0</v>
      </c>
      <c r="AG57" s="295">
        <f t="shared" si="59"/>
        <v>0</v>
      </c>
      <c r="AH57" s="296"/>
      <c r="AI57" s="294">
        <f t="shared" si="60"/>
        <v>0</v>
      </c>
      <c r="AJ57" s="294">
        <f t="shared" si="61"/>
        <v>0</v>
      </c>
      <c r="AK57" s="294">
        <f t="shared" si="62"/>
        <v>0</v>
      </c>
      <c r="AM57" s="295">
        <v>21</v>
      </c>
      <c r="AN57" s="295">
        <f>G57*0.710191179599404</f>
        <v>0</v>
      </c>
      <c r="AO57" s="295">
        <f>G57*(1-0.710191179599404)</f>
        <v>0</v>
      </c>
      <c r="AP57" s="298" t="s">
        <v>225</v>
      </c>
      <c r="AU57" s="295">
        <f t="shared" si="63"/>
        <v>0</v>
      </c>
      <c r="AV57" s="295">
        <f t="shared" si="64"/>
        <v>0</v>
      </c>
      <c r="AW57" s="295">
        <f t="shared" si="65"/>
        <v>0</v>
      </c>
      <c r="AX57" s="297" t="s">
        <v>1825</v>
      </c>
      <c r="AY57" s="297" t="s">
        <v>1755</v>
      </c>
      <c r="AZ57" s="296" t="s">
        <v>1749</v>
      </c>
      <c r="BB57" s="295">
        <f t="shared" si="66"/>
        <v>0</v>
      </c>
      <c r="BC57" s="295">
        <f t="shared" si="67"/>
        <v>0</v>
      </c>
      <c r="BD57" s="295">
        <v>0</v>
      </c>
      <c r="BE57" s="295">
        <f t="shared" si="68"/>
        <v>0.00062</v>
      </c>
      <c r="BG57" s="294">
        <f t="shared" si="69"/>
        <v>0</v>
      </c>
      <c r="BH57" s="294">
        <f t="shared" si="70"/>
        <v>0</v>
      </c>
      <c r="BI57" s="294">
        <f t="shared" si="71"/>
        <v>0</v>
      </c>
    </row>
    <row r="58" spans="1:61" ht="12">
      <c r="A58" s="327" t="s">
        <v>370</v>
      </c>
      <c r="B58" s="327"/>
      <c r="C58" s="327" t="s">
        <v>1851</v>
      </c>
      <c r="D58" s="327" t="s">
        <v>1850</v>
      </c>
      <c r="E58" s="327" t="s">
        <v>258</v>
      </c>
      <c r="F58" s="328">
        <v>3</v>
      </c>
      <c r="G58" s="329">
        <v>0</v>
      </c>
      <c r="H58" s="328">
        <f t="shared" si="48"/>
        <v>0</v>
      </c>
      <c r="I58" s="328">
        <f t="shared" si="49"/>
        <v>0</v>
      </c>
      <c r="J58" s="328">
        <f t="shared" si="50"/>
        <v>0</v>
      </c>
      <c r="K58" s="328">
        <v>0.00048</v>
      </c>
      <c r="L58" s="328">
        <f t="shared" si="51"/>
        <v>0.00144</v>
      </c>
      <c r="Y58" s="295">
        <f t="shared" si="52"/>
        <v>0</v>
      </c>
      <c r="AA58" s="295">
        <f t="shared" si="53"/>
        <v>0</v>
      </c>
      <c r="AB58" s="295">
        <f t="shared" si="54"/>
        <v>0</v>
      </c>
      <c r="AC58" s="295">
        <f t="shared" si="55"/>
        <v>0</v>
      </c>
      <c r="AD58" s="295">
        <f t="shared" si="56"/>
        <v>0</v>
      </c>
      <c r="AE58" s="295">
        <f t="shared" si="57"/>
        <v>0</v>
      </c>
      <c r="AF58" s="295">
        <f t="shared" si="58"/>
        <v>0</v>
      </c>
      <c r="AG58" s="295">
        <f t="shared" si="59"/>
        <v>0</v>
      </c>
      <c r="AH58" s="296"/>
      <c r="AI58" s="294">
        <f t="shared" si="60"/>
        <v>0</v>
      </c>
      <c r="AJ58" s="294">
        <f t="shared" si="61"/>
        <v>0</v>
      </c>
      <c r="AK58" s="294">
        <f t="shared" si="62"/>
        <v>0</v>
      </c>
      <c r="AM58" s="295">
        <v>21</v>
      </c>
      <c r="AN58" s="295">
        <f>G58*0.778474576271186</f>
        <v>0</v>
      </c>
      <c r="AO58" s="295">
        <f>G58*(1-0.778474576271186)</f>
        <v>0</v>
      </c>
      <c r="AP58" s="298" t="s">
        <v>225</v>
      </c>
      <c r="AU58" s="295">
        <f t="shared" si="63"/>
        <v>0</v>
      </c>
      <c r="AV58" s="295">
        <f t="shared" si="64"/>
        <v>0</v>
      </c>
      <c r="AW58" s="295">
        <f t="shared" si="65"/>
        <v>0</v>
      </c>
      <c r="AX58" s="297" t="s">
        <v>1825</v>
      </c>
      <c r="AY58" s="297" t="s">
        <v>1755</v>
      </c>
      <c r="AZ58" s="296" t="s">
        <v>1749</v>
      </c>
      <c r="BB58" s="295">
        <f t="shared" si="66"/>
        <v>0</v>
      </c>
      <c r="BC58" s="295">
        <f t="shared" si="67"/>
        <v>0</v>
      </c>
      <c r="BD58" s="295">
        <v>0</v>
      </c>
      <c r="BE58" s="295">
        <f t="shared" si="68"/>
        <v>0.00144</v>
      </c>
      <c r="BG58" s="294">
        <f t="shared" si="69"/>
        <v>0</v>
      </c>
      <c r="BH58" s="294">
        <f t="shared" si="70"/>
        <v>0</v>
      </c>
      <c r="BI58" s="294">
        <f t="shared" si="71"/>
        <v>0</v>
      </c>
    </row>
    <row r="59" spans="1:61" ht="12">
      <c r="A59" s="327" t="s">
        <v>375</v>
      </c>
      <c r="B59" s="327"/>
      <c r="C59" s="327" t="s">
        <v>1849</v>
      </c>
      <c r="D59" s="327" t="s">
        <v>1848</v>
      </c>
      <c r="E59" s="327" t="s">
        <v>258</v>
      </c>
      <c r="F59" s="328">
        <v>3</v>
      </c>
      <c r="G59" s="329">
        <v>0</v>
      </c>
      <c r="H59" s="328">
        <f t="shared" si="48"/>
        <v>0</v>
      </c>
      <c r="I59" s="328">
        <f t="shared" si="49"/>
        <v>0</v>
      </c>
      <c r="J59" s="328">
        <f t="shared" si="50"/>
        <v>0</v>
      </c>
      <c r="K59" s="328">
        <v>0.00104</v>
      </c>
      <c r="L59" s="328">
        <f t="shared" si="51"/>
        <v>0.0031199999999999995</v>
      </c>
      <c r="Y59" s="295">
        <f t="shared" si="52"/>
        <v>0</v>
      </c>
      <c r="AA59" s="295">
        <f t="shared" si="53"/>
        <v>0</v>
      </c>
      <c r="AB59" s="295">
        <f t="shared" si="54"/>
        <v>0</v>
      </c>
      <c r="AC59" s="295">
        <f t="shared" si="55"/>
        <v>0</v>
      </c>
      <c r="AD59" s="295">
        <f t="shared" si="56"/>
        <v>0</v>
      </c>
      <c r="AE59" s="295">
        <f t="shared" si="57"/>
        <v>0</v>
      </c>
      <c r="AF59" s="295">
        <f t="shared" si="58"/>
        <v>0</v>
      </c>
      <c r="AG59" s="295">
        <f t="shared" si="59"/>
        <v>0</v>
      </c>
      <c r="AH59" s="296"/>
      <c r="AI59" s="294">
        <f t="shared" si="60"/>
        <v>0</v>
      </c>
      <c r="AJ59" s="294">
        <f t="shared" si="61"/>
        <v>0</v>
      </c>
      <c r="AK59" s="294">
        <f t="shared" si="62"/>
        <v>0</v>
      </c>
      <c r="AM59" s="295">
        <v>21</v>
      </c>
      <c r="AN59" s="295">
        <f>G59*0.826720257234727</f>
        <v>0</v>
      </c>
      <c r="AO59" s="295">
        <f>G59*(1-0.826720257234727)</f>
        <v>0</v>
      </c>
      <c r="AP59" s="298" t="s">
        <v>225</v>
      </c>
      <c r="AU59" s="295">
        <f t="shared" si="63"/>
        <v>0</v>
      </c>
      <c r="AV59" s="295">
        <f t="shared" si="64"/>
        <v>0</v>
      </c>
      <c r="AW59" s="295">
        <f t="shared" si="65"/>
        <v>0</v>
      </c>
      <c r="AX59" s="297" t="s">
        <v>1825</v>
      </c>
      <c r="AY59" s="297" t="s">
        <v>1755</v>
      </c>
      <c r="AZ59" s="296" t="s">
        <v>1749</v>
      </c>
      <c r="BB59" s="295">
        <f t="shared" si="66"/>
        <v>0</v>
      </c>
      <c r="BC59" s="295">
        <f t="shared" si="67"/>
        <v>0</v>
      </c>
      <c r="BD59" s="295">
        <v>0</v>
      </c>
      <c r="BE59" s="295">
        <f t="shared" si="68"/>
        <v>0.0031199999999999995</v>
      </c>
      <c r="BG59" s="294">
        <f t="shared" si="69"/>
        <v>0</v>
      </c>
      <c r="BH59" s="294">
        <f t="shared" si="70"/>
        <v>0</v>
      </c>
      <c r="BI59" s="294">
        <f t="shared" si="71"/>
        <v>0</v>
      </c>
    </row>
    <row r="60" spans="1:61" ht="12">
      <c r="A60" s="327" t="s">
        <v>380</v>
      </c>
      <c r="B60" s="327"/>
      <c r="C60" s="327" t="s">
        <v>1847</v>
      </c>
      <c r="D60" s="327" t="s">
        <v>1846</v>
      </c>
      <c r="E60" s="327" t="s">
        <v>1767</v>
      </c>
      <c r="F60" s="328">
        <v>8</v>
      </c>
      <c r="G60" s="329">
        <v>0</v>
      </c>
      <c r="H60" s="328">
        <f t="shared" si="48"/>
        <v>0</v>
      </c>
      <c r="I60" s="328">
        <f t="shared" si="49"/>
        <v>0</v>
      </c>
      <c r="J60" s="328">
        <f t="shared" si="50"/>
        <v>0</v>
      </c>
      <c r="K60" s="328">
        <v>0</v>
      </c>
      <c r="L60" s="328">
        <f t="shared" si="51"/>
        <v>0</v>
      </c>
      <c r="Y60" s="295">
        <f t="shared" si="52"/>
        <v>0</v>
      </c>
      <c r="AA60" s="295">
        <f t="shared" si="53"/>
        <v>0</v>
      </c>
      <c r="AB60" s="295">
        <f t="shared" si="54"/>
        <v>0</v>
      </c>
      <c r="AC60" s="295">
        <f t="shared" si="55"/>
        <v>0</v>
      </c>
      <c r="AD60" s="295">
        <f t="shared" si="56"/>
        <v>0</v>
      </c>
      <c r="AE60" s="295">
        <f t="shared" si="57"/>
        <v>0</v>
      </c>
      <c r="AF60" s="295">
        <f t="shared" si="58"/>
        <v>0</v>
      </c>
      <c r="AG60" s="295">
        <f t="shared" si="59"/>
        <v>0</v>
      </c>
      <c r="AH60" s="296"/>
      <c r="AI60" s="294">
        <f t="shared" si="60"/>
        <v>0</v>
      </c>
      <c r="AJ60" s="294">
        <f t="shared" si="61"/>
        <v>0</v>
      </c>
      <c r="AK60" s="294">
        <f t="shared" si="62"/>
        <v>0</v>
      </c>
      <c r="AM60" s="295">
        <v>21</v>
      </c>
      <c r="AN60" s="295">
        <f>G60*0.680747145402944</f>
        <v>0</v>
      </c>
      <c r="AO60" s="295">
        <f>G60*(1-0.680747145402944)</f>
        <v>0</v>
      </c>
      <c r="AP60" s="298" t="s">
        <v>225</v>
      </c>
      <c r="AU60" s="295">
        <f t="shared" si="63"/>
        <v>0</v>
      </c>
      <c r="AV60" s="295">
        <f t="shared" si="64"/>
        <v>0</v>
      </c>
      <c r="AW60" s="295">
        <f t="shared" si="65"/>
        <v>0</v>
      </c>
      <c r="AX60" s="297" t="s">
        <v>1825</v>
      </c>
      <c r="AY60" s="297" t="s">
        <v>1755</v>
      </c>
      <c r="AZ60" s="296" t="s">
        <v>1749</v>
      </c>
      <c r="BB60" s="295">
        <f t="shared" si="66"/>
        <v>0</v>
      </c>
      <c r="BC60" s="295">
        <f t="shared" si="67"/>
        <v>0</v>
      </c>
      <c r="BD60" s="295">
        <v>0</v>
      </c>
      <c r="BE60" s="295">
        <f t="shared" si="68"/>
        <v>0</v>
      </c>
      <c r="BG60" s="294">
        <f t="shared" si="69"/>
        <v>0</v>
      </c>
      <c r="BH60" s="294">
        <f t="shared" si="70"/>
        <v>0</v>
      </c>
      <c r="BI60" s="294">
        <f t="shared" si="71"/>
        <v>0</v>
      </c>
    </row>
    <row r="61" spans="1:61" ht="12">
      <c r="A61" s="327" t="s">
        <v>384</v>
      </c>
      <c r="B61" s="327"/>
      <c r="C61" s="327" t="s">
        <v>1845</v>
      </c>
      <c r="D61" s="327" t="s">
        <v>1844</v>
      </c>
      <c r="E61" s="327" t="s">
        <v>258</v>
      </c>
      <c r="F61" s="328">
        <v>1</v>
      </c>
      <c r="G61" s="329">
        <v>0</v>
      </c>
      <c r="H61" s="328">
        <f t="shared" si="48"/>
        <v>0</v>
      </c>
      <c r="I61" s="328">
        <f t="shared" si="49"/>
        <v>0</v>
      </c>
      <c r="J61" s="328">
        <f t="shared" si="50"/>
        <v>0</v>
      </c>
      <c r="K61" s="328">
        <v>0.00244</v>
      </c>
      <c r="L61" s="328">
        <f t="shared" si="51"/>
        <v>0.00244</v>
      </c>
      <c r="Y61" s="295">
        <f t="shared" si="52"/>
        <v>0</v>
      </c>
      <c r="AA61" s="295">
        <f t="shared" si="53"/>
        <v>0</v>
      </c>
      <c r="AB61" s="295">
        <f t="shared" si="54"/>
        <v>0</v>
      </c>
      <c r="AC61" s="295">
        <f t="shared" si="55"/>
        <v>0</v>
      </c>
      <c r="AD61" s="295">
        <f t="shared" si="56"/>
        <v>0</v>
      </c>
      <c r="AE61" s="295">
        <f t="shared" si="57"/>
        <v>0</v>
      </c>
      <c r="AF61" s="295">
        <f t="shared" si="58"/>
        <v>0</v>
      </c>
      <c r="AG61" s="295">
        <f t="shared" si="59"/>
        <v>0</v>
      </c>
      <c r="AH61" s="296"/>
      <c r="AI61" s="294">
        <f t="shared" si="60"/>
        <v>0</v>
      </c>
      <c r="AJ61" s="294">
        <f t="shared" si="61"/>
        <v>0</v>
      </c>
      <c r="AK61" s="294">
        <f t="shared" si="62"/>
        <v>0</v>
      </c>
      <c r="AM61" s="295">
        <v>21</v>
      </c>
      <c r="AN61" s="295">
        <f>G61*0.813958746569922</f>
        <v>0</v>
      </c>
      <c r="AO61" s="295">
        <f>G61*(1-0.813958746569922)</f>
        <v>0</v>
      </c>
      <c r="AP61" s="298" t="s">
        <v>225</v>
      </c>
      <c r="AU61" s="295">
        <f t="shared" si="63"/>
        <v>0</v>
      </c>
      <c r="AV61" s="295">
        <f t="shared" si="64"/>
        <v>0</v>
      </c>
      <c r="AW61" s="295">
        <f t="shared" si="65"/>
        <v>0</v>
      </c>
      <c r="AX61" s="297" t="s">
        <v>1825</v>
      </c>
      <c r="AY61" s="297" t="s">
        <v>1755</v>
      </c>
      <c r="AZ61" s="296" t="s">
        <v>1749</v>
      </c>
      <c r="BB61" s="295">
        <f t="shared" si="66"/>
        <v>0</v>
      </c>
      <c r="BC61" s="295">
        <f t="shared" si="67"/>
        <v>0</v>
      </c>
      <c r="BD61" s="295">
        <v>0</v>
      </c>
      <c r="BE61" s="295">
        <f t="shared" si="68"/>
        <v>0.00244</v>
      </c>
      <c r="BG61" s="294">
        <f t="shared" si="69"/>
        <v>0</v>
      </c>
      <c r="BH61" s="294">
        <f t="shared" si="70"/>
        <v>0</v>
      </c>
      <c r="BI61" s="294">
        <f t="shared" si="71"/>
        <v>0</v>
      </c>
    </row>
    <row r="62" spans="1:61" ht="12">
      <c r="A62" s="327" t="s">
        <v>388</v>
      </c>
      <c r="B62" s="327"/>
      <c r="C62" s="327" t="s">
        <v>1843</v>
      </c>
      <c r="D62" s="327" t="s">
        <v>1842</v>
      </c>
      <c r="E62" s="327" t="s">
        <v>258</v>
      </c>
      <c r="F62" s="328">
        <v>1</v>
      </c>
      <c r="G62" s="329">
        <v>0</v>
      </c>
      <c r="H62" s="328">
        <f t="shared" si="48"/>
        <v>0</v>
      </c>
      <c r="I62" s="328">
        <f t="shared" si="49"/>
        <v>0</v>
      </c>
      <c r="J62" s="328">
        <f t="shared" si="50"/>
        <v>0</v>
      </c>
      <c r="K62" s="328">
        <v>0.00214</v>
      </c>
      <c r="L62" s="328">
        <f t="shared" si="51"/>
        <v>0.00214</v>
      </c>
      <c r="Y62" s="295">
        <f t="shared" si="52"/>
        <v>0</v>
      </c>
      <c r="AA62" s="295">
        <f t="shared" si="53"/>
        <v>0</v>
      </c>
      <c r="AB62" s="295">
        <f t="shared" si="54"/>
        <v>0</v>
      </c>
      <c r="AC62" s="295">
        <f t="shared" si="55"/>
        <v>0</v>
      </c>
      <c r="AD62" s="295">
        <f t="shared" si="56"/>
        <v>0</v>
      </c>
      <c r="AE62" s="295">
        <f t="shared" si="57"/>
        <v>0</v>
      </c>
      <c r="AF62" s="295">
        <f t="shared" si="58"/>
        <v>0</v>
      </c>
      <c r="AG62" s="295">
        <f t="shared" si="59"/>
        <v>0</v>
      </c>
      <c r="AH62" s="296"/>
      <c r="AI62" s="294">
        <f t="shared" si="60"/>
        <v>0</v>
      </c>
      <c r="AJ62" s="294">
        <f t="shared" si="61"/>
        <v>0</v>
      </c>
      <c r="AK62" s="294">
        <f t="shared" si="62"/>
        <v>0</v>
      </c>
      <c r="AM62" s="295">
        <v>21</v>
      </c>
      <c r="AN62" s="295">
        <f>G62*0.797230769230769</f>
        <v>0</v>
      </c>
      <c r="AO62" s="295">
        <f>G62*(1-0.797230769230769)</f>
        <v>0</v>
      </c>
      <c r="AP62" s="298" t="s">
        <v>225</v>
      </c>
      <c r="AU62" s="295">
        <f t="shared" si="63"/>
        <v>0</v>
      </c>
      <c r="AV62" s="295">
        <f t="shared" si="64"/>
        <v>0</v>
      </c>
      <c r="AW62" s="295">
        <f t="shared" si="65"/>
        <v>0</v>
      </c>
      <c r="AX62" s="297" t="s">
        <v>1825</v>
      </c>
      <c r="AY62" s="297" t="s">
        <v>1755</v>
      </c>
      <c r="AZ62" s="296" t="s">
        <v>1749</v>
      </c>
      <c r="BB62" s="295">
        <f t="shared" si="66"/>
        <v>0</v>
      </c>
      <c r="BC62" s="295">
        <f t="shared" si="67"/>
        <v>0</v>
      </c>
      <c r="BD62" s="295">
        <v>0</v>
      </c>
      <c r="BE62" s="295">
        <f t="shared" si="68"/>
        <v>0.00214</v>
      </c>
      <c r="BG62" s="294">
        <f t="shared" si="69"/>
        <v>0</v>
      </c>
      <c r="BH62" s="294">
        <f t="shared" si="70"/>
        <v>0</v>
      </c>
      <c r="BI62" s="294">
        <f t="shared" si="71"/>
        <v>0</v>
      </c>
    </row>
    <row r="63" spans="1:61" ht="12">
      <c r="A63" s="327" t="s">
        <v>392</v>
      </c>
      <c r="B63" s="327"/>
      <c r="C63" s="327" t="s">
        <v>1841</v>
      </c>
      <c r="D63" s="327" t="s">
        <v>1840</v>
      </c>
      <c r="E63" s="327" t="s">
        <v>258</v>
      </c>
      <c r="F63" s="328">
        <v>1</v>
      </c>
      <c r="G63" s="329">
        <v>0</v>
      </c>
      <c r="H63" s="328">
        <f t="shared" si="48"/>
        <v>0</v>
      </c>
      <c r="I63" s="328">
        <f t="shared" si="49"/>
        <v>0</v>
      </c>
      <c r="J63" s="328">
        <f t="shared" si="50"/>
        <v>0</v>
      </c>
      <c r="K63" s="328">
        <v>0.00099</v>
      </c>
      <c r="L63" s="328">
        <f t="shared" si="51"/>
        <v>0.00099</v>
      </c>
      <c r="Y63" s="295">
        <f t="shared" si="52"/>
        <v>0</v>
      </c>
      <c r="AA63" s="295">
        <f t="shared" si="53"/>
        <v>0</v>
      </c>
      <c r="AB63" s="295">
        <f t="shared" si="54"/>
        <v>0</v>
      </c>
      <c r="AC63" s="295">
        <f t="shared" si="55"/>
        <v>0</v>
      </c>
      <c r="AD63" s="295">
        <f t="shared" si="56"/>
        <v>0</v>
      </c>
      <c r="AE63" s="295">
        <f t="shared" si="57"/>
        <v>0</v>
      </c>
      <c r="AF63" s="295">
        <f t="shared" si="58"/>
        <v>0</v>
      </c>
      <c r="AG63" s="295">
        <f t="shared" si="59"/>
        <v>0</v>
      </c>
      <c r="AH63" s="296"/>
      <c r="AI63" s="294">
        <f t="shared" si="60"/>
        <v>0</v>
      </c>
      <c r="AJ63" s="294">
        <f t="shared" si="61"/>
        <v>0</v>
      </c>
      <c r="AK63" s="294">
        <f t="shared" si="62"/>
        <v>0</v>
      </c>
      <c r="AM63" s="295">
        <v>21</v>
      </c>
      <c r="AN63" s="295">
        <f>G63*0.293103448275862</f>
        <v>0</v>
      </c>
      <c r="AO63" s="295">
        <f>G63*(1-0.293103448275862)</f>
        <v>0</v>
      </c>
      <c r="AP63" s="298" t="s">
        <v>225</v>
      </c>
      <c r="AU63" s="295">
        <f t="shared" si="63"/>
        <v>0</v>
      </c>
      <c r="AV63" s="295">
        <f t="shared" si="64"/>
        <v>0</v>
      </c>
      <c r="AW63" s="295">
        <f t="shared" si="65"/>
        <v>0</v>
      </c>
      <c r="AX63" s="297" t="s">
        <v>1825</v>
      </c>
      <c r="AY63" s="297" t="s">
        <v>1755</v>
      </c>
      <c r="AZ63" s="296" t="s">
        <v>1749</v>
      </c>
      <c r="BB63" s="295">
        <f t="shared" si="66"/>
        <v>0</v>
      </c>
      <c r="BC63" s="295">
        <f t="shared" si="67"/>
        <v>0</v>
      </c>
      <c r="BD63" s="295">
        <v>0</v>
      </c>
      <c r="BE63" s="295">
        <f t="shared" si="68"/>
        <v>0.00099</v>
      </c>
      <c r="BG63" s="294">
        <f t="shared" si="69"/>
        <v>0</v>
      </c>
      <c r="BH63" s="294">
        <f t="shared" si="70"/>
        <v>0</v>
      </c>
      <c r="BI63" s="294">
        <f t="shared" si="71"/>
        <v>0</v>
      </c>
    </row>
    <row r="64" spans="1:61" ht="12">
      <c r="A64" s="327" t="s">
        <v>396</v>
      </c>
      <c r="B64" s="327"/>
      <c r="C64" s="327" t="s">
        <v>1839</v>
      </c>
      <c r="D64" s="327" t="s">
        <v>1838</v>
      </c>
      <c r="E64" s="327" t="s">
        <v>258</v>
      </c>
      <c r="F64" s="328">
        <v>1</v>
      </c>
      <c r="G64" s="329">
        <v>0</v>
      </c>
      <c r="H64" s="328">
        <f t="shared" si="48"/>
        <v>0</v>
      </c>
      <c r="I64" s="328">
        <f t="shared" si="49"/>
        <v>0</v>
      </c>
      <c r="J64" s="328">
        <f t="shared" si="50"/>
        <v>0</v>
      </c>
      <c r="K64" s="328">
        <v>0.00218</v>
      </c>
      <c r="L64" s="328">
        <f t="shared" si="51"/>
        <v>0.00218</v>
      </c>
      <c r="Y64" s="295">
        <f t="shared" si="52"/>
        <v>0</v>
      </c>
      <c r="AA64" s="295">
        <f t="shared" si="53"/>
        <v>0</v>
      </c>
      <c r="AB64" s="295">
        <f t="shared" si="54"/>
        <v>0</v>
      </c>
      <c r="AC64" s="295">
        <f t="shared" si="55"/>
        <v>0</v>
      </c>
      <c r="AD64" s="295">
        <f t="shared" si="56"/>
        <v>0</v>
      </c>
      <c r="AE64" s="295">
        <f t="shared" si="57"/>
        <v>0</v>
      </c>
      <c r="AF64" s="295">
        <f t="shared" si="58"/>
        <v>0</v>
      </c>
      <c r="AG64" s="295">
        <f t="shared" si="59"/>
        <v>0</v>
      </c>
      <c r="AH64" s="296"/>
      <c r="AI64" s="294">
        <f t="shared" si="60"/>
        <v>0</v>
      </c>
      <c r="AJ64" s="294">
        <f t="shared" si="61"/>
        <v>0</v>
      </c>
      <c r="AK64" s="294">
        <f t="shared" si="62"/>
        <v>0</v>
      </c>
      <c r="AM64" s="295">
        <v>21</v>
      </c>
      <c r="AN64" s="295">
        <f>G64*0.362839657282742</f>
        <v>0</v>
      </c>
      <c r="AO64" s="295">
        <f>G64*(1-0.362839657282742)</f>
        <v>0</v>
      </c>
      <c r="AP64" s="298" t="s">
        <v>225</v>
      </c>
      <c r="AU64" s="295">
        <f t="shared" si="63"/>
        <v>0</v>
      </c>
      <c r="AV64" s="295">
        <f t="shared" si="64"/>
        <v>0</v>
      </c>
      <c r="AW64" s="295">
        <f t="shared" si="65"/>
        <v>0</v>
      </c>
      <c r="AX64" s="297" t="s">
        <v>1825</v>
      </c>
      <c r="AY64" s="297" t="s">
        <v>1755</v>
      </c>
      <c r="AZ64" s="296" t="s">
        <v>1749</v>
      </c>
      <c r="BB64" s="295">
        <f t="shared" si="66"/>
        <v>0</v>
      </c>
      <c r="BC64" s="295">
        <f t="shared" si="67"/>
        <v>0</v>
      </c>
      <c r="BD64" s="295">
        <v>0</v>
      </c>
      <c r="BE64" s="295">
        <f t="shared" si="68"/>
        <v>0.00218</v>
      </c>
      <c r="BG64" s="294">
        <f t="shared" si="69"/>
        <v>0</v>
      </c>
      <c r="BH64" s="294">
        <f t="shared" si="70"/>
        <v>0</v>
      </c>
      <c r="BI64" s="294">
        <f t="shared" si="71"/>
        <v>0</v>
      </c>
    </row>
    <row r="65" spans="1:61" ht="12">
      <c r="A65" s="327" t="s">
        <v>401</v>
      </c>
      <c r="B65" s="327"/>
      <c r="C65" s="327" t="s">
        <v>1837</v>
      </c>
      <c r="D65" s="327" t="s">
        <v>1836</v>
      </c>
      <c r="E65" s="327" t="s">
        <v>258</v>
      </c>
      <c r="F65" s="328">
        <v>16</v>
      </c>
      <c r="G65" s="329">
        <v>0</v>
      </c>
      <c r="H65" s="328">
        <f t="shared" si="48"/>
        <v>0</v>
      </c>
      <c r="I65" s="328">
        <f t="shared" si="49"/>
        <v>0</v>
      </c>
      <c r="J65" s="328">
        <f t="shared" si="50"/>
        <v>0</v>
      </c>
      <c r="K65" s="328">
        <v>0.0001</v>
      </c>
      <c r="L65" s="328">
        <f t="shared" si="51"/>
        <v>0.0016</v>
      </c>
      <c r="Y65" s="295">
        <f t="shared" si="52"/>
        <v>0</v>
      </c>
      <c r="AA65" s="295">
        <f t="shared" si="53"/>
        <v>0</v>
      </c>
      <c r="AB65" s="295">
        <f t="shared" si="54"/>
        <v>0</v>
      </c>
      <c r="AC65" s="295">
        <f t="shared" si="55"/>
        <v>0</v>
      </c>
      <c r="AD65" s="295">
        <f t="shared" si="56"/>
        <v>0</v>
      </c>
      <c r="AE65" s="295">
        <f t="shared" si="57"/>
        <v>0</v>
      </c>
      <c r="AF65" s="295">
        <f t="shared" si="58"/>
        <v>0</v>
      </c>
      <c r="AG65" s="295">
        <f t="shared" si="59"/>
        <v>0</v>
      </c>
      <c r="AH65" s="296"/>
      <c r="AI65" s="294">
        <f t="shared" si="60"/>
        <v>0</v>
      </c>
      <c r="AJ65" s="294">
        <f t="shared" si="61"/>
        <v>0</v>
      </c>
      <c r="AK65" s="294">
        <f t="shared" si="62"/>
        <v>0</v>
      </c>
      <c r="AM65" s="295">
        <v>21</v>
      </c>
      <c r="AN65" s="295">
        <f>G65*0.517876489707476</f>
        <v>0</v>
      </c>
      <c r="AO65" s="295">
        <f>G65*(1-0.517876489707476)</f>
        <v>0</v>
      </c>
      <c r="AP65" s="298" t="s">
        <v>225</v>
      </c>
      <c r="AU65" s="295">
        <f t="shared" si="63"/>
        <v>0</v>
      </c>
      <c r="AV65" s="295">
        <f t="shared" si="64"/>
        <v>0</v>
      </c>
      <c r="AW65" s="295">
        <f t="shared" si="65"/>
        <v>0</v>
      </c>
      <c r="AX65" s="297" t="s">
        <v>1825</v>
      </c>
      <c r="AY65" s="297" t="s">
        <v>1755</v>
      </c>
      <c r="AZ65" s="296" t="s">
        <v>1749</v>
      </c>
      <c r="BB65" s="295">
        <f t="shared" si="66"/>
        <v>0</v>
      </c>
      <c r="BC65" s="295">
        <f t="shared" si="67"/>
        <v>0</v>
      </c>
      <c r="BD65" s="295">
        <v>0</v>
      </c>
      <c r="BE65" s="295">
        <f t="shared" si="68"/>
        <v>0.0016</v>
      </c>
      <c r="BG65" s="294">
        <f t="shared" si="69"/>
        <v>0</v>
      </c>
      <c r="BH65" s="294">
        <f t="shared" si="70"/>
        <v>0</v>
      </c>
      <c r="BI65" s="294">
        <f t="shared" si="71"/>
        <v>0</v>
      </c>
    </row>
    <row r="66" spans="1:61" ht="12">
      <c r="A66" s="327" t="s">
        <v>405</v>
      </c>
      <c r="B66" s="327"/>
      <c r="C66" s="327" t="s">
        <v>1835</v>
      </c>
      <c r="D66" s="327" t="s">
        <v>1834</v>
      </c>
      <c r="E66" s="327" t="s">
        <v>310</v>
      </c>
      <c r="F66" s="328">
        <v>175</v>
      </c>
      <c r="G66" s="329">
        <v>0</v>
      </c>
      <c r="H66" s="328">
        <f t="shared" si="48"/>
        <v>0</v>
      </c>
      <c r="I66" s="328">
        <f t="shared" si="49"/>
        <v>0</v>
      </c>
      <c r="J66" s="328">
        <f t="shared" si="50"/>
        <v>0</v>
      </c>
      <c r="K66" s="328">
        <v>0</v>
      </c>
      <c r="L66" s="328">
        <f t="shared" si="51"/>
        <v>0</v>
      </c>
      <c r="Y66" s="295">
        <f t="shared" si="52"/>
        <v>0</v>
      </c>
      <c r="AA66" s="295">
        <f t="shared" si="53"/>
        <v>0</v>
      </c>
      <c r="AB66" s="295">
        <f t="shared" si="54"/>
        <v>0</v>
      </c>
      <c r="AC66" s="295">
        <f t="shared" si="55"/>
        <v>0</v>
      </c>
      <c r="AD66" s="295">
        <f t="shared" si="56"/>
        <v>0</v>
      </c>
      <c r="AE66" s="295">
        <f t="shared" si="57"/>
        <v>0</v>
      </c>
      <c r="AF66" s="295">
        <f t="shared" si="58"/>
        <v>0</v>
      </c>
      <c r="AG66" s="295">
        <f t="shared" si="59"/>
        <v>0</v>
      </c>
      <c r="AH66" s="296"/>
      <c r="AI66" s="294">
        <f t="shared" si="60"/>
        <v>0</v>
      </c>
      <c r="AJ66" s="294">
        <f t="shared" si="61"/>
        <v>0</v>
      </c>
      <c r="AK66" s="294">
        <f t="shared" si="62"/>
        <v>0</v>
      </c>
      <c r="AM66" s="295">
        <v>21</v>
      </c>
      <c r="AN66" s="295">
        <f>G66*0.013980868285504</f>
        <v>0</v>
      </c>
      <c r="AO66" s="295">
        <f>G66*(1-0.013980868285504)</f>
        <v>0</v>
      </c>
      <c r="AP66" s="298" t="s">
        <v>225</v>
      </c>
      <c r="AU66" s="295">
        <f t="shared" si="63"/>
        <v>0</v>
      </c>
      <c r="AV66" s="295">
        <f t="shared" si="64"/>
        <v>0</v>
      </c>
      <c r="AW66" s="295">
        <f t="shared" si="65"/>
        <v>0</v>
      </c>
      <c r="AX66" s="297" t="s">
        <v>1825</v>
      </c>
      <c r="AY66" s="297" t="s">
        <v>1755</v>
      </c>
      <c r="AZ66" s="296" t="s">
        <v>1749</v>
      </c>
      <c r="BB66" s="295">
        <f t="shared" si="66"/>
        <v>0</v>
      </c>
      <c r="BC66" s="295">
        <f t="shared" si="67"/>
        <v>0</v>
      </c>
      <c r="BD66" s="295">
        <v>0</v>
      </c>
      <c r="BE66" s="295">
        <f t="shared" si="68"/>
        <v>0</v>
      </c>
      <c r="BG66" s="294">
        <f t="shared" si="69"/>
        <v>0</v>
      </c>
      <c r="BH66" s="294">
        <f t="shared" si="70"/>
        <v>0</v>
      </c>
      <c r="BI66" s="294">
        <f t="shared" si="71"/>
        <v>0</v>
      </c>
    </row>
    <row r="67" spans="1:61" ht="12">
      <c r="A67" s="327" t="s">
        <v>410</v>
      </c>
      <c r="B67" s="327"/>
      <c r="C67" s="327" t="s">
        <v>1833</v>
      </c>
      <c r="D67" s="327" t="s">
        <v>1832</v>
      </c>
      <c r="E67" s="327" t="s">
        <v>310</v>
      </c>
      <c r="F67" s="328">
        <v>10</v>
      </c>
      <c r="G67" s="329">
        <v>0</v>
      </c>
      <c r="H67" s="328">
        <f t="shared" si="48"/>
        <v>0</v>
      </c>
      <c r="I67" s="328">
        <f t="shared" si="49"/>
        <v>0</v>
      </c>
      <c r="J67" s="328">
        <f t="shared" si="50"/>
        <v>0</v>
      </c>
      <c r="K67" s="328">
        <v>0</v>
      </c>
      <c r="L67" s="328">
        <f t="shared" si="51"/>
        <v>0</v>
      </c>
      <c r="Y67" s="295">
        <f t="shared" si="52"/>
        <v>0</v>
      </c>
      <c r="AA67" s="295">
        <f t="shared" si="53"/>
        <v>0</v>
      </c>
      <c r="AB67" s="295">
        <f t="shared" si="54"/>
        <v>0</v>
      </c>
      <c r="AC67" s="295">
        <f t="shared" si="55"/>
        <v>0</v>
      </c>
      <c r="AD67" s="295">
        <f t="shared" si="56"/>
        <v>0</v>
      </c>
      <c r="AE67" s="295">
        <f t="shared" si="57"/>
        <v>0</v>
      </c>
      <c r="AF67" s="295">
        <f t="shared" si="58"/>
        <v>0</v>
      </c>
      <c r="AG67" s="295">
        <f t="shared" si="59"/>
        <v>0</v>
      </c>
      <c r="AH67" s="296"/>
      <c r="AI67" s="294">
        <f t="shared" si="60"/>
        <v>0</v>
      </c>
      <c r="AJ67" s="294">
        <f t="shared" si="61"/>
        <v>0</v>
      </c>
      <c r="AK67" s="294">
        <f t="shared" si="62"/>
        <v>0</v>
      </c>
      <c r="AM67" s="295">
        <v>21</v>
      </c>
      <c r="AN67" s="295">
        <f>G67*0.0158620689655172</f>
        <v>0</v>
      </c>
      <c r="AO67" s="295">
        <f>G67*(1-0.0158620689655172)</f>
        <v>0</v>
      </c>
      <c r="AP67" s="298" t="s">
        <v>225</v>
      </c>
      <c r="AU67" s="295">
        <f t="shared" si="63"/>
        <v>0</v>
      </c>
      <c r="AV67" s="295">
        <f t="shared" si="64"/>
        <v>0</v>
      </c>
      <c r="AW67" s="295">
        <f t="shared" si="65"/>
        <v>0</v>
      </c>
      <c r="AX67" s="297" t="s">
        <v>1825</v>
      </c>
      <c r="AY67" s="297" t="s">
        <v>1755</v>
      </c>
      <c r="AZ67" s="296" t="s">
        <v>1749</v>
      </c>
      <c r="BB67" s="295">
        <f t="shared" si="66"/>
        <v>0</v>
      </c>
      <c r="BC67" s="295">
        <f t="shared" si="67"/>
        <v>0</v>
      </c>
      <c r="BD67" s="295">
        <v>0</v>
      </c>
      <c r="BE67" s="295">
        <f t="shared" si="68"/>
        <v>0</v>
      </c>
      <c r="BG67" s="294">
        <f t="shared" si="69"/>
        <v>0</v>
      </c>
      <c r="BH67" s="294">
        <f t="shared" si="70"/>
        <v>0</v>
      </c>
      <c r="BI67" s="294">
        <f t="shared" si="71"/>
        <v>0</v>
      </c>
    </row>
    <row r="68" spans="1:61" ht="12">
      <c r="A68" s="327" t="s">
        <v>415</v>
      </c>
      <c r="B68" s="327"/>
      <c r="C68" s="327" t="s">
        <v>1831</v>
      </c>
      <c r="D68" s="327" t="s">
        <v>1830</v>
      </c>
      <c r="E68" s="327" t="s">
        <v>310</v>
      </c>
      <c r="F68" s="328">
        <v>25</v>
      </c>
      <c r="G68" s="329">
        <v>0</v>
      </c>
      <c r="H68" s="328">
        <f t="shared" si="48"/>
        <v>0</v>
      </c>
      <c r="I68" s="328">
        <f t="shared" si="49"/>
        <v>0</v>
      </c>
      <c r="J68" s="328">
        <f t="shared" si="50"/>
        <v>0</v>
      </c>
      <c r="K68" s="328">
        <v>0</v>
      </c>
      <c r="L68" s="328">
        <f t="shared" si="51"/>
        <v>0</v>
      </c>
      <c r="Y68" s="295">
        <f t="shared" si="52"/>
        <v>0</v>
      </c>
      <c r="AA68" s="295">
        <f t="shared" si="53"/>
        <v>0</v>
      </c>
      <c r="AB68" s="295">
        <f t="shared" si="54"/>
        <v>0</v>
      </c>
      <c r="AC68" s="295">
        <f t="shared" si="55"/>
        <v>0</v>
      </c>
      <c r="AD68" s="295">
        <f t="shared" si="56"/>
        <v>0</v>
      </c>
      <c r="AE68" s="295">
        <f t="shared" si="57"/>
        <v>0</v>
      </c>
      <c r="AF68" s="295">
        <f t="shared" si="58"/>
        <v>0</v>
      </c>
      <c r="AG68" s="295">
        <f t="shared" si="59"/>
        <v>0</v>
      </c>
      <c r="AH68" s="296"/>
      <c r="AI68" s="294">
        <f t="shared" si="60"/>
        <v>0</v>
      </c>
      <c r="AJ68" s="294">
        <f t="shared" si="61"/>
        <v>0</v>
      </c>
      <c r="AK68" s="294">
        <f t="shared" si="62"/>
        <v>0</v>
      </c>
      <c r="AM68" s="295">
        <v>21</v>
      </c>
      <c r="AN68" s="295">
        <f>G68*0.0182741116751269</f>
        <v>0</v>
      </c>
      <c r="AO68" s="295">
        <f>G68*(1-0.0182741116751269)</f>
        <v>0</v>
      </c>
      <c r="AP68" s="298" t="s">
        <v>225</v>
      </c>
      <c r="AU68" s="295">
        <f t="shared" si="63"/>
        <v>0</v>
      </c>
      <c r="AV68" s="295">
        <f t="shared" si="64"/>
        <v>0</v>
      </c>
      <c r="AW68" s="295">
        <f t="shared" si="65"/>
        <v>0</v>
      </c>
      <c r="AX68" s="297" t="s">
        <v>1825</v>
      </c>
      <c r="AY68" s="297" t="s">
        <v>1755</v>
      </c>
      <c r="AZ68" s="296" t="s">
        <v>1749</v>
      </c>
      <c r="BB68" s="295">
        <f t="shared" si="66"/>
        <v>0</v>
      </c>
      <c r="BC68" s="295">
        <f t="shared" si="67"/>
        <v>0</v>
      </c>
      <c r="BD68" s="295">
        <v>0</v>
      </c>
      <c r="BE68" s="295">
        <f t="shared" si="68"/>
        <v>0</v>
      </c>
      <c r="BG68" s="294">
        <f t="shared" si="69"/>
        <v>0</v>
      </c>
      <c r="BH68" s="294">
        <f t="shared" si="70"/>
        <v>0</v>
      </c>
      <c r="BI68" s="294">
        <f t="shared" si="71"/>
        <v>0</v>
      </c>
    </row>
    <row r="69" spans="1:61" ht="12">
      <c r="A69" s="327" t="s">
        <v>419</v>
      </c>
      <c r="B69" s="327"/>
      <c r="C69" s="327" t="s">
        <v>1829</v>
      </c>
      <c r="D69" s="327" t="s">
        <v>1828</v>
      </c>
      <c r="E69" s="327" t="s">
        <v>310</v>
      </c>
      <c r="F69" s="328">
        <v>210</v>
      </c>
      <c r="G69" s="329">
        <v>0</v>
      </c>
      <c r="H69" s="328">
        <f t="shared" si="48"/>
        <v>0</v>
      </c>
      <c r="I69" s="328">
        <f t="shared" si="49"/>
        <v>0</v>
      </c>
      <c r="J69" s="328">
        <f t="shared" si="50"/>
        <v>0</v>
      </c>
      <c r="K69" s="328">
        <v>1E-05</v>
      </c>
      <c r="L69" s="328">
        <f t="shared" si="51"/>
        <v>0.0021000000000000003</v>
      </c>
      <c r="Y69" s="295">
        <f t="shared" si="52"/>
        <v>0</v>
      </c>
      <c r="AA69" s="295">
        <f t="shared" si="53"/>
        <v>0</v>
      </c>
      <c r="AB69" s="295">
        <f t="shared" si="54"/>
        <v>0</v>
      </c>
      <c r="AC69" s="295">
        <f t="shared" si="55"/>
        <v>0</v>
      </c>
      <c r="AD69" s="295">
        <f t="shared" si="56"/>
        <v>0</v>
      </c>
      <c r="AE69" s="295">
        <f t="shared" si="57"/>
        <v>0</v>
      </c>
      <c r="AF69" s="295">
        <f t="shared" si="58"/>
        <v>0</v>
      </c>
      <c r="AG69" s="295">
        <f t="shared" si="59"/>
        <v>0</v>
      </c>
      <c r="AH69" s="296"/>
      <c r="AI69" s="294">
        <f t="shared" si="60"/>
        <v>0</v>
      </c>
      <c r="AJ69" s="294">
        <f t="shared" si="61"/>
        <v>0</v>
      </c>
      <c r="AK69" s="294">
        <f t="shared" si="62"/>
        <v>0</v>
      </c>
      <c r="AM69" s="295">
        <v>21</v>
      </c>
      <c r="AN69" s="295">
        <f>G69*0.0504983388704319</f>
        <v>0</v>
      </c>
      <c r="AO69" s="295">
        <f>G69*(1-0.0504983388704319)</f>
        <v>0</v>
      </c>
      <c r="AP69" s="298" t="s">
        <v>225</v>
      </c>
      <c r="AU69" s="295">
        <f t="shared" si="63"/>
        <v>0</v>
      </c>
      <c r="AV69" s="295">
        <f t="shared" si="64"/>
        <v>0</v>
      </c>
      <c r="AW69" s="295">
        <f t="shared" si="65"/>
        <v>0</v>
      </c>
      <c r="AX69" s="297" t="s">
        <v>1825</v>
      </c>
      <c r="AY69" s="297" t="s">
        <v>1755</v>
      </c>
      <c r="AZ69" s="296" t="s">
        <v>1749</v>
      </c>
      <c r="BB69" s="295">
        <f t="shared" si="66"/>
        <v>0</v>
      </c>
      <c r="BC69" s="295">
        <f t="shared" si="67"/>
        <v>0</v>
      </c>
      <c r="BD69" s="295">
        <v>0</v>
      </c>
      <c r="BE69" s="295">
        <f t="shared" si="68"/>
        <v>0.0021000000000000003</v>
      </c>
      <c r="BG69" s="294">
        <f t="shared" si="69"/>
        <v>0</v>
      </c>
      <c r="BH69" s="294">
        <f t="shared" si="70"/>
        <v>0</v>
      </c>
      <c r="BI69" s="294">
        <f t="shared" si="71"/>
        <v>0</v>
      </c>
    </row>
    <row r="70" spans="1:61" ht="12">
      <c r="A70" s="327" t="s">
        <v>424</v>
      </c>
      <c r="B70" s="327"/>
      <c r="C70" s="327" t="s">
        <v>1827</v>
      </c>
      <c r="D70" s="327" t="s">
        <v>1826</v>
      </c>
      <c r="E70" s="327" t="s">
        <v>242</v>
      </c>
      <c r="F70" s="328">
        <v>0.4359</v>
      </c>
      <c r="G70" s="329">
        <v>0</v>
      </c>
      <c r="H70" s="328">
        <f t="shared" si="48"/>
        <v>0</v>
      </c>
      <c r="I70" s="328">
        <f t="shared" si="49"/>
        <v>0</v>
      </c>
      <c r="J70" s="328">
        <f t="shared" si="50"/>
        <v>0</v>
      </c>
      <c r="K70" s="328">
        <v>0</v>
      </c>
      <c r="L70" s="328">
        <f t="shared" si="51"/>
        <v>0</v>
      </c>
      <c r="Y70" s="295">
        <f t="shared" si="52"/>
        <v>0</v>
      </c>
      <c r="AA70" s="295">
        <f t="shared" si="53"/>
        <v>0</v>
      </c>
      <c r="AB70" s="295">
        <f t="shared" si="54"/>
        <v>0</v>
      </c>
      <c r="AC70" s="295">
        <f t="shared" si="55"/>
        <v>0</v>
      </c>
      <c r="AD70" s="295">
        <f t="shared" si="56"/>
        <v>0</v>
      </c>
      <c r="AE70" s="295">
        <f t="shared" si="57"/>
        <v>0</v>
      </c>
      <c r="AF70" s="295">
        <f t="shared" si="58"/>
        <v>0</v>
      </c>
      <c r="AG70" s="295">
        <f t="shared" si="59"/>
        <v>0</v>
      </c>
      <c r="AH70" s="296"/>
      <c r="AI70" s="294">
        <f t="shared" si="60"/>
        <v>0</v>
      </c>
      <c r="AJ70" s="294">
        <f t="shared" si="61"/>
        <v>0</v>
      </c>
      <c r="AK70" s="294">
        <f t="shared" si="62"/>
        <v>0</v>
      </c>
      <c r="AM70" s="295">
        <v>21</v>
      </c>
      <c r="AN70" s="295">
        <f>G70*0</f>
        <v>0</v>
      </c>
      <c r="AO70" s="295">
        <f>G70*(1-0)</f>
        <v>0</v>
      </c>
      <c r="AP70" s="298" t="s">
        <v>225</v>
      </c>
      <c r="AU70" s="295">
        <f t="shared" si="63"/>
        <v>0</v>
      </c>
      <c r="AV70" s="295">
        <f t="shared" si="64"/>
        <v>0</v>
      </c>
      <c r="AW70" s="295">
        <f t="shared" si="65"/>
        <v>0</v>
      </c>
      <c r="AX70" s="297" t="s">
        <v>1825</v>
      </c>
      <c r="AY70" s="297" t="s">
        <v>1755</v>
      </c>
      <c r="AZ70" s="296" t="s">
        <v>1749</v>
      </c>
      <c r="BB70" s="295">
        <f t="shared" si="66"/>
        <v>0</v>
      </c>
      <c r="BC70" s="295">
        <f t="shared" si="67"/>
        <v>0</v>
      </c>
      <c r="BD70" s="295">
        <v>0</v>
      </c>
      <c r="BE70" s="295">
        <f t="shared" si="68"/>
        <v>0</v>
      </c>
      <c r="BG70" s="294">
        <f t="shared" si="69"/>
        <v>0</v>
      </c>
      <c r="BH70" s="294">
        <f t="shared" si="70"/>
        <v>0</v>
      </c>
      <c r="BI70" s="294">
        <f t="shared" si="71"/>
        <v>0</v>
      </c>
    </row>
    <row r="71" spans="1:46" ht="12">
      <c r="A71" s="330"/>
      <c r="B71" s="331"/>
      <c r="C71" s="331" t="s">
        <v>724</v>
      </c>
      <c r="D71" s="331" t="s">
        <v>1824</v>
      </c>
      <c r="E71" s="330" t="s">
        <v>146</v>
      </c>
      <c r="F71" s="330" t="s">
        <v>146</v>
      </c>
      <c r="G71" s="332" t="s">
        <v>146</v>
      </c>
      <c r="H71" s="333">
        <f>SUM(H72:H107)</f>
        <v>0</v>
      </c>
      <c r="I71" s="333">
        <f>SUM(I72:I107)</f>
        <v>0</v>
      </c>
      <c r="J71" s="333">
        <f>SUM(J72:J107)</f>
        <v>0</v>
      </c>
      <c r="K71" s="334"/>
      <c r="L71" s="333">
        <f>SUM(L72:L107)</f>
        <v>0.4050200000000001</v>
      </c>
      <c r="AH71" s="296"/>
      <c r="AR71" s="301">
        <f>SUM(AI72:AI107)</f>
        <v>0</v>
      </c>
      <c r="AS71" s="301">
        <f>SUM(AJ72:AJ107)</f>
        <v>0</v>
      </c>
      <c r="AT71" s="301">
        <f>SUM(AK72:AK107)</f>
        <v>0</v>
      </c>
    </row>
    <row r="72" spans="1:61" ht="12">
      <c r="A72" s="327" t="s">
        <v>428</v>
      </c>
      <c r="B72" s="327"/>
      <c r="C72" s="327" t="s">
        <v>1823</v>
      </c>
      <c r="D72" s="327" t="s">
        <v>1822</v>
      </c>
      <c r="E72" s="327" t="s">
        <v>1767</v>
      </c>
      <c r="F72" s="328">
        <v>11</v>
      </c>
      <c r="G72" s="329">
        <v>0</v>
      </c>
      <c r="H72" s="328">
        <f aca="true" t="shared" si="72" ref="H72:H79">F72*AN72</f>
        <v>0</v>
      </c>
      <c r="I72" s="328">
        <f aca="true" t="shared" si="73" ref="I72:I79">F72*AO72</f>
        <v>0</v>
      </c>
      <c r="J72" s="328">
        <f aca="true" t="shared" si="74" ref="J72:J79">F72*G72</f>
        <v>0</v>
      </c>
      <c r="K72" s="328">
        <v>0.00156</v>
      </c>
      <c r="L72" s="328">
        <f aca="true" t="shared" si="75" ref="L72:L79">F72*K72</f>
        <v>0.017159999999999998</v>
      </c>
      <c r="Y72" s="295">
        <f aca="true" t="shared" si="76" ref="Y72:Y79">IF(AP72="5",BI72,0)</f>
        <v>0</v>
      </c>
      <c r="AA72" s="295">
        <f aca="true" t="shared" si="77" ref="AA72:AA79">IF(AP72="1",BG72,0)</f>
        <v>0</v>
      </c>
      <c r="AB72" s="295">
        <f aca="true" t="shared" si="78" ref="AB72:AB79">IF(AP72="1",BH72,0)</f>
        <v>0</v>
      </c>
      <c r="AC72" s="295">
        <f aca="true" t="shared" si="79" ref="AC72:AC79">IF(AP72="7",BG72,0)</f>
        <v>0</v>
      </c>
      <c r="AD72" s="295">
        <f aca="true" t="shared" si="80" ref="AD72:AD79">IF(AP72="7",BH72,0)</f>
        <v>0</v>
      </c>
      <c r="AE72" s="295">
        <f aca="true" t="shared" si="81" ref="AE72:AE79">IF(AP72="2",BG72,0)</f>
        <v>0</v>
      </c>
      <c r="AF72" s="295">
        <f aca="true" t="shared" si="82" ref="AF72:AF79">IF(AP72="2",BH72,0)</f>
        <v>0</v>
      </c>
      <c r="AG72" s="295">
        <f aca="true" t="shared" si="83" ref="AG72:AG79">IF(AP72="0",BI72,0)</f>
        <v>0</v>
      </c>
      <c r="AH72" s="296"/>
      <c r="AI72" s="294">
        <f aca="true" t="shared" si="84" ref="AI72:AI79">IF(AM72=0,J72,0)</f>
        <v>0</v>
      </c>
      <c r="AJ72" s="294">
        <f aca="true" t="shared" si="85" ref="AJ72:AJ79">IF(AM72=15,J72,0)</f>
        <v>0</v>
      </c>
      <c r="AK72" s="294">
        <f aca="true" t="shared" si="86" ref="AK72:AK79">IF(AM72=21,J72,0)</f>
        <v>0</v>
      </c>
      <c r="AM72" s="295">
        <v>21</v>
      </c>
      <c r="AN72" s="295">
        <f aca="true" t="shared" si="87" ref="AN72:AN78">G72*0</f>
        <v>0</v>
      </c>
      <c r="AO72" s="295">
        <f aca="true" t="shared" si="88" ref="AO72:AO78">G72*(1-0)</f>
        <v>0</v>
      </c>
      <c r="AP72" s="298" t="s">
        <v>225</v>
      </c>
      <c r="AU72" s="295">
        <f aca="true" t="shared" si="89" ref="AU72:AU79">AV72+AW72</f>
        <v>0</v>
      </c>
      <c r="AV72" s="295">
        <f aca="true" t="shared" si="90" ref="AV72:AV79">F72*AN72</f>
        <v>0</v>
      </c>
      <c r="AW72" s="295">
        <f aca="true" t="shared" si="91" ref="AW72:AW79">F72*AO72</f>
        <v>0</v>
      </c>
      <c r="AX72" s="297" t="s">
        <v>1756</v>
      </c>
      <c r="AY72" s="297" t="s">
        <v>1755</v>
      </c>
      <c r="AZ72" s="296" t="s">
        <v>1749</v>
      </c>
      <c r="BB72" s="295">
        <f aca="true" t="shared" si="92" ref="BB72:BB79">AV72+AW72</f>
        <v>0</v>
      </c>
      <c r="BC72" s="295">
        <f aca="true" t="shared" si="93" ref="BC72:BC79">G72/(100-BD72)*100</f>
        <v>0</v>
      </c>
      <c r="BD72" s="295">
        <v>0</v>
      </c>
      <c r="BE72" s="295">
        <f aca="true" t="shared" si="94" ref="BE72:BE79">L72</f>
        <v>0.017159999999999998</v>
      </c>
      <c r="BG72" s="294">
        <f aca="true" t="shared" si="95" ref="BG72:BG79">F72*AN72</f>
        <v>0</v>
      </c>
      <c r="BH72" s="294">
        <f aca="true" t="shared" si="96" ref="BH72:BH79">F72*AO72</f>
        <v>0</v>
      </c>
      <c r="BI72" s="294">
        <f aca="true" t="shared" si="97" ref="BI72:BI79">F72*G72</f>
        <v>0</v>
      </c>
    </row>
    <row r="73" spans="1:61" ht="12">
      <c r="A73" s="327" t="s">
        <v>433</v>
      </c>
      <c r="B73" s="327"/>
      <c r="C73" s="327" t="s">
        <v>1821</v>
      </c>
      <c r="D73" s="327" t="s">
        <v>1820</v>
      </c>
      <c r="E73" s="327" t="s">
        <v>1767</v>
      </c>
      <c r="F73" s="328">
        <v>2</v>
      </c>
      <c r="G73" s="329">
        <v>0</v>
      </c>
      <c r="H73" s="328">
        <f t="shared" si="72"/>
        <v>0</v>
      </c>
      <c r="I73" s="328">
        <f t="shared" si="73"/>
        <v>0</v>
      </c>
      <c r="J73" s="328">
        <f t="shared" si="74"/>
        <v>0</v>
      </c>
      <c r="K73" s="328">
        <v>0.0342</v>
      </c>
      <c r="L73" s="328">
        <f t="shared" si="75"/>
        <v>0.0684</v>
      </c>
      <c r="Y73" s="295">
        <f t="shared" si="76"/>
        <v>0</v>
      </c>
      <c r="AA73" s="295">
        <f t="shared" si="77"/>
        <v>0</v>
      </c>
      <c r="AB73" s="295">
        <f t="shared" si="78"/>
        <v>0</v>
      </c>
      <c r="AC73" s="295">
        <f t="shared" si="79"/>
        <v>0</v>
      </c>
      <c r="AD73" s="295">
        <f t="shared" si="80"/>
        <v>0</v>
      </c>
      <c r="AE73" s="295">
        <f t="shared" si="81"/>
        <v>0</v>
      </c>
      <c r="AF73" s="295">
        <f t="shared" si="82"/>
        <v>0</v>
      </c>
      <c r="AG73" s="295">
        <f t="shared" si="83"/>
        <v>0</v>
      </c>
      <c r="AH73" s="296"/>
      <c r="AI73" s="294">
        <f t="shared" si="84"/>
        <v>0</v>
      </c>
      <c r="AJ73" s="294">
        <f t="shared" si="85"/>
        <v>0</v>
      </c>
      <c r="AK73" s="294">
        <f t="shared" si="86"/>
        <v>0</v>
      </c>
      <c r="AM73" s="295">
        <v>21</v>
      </c>
      <c r="AN73" s="295">
        <f t="shared" si="87"/>
        <v>0</v>
      </c>
      <c r="AO73" s="295">
        <f t="shared" si="88"/>
        <v>0</v>
      </c>
      <c r="AP73" s="298" t="s">
        <v>225</v>
      </c>
      <c r="AU73" s="295">
        <f t="shared" si="89"/>
        <v>0</v>
      </c>
      <c r="AV73" s="295">
        <f t="shared" si="90"/>
        <v>0</v>
      </c>
      <c r="AW73" s="295">
        <f t="shared" si="91"/>
        <v>0</v>
      </c>
      <c r="AX73" s="297" t="s">
        <v>1756</v>
      </c>
      <c r="AY73" s="297" t="s">
        <v>1755</v>
      </c>
      <c r="AZ73" s="296" t="s">
        <v>1749</v>
      </c>
      <c r="BB73" s="295">
        <f t="shared" si="92"/>
        <v>0</v>
      </c>
      <c r="BC73" s="295">
        <f t="shared" si="93"/>
        <v>0</v>
      </c>
      <c r="BD73" s="295">
        <v>0</v>
      </c>
      <c r="BE73" s="295">
        <f t="shared" si="94"/>
        <v>0.0684</v>
      </c>
      <c r="BG73" s="294">
        <f t="shared" si="95"/>
        <v>0</v>
      </c>
      <c r="BH73" s="294">
        <f t="shared" si="96"/>
        <v>0</v>
      </c>
      <c r="BI73" s="294">
        <f t="shared" si="97"/>
        <v>0</v>
      </c>
    </row>
    <row r="74" spans="1:61" ht="12">
      <c r="A74" s="327" t="s">
        <v>437</v>
      </c>
      <c r="B74" s="327"/>
      <c r="C74" s="327" t="s">
        <v>1819</v>
      </c>
      <c r="D74" s="327" t="s">
        <v>1818</v>
      </c>
      <c r="E74" s="327" t="s">
        <v>258</v>
      </c>
      <c r="F74" s="328">
        <v>1</v>
      </c>
      <c r="G74" s="329">
        <v>0</v>
      </c>
      <c r="H74" s="328">
        <f t="shared" si="72"/>
        <v>0</v>
      </c>
      <c r="I74" s="328">
        <f t="shared" si="73"/>
        <v>0</v>
      </c>
      <c r="J74" s="328">
        <f t="shared" si="74"/>
        <v>0</v>
      </c>
      <c r="K74" s="328">
        <v>0.00052</v>
      </c>
      <c r="L74" s="328">
        <f t="shared" si="75"/>
        <v>0.00052</v>
      </c>
      <c r="Y74" s="295">
        <f t="shared" si="76"/>
        <v>0</v>
      </c>
      <c r="AA74" s="295">
        <f t="shared" si="77"/>
        <v>0</v>
      </c>
      <c r="AB74" s="295">
        <f t="shared" si="78"/>
        <v>0</v>
      </c>
      <c r="AC74" s="295">
        <f t="shared" si="79"/>
        <v>0</v>
      </c>
      <c r="AD74" s="295">
        <f t="shared" si="80"/>
        <v>0</v>
      </c>
      <c r="AE74" s="295">
        <f t="shared" si="81"/>
        <v>0</v>
      </c>
      <c r="AF74" s="295">
        <f t="shared" si="82"/>
        <v>0</v>
      </c>
      <c r="AG74" s="295">
        <f t="shared" si="83"/>
        <v>0</v>
      </c>
      <c r="AH74" s="296"/>
      <c r="AI74" s="294">
        <f t="shared" si="84"/>
        <v>0</v>
      </c>
      <c r="AJ74" s="294">
        <f t="shared" si="85"/>
        <v>0</v>
      </c>
      <c r="AK74" s="294">
        <f t="shared" si="86"/>
        <v>0</v>
      </c>
      <c r="AM74" s="295">
        <v>21</v>
      </c>
      <c r="AN74" s="295">
        <f t="shared" si="87"/>
        <v>0</v>
      </c>
      <c r="AO74" s="295">
        <f t="shared" si="88"/>
        <v>0</v>
      </c>
      <c r="AP74" s="298" t="s">
        <v>225</v>
      </c>
      <c r="AU74" s="295">
        <f t="shared" si="89"/>
        <v>0</v>
      </c>
      <c r="AV74" s="295">
        <f t="shared" si="90"/>
        <v>0</v>
      </c>
      <c r="AW74" s="295">
        <f t="shared" si="91"/>
        <v>0</v>
      </c>
      <c r="AX74" s="297" t="s">
        <v>1756</v>
      </c>
      <c r="AY74" s="297" t="s">
        <v>1755</v>
      </c>
      <c r="AZ74" s="296" t="s">
        <v>1749</v>
      </c>
      <c r="BB74" s="295">
        <f t="shared" si="92"/>
        <v>0</v>
      </c>
      <c r="BC74" s="295">
        <f t="shared" si="93"/>
        <v>0</v>
      </c>
      <c r="BD74" s="295">
        <v>0</v>
      </c>
      <c r="BE74" s="295">
        <f t="shared" si="94"/>
        <v>0.00052</v>
      </c>
      <c r="BG74" s="294">
        <f t="shared" si="95"/>
        <v>0</v>
      </c>
      <c r="BH74" s="294">
        <f t="shared" si="96"/>
        <v>0</v>
      </c>
      <c r="BI74" s="294">
        <f t="shared" si="97"/>
        <v>0</v>
      </c>
    </row>
    <row r="75" spans="1:61" ht="12">
      <c r="A75" s="327" t="s">
        <v>442</v>
      </c>
      <c r="B75" s="327"/>
      <c r="C75" s="327" t="s">
        <v>1817</v>
      </c>
      <c r="D75" s="327" t="s">
        <v>1816</v>
      </c>
      <c r="E75" s="327" t="s">
        <v>1767</v>
      </c>
      <c r="F75" s="328">
        <v>4</v>
      </c>
      <c r="G75" s="329">
        <v>0</v>
      </c>
      <c r="H75" s="328">
        <f t="shared" si="72"/>
        <v>0</v>
      </c>
      <c r="I75" s="328">
        <f t="shared" si="73"/>
        <v>0</v>
      </c>
      <c r="J75" s="328">
        <f t="shared" si="74"/>
        <v>0</v>
      </c>
      <c r="K75" s="328">
        <v>0.01946</v>
      </c>
      <c r="L75" s="328">
        <f t="shared" si="75"/>
        <v>0.07784</v>
      </c>
      <c r="Y75" s="295">
        <f t="shared" si="76"/>
        <v>0</v>
      </c>
      <c r="AA75" s="295">
        <f t="shared" si="77"/>
        <v>0</v>
      </c>
      <c r="AB75" s="295">
        <f t="shared" si="78"/>
        <v>0</v>
      </c>
      <c r="AC75" s="295">
        <f t="shared" si="79"/>
        <v>0</v>
      </c>
      <c r="AD75" s="295">
        <f t="shared" si="80"/>
        <v>0</v>
      </c>
      <c r="AE75" s="295">
        <f t="shared" si="81"/>
        <v>0</v>
      </c>
      <c r="AF75" s="295">
        <f t="shared" si="82"/>
        <v>0</v>
      </c>
      <c r="AG75" s="295">
        <f t="shared" si="83"/>
        <v>0</v>
      </c>
      <c r="AH75" s="296"/>
      <c r="AI75" s="294">
        <f t="shared" si="84"/>
        <v>0</v>
      </c>
      <c r="AJ75" s="294">
        <f t="shared" si="85"/>
        <v>0</v>
      </c>
      <c r="AK75" s="294">
        <f t="shared" si="86"/>
        <v>0</v>
      </c>
      <c r="AM75" s="295">
        <v>21</v>
      </c>
      <c r="AN75" s="295">
        <f t="shared" si="87"/>
        <v>0</v>
      </c>
      <c r="AO75" s="295">
        <f t="shared" si="88"/>
        <v>0</v>
      </c>
      <c r="AP75" s="298" t="s">
        <v>225</v>
      </c>
      <c r="AU75" s="295">
        <f t="shared" si="89"/>
        <v>0</v>
      </c>
      <c r="AV75" s="295">
        <f t="shared" si="90"/>
        <v>0</v>
      </c>
      <c r="AW75" s="295">
        <f t="shared" si="91"/>
        <v>0</v>
      </c>
      <c r="AX75" s="297" t="s">
        <v>1756</v>
      </c>
      <c r="AY75" s="297" t="s">
        <v>1755</v>
      </c>
      <c r="AZ75" s="296" t="s">
        <v>1749</v>
      </c>
      <c r="BB75" s="295">
        <f t="shared" si="92"/>
        <v>0</v>
      </c>
      <c r="BC75" s="295">
        <f t="shared" si="93"/>
        <v>0</v>
      </c>
      <c r="BD75" s="295">
        <v>0</v>
      </c>
      <c r="BE75" s="295">
        <f t="shared" si="94"/>
        <v>0.07784</v>
      </c>
      <c r="BG75" s="294">
        <f t="shared" si="95"/>
        <v>0</v>
      </c>
      <c r="BH75" s="294">
        <f t="shared" si="96"/>
        <v>0</v>
      </c>
      <c r="BI75" s="294">
        <f t="shared" si="97"/>
        <v>0</v>
      </c>
    </row>
    <row r="76" spans="1:61" ht="12">
      <c r="A76" s="327" t="s">
        <v>447</v>
      </c>
      <c r="B76" s="327"/>
      <c r="C76" s="327" t="s">
        <v>1815</v>
      </c>
      <c r="D76" s="327" t="s">
        <v>1814</v>
      </c>
      <c r="E76" s="327" t="s">
        <v>258</v>
      </c>
      <c r="F76" s="328">
        <v>4</v>
      </c>
      <c r="G76" s="329">
        <v>0</v>
      </c>
      <c r="H76" s="328">
        <f t="shared" si="72"/>
        <v>0</v>
      </c>
      <c r="I76" s="328">
        <f t="shared" si="73"/>
        <v>0</v>
      </c>
      <c r="J76" s="328">
        <f t="shared" si="74"/>
        <v>0</v>
      </c>
      <c r="K76" s="328">
        <v>0.00085</v>
      </c>
      <c r="L76" s="328">
        <f t="shared" si="75"/>
        <v>0.0034</v>
      </c>
      <c r="Y76" s="295">
        <f t="shared" si="76"/>
        <v>0</v>
      </c>
      <c r="AA76" s="295">
        <f t="shared" si="77"/>
        <v>0</v>
      </c>
      <c r="AB76" s="295">
        <f t="shared" si="78"/>
        <v>0</v>
      </c>
      <c r="AC76" s="295">
        <f t="shared" si="79"/>
        <v>0</v>
      </c>
      <c r="AD76" s="295">
        <f t="shared" si="80"/>
        <v>0</v>
      </c>
      <c r="AE76" s="295">
        <f t="shared" si="81"/>
        <v>0</v>
      </c>
      <c r="AF76" s="295">
        <f t="shared" si="82"/>
        <v>0</v>
      </c>
      <c r="AG76" s="295">
        <f t="shared" si="83"/>
        <v>0</v>
      </c>
      <c r="AH76" s="296"/>
      <c r="AI76" s="294">
        <f t="shared" si="84"/>
        <v>0</v>
      </c>
      <c r="AJ76" s="294">
        <f t="shared" si="85"/>
        <v>0</v>
      </c>
      <c r="AK76" s="294">
        <f t="shared" si="86"/>
        <v>0</v>
      </c>
      <c r="AM76" s="295">
        <v>21</v>
      </c>
      <c r="AN76" s="295">
        <f t="shared" si="87"/>
        <v>0</v>
      </c>
      <c r="AO76" s="295">
        <f t="shared" si="88"/>
        <v>0</v>
      </c>
      <c r="AP76" s="298" t="s">
        <v>225</v>
      </c>
      <c r="AU76" s="295">
        <f t="shared" si="89"/>
        <v>0</v>
      </c>
      <c r="AV76" s="295">
        <f t="shared" si="90"/>
        <v>0</v>
      </c>
      <c r="AW76" s="295">
        <f t="shared" si="91"/>
        <v>0</v>
      </c>
      <c r="AX76" s="297" t="s">
        <v>1756</v>
      </c>
      <c r="AY76" s="297" t="s">
        <v>1755</v>
      </c>
      <c r="AZ76" s="296" t="s">
        <v>1749</v>
      </c>
      <c r="BB76" s="295">
        <f t="shared" si="92"/>
        <v>0</v>
      </c>
      <c r="BC76" s="295">
        <f t="shared" si="93"/>
        <v>0</v>
      </c>
      <c r="BD76" s="295">
        <v>0</v>
      </c>
      <c r="BE76" s="295">
        <f t="shared" si="94"/>
        <v>0.0034</v>
      </c>
      <c r="BG76" s="294">
        <f t="shared" si="95"/>
        <v>0</v>
      </c>
      <c r="BH76" s="294">
        <f t="shared" si="96"/>
        <v>0</v>
      </c>
      <c r="BI76" s="294">
        <f t="shared" si="97"/>
        <v>0</v>
      </c>
    </row>
    <row r="77" spans="1:61" ht="12">
      <c r="A77" s="327" t="s">
        <v>452</v>
      </c>
      <c r="B77" s="327"/>
      <c r="C77" s="327" t="s">
        <v>1813</v>
      </c>
      <c r="D77" s="327" t="s">
        <v>1812</v>
      </c>
      <c r="E77" s="327" t="s">
        <v>1767</v>
      </c>
      <c r="F77" s="328">
        <v>1</v>
      </c>
      <c r="G77" s="329">
        <v>0</v>
      </c>
      <c r="H77" s="328">
        <f t="shared" si="72"/>
        <v>0</v>
      </c>
      <c r="I77" s="328">
        <f t="shared" si="73"/>
        <v>0</v>
      </c>
      <c r="J77" s="328">
        <f t="shared" si="74"/>
        <v>0</v>
      </c>
      <c r="K77" s="328">
        <v>0.0245</v>
      </c>
      <c r="L77" s="328">
        <f t="shared" si="75"/>
        <v>0.0245</v>
      </c>
      <c r="Y77" s="295">
        <f t="shared" si="76"/>
        <v>0</v>
      </c>
      <c r="AA77" s="295">
        <f t="shared" si="77"/>
        <v>0</v>
      </c>
      <c r="AB77" s="295">
        <f t="shared" si="78"/>
        <v>0</v>
      </c>
      <c r="AC77" s="295">
        <f t="shared" si="79"/>
        <v>0</v>
      </c>
      <c r="AD77" s="295">
        <f t="shared" si="80"/>
        <v>0</v>
      </c>
      <c r="AE77" s="295">
        <f t="shared" si="81"/>
        <v>0</v>
      </c>
      <c r="AF77" s="295">
        <f t="shared" si="82"/>
        <v>0</v>
      </c>
      <c r="AG77" s="295">
        <f t="shared" si="83"/>
        <v>0</v>
      </c>
      <c r="AH77" s="296"/>
      <c r="AI77" s="294">
        <f t="shared" si="84"/>
        <v>0</v>
      </c>
      <c r="AJ77" s="294">
        <f t="shared" si="85"/>
        <v>0</v>
      </c>
      <c r="AK77" s="294">
        <f t="shared" si="86"/>
        <v>0</v>
      </c>
      <c r="AM77" s="295">
        <v>21</v>
      </c>
      <c r="AN77" s="295">
        <f t="shared" si="87"/>
        <v>0</v>
      </c>
      <c r="AO77" s="295">
        <f t="shared" si="88"/>
        <v>0</v>
      </c>
      <c r="AP77" s="298" t="s">
        <v>225</v>
      </c>
      <c r="AU77" s="295">
        <f t="shared" si="89"/>
        <v>0</v>
      </c>
      <c r="AV77" s="295">
        <f t="shared" si="90"/>
        <v>0</v>
      </c>
      <c r="AW77" s="295">
        <f t="shared" si="91"/>
        <v>0</v>
      </c>
      <c r="AX77" s="297" t="s">
        <v>1756</v>
      </c>
      <c r="AY77" s="297" t="s">
        <v>1755</v>
      </c>
      <c r="AZ77" s="296" t="s">
        <v>1749</v>
      </c>
      <c r="BB77" s="295">
        <f t="shared" si="92"/>
        <v>0</v>
      </c>
      <c r="BC77" s="295">
        <f t="shared" si="93"/>
        <v>0</v>
      </c>
      <c r="BD77" s="295">
        <v>0</v>
      </c>
      <c r="BE77" s="295">
        <f t="shared" si="94"/>
        <v>0.0245</v>
      </c>
      <c r="BG77" s="294">
        <f t="shared" si="95"/>
        <v>0</v>
      </c>
      <c r="BH77" s="294">
        <f t="shared" si="96"/>
        <v>0</v>
      </c>
      <c r="BI77" s="294">
        <f t="shared" si="97"/>
        <v>0</v>
      </c>
    </row>
    <row r="78" spans="1:61" ht="12">
      <c r="A78" s="327" t="s">
        <v>456</v>
      </c>
      <c r="B78" s="327"/>
      <c r="C78" s="327" t="s">
        <v>1811</v>
      </c>
      <c r="D78" s="327" t="s">
        <v>1810</v>
      </c>
      <c r="E78" s="327" t="s">
        <v>1767</v>
      </c>
      <c r="F78" s="328">
        <v>1</v>
      </c>
      <c r="G78" s="329">
        <v>0</v>
      </c>
      <c r="H78" s="328">
        <f t="shared" si="72"/>
        <v>0</v>
      </c>
      <c r="I78" s="328">
        <f t="shared" si="73"/>
        <v>0</v>
      </c>
      <c r="J78" s="328">
        <f t="shared" si="74"/>
        <v>0</v>
      </c>
      <c r="K78" s="328">
        <v>0.0347</v>
      </c>
      <c r="L78" s="328">
        <f t="shared" si="75"/>
        <v>0.0347</v>
      </c>
      <c r="Y78" s="295">
        <f t="shared" si="76"/>
        <v>0</v>
      </c>
      <c r="AA78" s="295">
        <f t="shared" si="77"/>
        <v>0</v>
      </c>
      <c r="AB78" s="295">
        <f t="shared" si="78"/>
        <v>0</v>
      </c>
      <c r="AC78" s="295">
        <f t="shared" si="79"/>
        <v>0</v>
      </c>
      <c r="AD78" s="295">
        <f t="shared" si="80"/>
        <v>0</v>
      </c>
      <c r="AE78" s="295">
        <f t="shared" si="81"/>
        <v>0</v>
      </c>
      <c r="AF78" s="295">
        <f t="shared" si="82"/>
        <v>0</v>
      </c>
      <c r="AG78" s="295">
        <f t="shared" si="83"/>
        <v>0</v>
      </c>
      <c r="AH78" s="296"/>
      <c r="AI78" s="294">
        <f t="shared" si="84"/>
        <v>0</v>
      </c>
      <c r="AJ78" s="294">
        <f t="shared" si="85"/>
        <v>0</v>
      </c>
      <c r="AK78" s="294">
        <f t="shared" si="86"/>
        <v>0</v>
      </c>
      <c r="AM78" s="295">
        <v>21</v>
      </c>
      <c r="AN78" s="295">
        <f t="shared" si="87"/>
        <v>0</v>
      </c>
      <c r="AO78" s="295">
        <f t="shared" si="88"/>
        <v>0</v>
      </c>
      <c r="AP78" s="298" t="s">
        <v>225</v>
      </c>
      <c r="AU78" s="295">
        <f t="shared" si="89"/>
        <v>0</v>
      </c>
      <c r="AV78" s="295">
        <f t="shared" si="90"/>
        <v>0</v>
      </c>
      <c r="AW78" s="295">
        <f t="shared" si="91"/>
        <v>0</v>
      </c>
      <c r="AX78" s="297" t="s">
        <v>1756</v>
      </c>
      <c r="AY78" s="297" t="s">
        <v>1755</v>
      </c>
      <c r="AZ78" s="296" t="s">
        <v>1749</v>
      </c>
      <c r="BB78" s="295">
        <f t="shared" si="92"/>
        <v>0</v>
      </c>
      <c r="BC78" s="295">
        <f t="shared" si="93"/>
        <v>0</v>
      </c>
      <c r="BD78" s="295">
        <v>0</v>
      </c>
      <c r="BE78" s="295">
        <f t="shared" si="94"/>
        <v>0.0347</v>
      </c>
      <c r="BG78" s="294">
        <f t="shared" si="95"/>
        <v>0</v>
      </c>
      <c r="BH78" s="294">
        <f t="shared" si="96"/>
        <v>0</v>
      </c>
      <c r="BI78" s="294">
        <f t="shared" si="97"/>
        <v>0</v>
      </c>
    </row>
    <row r="79" spans="1:61" ht="12">
      <c r="A79" s="327" t="s">
        <v>460</v>
      </c>
      <c r="B79" s="327"/>
      <c r="C79" s="327" t="s">
        <v>1982</v>
      </c>
      <c r="D79" s="327" t="s">
        <v>1809</v>
      </c>
      <c r="E79" s="327" t="s">
        <v>1767</v>
      </c>
      <c r="F79" s="328">
        <v>1</v>
      </c>
      <c r="G79" s="329">
        <v>0</v>
      </c>
      <c r="H79" s="328">
        <f t="shared" si="72"/>
        <v>0</v>
      </c>
      <c r="I79" s="328">
        <f t="shared" si="73"/>
        <v>0</v>
      </c>
      <c r="J79" s="328">
        <f t="shared" si="74"/>
        <v>0</v>
      </c>
      <c r="K79" s="328">
        <v>0.01772</v>
      </c>
      <c r="L79" s="328">
        <f t="shared" si="75"/>
        <v>0.01772</v>
      </c>
      <c r="Y79" s="295">
        <f t="shared" si="76"/>
        <v>0</v>
      </c>
      <c r="AA79" s="295">
        <f t="shared" si="77"/>
        <v>0</v>
      </c>
      <c r="AB79" s="295">
        <f t="shared" si="78"/>
        <v>0</v>
      </c>
      <c r="AC79" s="295">
        <f t="shared" si="79"/>
        <v>0</v>
      </c>
      <c r="AD79" s="295">
        <f t="shared" si="80"/>
        <v>0</v>
      </c>
      <c r="AE79" s="295">
        <f t="shared" si="81"/>
        <v>0</v>
      </c>
      <c r="AF79" s="295">
        <f t="shared" si="82"/>
        <v>0</v>
      </c>
      <c r="AG79" s="295">
        <f t="shared" si="83"/>
        <v>0</v>
      </c>
      <c r="AH79" s="296"/>
      <c r="AI79" s="294">
        <f t="shared" si="84"/>
        <v>0</v>
      </c>
      <c r="AJ79" s="294">
        <f t="shared" si="85"/>
        <v>0</v>
      </c>
      <c r="AK79" s="294">
        <f t="shared" si="86"/>
        <v>0</v>
      </c>
      <c r="AM79" s="295">
        <v>21</v>
      </c>
      <c r="AN79" s="295">
        <f>G79*0.876518238993711</f>
        <v>0</v>
      </c>
      <c r="AO79" s="295">
        <f>G79*(1-0.876518238993711)</f>
        <v>0</v>
      </c>
      <c r="AP79" s="298" t="s">
        <v>225</v>
      </c>
      <c r="AU79" s="295">
        <f t="shared" si="89"/>
        <v>0</v>
      </c>
      <c r="AV79" s="295">
        <f t="shared" si="90"/>
        <v>0</v>
      </c>
      <c r="AW79" s="295">
        <f t="shared" si="91"/>
        <v>0</v>
      </c>
      <c r="AX79" s="297" t="s">
        <v>1756</v>
      </c>
      <c r="AY79" s="297" t="s">
        <v>1755</v>
      </c>
      <c r="AZ79" s="296" t="s">
        <v>1749</v>
      </c>
      <c r="BB79" s="295">
        <f t="shared" si="92"/>
        <v>0</v>
      </c>
      <c r="BC79" s="295">
        <f t="shared" si="93"/>
        <v>0</v>
      </c>
      <c r="BD79" s="295">
        <v>0</v>
      </c>
      <c r="BE79" s="295">
        <f t="shared" si="94"/>
        <v>0.01772</v>
      </c>
      <c r="BG79" s="294">
        <f t="shared" si="95"/>
        <v>0</v>
      </c>
      <c r="BH79" s="294">
        <f t="shared" si="96"/>
        <v>0</v>
      </c>
      <c r="BI79" s="294">
        <f t="shared" si="97"/>
        <v>0</v>
      </c>
    </row>
    <row r="80" spans="1:12" ht="12">
      <c r="A80" s="291"/>
      <c r="B80" s="291"/>
      <c r="C80" s="291"/>
      <c r="D80" s="338" t="s">
        <v>1808</v>
      </c>
      <c r="E80" s="291"/>
      <c r="F80" s="291"/>
      <c r="G80" s="339"/>
      <c r="H80" s="291"/>
      <c r="I80" s="291"/>
      <c r="J80" s="291"/>
      <c r="K80" s="291"/>
      <c r="L80" s="291"/>
    </row>
    <row r="81" spans="1:61" ht="12">
      <c r="A81" s="327" t="s">
        <v>465</v>
      </c>
      <c r="B81" s="327"/>
      <c r="C81" s="327" t="s">
        <v>1807</v>
      </c>
      <c r="D81" s="327" t="s">
        <v>1806</v>
      </c>
      <c r="E81" s="327" t="s">
        <v>1767</v>
      </c>
      <c r="F81" s="328">
        <v>1</v>
      </c>
      <c r="G81" s="329">
        <v>0</v>
      </c>
      <c r="H81" s="328">
        <f aca="true" t="shared" si="98" ref="H81:H107">F81*AN81</f>
        <v>0</v>
      </c>
      <c r="I81" s="328">
        <f aca="true" t="shared" si="99" ref="I81:I107">F81*AO81</f>
        <v>0</v>
      </c>
      <c r="J81" s="328">
        <f aca="true" t="shared" si="100" ref="J81:J107">F81*G81</f>
        <v>0</v>
      </c>
      <c r="K81" s="328">
        <v>0.026</v>
      </c>
      <c r="L81" s="328">
        <f aca="true" t="shared" si="101" ref="L81:L107">F81*K81</f>
        <v>0.026</v>
      </c>
      <c r="Y81" s="295">
        <f aca="true" t="shared" si="102" ref="Y81:Y107">IF(AP81="5",BI81,0)</f>
        <v>0</v>
      </c>
      <c r="AA81" s="295">
        <f aca="true" t="shared" si="103" ref="AA81:AA107">IF(AP81="1",BG81,0)</f>
        <v>0</v>
      </c>
      <c r="AB81" s="295">
        <f aca="true" t="shared" si="104" ref="AB81:AB107">IF(AP81="1",BH81,0)</f>
        <v>0</v>
      </c>
      <c r="AC81" s="295">
        <f aca="true" t="shared" si="105" ref="AC81:AC107">IF(AP81="7",BG81,0)</f>
        <v>0</v>
      </c>
      <c r="AD81" s="295">
        <f aca="true" t="shared" si="106" ref="AD81:AD107">IF(AP81="7",BH81,0)</f>
        <v>0</v>
      </c>
      <c r="AE81" s="295">
        <f aca="true" t="shared" si="107" ref="AE81:AE107">IF(AP81="2",BG81,0)</f>
        <v>0</v>
      </c>
      <c r="AF81" s="295">
        <f aca="true" t="shared" si="108" ref="AF81:AF107">IF(AP81="2",BH81,0)</f>
        <v>0</v>
      </c>
      <c r="AG81" s="295">
        <f aca="true" t="shared" si="109" ref="AG81:AG107">IF(AP81="0",BI81,0)</f>
        <v>0</v>
      </c>
      <c r="AH81" s="296"/>
      <c r="AI81" s="294">
        <f aca="true" t="shared" si="110" ref="AI81:AI107">IF(AM81=0,J81,0)</f>
        <v>0</v>
      </c>
      <c r="AJ81" s="294">
        <f aca="true" t="shared" si="111" ref="AJ81:AJ107">IF(AM81=15,J81,0)</f>
        <v>0</v>
      </c>
      <c r="AK81" s="294">
        <f aca="true" t="shared" si="112" ref="AK81:AK107">IF(AM81=21,J81,0)</f>
        <v>0</v>
      </c>
      <c r="AM81" s="295">
        <v>21</v>
      </c>
      <c r="AN81" s="295">
        <f>G81*0.865666244802025</f>
        <v>0</v>
      </c>
      <c r="AO81" s="295">
        <f>G81*(1-0.865666244802025)</f>
        <v>0</v>
      </c>
      <c r="AP81" s="298" t="s">
        <v>225</v>
      </c>
      <c r="AU81" s="295">
        <f aca="true" t="shared" si="113" ref="AU81:AU107">AV81+AW81</f>
        <v>0</v>
      </c>
      <c r="AV81" s="295">
        <f aca="true" t="shared" si="114" ref="AV81:AV107">F81*AN81</f>
        <v>0</v>
      </c>
      <c r="AW81" s="295">
        <f aca="true" t="shared" si="115" ref="AW81:AW107">F81*AO81</f>
        <v>0</v>
      </c>
      <c r="AX81" s="297" t="s">
        <v>1756</v>
      </c>
      <c r="AY81" s="297" t="s">
        <v>1755</v>
      </c>
      <c r="AZ81" s="296" t="s">
        <v>1749</v>
      </c>
      <c r="BB81" s="295">
        <f aca="true" t="shared" si="116" ref="BB81:BB107">AV81+AW81</f>
        <v>0</v>
      </c>
      <c r="BC81" s="295">
        <f aca="true" t="shared" si="117" ref="BC81:BC107">G81/(100-BD81)*100</f>
        <v>0</v>
      </c>
      <c r="BD81" s="295">
        <v>0</v>
      </c>
      <c r="BE81" s="295">
        <f aca="true" t="shared" si="118" ref="BE81:BE107">L81</f>
        <v>0.026</v>
      </c>
      <c r="BG81" s="294">
        <f aca="true" t="shared" si="119" ref="BG81:BG107">F81*AN81</f>
        <v>0</v>
      </c>
      <c r="BH81" s="294">
        <f aca="true" t="shared" si="120" ref="BH81:BH107">F81*AO81</f>
        <v>0</v>
      </c>
      <c r="BI81" s="294">
        <f aca="true" t="shared" si="121" ref="BI81:BI107">F81*G81</f>
        <v>0</v>
      </c>
    </row>
    <row r="82" spans="1:61" ht="12">
      <c r="A82" s="335" t="s">
        <v>470</v>
      </c>
      <c r="B82" s="335"/>
      <c r="C82" s="335" t="s">
        <v>1805</v>
      </c>
      <c r="D82" s="335" t="s">
        <v>1804</v>
      </c>
      <c r="E82" s="335" t="s">
        <v>258</v>
      </c>
      <c r="F82" s="336">
        <v>1</v>
      </c>
      <c r="G82" s="337">
        <v>0</v>
      </c>
      <c r="H82" s="336">
        <f t="shared" si="98"/>
        <v>0</v>
      </c>
      <c r="I82" s="336">
        <f t="shared" si="99"/>
        <v>0</v>
      </c>
      <c r="J82" s="336">
        <f t="shared" si="100"/>
        <v>0</v>
      </c>
      <c r="K82" s="336">
        <v>0.0002</v>
      </c>
      <c r="L82" s="336">
        <f t="shared" si="101"/>
        <v>0.0002</v>
      </c>
      <c r="Y82" s="295">
        <f t="shared" si="102"/>
        <v>0</v>
      </c>
      <c r="AA82" s="295">
        <f t="shared" si="103"/>
        <v>0</v>
      </c>
      <c r="AB82" s="295">
        <f t="shared" si="104"/>
        <v>0</v>
      </c>
      <c r="AC82" s="295">
        <f t="shared" si="105"/>
        <v>0</v>
      </c>
      <c r="AD82" s="295">
        <f t="shared" si="106"/>
        <v>0</v>
      </c>
      <c r="AE82" s="295">
        <f t="shared" si="107"/>
        <v>0</v>
      </c>
      <c r="AF82" s="295">
        <f t="shared" si="108"/>
        <v>0</v>
      </c>
      <c r="AG82" s="295">
        <f t="shared" si="109"/>
        <v>0</v>
      </c>
      <c r="AH82" s="296"/>
      <c r="AI82" s="305">
        <f t="shared" si="110"/>
        <v>0</v>
      </c>
      <c r="AJ82" s="305">
        <f t="shared" si="111"/>
        <v>0</v>
      </c>
      <c r="AK82" s="305">
        <f t="shared" si="112"/>
        <v>0</v>
      </c>
      <c r="AM82" s="295">
        <v>21</v>
      </c>
      <c r="AN82" s="295">
        <f>G82*1</f>
        <v>0</v>
      </c>
      <c r="AO82" s="295">
        <f>G82*(1-1)</f>
        <v>0</v>
      </c>
      <c r="AP82" s="306" t="s">
        <v>225</v>
      </c>
      <c r="AU82" s="295">
        <f t="shared" si="113"/>
        <v>0</v>
      </c>
      <c r="AV82" s="295">
        <f t="shared" si="114"/>
        <v>0</v>
      </c>
      <c r="AW82" s="295">
        <f t="shared" si="115"/>
        <v>0</v>
      </c>
      <c r="AX82" s="297" t="s">
        <v>1756</v>
      </c>
      <c r="AY82" s="297" t="s">
        <v>1755</v>
      </c>
      <c r="AZ82" s="296" t="s">
        <v>1749</v>
      </c>
      <c r="BB82" s="295">
        <f t="shared" si="116"/>
        <v>0</v>
      </c>
      <c r="BC82" s="295">
        <f t="shared" si="117"/>
        <v>0</v>
      </c>
      <c r="BD82" s="295">
        <v>0</v>
      </c>
      <c r="BE82" s="295">
        <f t="shared" si="118"/>
        <v>0.0002</v>
      </c>
      <c r="BG82" s="305">
        <f t="shared" si="119"/>
        <v>0</v>
      </c>
      <c r="BH82" s="305">
        <f t="shared" si="120"/>
        <v>0</v>
      </c>
      <c r="BI82" s="305">
        <f t="shared" si="121"/>
        <v>0</v>
      </c>
    </row>
    <row r="83" spans="1:61" ht="12">
      <c r="A83" s="327" t="s">
        <v>475</v>
      </c>
      <c r="B83" s="327"/>
      <c r="C83" s="327" t="s">
        <v>1983</v>
      </c>
      <c r="D83" s="327" t="s">
        <v>1803</v>
      </c>
      <c r="E83" s="327" t="s">
        <v>1767</v>
      </c>
      <c r="F83" s="328">
        <v>2</v>
      </c>
      <c r="G83" s="329">
        <v>0</v>
      </c>
      <c r="H83" s="328">
        <f t="shared" si="98"/>
        <v>0</v>
      </c>
      <c r="I83" s="328">
        <f t="shared" si="99"/>
        <v>0</v>
      </c>
      <c r="J83" s="328">
        <f t="shared" si="100"/>
        <v>0</v>
      </c>
      <c r="K83" s="328">
        <v>0.01901</v>
      </c>
      <c r="L83" s="328">
        <f t="shared" si="101"/>
        <v>0.03802</v>
      </c>
      <c r="Y83" s="295">
        <f t="shared" si="102"/>
        <v>0</v>
      </c>
      <c r="AA83" s="295">
        <f t="shared" si="103"/>
        <v>0</v>
      </c>
      <c r="AB83" s="295">
        <f t="shared" si="104"/>
        <v>0</v>
      </c>
      <c r="AC83" s="295">
        <f t="shared" si="105"/>
        <v>0</v>
      </c>
      <c r="AD83" s="295">
        <f t="shared" si="106"/>
        <v>0</v>
      </c>
      <c r="AE83" s="295">
        <f t="shared" si="107"/>
        <v>0</v>
      </c>
      <c r="AF83" s="295">
        <f t="shared" si="108"/>
        <v>0</v>
      </c>
      <c r="AG83" s="295">
        <f t="shared" si="109"/>
        <v>0</v>
      </c>
      <c r="AH83" s="296"/>
      <c r="AI83" s="294">
        <f t="shared" si="110"/>
        <v>0</v>
      </c>
      <c r="AJ83" s="294">
        <f t="shared" si="111"/>
        <v>0</v>
      </c>
      <c r="AK83" s="294">
        <f t="shared" si="112"/>
        <v>0</v>
      </c>
      <c r="AM83" s="295">
        <v>21</v>
      </c>
      <c r="AN83" s="295">
        <f>G83*0.698739326971371</f>
        <v>0</v>
      </c>
      <c r="AO83" s="295">
        <f>G83*(1-0.698739326971371)</f>
        <v>0</v>
      </c>
      <c r="AP83" s="298" t="s">
        <v>225</v>
      </c>
      <c r="AU83" s="295">
        <f t="shared" si="113"/>
        <v>0</v>
      </c>
      <c r="AV83" s="295">
        <f t="shared" si="114"/>
        <v>0</v>
      </c>
      <c r="AW83" s="295">
        <f t="shared" si="115"/>
        <v>0</v>
      </c>
      <c r="AX83" s="297" t="s">
        <v>1756</v>
      </c>
      <c r="AY83" s="297" t="s">
        <v>1755</v>
      </c>
      <c r="AZ83" s="296" t="s">
        <v>1749</v>
      </c>
      <c r="BB83" s="295">
        <f t="shared" si="116"/>
        <v>0</v>
      </c>
      <c r="BC83" s="295">
        <f t="shared" si="117"/>
        <v>0</v>
      </c>
      <c r="BD83" s="295">
        <v>0</v>
      </c>
      <c r="BE83" s="295">
        <f t="shared" si="118"/>
        <v>0.03802</v>
      </c>
      <c r="BG83" s="294">
        <f t="shared" si="119"/>
        <v>0</v>
      </c>
      <c r="BH83" s="294">
        <f t="shared" si="120"/>
        <v>0</v>
      </c>
      <c r="BI83" s="294">
        <f t="shared" si="121"/>
        <v>0</v>
      </c>
    </row>
    <row r="84" spans="1:61" ht="12">
      <c r="A84" s="327" t="s">
        <v>480</v>
      </c>
      <c r="B84" s="327"/>
      <c r="C84" s="327" t="s">
        <v>1802</v>
      </c>
      <c r="D84" s="327" t="s">
        <v>1801</v>
      </c>
      <c r="E84" s="327" t="s">
        <v>1767</v>
      </c>
      <c r="F84" s="328">
        <v>1</v>
      </c>
      <c r="G84" s="329">
        <v>0</v>
      </c>
      <c r="H84" s="328">
        <f t="shared" si="98"/>
        <v>0</v>
      </c>
      <c r="I84" s="328">
        <f t="shared" si="99"/>
        <v>0</v>
      </c>
      <c r="J84" s="328">
        <f t="shared" si="100"/>
        <v>0</v>
      </c>
      <c r="K84" s="328">
        <v>0.00141</v>
      </c>
      <c r="L84" s="328">
        <f t="shared" si="101"/>
        <v>0.00141</v>
      </c>
      <c r="Y84" s="295">
        <f t="shared" si="102"/>
        <v>0</v>
      </c>
      <c r="AA84" s="295">
        <f t="shared" si="103"/>
        <v>0</v>
      </c>
      <c r="AB84" s="295">
        <f t="shared" si="104"/>
        <v>0</v>
      </c>
      <c r="AC84" s="295">
        <f t="shared" si="105"/>
        <v>0</v>
      </c>
      <c r="AD84" s="295">
        <f t="shared" si="106"/>
        <v>0</v>
      </c>
      <c r="AE84" s="295">
        <f t="shared" si="107"/>
        <v>0</v>
      </c>
      <c r="AF84" s="295">
        <f t="shared" si="108"/>
        <v>0</v>
      </c>
      <c r="AG84" s="295">
        <f t="shared" si="109"/>
        <v>0</v>
      </c>
      <c r="AH84" s="296"/>
      <c r="AI84" s="294">
        <f t="shared" si="110"/>
        <v>0</v>
      </c>
      <c r="AJ84" s="294">
        <f t="shared" si="111"/>
        <v>0</v>
      </c>
      <c r="AK84" s="294">
        <f t="shared" si="112"/>
        <v>0</v>
      </c>
      <c r="AM84" s="295">
        <v>21</v>
      </c>
      <c r="AN84" s="295">
        <f>G84*0.114152382661761</f>
        <v>0</v>
      </c>
      <c r="AO84" s="295">
        <f>G84*(1-0.114152382661761)</f>
        <v>0</v>
      </c>
      <c r="AP84" s="298" t="s">
        <v>225</v>
      </c>
      <c r="AU84" s="295">
        <f t="shared" si="113"/>
        <v>0</v>
      </c>
      <c r="AV84" s="295">
        <f t="shared" si="114"/>
        <v>0</v>
      </c>
      <c r="AW84" s="295">
        <f t="shared" si="115"/>
        <v>0</v>
      </c>
      <c r="AX84" s="297" t="s">
        <v>1756</v>
      </c>
      <c r="AY84" s="297" t="s">
        <v>1755</v>
      </c>
      <c r="AZ84" s="296" t="s">
        <v>1749</v>
      </c>
      <c r="BB84" s="295">
        <f t="shared" si="116"/>
        <v>0</v>
      </c>
      <c r="BC84" s="295">
        <f t="shared" si="117"/>
        <v>0</v>
      </c>
      <c r="BD84" s="295">
        <v>0</v>
      </c>
      <c r="BE84" s="295">
        <f t="shared" si="118"/>
        <v>0.00141</v>
      </c>
      <c r="BG84" s="294">
        <f t="shared" si="119"/>
        <v>0</v>
      </c>
      <c r="BH84" s="294">
        <f t="shared" si="120"/>
        <v>0</v>
      </c>
      <c r="BI84" s="294">
        <f t="shared" si="121"/>
        <v>0</v>
      </c>
    </row>
    <row r="85" spans="1:61" ht="12">
      <c r="A85" s="335" t="s">
        <v>485</v>
      </c>
      <c r="B85" s="335"/>
      <c r="C85" s="335" t="s">
        <v>1984</v>
      </c>
      <c r="D85" s="335" t="s">
        <v>1800</v>
      </c>
      <c r="E85" s="335" t="s">
        <v>258</v>
      </c>
      <c r="F85" s="336">
        <v>1</v>
      </c>
      <c r="G85" s="337">
        <v>0</v>
      </c>
      <c r="H85" s="336">
        <f t="shared" si="98"/>
        <v>0</v>
      </c>
      <c r="I85" s="336">
        <f t="shared" si="99"/>
        <v>0</v>
      </c>
      <c r="J85" s="336">
        <f t="shared" si="100"/>
        <v>0</v>
      </c>
      <c r="K85" s="336">
        <v>0.0074</v>
      </c>
      <c r="L85" s="336">
        <f t="shared" si="101"/>
        <v>0.0074</v>
      </c>
      <c r="Y85" s="295">
        <f t="shared" si="102"/>
        <v>0</v>
      </c>
      <c r="AA85" s="295">
        <f t="shared" si="103"/>
        <v>0</v>
      </c>
      <c r="AB85" s="295">
        <f t="shared" si="104"/>
        <v>0</v>
      </c>
      <c r="AC85" s="295">
        <f t="shared" si="105"/>
        <v>0</v>
      </c>
      <c r="AD85" s="295">
        <f t="shared" si="106"/>
        <v>0</v>
      </c>
      <c r="AE85" s="295">
        <f t="shared" si="107"/>
        <v>0</v>
      </c>
      <c r="AF85" s="295">
        <f t="shared" si="108"/>
        <v>0</v>
      </c>
      <c r="AG85" s="295">
        <f t="shared" si="109"/>
        <v>0</v>
      </c>
      <c r="AH85" s="296"/>
      <c r="AI85" s="305">
        <f t="shared" si="110"/>
        <v>0</v>
      </c>
      <c r="AJ85" s="305">
        <f t="shared" si="111"/>
        <v>0</v>
      </c>
      <c r="AK85" s="305">
        <f t="shared" si="112"/>
        <v>0</v>
      </c>
      <c r="AM85" s="295">
        <v>21</v>
      </c>
      <c r="AN85" s="295">
        <f>G85*1</f>
        <v>0</v>
      </c>
      <c r="AO85" s="295">
        <f>G85*(1-1)</f>
        <v>0</v>
      </c>
      <c r="AP85" s="306" t="s">
        <v>225</v>
      </c>
      <c r="AU85" s="295">
        <f t="shared" si="113"/>
        <v>0</v>
      </c>
      <c r="AV85" s="295">
        <f t="shared" si="114"/>
        <v>0</v>
      </c>
      <c r="AW85" s="295">
        <f t="shared" si="115"/>
        <v>0</v>
      </c>
      <c r="AX85" s="297" t="s">
        <v>1756</v>
      </c>
      <c r="AY85" s="297" t="s">
        <v>1755</v>
      </c>
      <c r="AZ85" s="296" t="s">
        <v>1749</v>
      </c>
      <c r="BB85" s="295">
        <f t="shared" si="116"/>
        <v>0</v>
      </c>
      <c r="BC85" s="295">
        <f t="shared" si="117"/>
        <v>0</v>
      </c>
      <c r="BD85" s="295">
        <v>0</v>
      </c>
      <c r="BE85" s="295">
        <f t="shared" si="118"/>
        <v>0.0074</v>
      </c>
      <c r="BG85" s="305">
        <f t="shared" si="119"/>
        <v>0</v>
      </c>
      <c r="BH85" s="305">
        <f t="shared" si="120"/>
        <v>0</v>
      </c>
      <c r="BI85" s="305">
        <f t="shared" si="121"/>
        <v>0</v>
      </c>
    </row>
    <row r="86" spans="1:61" ht="12">
      <c r="A86" s="327" t="s">
        <v>489</v>
      </c>
      <c r="B86" s="327"/>
      <c r="C86" s="327" t="s">
        <v>1799</v>
      </c>
      <c r="D86" s="327" t="s">
        <v>1798</v>
      </c>
      <c r="E86" s="327" t="s">
        <v>258</v>
      </c>
      <c r="F86" s="328">
        <v>3</v>
      </c>
      <c r="G86" s="329">
        <v>0</v>
      </c>
      <c r="H86" s="328">
        <f t="shared" si="98"/>
        <v>0</v>
      </c>
      <c r="I86" s="328">
        <f t="shared" si="99"/>
        <v>0</v>
      </c>
      <c r="J86" s="328">
        <f t="shared" si="100"/>
        <v>0</v>
      </c>
      <c r="K86" s="328">
        <v>0.00102</v>
      </c>
      <c r="L86" s="328">
        <f t="shared" si="101"/>
        <v>0.0030600000000000002</v>
      </c>
      <c r="Y86" s="295">
        <f t="shared" si="102"/>
        <v>0</v>
      </c>
      <c r="AA86" s="295">
        <f t="shared" si="103"/>
        <v>0</v>
      </c>
      <c r="AB86" s="295">
        <f t="shared" si="104"/>
        <v>0</v>
      </c>
      <c r="AC86" s="295">
        <f t="shared" si="105"/>
        <v>0</v>
      </c>
      <c r="AD86" s="295">
        <f t="shared" si="106"/>
        <v>0</v>
      </c>
      <c r="AE86" s="295">
        <f t="shared" si="107"/>
        <v>0</v>
      </c>
      <c r="AF86" s="295">
        <f t="shared" si="108"/>
        <v>0</v>
      </c>
      <c r="AG86" s="295">
        <f t="shared" si="109"/>
        <v>0</v>
      </c>
      <c r="AH86" s="296"/>
      <c r="AI86" s="294">
        <f t="shared" si="110"/>
        <v>0</v>
      </c>
      <c r="AJ86" s="294">
        <f t="shared" si="111"/>
        <v>0</v>
      </c>
      <c r="AK86" s="294">
        <f t="shared" si="112"/>
        <v>0</v>
      </c>
      <c r="AM86" s="295">
        <v>21</v>
      </c>
      <c r="AN86" s="295">
        <f>G86*0.905291985779759</f>
        <v>0</v>
      </c>
      <c r="AO86" s="295">
        <f>G86*(1-0.905291985779759)</f>
        <v>0</v>
      </c>
      <c r="AP86" s="298" t="s">
        <v>225</v>
      </c>
      <c r="AU86" s="295">
        <f t="shared" si="113"/>
        <v>0</v>
      </c>
      <c r="AV86" s="295">
        <f t="shared" si="114"/>
        <v>0</v>
      </c>
      <c r="AW86" s="295">
        <f t="shared" si="115"/>
        <v>0</v>
      </c>
      <c r="AX86" s="297" t="s">
        <v>1756</v>
      </c>
      <c r="AY86" s="297" t="s">
        <v>1755</v>
      </c>
      <c r="AZ86" s="296" t="s">
        <v>1749</v>
      </c>
      <c r="BB86" s="295">
        <f t="shared" si="116"/>
        <v>0</v>
      </c>
      <c r="BC86" s="295">
        <f t="shared" si="117"/>
        <v>0</v>
      </c>
      <c r="BD86" s="295">
        <v>0</v>
      </c>
      <c r="BE86" s="295">
        <f t="shared" si="118"/>
        <v>0.0030600000000000002</v>
      </c>
      <c r="BG86" s="294">
        <f t="shared" si="119"/>
        <v>0</v>
      </c>
      <c r="BH86" s="294">
        <f t="shared" si="120"/>
        <v>0</v>
      </c>
      <c r="BI86" s="294">
        <f t="shared" si="121"/>
        <v>0</v>
      </c>
    </row>
    <row r="87" spans="1:61" ht="12">
      <c r="A87" s="327" t="s">
        <v>493</v>
      </c>
      <c r="B87" s="327"/>
      <c r="C87" s="327" t="s">
        <v>1797</v>
      </c>
      <c r="D87" s="327" t="s">
        <v>1796</v>
      </c>
      <c r="E87" s="327" t="s">
        <v>258</v>
      </c>
      <c r="F87" s="328">
        <v>3</v>
      </c>
      <c r="G87" s="329">
        <v>0</v>
      </c>
      <c r="H87" s="328">
        <f t="shared" si="98"/>
        <v>0</v>
      </c>
      <c r="I87" s="328">
        <f t="shared" si="99"/>
        <v>0</v>
      </c>
      <c r="J87" s="328">
        <f t="shared" si="100"/>
        <v>0</v>
      </c>
      <c r="K87" s="328">
        <v>0.0002</v>
      </c>
      <c r="L87" s="328">
        <f t="shared" si="101"/>
        <v>0.0006000000000000001</v>
      </c>
      <c r="Y87" s="295">
        <f t="shared" si="102"/>
        <v>0</v>
      </c>
      <c r="AA87" s="295">
        <f t="shared" si="103"/>
        <v>0</v>
      </c>
      <c r="AB87" s="295">
        <f t="shared" si="104"/>
        <v>0</v>
      </c>
      <c r="AC87" s="295">
        <f t="shared" si="105"/>
        <v>0</v>
      </c>
      <c r="AD87" s="295">
        <f t="shared" si="106"/>
        <v>0</v>
      </c>
      <c r="AE87" s="295">
        <f t="shared" si="107"/>
        <v>0</v>
      </c>
      <c r="AF87" s="295">
        <f t="shared" si="108"/>
        <v>0</v>
      </c>
      <c r="AG87" s="295">
        <f t="shared" si="109"/>
        <v>0</v>
      </c>
      <c r="AH87" s="296"/>
      <c r="AI87" s="294">
        <f t="shared" si="110"/>
        <v>0</v>
      </c>
      <c r="AJ87" s="294">
        <f t="shared" si="111"/>
        <v>0</v>
      </c>
      <c r="AK87" s="294">
        <f t="shared" si="112"/>
        <v>0</v>
      </c>
      <c r="AM87" s="295">
        <v>21</v>
      </c>
      <c r="AN87" s="295">
        <f>G87*0.649215145979752</f>
        <v>0</v>
      </c>
      <c r="AO87" s="295">
        <f>G87*(1-0.649215145979752)</f>
        <v>0</v>
      </c>
      <c r="AP87" s="298" t="s">
        <v>225</v>
      </c>
      <c r="AU87" s="295">
        <f t="shared" si="113"/>
        <v>0</v>
      </c>
      <c r="AV87" s="295">
        <f t="shared" si="114"/>
        <v>0</v>
      </c>
      <c r="AW87" s="295">
        <f t="shared" si="115"/>
        <v>0</v>
      </c>
      <c r="AX87" s="297" t="s">
        <v>1756</v>
      </c>
      <c r="AY87" s="297" t="s">
        <v>1755</v>
      </c>
      <c r="AZ87" s="296" t="s">
        <v>1749</v>
      </c>
      <c r="BB87" s="295">
        <f t="shared" si="116"/>
        <v>0</v>
      </c>
      <c r="BC87" s="295">
        <f t="shared" si="117"/>
        <v>0</v>
      </c>
      <c r="BD87" s="295">
        <v>0</v>
      </c>
      <c r="BE87" s="295">
        <f t="shared" si="118"/>
        <v>0.0006000000000000001</v>
      </c>
      <c r="BG87" s="294">
        <f t="shared" si="119"/>
        <v>0</v>
      </c>
      <c r="BH87" s="294">
        <f t="shared" si="120"/>
        <v>0</v>
      </c>
      <c r="BI87" s="294">
        <f t="shared" si="121"/>
        <v>0</v>
      </c>
    </row>
    <row r="88" spans="1:61" ht="12">
      <c r="A88" s="327" t="s">
        <v>497</v>
      </c>
      <c r="B88" s="327"/>
      <c r="C88" s="327" t="s">
        <v>1795</v>
      </c>
      <c r="D88" s="327" t="s">
        <v>1794</v>
      </c>
      <c r="E88" s="327" t="s">
        <v>258</v>
      </c>
      <c r="F88" s="328">
        <v>8</v>
      </c>
      <c r="G88" s="329">
        <v>0</v>
      </c>
      <c r="H88" s="328">
        <f t="shared" si="98"/>
        <v>0</v>
      </c>
      <c r="I88" s="328">
        <f t="shared" si="99"/>
        <v>0</v>
      </c>
      <c r="J88" s="328">
        <f t="shared" si="100"/>
        <v>0</v>
      </c>
      <c r="K88" s="328">
        <v>0.00022</v>
      </c>
      <c r="L88" s="328">
        <f t="shared" si="101"/>
        <v>0.00176</v>
      </c>
      <c r="Y88" s="295">
        <f t="shared" si="102"/>
        <v>0</v>
      </c>
      <c r="AA88" s="295">
        <f t="shared" si="103"/>
        <v>0</v>
      </c>
      <c r="AB88" s="295">
        <f t="shared" si="104"/>
        <v>0</v>
      </c>
      <c r="AC88" s="295">
        <f t="shared" si="105"/>
        <v>0</v>
      </c>
      <c r="AD88" s="295">
        <f t="shared" si="106"/>
        <v>0</v>
      </c>
      <c r="AE88" s="295">
        <f t="shared" si="107"/>
        <v>0</v>
      </c>
      <c r="AF88" s="295">
        <f t="shared" si="108"/>
        <v>0</v>
      </c>
      <c r="AG88" s="295">
        <f t="shared" si="109"/>
        <v>0</v>
      </c>
      <c r="AH88" s="296"/>
      <c r="AI88" s="294">
        <f t="shared" si="110"/>
        <v>0</v>
      </c>
      <c r="AJ88" s="294">
        <f t="shared" si="111"/>
        <v>0</v>
      </c>
      <c r="AK88" s="294">
        <f t="shared" si="112"/>
        <v>0</v>
      </c>
      <c r="AM88" s="295">
        <v>21</v>
      </c>
      <c r="AN88" s="295">
        <f>G88*0.692111198673877</f>
        <v>0</v>
      </c>
      <c r="AO88" s="295">
        <f>G88*(1-0.692111198673877)</f>
        <v>0</v>
      </c>
      <c r="AP88" s="298" t="s">
        <v>225</v>
      </c>
      <c r="AU88" s="295">
        <f t="shared" si="113"/>
        <v>0</v>
      </c>
      <c r="AV88" s="295">
        <f t="shared" si="114"/>
        <v>0</v>
      </c>
      <c r="AW88" s="295">
        <f t="shared" si="115"/>
        <v>0</v>
      </c>
      <c r="AX88" s="297" t="s">
        <v>1756</v>
      </c>
      <c r="AY88" s="297" t="s">
        <v>1755</v>
      </c>
      <c r="AZ88" s="296" t="s">
        <v>1749</v>
      </c>
      <c r="BB88" s="295">
        <f t="shared" si="116"/>
        <v>0</v>
      </c>
      <c r="BC88" s="295">
        <f t="shared" si="117"/>
        <v>0</v>
      </c>
      <c r="BD88" s="295">
        <v>0</v>
      </c>
      <c r="BE88" s="295">
        <f t="shared" si="118"/>
        <v>0.00176</v>
      </c>
      <c r="BG88" s="294">
        <f t="shared" si="119"/>
        <v>0</v>
      </c>
      <c r="BH88" s="294">
        <f t="shared" si="120"/>
        <v>0</v>
      </c>
      <c r="BI88" s="294">
        <f t="shared" si="121"/>
        <v>0</v>
      </c>
    </row>
    <row r="89" spans="1:61" ht="12">
      <c r="A89" s="327" t="s">
        <v>501</v>
      </c>
      <c r="B89" s="327"/>
      <c r="C89" s="327" t="s">
        <v>1985</v>
      </c>
      <c r="D89" s="327" t="s">
        <v>1793</v>
      </c>
      <c r="E89" s="327" t="s">
        <v>1767</v>
      </c>
      <c r="F89" s="328">
        <v>1</v>
      </c>
      <c r="G89" s="329">
        <v>0</v>
      </c>
      <c r="H89" s="328">
        <f t="shared" si="98"/>
        <v>0</v>
      </c>
      <c r="I89" s="328">
        <f t="shared" si="99"/>
        <v>0</v>
      </c>
      <c r="J89" s="328">
        <f t="shared" si="100"/>
        <v>0</v>
      </c>
      <c r="K89" s="328">
        <v>0.01444</v>
      </c>
      <c r="L89" s="328">
        <f t="shared" si="101"/>
        <v>0.01444</v>
      </c>
      <c r="Y89" s="295">
        <f t="shared" si="102"/>
        <v>0</v>
      </c>
      <c r="AA89" s="295">
        <f t="shared" si="103"/>
        <v>0</v>
      </c>
      <c r="AB89" s="295">
        <f t="shared" si="104"/>
        <v>0</v>
      </c>
      <c r="AC89" s="295">
        <f t="shared" si="105"/>
        <v>0</v>
      </c>
      <c r="AD89" s="295">
        <f t="shared" si="106"/>
        <v>0</v>
      </c>
      <c r="AE89" s="295">
        <f t="shared" si="107"/>
        <v>0</v>
      </c>
      <c r="AF89" s="295">
        <f t="shared" si="108"/>
        <v>0</v>
      </c>
      <c r="AG89" s="295">
        <f t="shared" si="109"/>
        <v>0</v>
      </c>
      <c r="AH89" s="296"/>
      <c r="AI89" s="294">
        <f t="shared" si="110"/>
        <v>0</v>
      </c>
      <c r="AJ89" s="294">
        <f t="shared" si="111"/>
        <v>0</v>
      </c>
      <c r="AK89" s="294">
        <f t="shared" si="112"/>
        <v>0</v>
      </c>
      <c r="AM89" s="295">
        <v>21</v>
      </c>
      <c r="AN89" s="295">
        <f>G89*0.884614821591949</f>
        <v>0</v>
      </c>
      <c r="AO89" s="295">
        <f>G89*(1-0.884614821591949)</f>
        <v>0</v>
      </c>
      <c r="AP89" s="298" t="s">
        <v>225</v>
      </c>
      <c r="AU89" s="295">
        <f t="shared" si="113"/>
        <v>0</v>
      </c>
      <c r="AV89" s="295">
        <f t="shared" si="114"/>
        <v>0</v>
      </c>
      <c r="AW89" s="295">
        <f t="shared" si="115"/>
        <v>0</v>
      </c>
      <c r="AX89" s="297" t="s">
        <v>1756</v>
      </c>
      <c r="AY89" s="297" t="s">
        <v>1755</v>
      </c>
      <c r="AZ89" s="296" t="s">
        <v>1749</v>
      </c>
      <c r="BB89" s="295">
        <f t="shared" si="116"/>
        <v>0</v>
      </c>
      <c r="BC89" s="295">
        <f t="shared" si="117"/>
        <v>0</v>
      </c>
      <c r="BD89" s="295">
        <v>0</v>
      </c>
      <c r="BE89" s="295">
        <f t="shared" si="118"/>
        <v>0.01444</v>
      </c>
      <c r="BG89" s="294">
        <f t="shared" si="119"/>
        <v>0</v>
      </c>
      <c r="BH89" s="294">
        <f t="shared" si="120"/>
        <v>0</v>
      </c>
      <c r="BI89" s="294">
        <f t="shared" si="121"/>
        <v>0</v>
      </c>
    </row>
    <row r="90" spans="1:61" ht="12">
      <c r="A90" s="327" t="s">
        <v>506</v>
      </c>
      <c r="B90" s="327"/>
      <c r="C90" s="327" t="s">
        <v>1792</v>
      </c>
      <c r="D90" s="327" t="s">
        <v>1791</v>
      </c>
      <c r="E90" s="327" t="s">
        <v>258</v>
      </c>
      <c r="F90" s="328">
        <v>1</v>
      </c>
      <c r="G90" s="329">
        <v>0</v>
      </c>
      <c r="H90" s="328">
        <f t="shared" si="98"/>
        <v>0</v>
      </c>
      <c r="I90" s="328">
        <f t="shared" si="99"/>
        <v>0</v>
      </c>
      <c r="J90" s="328">
        <f t="shared" si="100"/>
        <v>0</v>
      </c>
      <c r="K90" s="328">
        <v>0.00309</v>
      </c>
      <c r="L90" s="328">
        <f t="shared" si="101"/>
        <v>0.00309</v>
      </c>
      <c r="Y90" s="295">
        <f t="shared" si="102"/>
        <v>0</v>
      </c>
      <c r="AA90" s="295">
        <f t="shared" si="103"/>
        <v>0</v>
      </c>
      <c r="AB90" s="295">
        <f t="shared" si="104"/>
        <v>0</v>
      </c>
      <c r="AC90" s="295">
        <f t="shared" si="105"/>
        <v>0</v>
      </c>
      <c r="AD90" s="295">
        <f t="shared" si="106"/>
        <v>0</v>
      </c>
      <c r="AE90" s="295">
        <f t="shared" si="107"/>
        <v>0</v>
      </c>
      <c r="AF90" s="295">
        <f t="shared" si="108"/>
        <v>0</v>
      </c>
      <c r="AG90" s="295">
        <f t="shared" si="109"/>
        <v>0</v>
      </c>
      <c r="AH90" s="296"/>
      <c r="AI90" s="294">
        <f t="shared" si="110"/>
        <v>0</v>
      </c>
      <c r="AJ90" s="294">
        <f t="shared" si="111"/>
        <v>0</v>
      </c>
      <c r="AK90" s="294">
        <f t="shared" si="112"/>
        <v>0</v>
      </c>
      <c r="AM90" s="295">
        <v>21</v>
      </c>
      <c r="AN90" s="295">
        <f>G90*0.328191365227538</f>
        <v>0</v>
      </c>
      <c r="AO90" s="295">
        <f>G90*(1-0.328191365227538)</f>
        <v>0</v>
      </c>
      <c r="AP90" s="298" t="s">
        <v>225</v>
      </c>
      <c r="AU90" s="295">
        <f t="shared" si="113"/>
        <v>0</v>
      </c>
      <c r="AV90" s="295">
        <f t="shared" si="114"/>
        <v>0</v>
      </c>
      <c r="AW90" s="295">
        <f t="shared" si="115"/>
        <v>0</v>
      </c>
      <c r="AX90" s="297" t="s">
        <v>1756</v>
      </c>
      <c r="AY90" s="297" t="s">
        <v>1755</v>
      </c>
      <c r="AZ90" s="296" t="s">
        <v>1749</v>
      </c>
      <c r="BB90" s="295">
        <f t="shared" si="116"/>
        <v>0</v>
      </c>
      <c r="BC90" s="295">
        <f t="shared" si="117"/>
        <v>0</v>
      </c>
      <c r="BD90" s="295">
        <v>0</v>
      </c>
      <c r="BE90" s="295">
        <f t="shared" si="118"/>
        <v>0.00309</v>
      </c>
      <c r="BG90" s="294">
        <f t="shared" si="119"/>
        <v>0</v>
      </c>
      <c r="BH90" s="294">
        <f t="shared" si="120"/>
        <v>0</v>
      </c>
      <c r="BI90" s="294">
        <f t="shared" si="121"/>
        <v>0</v>
      </c>
    </row>
    <row r="91" spans="1:61" ht="12">
      <c r="A91" s="335" t="s">
        <v>510</v>
      </c>
      <c r="B91" s="335"/>
      <c r="C91" s="335" t="s">
        <v>1986</v>
      </c>
      <c r="D91" s="335" t="s">
        <v>1790</v>
      </c>
      <c r="E91" s="335" t="s">
        <v>258</v>
      </c>
      <c r="F91" s="336">
        <v>1</v>
      </c>
      <c r="G91" s="337">
        <v>0</v>
      </c>
      <c r="H91" s="336">
        <f t="shared" si="98"/>
        <v>0</v>
      </c>
      <c r="I91" s="336">
        <f t="shared" si="99"/>
        <v>0</v>
      </c>
      <c r="J91" s="336">
        <f t="shared" si="100"/>
        <v>0</v>
      </c>
      <c r="K91" s="336">
        <v>0.01</v>
      </c>
      <c r="L91" s="336">
        <f t="shared" si="101"/>
        <v>0.01</v>
      </c>
      <c r="Y91" s="295">
        <f t="shared" si="102"/>
        <v>0</v>
      </c>
      <c r="AA91" s="295">
        <f t="shared" si="103"/>
        <v>0</v>
      </c>
      <c r="AB91" s="295">
        <f t="shared" si="104"/>
        <v>0</v>
      </c>
      <c r="AC91" s="295">
        <f t="shared" si="105"/>
        <v>0</v>
      </c>
      <c r="AD91" s="295">
        <f t="shared" si="106"/>
        <v>0</v>
      </c>
      <c r="AE91" s="295">
        <f t="shared" si="107"/>
        <v>0</v>
      </c>
      <c r="AF91" s="295">
        <f t="shared" si="108"/>
        <v>0</v>
      </c>
      <c r="AG91" s="295">
        <f t="shared" si="109"/>
        <v>0</v>
      </c>
      <c r="AH91" s="296"/>
      <c r="AI91" s="305">
        <f t="shared" si="110"/>
        <v>0</v>
      </c>
      <c r="AJ91" s="305">
        <f t="shared" si="111"/>
        <v>0</v>
      </c>
      <c r="AK91" s="305">
        <f t="shared" si="112"/>
        <v>0</v>
      </c>
      <c r="AM91" s="295">
        <v>21</v>
      </c>
      <c r="AN91" s="295">
        <f>G91*1</f>
        <v>0</v>
      </c>
      <c r="AO91" s="295">
        <f>G91*(1-1)</f>
        <v>0</v>
      </c>
      <c r="AP91" s="306" t="s">
        <v>225</v>
      </c>
      <c r="AU91" s="295">
        <f t="shared" si="113"/>
        <v>0</v>
      </c>
      <c r="AV91" s="295">
        <f t="shared" si="114"/>
        <v>0</v>
      </c>
      <c r="AW91" s="295">
        <f t="shared" si="115"/>
        <v>0</v>
      </c>
      <c r="AX91" s="297" t="s">
        <v>1756</v>
      </c>
      <c r="AY91" s="297" t="s">
        <v>1755</v>
      </c>
      <c r="AZ91" s="296" t="s">
        <v>1749</v>
      </c>
      <c r="BB91" s="295">
        <f t="shared" si="116"/>
        <v>0</v>
      </c>
      <c r="BC91" s="295">
        <f t="shared" si="117"/>
        <v>0</v>
      </c>
      <c r="BD91" s="295">
        <v>0</v>
      </c>
      <c r="BE91" s="295">
        <f t="shared" si="118"/>
        <v>0.01</v>
      </c>
      <c r="BG91" s="305">
        <f t="shared" si="119"/>
        <v>0</v>
      </c>
      <c r="BH91" s="305">
        <f t="shared" si="120"/>
        <v>0</v>
      </c>
      <c r="BI91" s="305">
        <f t="shared" si="121"/>
        <v>0</v>
      </c>
    </row>
    <row r="92" spans="1:61" ht="12">
      <c r="A92" s="327" t="s">
        <v>514</v>
      </c>
      <c r="B92" s="327"/>
      <c r="C92" s="327" t="s">
        <v>1789</v>
      </c>
      <c r="D92" s="327" t="s">
        <v>1788</v>
      </c>
      <c r="E92" s="327" t="s">
        <v>258</v>
      </c>
      <c r="F92" s="328">
        <v>1</v>
      </c>
      <c r="G92" s="329">
        <v>0</v>
      </c>
      <c r="H92" s="328">
        <f t="shared" si="98"/>
        <v>0</v>
      </c>
      <c r="I92" s="328">
        <f t="shared" si="99"/>
        <v>0</v>
      </c>
      <c r="J92" s="328">
        <f t="shared" si="100"/>
        <v>0</v>
      </c>
      <c r="K92" s="328">
        <v>0.00088</v>
      </c>
      <c r="L92" s="328">
        <f t="shared" si="101"/>
        <v>0.00088</v>
      </c>
      <c r="Y92" s="295">
        <f t="shared" si="102"/>
        <v>0</v>
      </c>
      <c r="AA92" s="295">
        <f t="shared" si="103"/>
        <v>0</v>
      </c>
      <c r="AB92" s="295">
        <f t="shared" si="104"/>
        <v>0</v>
      </c>
      <c r="AC92" s="295">
        <f t="shared" si="105"/>
        <v>0</v>
      </c>
      <c r="AD92" s="295">
        <f t="shared" si="106"/>
        <v>0</v>
      </c>
      <c r="AE92" s="295">
        <f t="shared" si="107"/>
        <v>0</v>
      </c>
      <c r="AF92" s="295">
        <f t="shared" si="108"/>
        <v>0</v>
      </c>
      <c r="AG92" s="295">
        <f t="shared" si="109"/>
        <v>0</v>
      </c>
      <c r="AH92" s="296"/>
      <c r="AI92" s="294">
        <f t="shared" si="110"/>
        <v>0</v>
      </c>
      <c r="AJ92" s="294">
        <f t="shared" si="111"/>
        <v>0</v>
      </c>
      <c r="AK92" s="294">
        <f t="shared" si="112"/>
        <v>0</v>
      </c>
      <c r="AM92" s="295">
        <v>21</v>
      </c>
      <c r="AN92" s="295">
        <f>G92*0.247397881996974</f>
        <v>0</v>
      </c>
      <c r="AO92" s="295">
        <f>G92*(1-0.247397881996974)</f>
        <v>0</v>
      </c>
      <c r="AP92" s="298" t="s">
        <v>225</v>
      </c>
      <c r="AU92" s="295">
        <f t="shared" si="113"/>
        <v>0</v>
      </c>
      <c r="AV92" s="295">
        <f t="shared" si="114"/>
        <v>0</v>
      </c>
      <c r="AW92" s="295">
        <f t="shared" si="115"/>
        <v>0</v>
      </c>
      <c r="AX92" s="297" t="s">
        <v>1756</v>
      </c>
      <c r="AY92" s="297" t="s">
        <v>1755</v>
      </c>
      <c r="AZ92" s="296" t="s">
        <v>1749</v>
      </c>
      <c r="BB92" s="295">
        <f t="shared" si="116"/>
        <v>0</v>
      </c>
      <c r="BC92" s="295">
        <f t="shared" si="117"/>
        <v>0</v>
      </c>
      <c r="BD92" s="295">
        <v>0</v>
      </c>
      <c r="BE92" s="295">
        <f t="shared" si="118"/>
        <v>0.00088</v>
      </c>
      <c r="BG92" s="294">
        <f t="shared" si="119"/>
        <v>0</v>
      </c>
      <c r="BH92" s="294">
        <f t="shared" si="120"/>
        <v>0</v>
      </c>
      <c r="BI92" s="294">
        <f t="shared" si="121"/>
        <v>0</v>
      </c>
    </row>
    <row r="93" spans="1:61" ht="12">
      <c r="A93" s="335" t="s">
        <v>518</v>
      </c>
      <c r="B93" s="335"/>
      <c r="C93" s="335" t="s">
        <v>1787</v>
      </c>
      <c r="D93" s="335" t="s">
        <v>1786</v>
      </c>
      <c r="E93" s="335" t="s">
        <v>258</v>
      </c>
      <c r="F93" s="336">
        <v>1</v>
      </c>
      <c r="G93" s="337">
        <v>0</v>
      </c>
      <c r="H93" s="336">
        <f t="shared" si="98"/>
        <v>0</v>
      </c>
      <c r="I93" s="336">
        <f t="shared" si="99"/>
        <v>0</v>
      </c>
      <c r="J93" s="336">
        <f t="shared" si="100"/>
        <v>0</v>
      </c>
      <c r="K93" s="336">
        <v>0.0028</v>
      </c>
      <c r="L93" s="336">
        <f t="shared" si="101"/>
        <v>0.0028</v>
      </c>
      <c r="Y93" s="295">
        <f t="shared" si="102"/>
        <v>0</v>
      </c>
      <c r="AA93" s="295">
        <f t="shared" si="103"/>
        <v>0</v>
      </c>
      <c r="AB93" s="295">
        <f t="shared" si="104"/>
        <v>0</v>
      </c>
      <c r="AC93" s="295">
        <f t="shared" si="105"/>
        <v>0</v>
      </c>
      <c r="AD93" s="295">
        <f t="shared" si="106"/>
        <v>0</v>
      </c>
      <c r="AE93" s="295">
        <f t="shared" si="107"/>
        <v>0</v>
      </c>
      <c r="AF93" s="295">
        <f t="shared" si="108"/>
        <v>0</v>
      </c>
      <c r="AG93" s="295">
        <f t="shared" si="109"/>
        <v>0</v>
      </c>
      <c r="AH93" s="296"/>
      <c r="AI93" s="305">
        <f t="shared" si="110"/>
        <v>0</v>
      </c>
      <c r="AJ93" s="305">
        <f t="shared" si="111"/>
        <v>0</v>
      </c>
      <c r="AK93" s="305">
        <f t="shared" si="112"/>
        <v>0</v>
      </c>
      <c r="AM93" s="295">
        <v>21</v>
      </c>
      <c r="AN93" s="295">
        <f>G93*1</f>
        <v>0</v>
      </c>
      <c r="AO93" s="295">
        <f>G93*(1-1)</f>
        <v>0</v>
      </c>
      <c r="AP93" s="306" t="s">
        <v>225</v>
      </c>
      <c r="AU93" s="295">
        <f t="shared" si="113"/>
        <v>0</v>
      </c>
      <c r="AV93" s="295">
        <f t="shared" si="114"/>
        <v>0</v>
      </c>
      <c r="AW93" s="295">
        <f t="shared" si="115"/>
        <v>0</v>
      </c>
      <c r="AX93" s="297" t="s">
        <v>1756</v>
      </c>
      <c r="AY93" s="297" t="s">
        <v>1755</v>
      </c>
      <c r="AZ93" s="296" t="s">
        <v>1749</v>
      </c>
      <c r="BB93" s="295">
        <f t="shared" si="116"/>
        <v>0</v>
      </c>
      <c r="BC93" s="295">
        <f t="shared" si="117"/>
        <v>0</v>
      </c>
      <c r="BD93" s="295">
        <v>0</v>
      </c>
      <c r="BE93" s="295">
        <f t="shared" si="118"/>
        <v>0.0028</v>
      </c>
      <c r="BG93" s="305">
        <f t="shared" si="119"/>
        <v>0</v>
      </c>
      <c r="BH93" s="305">
        <f t="shared" si="120"/>
        <v>0</v>
      </c>
      <c r="BI93" s="305">
        <f t="shared" si="121"/>
        <v>0</v>
      </c>
    </row>
    <row r="94" spans="1:61" ht="12">
      <c r="A94" s="327" t="s">
        <v>523</v>
      </c>
      <c r="B94" s="327"/>
      <c r="C94" s="327" t="s">
        <v>1785</v>
      </c>
      <c r="D94" s="327" t="s">
        <v>1784</v>
      </c>
      <c r="E94" s="327" t="s">
        <v>258</v>
      </c>
      <c r="F94" s="328">
        <v>2</v>
      </c>
      <c r="G94" s="329">
        <v>0</v>
      </c>
      <c r="H94" s="328">
        <f t="shared" si="98"/>
        <v>0</v>
      </c>
      <c r="I94" s="328">
        <f t="shared" si="99"/>
        <v>0</v>
      </c>
      <c r="J94" s="328">
        <f t="shared" si="100"/>
        <v>0</v>
      </c>
      <c r="K94" s="328">
        <v>0.00012</v>
      </c>
      <c r="L94" s="328">
        <f t="shared" si="101"/>
        <v>0.00024</v>
      </c>
      <c r="Y94" s="295">
        <f t="shared" si="102"/>
        <v>0</v>
      </c>
      <c r="AA94" s="295">
        <f t="shared" si="103"/>
        <v>0</v>
      </c>
      <c r="AB94" s="295">
        <f t="shared" si="104"/>
        <v>0</v>
      </c>
      <c r="AC94" s="295">
        <f t="shared" si="105"/>
        <v>0</v>
      </c>
      <c r="AD94" s="295">
        <f t="shared" si="106"/>
        <v>0</v>
      </c>
      <c r="AE94" s="295">
        <f t="shared" si="107"/>
        <v>0</v>
      </c>
      <c r="AF94" s="295">
        <f t="shared" si="108"/>
        <v>0</v>
      </c>
      <c r="AG94" s="295">
        <f t="shared" si="109"/>
        <v>0</v>
      </c>
      <c r="AH94" s="296"/>
      <c r="AI94" s="294">
        <f t="shared" si="110"/>
        <v>0</v>
      </c>
      <c r="AJ94" s="294">
        <f t="shared" si="111"/>
        <v>0</v>
      </c>
      <c r="AK94" s="294">
        <f t="shared" si="112"/>
        <v>0</v>
      </c>
      <c r="AM94" s="295">
        <v>21</v>
      </c>
      <c r="AN94" s="295">
        <f>G94*0.228442660469702</f>
        <v>0</v>
      </c>
      <c r="AO94" s="295">
        <f>G94*(1-0.228442660469702)</f>
        <v>0</v>
      </c>
      <c r="AP94" s="298" t="s">
        <v>225</v>
      </c>
      <c r="AU94" s="295">
        <f t="shared" si="113"/>
        <v>0</v>
      </c>
      <c r="AV94" s="295">
        <f t="shared" si="114"/>
        <v>0</v>
      </c>
      <c r="AW94" s="295">
        <f t="shared" si="115"/>
        <v>0</v>
      </c>
      <c r="AX94" s="297" t="s">
        <v>1756</v>
      </c>
      <c r="AY94" s="297" t="s">
        <v>1755</v>
      </c>
      <c r="AZ94" s="296" t="s">
        <v>1749</v>
      </c>
      <c r="BB94" s="295">
        <f t="shared" si="116"/>
        <v>0</v>
      </c>
      <c r="BC94" s="295">
        <f t="shared" si="117"/>
        <v>0</v>
      </c>
      <c r="BD94" s="295">
        <v>0</v>
      </c>
      <c r="BE94" s="295">
        <f t="shared" si="118"/>
        <v>0.00024</v>
      </c>
      <c r="BG94" s="294">
        <f t="shared" si="119"/>
        <v>0</v>
      </c>
      <c r="BH94" s="294">
        <f t="shared" si="120"/>
        <v>0</v>
      </c>
      <c r="BI94" s="294">
        <f t="shared" si="121"/>
        <v>0</v>
      </c>
    </row>
    <row r="95" spans="1:61" ht="12">
      <c r="A95" s="335" t="s">
        <v>527</v>
      </c>
      <c r="B95" s="335"/>
      <c r="C95" s="335" t="s">
        <v>1783</v>
      </c>
      <c r="D95" s="335" t="s">
        <v>1782</v>
      </c>
      <c r="E95" s="335" t="s">
        <v>258</v>
      </c>
      <c r="F95" s="336">
        <v>2</v>
      </c>
      <c r="G95" s="337">
        <v>0</v>
      </c>
      <c r="H95" s="336">
        <f t="shared" si="98"/>
        <v>0</v>
      </c>
      <c r="I95" s="336">
        <f t="shared" si="99"/>
        <v>0</v>
      </c>
      <c r="J95" s="336">
        <f t="shared" si="100"/>
        <v>0</v>
      </c>
      <c r="K95" s="336">
        <v>0.0011</v>
      </c>
      <c r="L95" s="336">
        <f t="shared" si="101"/>
        <v>0.0022</v>
      </c>
      <c r="Y95" s="295">
        <f t="shared" si="102"/>
        <v>0</v>
      </c>
      <c r="AA95" s="295">
        <f t="shared" si="103"/>
        <v>0</v>
      </c>
      <c r="AB95" s="295">
        <f t="shared" si="104"/>
        <v>0</v>
      </c>
      <c r="AC95" s="295">
        <f t="shared" si="105"/>
        <v>0</v>
      </c>
      <c r="AD95" s="295">
        <f t="shared" si="106"/>
        <v>0</v>
      </c>
      <c r="AE95" s="295">
        <f t="shared" si="107"/>
        <v>0</v>
      </c>
      <c r="AF95" s="295">
        <f t="shared" si="108"/>
        <v>0</v>
      </c>
      <c r="AG95" s="295">
        <f t="shared" si="109"/>
        <v>0</v>
      </c>
      <c r="AH95" s="296"/>
      <c r="AI95" s="305">
        <f t="shared" si="110"/>
        <v>0</v>
      </c>
      <c r="AJ95" s="305">
        <f t="shared" si="111"/>
        <v>0</v>
      </c>
      <c r="AK95" s="305">
        <f t="shared" si="112"/>
        <v>0</v>
      </c>
      <c r="AM95" s="295">
        <v>21</v>
      </c>
      <c r="AN95" s="295">
        <f>G95*1</f>
        <v>0</v>
      </c>
      <c r="AO95" s="295">
        <f>G95*(1-1)</f>
        <v>0</v>
      </c>
      <c r="AP95" s="306" t="s">
        <v>225</v>
      </c>
      <c r="AU95" s="295">
        <f t="shared" si="113"/>
        <v>0</v>
      </c>
      <c r="AV95" s="295">
        <f t="shared" si="114"/>
        <v>0</v>
      </c>
      <c r="AW95" s="295">
        <f t="shared" si="115"/>
        <v>0</v>
      </c>
      <c r="AX95" s="297" t="s">
        <v>1756</v>
      </c>
      <c r="AY95" s="297" t="s">
        <v>1755</v>
      </c>
      <c r="AZ95" s="296" t="s">
        <v>1749</v>
      </c>
      <c r="BB95" s="295">
        <f t="shared" si="116"/>
        <v>0</v>
      </c>
      <c r="BC95" s="295">
        <f t="shared" si="117"/>
        <v>0</v>
      </c>
      <c r="BD95" s="295">
        <v>0</v>
      </c>
      <c r="BE95" s="295">
        <f t="shared" si="118"/>
        <v>0.0022</v>
      </c>
      <c r="BG95" s="305">
        <f t="shared" si="119"/>
        <v>0</v>
      </c>
      <c r="BH95" s="305">
        <f t="shared" si="120"/>
        <v>0</v>
      </c>
      <c r="BI95" s="305">
        <f t="shared" si="121"/>
        <v>0</v>
      </c>
    </row>
    <row r="96" spans="1:61" ht="12">
      <c r="A96" s="327" t="s">
        <v>531</v>
      </c>
      <c r="B96" s="327"/>
      <c r="C96" s="327" t="s">
        <v>1781</v>
      </c>
      <c r="D96" s="327" t="s">
        <v>1780</v>
      </c>
      <c r="E96" s="327" t="s">
        <v>1767</v>
      </c>
      <c r="F96" s="328">
        <v>1</v>
      </c>
      <c r="G96" s="329">
        <v>0</v>
      </c>
      <c r="H96" s="328">
        <f t="shared" si="98"/>
        <v>0</v>
      </c>
      <c r="I96" s="328">
        <f t="shared" si="99"/>
        <v>0</v>
      </c>
      <c r="J96" s="328">
        <f t="shared" si="100"/>
        <v>0</v>
      </c>
      <c r="K96" s="328">
        <v>0.00062</v>
      </c>
      <c r="L96" s="328">
        <f t="shared" si="101"/>
        <v>0.00062</v>
      </c>
      <c r="Y96" s="295">
        <f t="shared" si="102"/>
        <v>0</v>
      </c>
      <c r="AA96" s="295">
        <f t="shared" si="103"/>
        <v>0</v>
      </c>
      <c r="AB96" s="295">
        <f t="shared" si="104"/>
        <v>0</v>
      </c>
      <c r="AC96" s="295">
        <f t="shared" si="105"/>
        <v>0</v>
      </c>
      <c r="AD96" s="295">
        <f t="shared" si="106"/>
        <v>0</v>
      </c>
      <c r="AE96" s="295">
        <f t="shared" si="107"/>
        <v>0</v>
      </c>
      <c r="AF96" s="295">
        <f t="shared" si="108"/>
        <v>0</v>
      </c>
      <c r="AG96" s="295">
        <f t="shared" si="109"/>
        <v>0</v>
      </c>
      <c r="AH96" s="296"/>
      <c r="AI96" s="294">
        <f t="shared" si="110"/>
        <v>0</v>
      </c>
      <c r="AJ96" s="294">
        <f t="shared" si="111"/>
        <v>0</v>
      </c>
      <c r="AK96" s="294">
        <f t="shared" si="112"/>
        <v>0</v>
      </c>
      <c r="AM96" s="295">
        <v>21</v>
      </c>
      <c r="AN96" s="295">
        <f>G96*0.272255319148936</f>
        <v>0</v>
      </c>
      <c r="AO96" s="295">
        <f>G96*(1-0.272255319148936)</f>
        <v>0</v>
      </c>
      <c r="AP96" s="298" t="s">
        <v>225</v>
      </c>
      <c r="AU96" s="295">
        <f t="shared" si="113"/>
        <v>0</v>
      </c>
      <c r="AV96" s="295">
        <f t="shared" si="114"/>
        <v>0</v>
      </c>
      <c r="AW96" s="295">
        <f t="shared" si="115"/>
        <v>0</v>
      </c>
      <c r="AX96" s="297" t="s">
        <v>1756</v>
      </c>
      <c r="AY96" s="297" t="s">
        <v>1755</v>
      </c>
      <c r="AZ96" s="296" t="s">
        <v>1749</v>
      </c>
      <c r="BB96" s="295">
        <f t="shared" si="116"/>
        <v>0</v>
      </c>
      <c r="BC96" s="295">
        <f t="shared" si="117"/>
        <v>0</v>
      </c>
      <c r="BD96" s="295">
        <v>0</v>
      </c>
      <c r="BE96" s="295">
        <f t="shared" si="118"/>
        <v>0.00062</v>
      </c>
      <c r="BG96" s="294">
        <f t="shared" si="119"/>
        <v>0</v>
      </c>
      <c r="BH96" s="294">
        <f t="shared" si="120"/>
        <v>0</v>
      </c>
      <c r="BI96" s="294">
        <f t="shared" si="121"/>
        <v>0</v>
      </c>
    </row>
    <row r="97" spans="1:61" ht="12">
      <c r="A97" s="335" t="s">
        <v>535</v>
      </c>
      <c r="B97" s="335"/>
      <c r="C97" s="335" t="s">
        <v>1779</v>
      </c>
      <c r="D97" s="335" t="s">
        <v>1778</v>
      </c>
      <c r="E97" s="335" t="s">
        <v>258</v>
      </c>
      <c r="F97" s="336">
        <v>1</v>
      </c>
      <c r="G97" s="337">
        <v>0</v>
      </c>
      <c r="H97" s="336">
        <f t="shared" si="98"/>
        <v>0</v>
      </c>
      <c r="I97" s="336">
        <f t="shared" si="99"/>
        <v>0</v>
      </c>
      <c r="J97" s="336">
        <f t="shared" si="100"/>
        <v>0</v>
      </c>
      <c r="K97" s="336">
        <v>0.03</v>
      </c>
      <c r="L97" s="336">
        <f t="shared" si="101"/>
        <v>0.03</v>
      </c>
      <c r="Y97" s="295">
        <f t="shared" si="102"/>
        <v>0</v>
      </c>
      <c r="AA97" s="295">
        <f t="shared" si="103"/>
        <v>0</v>
      </c>
      <c r="AB97" s="295">
        <f t="shared" si="104"/>
        <v>0</v>
      </c>
      <c r="AC97" s="295">
        <f t="shared" si="105"/>
        <v>0</v>
      </c>
      <c r="AD97" s="295">
        <f t="shared" si="106"/>
        <v>0</v>
      </c>
      <c r="AE97" s="295">
        <f t="shared" si="107"/>
        <v>0</v>
      </c>
      <c r="AF97" s="295">
        <f t="shared" si="108"/>
        <v>0</v>
      </c>
      <c r="AG97" s="295">
        <f t="shared" si="109"/>
        <v>0</v>
      </c>
      <c r="AH97" s="296"/>
      <c r="AI97" s="305">
        <f t="shared" si="110"/>
        <v>0</v>
      </c>
      <c r="AJ97" s="305">
        <f t="shared" si="111"/>
        <v>0</v>
      </c>
      <c r="AK97" s="305">
        <f t="shared" si="112"/>
        <v>0</v>
      </c>
      <c r="AM97" s="295">
        <v>21</v>
      </c>
      <c r="AN97" s="295">
        <f>G97*1</f>
        <v>0</v>
      </c>
      <c r="AO97" s="295">
        <f>G97*(1-1)</f>
        <v>0</v>
      </c>
      <c r="AP97" s="306" t="s">
        <v>225</v>
      </c>
      <c r="AU97" s="295">
        <f t="shared" si="113"/>
        <v>0</v>
      </c>
      <c r="AV97" s="295">
        <f t="shared" si="114"/>
        <v>0</v>
      </c>
      <c r="AW97" s="295">
        <f t="shared" si="115"/>
        <v>0</v>
      </c>
      <c r="AX97" s="297" t="s">
        <v>1756</v>
      </c>
      <c r="AY97" s="297" t="s">
        <v>1755</v>
      </c>
      <c r="AZ97" s="296" t="s">
        <v>1749</v>
      </c>
      <c r="BB97" s="295">
        <f t="shared" si="116"/>
        <v>0</v>
      </c>
      <c r="BC97" s="295">
        <f t="shared" si="117"/>
        <v>0</v>
      </c>
      <c r="BD97" s="295">
        <v>0</v>
      </c>
      <c r="BE97" s="295">
        <f t="shared" si="118"/>
        <v>0.03</v>
      </c>
      <c r="BG97" s="305">
        <f t="shared" si="119"/>
        <v>0</v>
      </c>
      <c r="BH97" s="305">
        <f t="shared" si="120"/>
        <v>0</v>
      </c>
      <c r="BI97" s="305">
        <f t="shared" si="121"/>
        <v>0</v>
      </c>
    </row>
    <row r="98" spans="1:61" ht="12">
      <c r="A98" s="327" t="s">
        <v>539</v>
      </c>
      <c r="B98" s="327"/>
      <c r="C98" s="327" t="s">
        <v>1777</v>
      </c>
      <c r="D98" s="327" t="s">
        <v>1776</v>
      </c>
      <c r="E98" s="327" t="s">
        <v>258</v>
      </c>
      <c r="F98" s="328">
        <v>1</v>
      </c>
      <c r="G98" s="329">
        <v>0</v>
      </c>
      <c r="H98" s="328">
        <f t="shared" si="98"/>
        <v>0</v>
      </c>
      <c r="I98" s="328">
        <f t="shared" si="99"/>
        <v>0</v>
      </c>
      <c r="J98" s="328">
        <f t="shared" si="100"/>
        <v>0</v>
      </c>
      <c r="K98" s="328">
        <v>0.00055</v>
      </c>
      <c r="L98" s="328">
        <f t="shared" si="101"/>
        <v>0.00055</v>
      </c>
      <c r="Y98" s="295">
        <f t="shared" si="102"/>
        <v>0</v>
      </c>
      <c r="AA98" s="295">
        <f t="shared" si="103"/>
        <v>0</v>
      </c>
      <c r="AB98" s="295">
        <f t="shared" si="104"/>
        <v>0</v>
      </c>
      <c r="AC98" s="295">
        <f t="shared" si="105"/>
        <v>0</v>
      </c>
      <c r="AD98" s="295">
        <f t="shared" si="106"/>
        <v>0</v>
      </c>
      <c r="AE98" s="295">
        <f t="shared" si="107"/>
        <v>0</v>
      </c>
      <c r="AF98" s="295">
        <f t="shared" si="108"/>
        <v>0</v>
      </c>
      <c r="AG98" s="295">
        <f t="shared" si="109"/>
        <v>0</v>
      </c>
      <c r="AH98" s="296"/>
      <c r="AI98" s="294">
        <f t="shared" si="110"/>
        <v>0</v>
      </c>
      <c r="AJ98" s="294">
        <f t="shared" si="111"/>
        <v>0</v>
      </c>
      <c r="AK98" s="294">
        <f t="shared" si="112"/>
        <v>0</v>
      </c>
      <c r="AM98" s="295">
        <v>21</v>
      </c>
      <c r="AN98" s="295">
        <f>G98*0.926235294117647</f>
        <v>0</v>
      </c>
      <c r="AO98" s="295">
        <f>G98*(1-0.926235294117647)</f>
        <v>0</v>
      </c>
      <c r="AP98" s="298" t="s">
        <v>225</v>
      </c>
      <c r="AU98" s="295">
        <f t="shared" si="113"/>
        <v>0</v>
      </c>
      <c r="AV98" s="295">
        <f t="shared" si="114"/>
        <v>0</v>
      </c>
      <c r="AW98" s="295">
        <f t="shared" si="115"/>
        <v>0</v>
      </c>
      <c r="AX98" s="297" t="s">
        <v>1756</v>
      </c>
      <c r="AY98" s="297" t="s">
        <v>1755</v>
      </c>
      <c r="AZ98" s="296" t="s">
        <v>1749</v>
      </c>
      <c r="BB98" s="295">
        <f t="shared" si="116"/>
        <v>0</v>
      </c>
      <c r="BC98" s="295">
        <f t="shared" si="117"/>
        <v>0</v>
      </c>
      <c r="BD98" s="295">
        <v>0</v>
      </c>
      <c r="BE98" s="295">
        <f t="shared" si="118"/>
        <v>0.00055</v>
      </c>
      <c r="BG98" s="294">
        <f t="shared" si="119"/>
        <v>0</v>
      </c>
      <c r="BH98" s="294">
        <f t="shared" si="120"/>
        <v>0</v>
      </c>
      <c r="BI98" s="294">
        <f t="shared" si="121"/>
        <v>0</v>
      </c>
    </row>
    <row r="99" spans="1:61" ht="12">
      <c r="A99" s="327" t="s">
        <v>543</v>
      </c>
      <c r="B99" s="327"/>
      <c r="C99" s="327" t="s">
        <v>1775</v>
      </c>
      <c r="D99" s="327" t="s">
        <v>1774</v>
      </c>
      <c r="E99" s="327" t="s">
        <v>1767</v>
      </c>
      <c r="F99" s="328">
        <v>1</v>
      </c>
      <c r="G99" s="329">
        <v>0</v>
      </c>
      <c r="H99" s="328">
        <f t="shared" si="98"/>
        <v>0</v>
      </c>
      <c r="I99" s="328">
        <f t="shared" si="99"/>
        <v>0</v>
      </c>
      <c r="J99" s="328">
        <f t="shared" si="100"/>
        <v>0</v>
      </c>
      <c r="K99" s="328">
        <v>0.00012</v>
      </c>
      <c r="L99" s="328">
        <f t="shared" si="101"/>
        <v>0.00012</v>
      </c>
      <c r="Y99" s="295">
        <f t="shared" si="102"/>
        <v>0</v>
      </c>
      <c r="AA99" s="295">
        <f t="shared" si="103"/>
        <v>0</v>
      </c>
      <c r="AB99" s="295">
        <f t="shared" si="104"/>
        <v>0</v>
      </c>
      <c r="AC99" s="295">
        <f t="shared" si="105"/>
        <v>0</v>
      </c>
      <c r="AD99" s="295">
        <f t="shared" si="106"/>
        <v>0</v>
      </c>
      <c r="AE99" s="295">
        <f t="shared" si="107"/>
        <v>0</v>
      </c>
      <c r="AF99" s="295">
        <f t="shared" si="108"/>
        <v>0</v>
      </c>
      <c r="AG99" s="295">
        <f t="shared" si="109"/>
        <v>0</v>
      </c>
      <c r="AH99" s="296"/>
      <c r="AI99" s="294">
        <f t="shared" si="110"/>
        <v>0</v>
      </c>
      <c r="AJ99" s="294">
        <f t="shared" si="111"/>
        <v>0</v>
      </c>
      <c r="AK99" s="294">
        <f t="shared" si="112"/>
        <v>0</v>
      </c>
      <c r="AM99" s="295">
        <v>21</v>
      </c>
      <c r="AN99" s="295">
        <f>G99*0.963389302640487</f>
        <v>0</v>
      </c>
      <c r="AO99" s="295">
        <f>G99*(1-0.963389302640487)</f>
        <v>0</v>
      </c>
      <c r="AP99" s="298" t="s">
        <v>225</v>
      </c>
      <c r="AU99" s="295">
        <f t="shared" si="113"/>
        <v>0</v>
      </c>
      <c r="AV99" s="295">
        <f t="shared" si="114"/>
        <v>0</v>
      </c>
      <c r="AW99" s="295">
        <f t="shared" si="115"/>
        <v>0</v>
      </c>
      <c r="AX99" s="297" t="s">
        <v>1756</v>
      </c>
      <c r="AY99" s="297" t="s">
        <v>1755</v>
      </c>
      <c r="AZ99" s="296" t="s">
        <v>1749</v>
      </c>
      <c r="BB99" s="295">
        <f t="shared" si="116"/>
        <v>0</v>
      </c>
      <c r="BC99" s="295">
        <f t="shared" si="117"/>
        <v>0</v>
      </c>
      <c r="BD99" s="295">
        <v>0</v>
      </c>
      <c r="BE99" s="295">
        <f t="shared" si="118"/>
        <v>0.00012</v>
      </c>
      <c r="BG99" s="294">
        <f t="shared" si="119"/>
        <v>0</v>
      </c>
      <c r="BH99" s="294">
        <f t="shared" si="120"/>
        <v>0</v>
      </c>
      <c r="BI99" s="294">
        <f t="shared" si="121"/>
        <v>0</v>
      </c>
    </row>
    <row r="100" spans="1:61" ht="12">
      <c r="A100" s="335" t="s">
        <v>547</v>
      </c>
      <c r="B100" s="335"/>
      <c r="C100" s="335" t="s">
        <v>1773</v>
      </c>
      <c r="D100" s="335" t="s">
        <v>1772</v>
      </c>
      <c r="E100" s="335" t="s">
        <v>258</v>
      </c>
      <c r="F100" s="336">
        <v>1</v>
      </c>
      <c r="G100" s="337">
        <v>0</v>
      </c>
      <c r="H100" s="336">
        <f t="shared" si="98"/>
        <v>0</v>
      </c>
      <c r="I100" s="336">
        <f t="shared" si="99"/>
        <v>0</v>
      </c>
      <c r="J100" s="336">
        <f t="shared" si="100"/>
        <v>0</v>
      </c>
      <c r="K100" s="336">
        <v>0</v>
      </c>
      <c r="L100" s="336">
        <f t="shared" si="101"/>
        <v>0</v>
      </c>
      <c r="Y100" s="295">
        <f t="shared" si="102"/>
        <v>0</v>
      </c>
      <c r="AA100" s="295">
        <f t="shared" si="103"/>
        <v>0</v>
      </c>
      <c r="AB100" s="295">
        <f t="shared" si="104"/>
        <v>0</v>
      </c>
      <c r="AC100" s="295">
        <f t="shared" si="105"/>
        <v>0</v>
      </c>
      <c r="AD100" s="295">
        <f t="shared" si="106"/>
        <v>0</v>
      </c>
      <c r="AE100" s="295">
        <f t="shared" si="107"/>
        <v>0</v>
      </c>
      <c r="AF100" s="295">
        <f t="shared" si="108"/>
        <v>0</v>
      </c>
      <c r="AG100" s="295">
        <f t="shared" si="109"/>
        <v>0</v>
      </c>
      <c r="AH100" s="296"/>
      <c r="AI100" s="305">
        <f t="shared" si="110"/>
        <v>0</v>
      </c>
      <c r="AJ100" s="305">
        <f t="shared" si="111"/>
        <v>0</v>
      </c>
      <c r="AK100" s="305">
        <f t="shared" si="112"/>
        <v>0</v>
      </c>
      <c r="AM100" s="295">
        <v>21</v>
      </c>
      <c r="AN100" s="295">
        <f>G100*1</f>
        <v>0</v>
      </c>
      <c r="AO100" s="295">
        <f>G100*(1-1)</f>
        <v>0</v>
      </c>
      <c r="AP100" s="306" t="s">
        <v>225</v>
      </c>
      <c r="AU100" s="295">
        <f t="shared" si="113"/>
        <v>0</v>
      </c>
      <c r="AV100" s="295">
        <f t="shared" si="114"/>
        <v>0</v>
      </c>
      <c r="AW100" s="295">
        <f t="shared" si="115"/>
        <v>0</v>
      </c>
      <c r="AX100" s="297" t="s">
        <v>1756</v>
      </c>
      <c r="AY100" s="297" t="s">
        <v>1755</v>
      </c>
      <c r="AZ100" s="296" t="s">
        <v>1749</v>
      </c>
      <c r="BB100" s="295">
        <f t="shared" si="116"/>
        <v>0</v>
      </c>
      <c r="BC100" s="295">
        <f t="shared" si="117"/>
        <v>0</v>
      </c>
      <c r="BD100" s="295">
        <v>0</v>
      </c>
      <c r="BE100" s="295">
        <f t="shared" si="118"/>
        <v>0</v>
      </c>
      <c r="BG100" s="305">
        <f t="shared" si="119"/>
        <v>0</v>
      </c>
      <c r="BH100" s="305">
        <f t="shared" si="120"/>
        <v>0</v>
      </c>
      <c r="BI100" s="305">
        <f t="shared" si="121"/>
        <v>0</v>
      </c>
    </row>
    <row r="101" spans="1:61" ht="12">
      <c r="A101" s="327" t="s">
        <v>551</v>
      </c>
      <c r="B101" s="327"/>
      <c r="C101" s="327" t="s">
        <v>1771</v>
      </c>
      <c r="D101" s="327" t="s">
        <v>1770</v>
      </c>
      <c r="E101" s="327" t="s">
        <v>1767</v>
      </c>
      <c r="F101" s="328">
        <v>12</v>
      </c>
      <c r="G101" s="329">
        <v>0</v>
      </c>
      <c r="H101" s="328">
        <f t="shared" si="98"/>
        <v>0</v>
      </c>
      <c r="I101" s="328">
        <f t="shared" si="99"/>
        <v>0</v>
      </c>
      <c r="J101" s="328">
        <f t="shared" si="100"/>
        <v>0</v>
      </c>
      <c r="K101" s="328">
        <v>0.00024</v>
      </c>
      <c r="L101" s="328">
        <f t="shared" si="101"/>
        <v>0.00288</v>
      </c>
      <c r="Y101" s="295">
        <f t="shared" si="102"/>
        <v>0</v>
      </c>
      <c r="AA101" s="295">
        <f t="shared" si="103"/>
        <v>0</v>
      </c>
      <c r="AB101" s="295">
        <f t="shared" si="104"/>
        <v>0</v>
      </c>
      <c r="AC101" s="295">
        <f t="shared" si="105"/>
        <v>0</v>
      </c>
      <c r="AD101" s="295">
        <f t="shared" si="106"/>
        <v>0</v>
      </c>
      <c r="AE101" s="295">
        <f t="shared" si="107"/>
        <v>0</v>
      </c>
      <c r="AF101" s="295">
        <f t="shared" si="108"/>
        <v>0</v>
      </c>
      <c r="AG101" s="295">
        <f t="shared" si="109"/>
        <v>0</v>
      </c>
      <c r="AH101" s="296"/>
      <c r="AI101" s="294">
        <f t="shared" si="110"/>
        <v>0</v>
      </c>
      <c r="AJ101" s="294">
        <f t="shared" si="111"/>
        <v>0</v>
      </c>
      <c r="AK101" s="294">
        <f t="shared" si="112"/>
        <v>0</v>
      </c>
      <c r="AM101" s="295">
        <v>21</v>
      </c>
      <c r="AN101" s="295">
        <f>G101*0.734372093023256</f>
        <v>0</v>
      </c>
      <c r="AO101" s="295">
        <f>G101*(1-0.734372093023256)</f>
        <v>0</v>
      </c>
      <c r="AP101" s="298" t="s">
        <v>225</v>
      </c>
      <c r="AU101" s="295">
        <f t="shared" si="113"/>
        <v>0</v>
      </c>
      <c r="AV101" s="295">
        <f t="shared" si="114"/>
        <v>0</v>
      </c>
      <c r="AW101" s="295">
        <f t="shared" si="115"/>
        <v>0</v>
      </c>
      <c r="AX101" s="297" t="s">
        <v>1756</v>
      </c>
      <c r="AY101" s="297" t="s">
        <v>1755</v>
      </c>
      <c r="AZ101" s="296" t="s">
        <v>1749</v>
      </c>
      <c r="BB101" s="295">
        <f t="shared" si="116"/>
        <v>0</v>
      </c>
      <c r="BC101" s="295">
        <f t="shared" si="117"/>
        <v>0</v>
      </c>
      <c r="BD101" s="295">
        <v>0</v>
      </c>
      <c r="BE101" s="295">
        <f t="shared" si="118"/>
        <v>0.00288</v>
      </c>
      <c r="BG101" s="294">
        <f t="shared" si="119"/>
        <v>0</v>
      </c>
      <c r="BH101" s="294">
        <f t="shared" si="120"/>
        <v>0</v>
      </c>
      <c r="BI101" s="294">
        <f t="shared" si="121"/>
        <v>0</v>
      </c>
    </row>
    <row r="102" spans="1:61" ht="12">
      <c r="A102" s="327" t="s">
        <v>555</v>
      </c>
      <c r="B102" s="327"/>
      <c r="C102" s="327" t="s">
        <v>1769</v>
      </c>
      <c r="D102" s="327" t="s">
        <v>1768</v>
      </c>
      <c r="E102" s="327" t="s">
        <v>1767</v>
      </c>
      <c r="F102" s="328">
        <v>35</v>
      </c>
      <c r="G102" s="329">
        <v>0</v>
      </c>
      <c r="H102" s="328">
        <f t="shared" si="98"/>
        <v>0</v>
      </c>
      <c r="I102" s="328">
        <f t="shared" si="99"/>
        <v>0</v>
      </c>
      <c r="J102" s="328">
        <f t="shared" si="100"/>
        <v>0</v>
      </c>
      <c r="K102" s="328">
        <v>0.00024</v>
      </c>
      <c r="L102" s="328">
        <f t="shared" si="101"/>
        <v>0.0084</v>
      </c>
      <c r="Y102" s="295">
        <f t="shared" si="102"/>
        <v>0</v>
      </c>
      <c r="AA102" s="295">
        <f t="shared" si="103"/>
        <v>0</v>
      </c>
      <c r="AB102" s="295">
        <f t="shared" si="104"/>
        <v>0</v>
      </c>
      <c r="AC102" s="295">
        <f t="shared" si="105"/>
        <v>0</v>
      </c>
      <c r="AD102" s="295">
        <f t="shared" si="106"/>
        <v>0</v>
      </c>
      <c r="AE102" s="295">
        <f t="shared" si="107"/>
        <v>0</v>
      </c>
      <c r="AF102" s="295">
        <f t="shared" si="108"/>
        <v>0</v>
      </c>
      <c r="AG102" s="295">
        <f t="shared" si="109"/>
        <v>0</v>
      </c>
      <c r="AH102" s="296"/>
      <c r="AI102" s="294">
        <f t="shared" si="110"/>
        <v>0</v>
      </c>
      <c r="AJ102" s="294">
        <f t="shared" si="111"/>
        <v>0</v>
      </c>
      <c r="AK102" s="294">
        <f t="shared" si="112"/>
        <v>0</v>
      </c>
      <c r="AM102" s="295">
        <v>21</v>
      </c>
      <c r="AN102" s="295">
        <f>G102*0.802387543252595</f>
        <v>0</v>
      </c>
      <c r="AO102" s="295">
        <f>G102*(1-0.802387543252595)</f>
        <v>0</v>
      </c>
      <c r="AP102" s="298" t="s">
        <v>225</v>
      </c>
      <c r="AU102" s="295">
        <f t="shared" si="113"/>
        <v>0</v>
      </c>
      <c r="AV102" s="295">
        <f t="shared" si="114"/>
        <v>0</v>
      </c>
      <c r="AW102" s="295">
        <f t="shared" si="115"/>
        <v>0</v>
      </c>
      <c r="AX102" s="297" t="s">
        <v>1756</v>
      </c>
      <c r="AY102" s="297" t="s">
        <v>1755</v>
      </c>
      <c r="AZ102" s="296" t="s">
        <v>1749</v>
      </c>
      <c r="BB102" s="295">
        <f t="shared" si="116"/>
        <v>0</v>
      </c>
      <c r="BC102" s="295">
        <f t="shared" si="117"/>
        <v>0</v>
      </c>
      <c r="BD102" s="295">
        <v>0</v>
      </c>
      <c r="BE102" s="295">
        <f t="shared" si="118"/>
        <v>0.0084</v>
      </c>
      <c r="BG102" s="294">
        <f t="shared" si="119"/>
        <v>0</v>
      </c>
      <c r="BH102" s="294">
        <f t="shared" si="120"/>
        <v>0</v>
      </c>
      <c r="BI102" s="294">
        <f t="shared" si="121"/>
        <v>0</v>
      </c>
    </row>
    <row r="103" spans="1:61" ht="12">
      <c r="A103" s="327" t="s">
        <v>559</v>
      </c>
      <c r="B103" s="327"/>
      <c r="C103" s="327" t="s">
        <v>1766</v>
      </c>
      <c r="D103" s="327" t="s">
        <v>1765</v>
      </c>
      <c r="E103" s="327" t="s">
        <v>258</v>
      </c>
      <c r="F103" s="328">
        <v>1</v>
      </c>
      <c r="G103" s="329">
        <v>0</v>
      </c>
      <c r="H103" s="328">
        <f t="shared" si="98"/>
        <v>0</v>
      </c>
      <c r="I103" s="328">
        <f t="shared" si="99"/>
        <v>0</v>
      </c>
      <c r="J103" s="328">
        <f t="shared" si="100"/>
        <v>0</v>
      </c>
      <c r="K103" s="328">
        <v>0.00014</v>
      </c>
      <c r="L103" s="328">
        <f t="shared" si="101"/>
        <v>0.00014</v>
      </c>
      <c r="Y103" s="295">
        <f t="shared" si="102"/>
        <v>0</v>
      </c>
      <c r="AA103" s="295">
        <f t="shared" si="103"/>
        <v>0</v>
      </c>
      <c r="AB103" s="295">
        <f t="shared" si="104"/>
        <v>0</v>
      </c>
      <c r="AC103" s="295">
        <f t="shared" si="105"/>
        <v>0</v>
      </c>
      <c r="AD103" s="295">
        <f t="shared" si="106"/>
        <v>0</v>
      </c>
      <c r="AE103" s="295">
        <f t="shared" si="107"/>
        <v>0</v>
      </c>
      <c r="AF103" s="295">
        <f t="shared" si="108"/>
        <v>0</v>
      </c>
      <c r="AG103" s="295">
        <f t="shared" si="109"/>
        <v>0</v>
      </c>
      <c r="AH103" s="296"/>
      <c r="AI103" s="294">
        <f t="shared" si="110"/>
        <v>0</v>
      </c>
      <c r="AJ103" s="294">
        <f t="shared" si="111"/>
        <v>0</v>
      </c>
      <c r="AK103" s="294">
        <f t="shared" si="112"/>
        <v>0</v>
      </c>
      <c r="AM103" s="295">
        <v>21</v>
      </c>
      <c r="AN103" s="295">
        <f>G103*0.217385286178974</f>
        <v>0</v>
      </c>
      <c r="AO103" s="295">
        <f>G103*(1-0.217385286178974)</f>
        <v>0</v>
      </c>
      <c r="AP103" s="298" t="s">
        <v>225</v>
      </c>
      <c r="AU103" s="295">
        <f t="shared" si="113"/>
        <v>0</v>
      </c>
      <c r="AV103" s="295">
        <f t="shared" si="114"/>
        <v>0</v>
      </c>
      <c r="AW103" s="295">
        <f t="shared" si="115"/>
        <v>0</v>
      </c>
      <c r="AX103" s="297" t="s">
        <v>1756</v>
      </c>
      <c r="AY103" s="297" t="s">
        <v>1755</v>
      </c>
      <c r="AZ103" s="296" t="s">
        <v>1749</v>
      </c>
      <c r="BB103" s="295">
        <f t="shared" si="116"/>
        <v>0</v>
      </c>
      <c r="BC103" s="295">
        <f t="shared" si="117"/>
        <v>0</v>
      </c>
      <c r="BD103" s="295">
        <v>0</v>
      </c>
      <c r="BE103" s="295">
        <f t="shared" si="118"/>
        <v>0.00014</v>
      </c>
      <c r="BG103" s="294">
        <f t="shared" si="119"/>
        <v>0</v>
      </c>
      <c r="BH103" s="294">
        <f t="shared" si="120"/>
        <v>0</v>
      </c>
      <c r="BI103" s="294">
        <f t="shared" si="121"/>
        <v>0</v>
      </c>
    </row>
    <row r="104" spans="1:61" ht="12">
      <c r="A104" s="335" t="s">
        <v>563</v>
      </c>
      <c r="B104" s="335"/>
      <c r="C104" s="335" t="s">
        <v>1764</v>
      </c>
      <c r="D104" s="335" t="s">
        <v>1763</v>
      </c>
      <c r="E104" s="335" t="s">
        <v>258</v>
      </c>
      <c r="F104" s="336">
        <v>1</v>
      </c>
      <c r="G104" s="337">
        <v>0</v>
      </c>
      <c r="H104" s="336">
        <f t="shared" si="98"/>
        <v>0</v>
      </c>
      <c r="I104" s="336">
        <f t="shared" si="99"/>
        <v>0</v>
      </c>
      <c r="J104" s="336">
        <f t="shared" si="100"/>
        <v>0</v>
      </c>
      <c r="K104" s="336">
        <v>0.00023</v>
      </c>
      <c r="L104" s="336">
        <f t="shared" si="101"/>
        <v>0.00023</v>
      </c>
      <c r="Y104" s="295">
        <f t="shared" si="102"/>
        <v>0</v>
      </c>
      <c r="AA104" s="295">
        <f t="shared" si="103"/>
        <v>0</v>
      </c>
      <c r="AB104" s="295">
        <f t="shared" si="104"/>
        <v>0</v>
      </c>
      <c r="AC104" s="295">
        <f t="shared" si="105"/>
        <v>0</v>
      </c>
      <c r="AD104" s="295">
        <f t="shared" si="106"/>
        <v>0</v>
      </c>
      <c r="AE104" s="295">
        <f t="shared" si="107"/>
        <v>0</v>
      </c>
      <c r="AF104" s="295">
        <f t="shared" si="108"/>
        <v>0</v>
      </c>
      <c r="AG104" s="295">
        <f t="shared" si="109"/>
        <v>0</v>
      </c>
      <c r="AH104" s="296"/>
      <c r="AI104" s="305">
        <f t="shared" si="110"/>
        <v>0</v>
      </c>
      <c r="AJ104" s="305">
        <f t="shared" si="111"/>
        <v>0</v>
      </c>
      <c r="AK104" s="305">
        <f t="shared" si="112"/>
        <v>0</v>
      </c>
      <c r="AM104" s="295">
        <v>21</v>
      </c>
      <c r="AN104" s="295">
        <f>G104*1</f>
        <v>0</v>
      </c>
      <c r="AO104" s="295">
        <f>G104*(1-1)</f>
        <v>0</v>
      </c>
      <c r="AP104" s="306" t="s">
        <v>225</v>
      </c>
      <c r="AU104" s="295">
        <f t="shared" si="113"/>
        <v>0</v>
      </c>
      <c r="AV104" s="295">
        <f t="shared" si="114"/>
        <v>0</v>
      </c>
      <c r="AW104" s="295">
        <f t="shared" si="115"/>
        <v>0</v>
      </c>
      <c r="AX104" s="297" t="s">
        <v>1756</v>
      </c>
      <c r="AY104" s="297" t="s">
        <v>1755</v>
      </c>
      <c r="AZ104" s="296" t="s">
        <v>1749</v>
      </c>
      <c r="BB104" s="295">
        <f t="shared" si="116"/>
        <v>0</v>
      </c>
      <c r="BC104" s="295">
        <f t="shared" si="117"/>
        <v>0</v>
      </c>
      <c r="BD104" s="295">
        <v>0</v>
      </c>
      <c r="BE104" s="295">
        <f t="shared" si="118"/>
        <v>0.00023</v>
      </c>
      <c r="BG104" s="305">
        <f t="shared" si="119"/>
        <v>0</v>
      </c>
      <c r="BH104" s="305">
        <f t="shared" si="120"/>
        <v>0</v>
      </c>
      <c r="BI104" s="305">
        <f t="shared" si="121"/>
        <v>0</v>
      </c>
    </row>
    <row r="105" spans="1:61" ht="12">
      <c r="A105" s="327" t="s">
        <v>567</v>
      </c>
      <c r="B105" s="327"/>
      <c r="C105" s="327" t="s">
        <v>1762</v>
      </c>
      <c r="D105" s="327" t="s">
        <v>1761</v>
      </c>
      <c r="E105" s="327" t="s">
        <v>258</v>
      </c>
      <c r="F105" s="328">
        <v>6</v>
      </c>
      <c r="G105" s="329">
        <v>0</v>
      </c>
      <c r="H105" s="328">
        <f t="shared" si="98"/>
        <v>0</v>
      </c>
      <c r="I105" s="328">
        <f t="shared" si="99"/>
        <v>0</v>
      </c>
      <c r="J105" s="328">
        <f t="shared" si="100"/>
        <v>0</v>
      </c>
      <c r="K105" s="328">
        <v>0.00014</v>
      </c>
      <c r="L105" s="328">
        <f t="shared" si="101"/>
        <v>0.0008399999999999999</v>
      </c>
      <c r="Y105" s="295">
        <f t="shared" si="102"/>
        <v>0</v>
      </c>
      <c r="AA105" s="295">
        <f t="shared" si="103"/>
        <v>0</v>
      </c>
      <c r="AB105" s="295">
        <f t="shared" si="104"/>
        <v>0</v>
      </c>
      <c r="AC105" s="295">
        <f t="shared" si="105"/>
        <v>0</v>
      </c>
      <c r="AD105" s="295">
        <f t="shared" si="106"/>
        <v>0</v>
      </c>
      <c r="AE105" s="295">
        <f t="shared" si="107"/>
        <v>0</v>
      </c>
      <c r="AF105" s="295">
        <f t="shared" si="108"/>
        <v>0</v>
      </c>
      <c r="AG105" s="295">
        <f t="shared" si="109"/>
        <v>0</v>
      </c>
      <c r="AH105" s="296"/>
      <c r="AI105" s="294">
        <f t="shared" si="110"/>
        <v>0</v>
      </c>
      <c r="AJ105" s="294">
        <f t="shared" si="111"/>
        <v>0</v>
      </c>
      <c r="AK105" s="294">
        <f t="shared" si="112"/>
        <v>0</v>
      </c>
      <c r="AM105" s="295">
        <v>21</v>
      </c>
      <c r="AN105" s="295">
        <f>G105*0.827560459617538</f>
        <v>0</v>
      </c>
      <c r="AO105" s="295">
        <f>G105*(1-0.827560459617538)</f>
        <v>0</v>
      </c>
      <c r="AP105" s="298" t="s">
        <v>225</v>
      </c>
      <c r="AU105" s="295">
        <f t="shared" si="113"/>
        <v>0</v>
      </c>
      <c r="AV105" s="295">
        <f t="shared" si="114"/>
        <v>0</v>
      </c>
      <c r="AW105" s="295">
        <f t="shared" si="115"/>
        <v>0</v>
      </c>
      <c r="AX105" s="297" t="s">
        <v>1756</v>
      </c>
      <c r="AY105" s="297" t="s">
        <v>1755</v>
      </c>
      <c r="AZ105" s="296" t="s">
        <v>1749</v>
      </c>
      <c r="BB105" s="295">
        <f t="shared" si="116"/>
        <v>0</v>
      </c>
      <c r="BC105" s="295">
        <f t="shared" si="117"/>
        <v>0</v>
      </c>
      <c r="BD105" s="295">
        <v>0</v>
      </c>
      <c r="BE105" s="295">
        <f t="shared" si="118"/>
        <v>0.0008399999999999999</v>
      </c>
      <c r="BG105" s="294">
        <f t="shared" si="119"/>
        <v>0</v>
      </c>
      <c r="BH105" s="294">
        <f t="shared" si="120"/>
        <v>0</v>
      </c>
      <c r="BI105" s="294">
        <f t="shared" si="121"/>
        <v>0</v>
      </c>
    </row>
    <row r="106" spans="1:61" ht="12">
      <c r="A106" s="327" t="s">
        <v>571</v>
      </c>
      <c r="B106" s="327"/>
      <c r="C106" s="327" t="s">
        <v>1760</v>
      </c>
      <c r="D106" s="327" t="s">
        <v>1759</v>
      </c>
      <c r="E106" s="327" t="s">
        <v>258</v>
      </c>
      <c r="F106" s="328">
        <v>7</v>
      </c>
      <c r="G106" s="329">
        <v>0</v>
      </c>
      <c r="H106" s="328">
        <f t="shared" si="98"/>
        <v>0</v>
      </c>
      <c r="I106" s="328">
        <f t="shared" si="99"/>
        <v>0</v>
      </c>
      <c r="J106" s="328">
        <f t="shared" si="100"/>
        <v>0</v>
      </c>
      <c r="K106" s="328">
        <v>0.0007</v>
      </c>
      <c r="L106" s="328">
        <f t="shared" si="101"/>
        <v>0.0049</v>
      </c>
      <c r="Y106" s="295">
        <f t="shared" si="102"/>
        <v>0</v>
      </c>
      <c r="AA106" s="295">
        <f t="shared" si="103"/>
        <v>0</v>
      </c>
      <c r="AB106" s="295">
        <f t="shared" si="104"/>
        <v>0</v>
      </c>
      <c r="AC106" s="295">
        <f t="shared" si="105"/>
        <v>0</v>
      </c>
      <c r="AD106" s="295">
        <f t="shared" si="106"/>
        <v>0</v>
      </c>
      <c r="AE106" s="295">
        <f t="shared" si="107"/>
        <v>0</v>
      </c>
      <c r="AF106" s="295">
        <f t="shared" si="108"/>
        <v>0</v>
      </c>
      <c r="AG106" s="295">
        <f t="shared" si="109"/>
        <v>0</v>
      </c>
      <c r="AH106" s="296"/>
      <c r="AI106" s="294">
        <f t="shared" si="110"/>
        <v>0</v>
      </c>
      <c r="AJ106" s="294">
        <f t="shared" si="111"/>
        <v>0</v>
      </c>
      <c r="AK106" s="294">
        <f t="shared" si="112"/>
        <v>0</v>
      </c>
      <c r="AM106" s="295">
        <v>21</v>
      </c>
      <c r="AN106" s="295">
        <f>G106*0.404125874125874</f>
        <v>0</v>
      </c>
      <c r="AO106" s="295">
        <f>G106*(1-0.404125874125874)</f>
        <v>0</v>
      </c>
      <c r="AP106" s="298" t="s">
        <v>225</v>
      </c>
      <c r="AU106" s="295">
        <f t="shared" si="113"/>
        <v>0</v>
      </c>
      <c r="AV106" s="295">
        <f t="shared" si="114"/>
        <v>0</v>
      </c>
      <c r="AW106" s="295">
        <f t="shared" si="115"/>
        <v>0</v>
      </c>
      <c r="AX106" s="297" t="s">
        <v>1756</v>
      </c>
      <c r="AY106" s="297" t="s">
        <v>1755</v>
      </c>
      <c r="AZ106" s="296" t="s">
        <v>1749</v>
      </c>
      <c r="BB106" s="295">
        <f t="shared" si="116"/>
        <v>0</v>
      </c>
      <c r="BC106" s="295">
        <f t="shared" si="117"/>
        <v>0</v>
      </c>
      <c r="BD106" s="295">
        <v>0</v>
      </c>
      <c r="BE106" s="295">
        <f t="shared" si="118"/>
        <v>0.0049</v>
      </c>
      <c r="BG106" s="294">
        <f t="shared" si="119"/>
        <v>0</v>
      </c>
      <c r="BH106" s="294">
        <f t="shared" si="120"/>
        <v>0</v>
      </c>
      <c r="BI106" s="294">
        <f t="shared" si="121"/>
        <v>0</v>
      </c>
    </row>
    <row r="107" spans="1:61" ht="12">
      <c r="A107" s="327" t="s">
        <v>575</v>
      </c>
      <c r="B107" s="327"/>
      <c r="C107" s="327" t="s">
        <v>1758</v>
      </c>
      <c r="D107" s="327" t="s">
        <v>1757</v>
      </c>
      <c r="E107" s="327" t="s">
        <v>242</v>
      </c>
      <c r="F107" s="328">
        <v>0.405</v>
      </c>
      <c r="G107" s="329">
        <v>0</v>
      </c>
      <c r="H107" s="328">
        <f t="shared" si="98"/>
        <v>0</v>
      </c>
      <c r="I107" s="328">
        <f t="shared" si="99"/>
        <v>0</v>
      </c>
      <c r="J107" s="328">
        <f t="shared" si="100"/>
        <v>0</v>
      </c>
      <c r="K107" s="328">
        <v>0</v>
      </c>
      <c r="L107" s="328">
        <f t="shared" si="101"/>
        <v>0</v>
      </c>
      <c r="Y107" s="295">
        <f t="shared" si="102"/>
        <v>0</v>
      </c>
      <c r="AA107" s="295">
        <f t="shared" si="103"/>
        <v>0</v>
      </c>
      <c r="AB107" s="295">
        <f t="shared" si="104"/>
        <v>0</v>
      </c>
      <c r="AC107" s="295">
        <f t="shared" si="105"/>
        <v>0</v>
      </c>
      <c r="AD107" s="295">
        <f t="shared" si="106"/>
        <v>0</v>
      </c>
      <c r="AE107" s="295">
        <f t="shared" si="107"/>
        <v>0</v>
      </c>
      <c r="AF107" s="295">
        <f t="shared" si="108"/>
        <v>0</v>
      </c>
      <c r="AG107" s="295">
        <f t="shared" si="109"/>
        <v>0</v>
      </c>
      <c r="AH107" s="296"/>
      <c r="AI107" s="294">
        <f t="shared" si="110"/>
        <v>0</v>
      </c>
      <c r="AJ107" s="294">
        <f t="shared" si="111"/>
        <v>0</v>
      </c>
      <c r="AK107" s="294">
        <f t="shared" si="112"/>
        <v>0</v>
      </c>
      <c r="AM107" s="295">
        <v>21</v>
      </c>
      <c r="AN107" s="295">
        <f>G107*0</f>
        <v>0</v>
      </c>
      <c r="AO107" s="295">
        <f>G107*(1-0)</f>
        <v>0</v>
      </c>
      <c r="AP107" s="298" t="s">
        <v>225</v>
      </c>
      <c r="AU107" s="295">
        <f t="shared" si="113"/>
        <v>0</v>
      </c>
      <c r="AV107" s="295">
        <f t="shared" si="114"/>
        <v>0</v>
      </c>
      <c r="AW107" s="295">
        <f t="shared" si="115"/>
        <v>0</v>
      </c>
      <c r="AX107" s="297" t="s">
        <v>1756</v>
      </c>
      <c r="AY107" s="297" t="s">
        <v>1755</v>
      </c>
      <c r="AZ107" s="296" t="s">
        <v>1749</v>
      </c>
      <c r="BB107" s="295">
        <f t="shared" si="116"/>
        <v>0</v>
      </c>
      <c r="BC107" s="295">
        <f t="shared" si="117"/>
        <v>0</v>
      </c>
      <c r="BD107" s="295">
        <v>0</v>
      </c>
      <c r="BE107" s="295">
        <f t="shared" si="118"/>
        <v>0</v>
      </c>
      <c r="BG107" s="294">
        <f t="shared" si="119"/>
        <v>0</v>
      </c>
      <c r="BH107" s="294">
        <f t="shared" si="120"/>
        <v>0</v>
      </c>
      <c r="BI107" s="294">
        <f t="shared" si="121"/>
        <v>0</v>
      </c>
    </row>
    <row r="108" spans="1:46" ht="12">
      <c r="A108" s="330"/>
      <c r="B108" s="331"/>
      <c r="C108" s="331" t="s">
        <v>1754</v>
      </c>
      <c r="D108" s="331" t="s">
        <v>1583</v>
      </c>
      <c r="E108" s="330" t="s">
        <v>146</v>
      </c>
      <c r="F108" s="330" t="s">
        <v>146</v>
      </c>
      <c r="G108" s="332" t="s">
        <v>146</v>
      </c>
      <c r="H108" s="333">
        <f>SUM(H109:H109)</f>
        <v>0</v>
      </c>
      <c r="I108" s="333">
        <f>SUM(I109:I109)</f>
        <v>0</v>
      </c>
      <c r="J108" s="333">
        <f>SUM(J109:J109)</f>
        <v>0</v>
      </c>
      <c r="K108" s="334"/>
      <c r="L108" s="333">
        <f>SUM(L109:L109)</f>
        <v>0</v>
      </c>
      <c r="AH108" s="296"/>
      <c r="AR108" s="301">
        <f>SUM(AI109:AI109)</f>
        <v>0</v>
      </c>
      <c r="AS108" s="301">
        <f>SUM(AJ109:AJ109)</f>
        <v>0</v>
      </c>
      <c r="AT108" s="301">
        <f>SUM(AK109:AK109)</f>
        <v>0</v>
      </c>
    </row>
    <row r="109" spans="1:61" ht="12">
      <c r="A109" s="340" t="s">
        <v>579</v>
      </c>
      <c r="B109" s="340"/>
      <c r="C109" s="340" t="s">
        <v>1753</v>
      </c>
      <c r="D109" s="340" t="s">
        <v>1752</v>
      </c>
      <c r="E109" s="340" t="s">
        <v>1437</v>
      </c>
      <c r="F109" s="341">
        <v>1</v>
      </c>
      <c r="G109" s="342">
        <v>0</v>
      </c>
      <c r="H109" s="341">
        <f>F109*AN109</f>
        <v>0</v>
      </c>
      <c r="I109" s="341">
        <f>F109*AO109</f>
        <v>0</v>
      </c>
      <c r="J109" s="341">
        <f>F109*G109</f>
        <v>0</v>
      </c>
      <c r="K109" s="341">
        <v>0</v>
      </c>
      <c r="L109" s="341">
        <f>F109*K109</f>
        <v>0</v>
      </c>
      <c r="Y109" s="295">
        <f>IF(AP109="5",BI109,0)</f>
        <v>0</v>
      </c>
      <c r="AA109" s="295">
        <f>IF(AP109="1",BG109,0)</f>
        <v>0</v>
      </c>
      <c r="AB109" s="295">
        <f>IF(AP109="1",BH109,0)</f>
        <v>0</v>
      </c>
      <c r="AC109" s="295">
        <f>IF(AP109="7",BG109,0)</f>
        <v>0</v>
      </c>
      <c r="AD109" s="295">
        <f>IF(AP109="7",BH109,0)</f>
        <v>0</v>
      </c>
      <c r="AE109" s="295">
        <f>IF(AP109="2",BG109,0)</f>
        <v>0</v>
      </c>
      <c r="AF109" s="295">
        <f>IF(AP109="2",BH109,0)</f>
        <v>0</v>
      </c>
      <c r="AG109" s="295">
        <f>IF(AP109="0",BI109,0)</f>
        <v>0</v>
      </c>
      <c r="AH109" s="296"/>
      <c r="AI109" s="294">
        <f>IF(AM109=0,J109,0)</f>
        <v>0</v>
      </c>
      <c r="AJ109" s="294">
        <f>IF(AM109=15,J109,0)</f>
        <v>0</v>
      </c>
      <c r="AK109" s="294">
        <f>IF(AM109=21,J109,0)</f>
        <v>0</v>
      </c>
      <c r="AM109" s="295">
        <v>21</v>
      </c>
      <c r="AN109" s="295">
        <f>G109*0</f>
        <v>0</v>
      </c>
      <c r="AO109" s="295">
        <f>G109*(1-0)</f>
        <v>0</v>
      </c>
      <c r="AP109" s="298" t="s">
        <v>77</v>
      </c>
      <c r="AU109" s="295">
        <f>AV109+AW109</f>
        <v>0</v>
      </c>
      <c r="AV109" s="295">
        <f>F109*AN109</f>
        <v>0</v>
      </c>
      <c r="AW109" s="295">
        <f>F109*AO109</f>
        <v>0</v>
      </c>
      <c r="AX109" s="297" t="s">
        <v>1751</v>
      </c>
      <c r="AY109" s="297" t="s">
        <v>1750</v>
      </c>
      <c r="AZ109" s="296" t="s">
        <v>1749</v>
      </c>
      <c r="BB109" s="295">
        <f>AV109+AW109</f>
        <v>0</v>
      </c>
      <c r="BC109" s="295">
        <f>G109/(100-BD109)*100</f>
        <v>0</v>
      </c>
      <c r="BD109" s="295">
        <v>0</v>
      </c>
      <c r="BE109" s="295">
        <f>L109</f>
        <v>0</v>
      </c>
      <c r="BG109" s="294">
        <f>F109*AN109</f>
        <v>0</v>
      </c>
      <c r="BH109" s="294">
        <f>F109*AO109</f>
        <v>0</v>
      </c>
      <c r="BI109" s="294">
        <f>F109*G109</f>
        <v>0</v>
      </c>
    </row>
    <row r="110" spans="1:12" ht="12">
      <c r="A110" s="343"/>
      <c r="B110" s="343"/>
      <c r="C110" s="343"/>
      <c r="D110" s="343"/>
      <c r="E110" s="343"/>
      <c r="F110" s="343"/>
      <c r="G110" s="343"/>
      <c r="H110" s="722" t="s">
        <v>1748</v>
      </c>
      <c r="I110" s="723"/>
      <c r="J110" s="344">
        <f>J12+J16+J36+J71+J108</f>
        <v>0</v>
      </c>
      <c r="K110" s="345"/>
      <c r="L110" s="345"/>
    </row>
    <row r="111" spans="1:12" ht="11.25" customHeight="1">
      <c r="A111" s="346"/>
      <c r="B111" s="339"/>
      <c r="C111" s="339"/>
      <c r="D111" s="339"/>
      <c r="E111" s="339"/>
      <c r="F111" s="339"/>
      <c r="G111" s="339"/>
      <c r="H111" s="339"/>
      <c r="I111" s="339"/>
      <c r="J111" s="339"/>
      <c r="K111" s="339"/>
      <c r="L111" s="339"/>
    </row>
    <row r="112" spans="1:12" ht="45" customHeight="1">
      <c r="A112" s="724" t="s">
        <v>1987</v>
      </c>
      <c r="B112" s="725"/>
      <c r="C112" s="725"/>
      <c r="D112" s="725"/>
      <c r="E112" s="725"/>
      <c r="F112" s="725"/>
      <c r="G112" s="725"/>
      <c r="H112" s="725"/>
      <c r="I112" s="725"/>
      <c r="J112" s="725"/>
      <c r="K112" s="725"/>
      <c r="L112" s="725"/>
    </row>
    <row r="115" ht="12">
      <c r="D115" s="291"/>
    </row>
  </sheetData>
  <sheetProtection algorithmName="SHA-512" hashValue="x1nAaSGhpG/8jagj4H3ycQDlgFxppD2DksorBTRuFWmWNPKQtT3QoJx5cF4Wqy5L84GMqmpvLkqrM78LB6XZSw==" saltValue="042KUkhIkosZDpUJWNlcuA==" spinCount="100000" sheet="1" objects="1" scenarios="1"/>
  <mergeCells count="29">
    <mergeCell ref="I6:L7"/>
    <mergeCell ref="H110:I110"/>
    <mergeCell ref="A112:L112"/>
    <mergeCell ref="A8:C9"/>
    <mergeCell ref="D8:D9"/>
    <mergeCell ref="E8:F9"/>
    <mergeCell ref="G8:G9"/>
    <mergeCell ref="H8:H9"/>
    <mergeCell ref="I8:L9"/>
    <mergeCell ref="H10:J10"/>
    <mergeCell ref="K10:L10"/>
    <mergeCell ref="A6:C7"/>
    <mergeCell ref="D6:D7"/>
    <mergeCell ref="E6:F7"/>
    <mergeCell ref="G6:G7"/>
    <mergeCell ref="H6:H7"/>
    <mergeCell ref="A4:C5"/>
    <mergeCell ref="D4:D5"/>
    <mergeCell ref="E4:F5"/>
    <mergeCell ref="A1:L1"/>
    <mergeCell ref="A2:C3"/>
    <mergeCell ref="D2:D3"/>
    <mergeCell ref="E2:F3"/>
    <mergeCell ref="G2:G3"/>
    <mergeCell ref="H2:H3"/>
    <mergeCell ref="I2:L3"/>
    <mergeCell ref="G4:G5"/>
    <mergeCell ref="H4:H5"/>
    <mergeCell ref="I4:L5"/>
  </mergeCells>
  <printOptions/>
  <pageMargins left="0.394" right="0.394" top="0.591" bottom="0.591" header="0.5" footer="0.5"/>
  <pageSetup fitToHeight="0"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2:BM91"/>
  <sheetViews>
    <sheetView showGridLines="0" workbookViewId="0" topLeftCell="A70">
      <selection activeCell="I91" sqref="I91"/>
    </sheetView>
  </sheetViews>
  <sheetFormatPr defaultColWidth="9.140625" defaultRowHeight="12"/>
  <cols>
    <col min="1" max="1" width="8.8515625" style="1" customWidth="1"/>
    <col min="2" max="2" width="1.1484375" style="1" customWidth="1"/>
    <col min="3" max="4" width="4.421875" style="1" customWidth="1"/>
    <col min="5" max="5" width="18.28125" style="1" customWidth="1"/>
    <col min="6" max="6" width="108.00390625" style="1" customWidth="1"/>
    <col min="7" max="7" width="8.00390625" style="1" customWidth="1"/>
    <col min="8" max="8" width="12.28125" style="1" customWidth="1"/>
    <col min="9" max="11" width="21.421875" style="1" customWidth="1"/>
    <col min="12" max="12" width="10.00390625" style="1" customWidth="1"/>
    <col min="13" max="13" width="11.421875" style="1" hidden="1" customWidth="1"/>
    <col min="14" max="14" width="9.140625" style="1" hidden="1" customWidth="1"/>
    <col min="15" max="20" width="15.140625" style="1" hidden="1" customWidth="1"/>
    <col min="21" max="21" width="17.421875" style="1" hidden="1" customWidth="1"/>
    <col min="22" max="22" width="13.140625" style="1" customWidth="1"/>
    <col min="23" max="23" width="17.421875" style="1" customWidth="1"/>
    <col min="24" max="24" width="13.140625" style="1" customWidth="1"/>
    <col min="25" max="25" width="16.00390625" style="1" customWidth="1"/>
    <col min="26" max="26" width="11.7109375" style="1" customWidth="1"/>
    <col min="27" max="27" width="16.00390625" style="1" customWidth="1"/>
    <col min="28" max="28" width="17.421875" style="1" customWidth="1"/>
    <col min="29" max="29" width="11.7109375" style="1" customWidth="1"/>
    <col min="30" max="30" width="16.00390625" style="1" customWidth="1"/>
    <col min="31" max="31" width="17.421875" style="1" customWidth="1"/>
    <col min="44" max="65" width="9.140625" style="1" hidden="1" customWidth="1"/>
  </cols>
  <sheetData>
    <row r="1" ht="12"/>
    <row r="2" spans="12:46" s="1" customFormat="1" ht="36.95" customHeight="1">
      <c r="L2" s="682"/>
      <c r="M2" s="682"/>
      <c r="N2" s="682"/>
      <c r="O2" s="682"/>
      <c r="P2" s="682"/>
      <c r="Q2" s="682"/>
      <c r="R2" s="682"/>
      <c r="S2" s="682"/>
      <c r="T2" s="682"/>
      <c r="U2" s="682"/>
      <c r="V2" s="682"/>
      <c r="AT2" s="15" t="s">
        <v>93</v>
      </c>
    </row>
    <row r="3" spans="2:46" s="1" customFormat="1" ht="6.95" customHeight="1">
      <c r="B3" s="106"/>
      <c r="C3" s="107"/>
      <c r="D3" s="107"/>
      <c r="E3" s="107"/>
      <c r="F3" s="107"/>
      <c r="G3" s="107"/>
      <c r="H3" s="107"/>
      <c r="I3" s="107"/>
      <c r="J3" s="107"/>
      <c r="K3" s="107"/>
      <c r="L3" s="18"/>
      <c r="AT3" s="15" t="s">
        <v>79</v>
      </c>
    </row>
    <row r="4" spans="2:46" s="1" customFormat="1" ht="24.95" customHeight="1">
      <c r="B4" s="18"/>
      <c r="D4" s="108" t="s">
        <v>141</v>
      </c>
      <c r="L4" s="18"/>
      <c r="M4" s="109" t="s">
        <v>10</v>
      </c>
      <c r="AT4" s="15" t="s">
        <v>4</v>
      </c>
    </row>
    <row r="5" spans="2:12" s="1" customFormat="1" ht="6.95" customHeight="1">
      <c r="B5" s="18"/>
      <c r="L5" s="18"/>
    </row>
    <row r="6" spans="2:12" s="1" customFormat="1" ht="12" customHeight="1">
      <c r="B6" s="18"/>
      <c r="D6" s="110" t="s">
        <v>16</v>
      </c>
      <c r="L6" s="18"/>
    </row>
    <row r="7" spans="2:12" s="1" customFormat="1" ht="14.45" customHeight="1">
      <c r="B7" s="18"/>
      <c r="E7" s="702" t="str">
        <f>'Rekapitulace stavby'!K6</f>
        <v>Úpravy gastroprovozu Úřadu vlády ČR v 1.pp Strakovy akademie</v>
      </c>
      <c r="F7" s="703"/>
      <c r="G7" s="703"/>
      <c r="H7" s="703"/>
      <c r="L7" s="18"/>
    </row>
    <row r="8" spans="2:12" s="1" customFormat="1" ht="12" customHeight="1">
      <c r="B8" s="18"/>
      <c r="D8" s="110" t="s">
        <v>142</v>
      </c>
      <c r="L8" s="18"/>
    </row>
    <row r="9" spans="1:31" s="2" customFormat="1" ht="14.45" customHeight="1">
      <c r="A9" s="32"/>
      <c r="B9" s="37"/>
      <c r="C9" s="32"/>
      <c r="D9" s="32"/>
      <c r="E9" s="702" t="s">
        <v>1429</v>
      </c>
      <c r="F9" s="704"/>
      <c r="G9" s="704"/>
      <c r="H9" s="704"/>
      <c r="I9" s="32"/>
      <c r="J9" s="32"/>
      <c r="K9" s="32"/>
      <c r="L9" s="111"/>
      <c r="S9" s="32"/>
      <c r="T9" s="32"/>
      <c r="U9" s="32"/>
      <c r="V9" s="32"/>
      <c r="W9" s="32"/>
      <c r="X9" s="32"/>
      <c r="Y9" s="32"/>
      <c r="Z9" s="32"/>
      <c r="AA9" s="32"/>
      <c r="AB9" s="32"/>
      <c r="AC9" s="32"/>
      <c r="AD9" s="32"/>
      <c r="AE9" s="32"/>
    </row>
    <row r="10" spans="1:31" s="2" customFormat="1" ht="12" customHeight="1">
      <c r="A10" s="32"/>
      <c r="B10" s="37"/>
      <c r="C10" s="32"/>
      <c r="D10" s="110" t="s">
        <v>144</v>
      </c>
      <c r="E10" s="32"/>
      <c r="F10" s="32"/>
      <c r="G10" s="32"/>
      <c r="H10" s="32"/>
      <c r="I10" s="32"/>
      <c r="J10" s="32"/>
      <c r="K10" s="32"/>
      <c r="L10" s="111"/>
      <c r="S10" s="32"/>
      <c r="T10" s="32"/>
      <c r="U10" s="32"/>
      <c r="V10" s="32"/>
      <c r="W10" s="32"/>
      <c r="X10" s="32"/>
      <c r="Y10" s="32"/>
      <c r="Z10" s="32"/>
      <c r="AA10" s="32"/>
      <c r="AB10" s="32"/>
      <c r="AC10" s="32"/>
      <c r="AD10" s="32"/>
      <c r="AE10" s="32"/>
    </row>
    <row r="11" spans="1:31" s="2" customFormat="1" ht="14.45" customHeight="1">
      <c r="A11" s="32"/>
      <c r="B11" s="37"/>
      <c r="C11" s="32"/>
      <c r="D11" s="32"/>
      <c r="E11" s="705" t="s">
        <v>1439</v>
      </c>
      <c r="F11" s="704"/>
      <c r="G11" s="704"/>
      <c r="H11" s="704"/>
      <c r="I11" s="32"/>
      <c r="J11" s="32"/>
      <c r="K11" s="32"/>
      <c r="L11" s="111"/>
      <c r="S11" s="32"/>
      <c r="T11" s="32"/>
      <c r="U11" s="32"/>
      <c r="V11" s="32"/>
      <c r="W11" s="32"/>
      <c r="X11" s="32"/>
      <c r="Y11" s="32"/>
      <c r="Z11" s="32"/>
      <c r="AA11" s="32"/>
      <c r="AB11" s="32"/>
      <c r="AC11" s="32"/>
      <c r="AD11" s="32"/>
      <c r="AE11" s="32"/>
    </row>
    <row r="12" spans="1:31" s="2" customFormat="1" ht="12">
      <c r="A12" s="32"/>
      <c r="B12" s="37"/>
      <c r="C12" s="32"/>
      <c r="D12" s="32"/>
      <c r="E12" s="32"/>
      <c r="F12" s="32"/>
      <c r="G12" s="32"/>
      <c r="H12" s="32"/>
      <c r="I12" s="32"/>
      <c r="J12" s="32"/>
      <c r="K12" s="32"/>
      <c r="L12" s="111"/>
      <c r="S12" s="32"/>
      <c r="T12" s="32"/>
      <c r="U12" s="32"/>
      <c r="V12" s="32"/>
      <c r="W12" s="32"/>
      <c r="X12" s="32"/>
      <c r="Y12" s="32"/>
      <c r="Z12" s="32"/>
      <c r="AA12" s="32"/>
      <c r="AB12" s="32"/>
      <c r="AC12" s="32"/>
      <c r="AD12" s="32"/>
      <c r="AE12" s="32"/>
    </row>
    <row r="13" spans="1:31" s="2" customFormat="1" ht="12" customHeight="1">
      <c r="A13" s="32"/>
      <c r="B13" s="37"/>
      <c r="C13" s="32"/>
      <c r="D13" s="110" t="s">
        <v>18</v>
      </c>
      <c r="E13" s="32"/>
      <c r="F13" s="101" t="s">
        <v>19</v>
      </c>
      <c r="G13" s="32"/>
      <c r="H13" s="32"/>
      <c r="I13" s="110" t="s">
        <v>20</v>
      </c>
      <c r="J13" s="101" t="s">
        <v>19</v>
      </c>
      <c r="K13" s="32"/>
      <c r="L13" s="111"/>
      <c r="S13" s="32"/>
      <c r="T13" s="32"/>
      <c r="U13" s="32"/>
      <c r="V13" s="32"/>
      <c r="W13" s="32"/>
      <c r="X13" s="32"/>
      <c r="Y13" s="32"/>
      <c r="Z13" s="32"/>
      <c r="AA13" s="32"/>
      <c r="AB13" s="32"/>
      <c r="AC13" s="32"/>
      <c r="AD13" s="32"/>
      <c r="AE13" s="32"/>
    </row>
    <row r="14" spans="1:31" s="2" customFormat="1" ht="12" customHeight="1">
      <c r="A14" s="32"/>
      <c r="B14" s="37"/>
      <c r="C14" s="32"/>
      <c r="D14" s="110" t="s">
        <v>21</v>
      </c>
      <c r="E14" s="32"/>
      <c r="F14" s="101" t="s">
        <v>146</v>
      </c>
      <c r="G14" s="32"/>
      <c r="H14" s="32"/>
      <c r="I14" s="110" t="s">
        <v>23</v>
      </c>
      <c r="J14" s="112" t="str">
        <f>'Rekapitulace stavby'!AN8</f>
        <v>Vyplň údaj</v>
      </c>
      <c r="K14" s="32"/>
      <c r="L14" s="111"/>
      <c r="S14" s="32"/>
      <c r="T14" s="32"/>
      <c r="U14" s="32"/>
      <c r="V14" s="32"/>
      <c r="W14" s="32"/>
      <c r="X14" s="32"/>
      <c r="Y14" s="32"/>
      <c r="Z14" s="32"/>
      <c r="AA14" s="32"/>
      <c r="AB14" s="32"/>
      <c r="AC14" s="32"/>
      <c r="AD14" s="32"/>
      <c r="AE14" s="32"/>
    </row>
    <row r="15" spans="1:31" s="2" customFormat="1" ht="10.9" customHeight="1">
      <c r="A15" s="32"/>
      <c r="B15" s="37"/>
      <c r="C15" s="32"/>
      <c r="D15" s="32"/>
      <c r="E15" s="32"/>
      <c r="F15" s="32"/>
      <c r="G15" s="32"/>
      <c r="H15" s="32"/>
      <c r="I15" s="32"/>
      <c r="J15" s="32"/>
      <c r="K15" s="32"/>
      <c r="L15" s="111"/>
      <c r="S15" s="32"/>
      <c r="T15" s="32"/>
      <c r="U15" s="32"/>
      <c r="V15" s="32"/>
      <c r="W15" s="32"/>
      <c r="X15" s="32"/>
      <c r="Y15" s="32"/>
      <c r="Z15" s="32"/>
      <c r="AA15" s="32"/>
      <c r="AB15" s="32"/>
      <c r="AC15" s="32"/>
      <c r="AD15" s="32"/>
      <c r="AE15" s="32"/>
    </row>
    <row r="16" spans="1:31" s="2" customFormat="1" ht="12" customHeight="1">
      <c r="A16" s="32"/>
      <c r="B16" s="37"/>
      <c r="C16" s="32"/>
      <c r="D16" s="110" t="s">
        <v>24</v>
      </c>
      <c r="E16" s="32"/>
      <c r="F16" s="32"/>
      <c r="G16" s="32"/>
      <c r="H16" s="32"/>
      <c r="I16" s="110" t="s">
        <v>25</v>
      </c>
      <c r="J16" s="101" t="s">
        <v>19</v>
      </c>
      <c r="K16" s="32"/>
      <c r="L16" s="111"/>
      <c r="S16" s="32"/>
      <c r="T16" s="32"/>
      <c r="U16" s="32"/>
      <c r="V16" s="32"/>
      <c r="W16" s="32"/>
      <c r="X16" s="32"/>
      <c r="Y16" s="32"/>
      <c r="Z16" s="32"/>
      <c r="AA16" s="32"/>
      <c r="AB16" s="32"/>
      <c r="AC16" s="32"/>
      <c r="AD16" s="32"/>
      <c r="AE16" s="32"/>
    </row>
    <row r="17" spans="1:31" s="2" customFormat="1" ht="18" customHeight="1">
      <c r="A17" s="32"/>
      <c r="B17" s="37"/>
      <c r="C17" s="32"/>
      <c r="D17" s="32"/>
      <c r="E17" s="101" t="s">
        <v>26</v>
      </c>
      <c r="F17" s="32"/>
      <c r="G17" s="32"/>
      <c r="H17" s="32"/>
      <c r="I17" s="110" t="s">
        <v>27</v>
      </c>
      <c r="J17" s="101" t="s">
        <v>19</v>
      </c>
      <c r="K17" s="32"/>
      <c r="L17" s="111"/>
      <c r="S17" s="32"/>
      <c r="T17" s="32"/>
      <c r="U17" s="32"/>
      <c r="V17" s="32"/>
      <c r="W17" s="32"/>
      <c r="X17" s="32"/>
      <c r="Y17" s="32"/>
      <c r="Z17" s="32"/>
      <c r="AA17" s="32"/>
      <c r="AB17" s="32"/>
      <c r="AC17" s="32"/>
      <c r="AD17" s="32"/>
      <c r="AE17" s="32"/>
    </row>
    <row r="18" spans="1:31" s="2" customFormat="1" ht="6.95" customHeight="1">
      <c r="A18" s="32"/>
      <c r="B18" s="37"/>
      <c r="C18" s="32"/>
      <c r="D18" s="32"/>
      <c r="E18" s="32"/>
      <c r="F18" s="32"/>
      <c r="G18" s="32"/>
      <c r="H18" s="32"/>
      <c r="I18" s="32"/>
      <c r="J18" s="32"/>
      <c r="K18" s="32"/>
      <c r="L18" s="111"/>
      <c r="S18" s="32"/>
      <c r="T18" s="32"/>
      <c r="U18" s="32"/>
      <c r="V18" s="32"/>
      <c r="W18" s="32"/>
      <c r="X18" s="32"/>
      <c r="Y18" s="32"/>
      <c r="Z18" s="32"/>
      <c r="AA18" s="32"/>
      <c r="AB18" s="32"/>
      <c r="AC18" s="32"/>
      <c r="AD18" s="32"/>
      <c r="AE18" s="32"/>
    </row>
    <row r="19" spans="1:31" s="2" customFormat="1" ht="12" customHeight="1">
      <c r="A19" s="32"/>
      <c r="B19" s="37"/>
      <c r="C19" s="32"/>
      <c r="D19" s="110" t="s">
        <v>28</v>
      </c>
      <c r="E19" s="32"/>
      <c r="F19" s="32"/>
      <c r="G19" s="32"/>
      <c r="H19" s="32"/>
      <c r="I19" s="110" t="s">
        <v>25</v>
      </c>
      <c r="J19" s="28" t="str">
        <f>'Rekapitulace stavby'!AN13</f>
        <v>Vyplň údaj</v>
      </c>
      <c r="K19" s="32"/>
      <c r="L19" s="111"/>
      <c r="S19" s="32"/>
      <c r="T19" s="32"/>
      <c r="U19" s="32"/>
      <c r="V19" s="32"/>
      <c r="W19" s="32"/>
      <c r="X19" s="32"/>
      <c r="Y19" s="32"/>
      <c r="Z19" s="32"/>
      <c r="AA19" s="32"/>
      <c r="AB19" s="32"/>
      <c r="AC19" s="32"/>
      <c r="AD19" s="32"/>
      <c r="AE19" s="32"/>
    </row>
    <row r="20" spans="1:31" s="2" customFormat="1" ht="18" customHeight="1">
      <c r="A20" s="32"/>
      <c r="B20" s="37"/>
      <c r="C20" s="32"/>
      <c r="D20" s="32"/>
      <c r="E20" s="706" t="str">
        <f>'Rekapitulace stavby'!E14</f>
        <v>Vyplň údaj</v>
      </c>
      <c r="F20" s="707"/>
      <c r="G20" s="707"/>
      <c r="H20" s="707"/>
      <c r="I20" s="110" t="s">
        <v>27</v>
      </c>
      <c r="J20" s="28" t="str">
        <f>'Rekapitulace stavby'!AN14</f>
        <v>Vyplň údaj</v>
      </c>
      <c r="K20" s="32"/>
      <c r="L20" s="111"/>
      <c r="S20" s="32"/>
      <c r="T20" s="32"/>
      <c r="U20" s="32"/>
      <c r="V20" s="32"/>
      <c r="W20" s="32"/>
      <c r="X20" s="32"/>
      <c r="Y20" s="32"/>
      <c r="Z20" s="32"/>
      <c r="AA20" s="32"/>
      <c r="AB20" s="32"/>
      <c r="AC20" s="32"/>
      <c r="AD20" s="32"/>
      <c r="AE20" s="32"/>
    </row>
    <row r="21" spans="1:31" s="2" customFormat="1" ht="6.95" customHeight="1">
      <c r="A21" s="32"/>
      <c r="B21" s="37"/>
      <c r="C21" s="32"/>
      <c r="D21" s="32"/>
      <c r="E21" s="32"/>
      <c r="F21" s="32"/>
      <c r="G21" s="32"/>
      <c r="H21" s="32"/>
      <c r="I21" s="32"/>
      <c r="J21" s="32"/>
      <c r="K21" s="32"/>
      <c r="L21" s="111"/>
      <c r="S21" s="32"/>
      <c r="T21" s="32"/>
      <c r="U21" s="32"/>
      <c r="V21" s="32"/>
      <c r="W21" s="32"/>
      <c r="X21" s="32"/>
      <c r="Y21" s="32"/>
      <c r="Z21" s="32"/>
      <c r="AA21" s="32"/>
      <c r="AB21" s="32"/>
      <c r="AC21" s="32"/>
      <c r="AD21" s="32"/>
      <c r="AE21" s="32"/>
    </row>
    <row r="22" spans="1:31" s="2" customFormat="1" ht="12" customHeight="1">
      <c r="A22" s="32"/>
      <c r="B22" s="37"/>
      <c r="C22" s="32"/>
      <c r="D22" s="110" t="s">
        <v>30</v>
      </c>
      <c r="E22" s="32"/>
      <c r="F22" s="32"/>
      <c r="G22" s="32"/>
      <c r="H22" s="32"/>
      <c r="I22" s="110" t="s">
        <v>25</v>
      </c>
      <c r="J22" s="101" t="s">
        <v>19</v>
      </c>
      <c r="K22" s="32"/>
      <c r="L22" s="111"/>
      <c r="S22" s="32"/>
      <c r="T22" s="32"/>
      <c r="U22" s="32"/>
      <c r="V22" s="32"/>
      <c r="W22" s="32"/>
      <c r="X22" s="32"/>
      <c r="Y22" s="32"/>
      <c r="Z22" s="32"/>
      <c r="AA22" s="32"/>
      <c r="AB22" s="32"/>
      <c r="AC22" s="32"/>
      <c r="AD22" s="32"/>
      <c r="AE22" s="32"/>
    </row>
    <row r="23" spans="1:31" s="2" customFormat="1" ht="18" customHeight="1">
      <c r="A23" s="32"/>
      <c r="B23" s="37"/>
      <c r="C23" s="32"/>
      <c r="D23" s="32"/>
      <c r="E23" s="101" t="s">
        <v>31</v>
      </c>
      <c r="F23" s="32"/>
      <c r="G23" s="32"/>
      <c r="H23" s="32"/>
      <c r="I23" s="110" t="s">
        <v>27</v>
      </c>
      <c r="J23" s="101" t="s">
        <v>19</v>
      </c>
      <c r="K23" s="32"/>
      <c r="L23" s="111"/>
      <c r="S23" s="32"/>
      <c r="T23" s="32"/>
      <c r="U23" s="32"/>
      <c r="V23" s="32"/>
      <c r="W23" s="32"/>
      <c r="X23" s="32"/>
      <c r="Y23" s="32"/>
      <c r="Z23" s="32"/>
      <c r="AA23" s="32"/>
      <c r="AB23" s="32"/>
      <c r="AC23" s="32"/>
      <c r="AD23" s="32"/>
      <c r="AE23" s="32"/>
    </row>
    <row r="24" spans="1:31" s="2" customFormat="1" ht="6.95" customHeight="1">
      <c r="A24" s="32"/>
      <c r="B24" s="37"/>
      <c r="C24" s="32"/>
      <c r="D24" s="32"/>
      <c r="E24" s="32"/>
      <c r="F24" s="32"/>
      <c r="G24" s="32"/>
      <c r="H24" s="32"/>
      <c r="I24" s="32"/>
      <c r="J24" s="32"/>
      <c r="K24" s="32"/>
      <c r="L24" s="111"/>
      <c r="S24" s="32"/>
      <c r="T24" s="32"/>
      <c r="U24" s="32"/>
      <c r="V24" s="32"/>
      <c r="W24" s="32"/>
      <c r="X24" s="32"/>
      <c r="Y24" s="32"/>
      <c r="Z24" s="32"/>
      <c r="AA24" s="32"/>
      <c r="AB24" s="32"/>
      <c r="AC24" s="32"/>
      <c r="AD24" s="32"/>
      <c r="AE24" s="32"/>
    </row>
    <row r="25" spans="1:31" s="2" customFormat="1" ht="12" customHeight="1">
      <c r="A25" s="32"/>
      <c r="B25" s="37"/>
      <c r="C25" s="32"/>
      <c r="D25" s="110" t="s">
        <v>33</v>
      </c>
      <c r="E25" s="32"/>
      <c r="F25" s="32"/>
      <c r="G25" s="32"/>
      <c r="H25" s="32"/>
      <c r="I25" s="110" t="s">
        <v>25</v>
      </c>
      <c r="J25" s="101" t="s">
        <v>19</v>
      </c>
      <c r="K25" s="32"/>
      <c r="L25" s="111"/>
      <c r="S25" s="32"/>
      <c r="T25" s="32"/>
      <c r="U25" s="32"/>
      <c r="V25" s="32"/>
      <c r="W25" s="32"/>
      <c r="X25" s="32"/>
      <c r="Y25" s="32"/>
      <c r="Z25" s="32"/>
      <c r="AA25" s="32"/>
      <c r="AB25" s="32"/>
      <c r="AC25" s="32"/>
      <c r="AD25" s="32"/>
      <c r="AE25" s="32"/>
    </row>
    <row r="26" spans="1:31" s="2" customFormat="1" ht="18" customHeight="1">
      <c r="A26" s="32"/>
      <c r="B26" s="37"/>
      <c r="C26" s="32"/>
      <c r="D26" s="32"/>
      <c r="E26" s="101" t="s">
        <v>31</v>
      </c>
      <c r="F26" s="32"/>
      <c r="G26" s="32"/>
      <c r="H26" s="32"/>
      <c r="I26" s="110" t="s">
        <v>27</v>
      </c>
      <c r="J26" s="101" t="s">
        <v>19</v>
      </c>
      <c r="K26" s="32"/>
      <c r="L26" s="111"/>
      <c r="S26" s="32"/>
      <c r="T26" s="32"/>
      <c r="U26" s="32"/>
      <c r="V26" s="32"/>
      <c r="W26" s="32"/>
      <c r="X26" s="32"/>
      <c r="Y26" s="32"/>
      <c r="Z26" s="32"/>
      <c r="AA26" s="32"/>
      <c r="AB26" s="32"/>
      <c r="AC26" s="32"/>
      <c r="AD26" s="32"/>
      <c r="AE26" s="32"/>
    </row>
    <row r="27" spans="1:31" s="2" customFormat="1" ht="6.95" customHeight="1">
      <c r="A27" s="32"/>
      <c r="B27" s="37"/>
      <c r="C27" s="32"/>
      <c r="D27" s="32"/>
      <c r="E27" s="32"/>
      <c r="F27" s="32"/>
      <c r="G27" s="32"/>
      <c r="H27" s="32"/>
      <c r="I27" s="32"/>
      <c r="J27" s="32"/>
      <c r="K27" s="32"/>
      <c r="L27" s="111"/>
      <c r="S27" s="32"/>
      <c r="T27" s="32"/>
      <c r="U27" s="32"/>
      <c r="V27" s="32"/>
      <c r="W27" s="32"/>
      <c r="X27" s="32"/>
      <c r="Y27" s="32"/>
      <c r="Z27" s="32"/>
      <c r="AA27" s="32"/>
      <c r="AB27" s="32"/>
      <c r="AC27" s="32"/>
      <c r="AD27" s="32"/>
      <c r="AE27" s="32"/>
    </row>
    <row r="28" spans="1:31" s="2" customFormat="1" ht="12" customHeight="1">
      <c r="A28" s="32"/>
      <c r="B28" s="37"/>
      <c r="C28" s="32"/>
      <c r="D28" s="110" t="s">
        <v>34</v>
      </c>
      <c r="E28" s="32"/>
      <c r="F28" s="32"/>
      <c r="G28" s="32"/>
      <c r="H28" s="32"/>
      <c r="I28" s="32"/>
      <c r="J28" s="32"/>
      <c r="K28" s="32"/>
      <c r="L28" s="111"/>
      <c r="S28" s="32"/>
      <c r="T28" s="32"/>
      <c r="U28" s="32"/>
      <c r="V28" s="32"/>
      <c r="W28" s="32"/>
      <c r="X28" s="32"/>
      <c r="Y28" s="32"/>
      <c r="Z28" s="32"/>
      <c r="AA28" s="32"/>
      <c r="AB28" s="32"/>
      <c r="AC28" s="32"/>
      <c r="AD28" s="32"/>
      <c r="AE28" s="32"/>
    </row>
    <row r="29" spans="1:31" s="8" customFormat="1" ht="14.45" customHeight="1">
      <c r="A29" s="113"/>
      <c r="B29" s="114"/>
      <c r="C29" s="113"/>
      <c r="D29" s="113"/>
      <c r="E29" s="708" t="s">
        <v>19</v>
      </c>
      <c r="F29" s="708"/>
      <c r="G29" s="708"/>
      <c r="H29" s="708"/>
      <c r="I29" s="113"/>
      <c r="J29" s="113"/>
      <c r="K29" s="113"/>
      <c r="L29" s="115"/>
      <c r="S29" s="113"/>
      <c r="T29" s="113"/>
      <c r="U29" s="113"/>
      <c r="V29" s="113"/>
      <c r="W29" s="113"/>
      <c r="X29" s="113"/>
      <c r="Y29" s="113"/>
      <c r="Z29" s="113"/>
      <c r="AA29" s="113"/>
      <c r="AB29" s="113"/>
      <c r="AC29" s="113"/>
      <c r="AD29" s="113"/>
      <c r="AE29" s="113"/>
    </row>
    <row r="30" spans="1:31" s="2" customFormat="1" ht="6.95" customHeight="1">
      <c r="A30" s="32"/>
      <c r="B30" s="37"/>
      <c r="C30" s="32"/>
      <c r="D30" s="32"/>
      <c r="E30" s="32"/>
      <c r="F30" s="32"/>
      <c r="G30" s="32"/>
      <c r="H30" s="32"/>
      <c r="I30" s="32"/>
      <c r="J30" s="32"/>
      <c r="K30" s="32"/>
      <c r="L30" s="111"/>
      <c r="S30" s="32"/>
      <c r="T30" s="32"/>
      <c r="U30" s="32"/>
      <c r="V30" s="32"/>
      <c r="W30" s="32"/>
      <c r="X30" s="32"/>
      <c r="Y30" s="32"/>
      <c r="Z30" s="32"/>
      <c r="AA30" s="32"/>
      <c r="AB30" s="32"/>
      <c r="AC30" s="32"/>
      <c r="AD30" s="32"/>
      <c r="AE30" s="32"/>
    </row>
    <row r="31" spans="1:31" s="2" customFormat="1" ht="6.95" customHeight="1">
      <c r="A31" s="32"/>
      <c r="B31" s="37"/>
      <c r="C31" s="32"/>
      <c r="D31" s="116"/>
      <c r="E31" s="116"/>
      <c r="F31" s="116"/>
      <c r="G31" s="116"/>
      <c r="H31" s="116"/>
      <c r="I31" s="116"/>
      <c r="J31" s="116"/>
      <c r="K31" s="116"/>
      <c r="L31" s="111"/>
      <c r="S31" s="32"/>
      <c r="T31" s="32"/>
      <c r="U31" s="32"/>
      <c r="V31" s="32"/>
      <c r="W31" s="32"/>
      <c r="X31" s="32"/>
      <c r="Y31" s="32"/>
      <c r="Z31" s="32"/>
      <c r="AA31" s="32"/>
      <c r="AB31" s="32"/>
      <c r="AC31" s="32"/>
      <c r="AD31" s="32"/>
      <c r="AE31" s="32"/>
    </row>
    <row r="32" spans="1:31" s="2" customFormat="1" ht="25.35" customHeight="1">
      <c r="A32" s="32"/>
      <c r="B32" s="37"/>
      <c r="C32" s="32"/>
      <c r="D32" s="117" t="s">
        <v>36</v>
      </c>
      <c r="E32" s="32"/>
      <c r="F32" s="32"/>
      <c r="G32" s="32"/>
      <c r="H32" s="32"/>
      <c r="I32" s="32"/>
      <c r="J32" s="118">
        <f>ROUND(J87,2)</f>
        <v>0</v>
      </c>
      <c r="K32" s="32"/>
      <c r="L32" s="111"/>
      <c r="S32" s="32"/>
      <c r="T32" s="32"/>
      <c r="U32" s="32"/>
      <c r="V32" s="32"/>
      <c r="W32" s="32"/>
      <c r="X32" s="32"/>
      <c r="Y32" s="32"/>
      <c r="Z32" s="32"/>
      <c r="AA32" s="32"/>
      <c r="AB32" s="32"/>
      <c r="AC32" s="32"/>
      <c r="AD32" s="32"/>
      <c r="AE32" s="32"/>
    </row>
    <row r="33" spans="1:31" s="2" customFormat="1" ht="6.95" customHeight="1">
      <c r="A33" s="32"/>
      <c r="B33" s="37"/>
      <c r="C33" s="32"/>
      <c r="D33" s="116"/>
      <c r="E33" s="116"/>
      <c r="F33" s="116"/>
      <c r="G33" s="116"/>
      <c r="H33" s="116"/>
      <c r="I33" s="116"/>
      <c r="J33" s="116"/>
      <c r="K33" s="116"/>
      <c r="L33" s="111"/>
      <c r="S33" s="32"/>
      <c r="T33" s="32"/>
      <c r="U33" s="32"/>
      <c r="V33" s="32"/>
      <c r="W33" s="32"/>
      <c r="X33" s="32"/>
      <c r="Y33" s="32"/>
      <c r="Z33" s="32"/>
      <c r="AA33" s="32"/>
      <c r="AB33" s="32"/>
      <c r="AC33" s="32"/>
      <c r="AD33" s="32"/>
      <c r="AE33" s="32"/>
    </row>
    <row r="34" spans="1:31" s="2" customFormat="1" ht="14.45" customHeight="1">
      <c r="A34" s="32"/>
      <c r="B34" s="37"/>
      <c r="C34" s="32"/>
      <c r="D34" s="32"/>
      <c r="E34" s="32"/>
      <c r="F34" s="119" t="s">
        <v>38</v>
      </c>
      <c r="G34" s="32"/>
      <c r="H34" s="32"/>
      <c r="I34" s="119" t="s">
        <v>37</v>
      </c>
      <c r="J34" s="119" t="s">
        <v>39</v>
      </c>
      <c r="K34" s="32"/>
      <c r="L34" s="111"/>
      <c r="S34" s="32"/>
      <c r="T34" s="32"/>
      <c r="U34" s="32"/>
      <c r="V34" s="32"/>
      <c r="W34" s="32"/>
      <c r="X34" s="32"/>
      <c r="Y34" s="32"/>
      <c r="Z34" s="32"/>
      <c r="AA34" s="32"/>
      <c r="AB34" s="32"/>
      <c r="AC34" s="32"/>
      <c r="AD34" s="32"/>
      <c r="AE34" s="32"/>
    </row>
    <row r="35" spans="1:31" s="2" customFormat="1" ht="14.45" customHeight="1">
      <c r="A35" s="32"/>
      <c r="B35" s="37"/>
      <c r="C35" s="32"/>
      <c r="D35" s="120" t="s">
        <v>40</v>
      </c>
      <c r="E35" s="110" t="s">
        <v>41</v>
      </c>
      <c r="F35" s="121">
        <f>ROUND((SUM(BE87:BE90)),2)</f>
        <v>0</v>
      </c>
      <c r="G35" s="32"/>
      <c r="H35" s="32"/>
      <c r="I35" s="122">
        <v>0.21</v>
      </c>
      <c r="J35" s="121">
        <f>ROUND(((SUM(BE87:BE90))*I35),2)</f>
        <v>0</v>
      </c>
      <c r="K35" s="32"/>
      <c r="L35" s="111"/>
      <c r="S35" s="32"/>
      <c r="T35" s="32"/>
      <c r="U35" s="32"/>
      <c r="V35" s="32"/>
      <c r="W35" s="32"/>
      <c r="X35" s="32"/>
      <c r="Y35" s="32"/>
      <c r="Z35" s="32"/>
      <c r="AA35" s="32"/>
      <c r="AB35" s="32"/>
      <c r="AC35" s="32"/>
      <c r="AD35" s="32"/>
      <c r="AE35" s="32"/>
    </row>
    <row r="36" spans="1:31" s="2" customFormat="1" ht="14.45" customHeight="1">
      <c r="A36" s="32"/>
      <c r="B36" s="37"/>
      <c r="C36" s="32"/>
      <c r="D36" s="32"/>
      <c r="E36" s="110" t="s">
        <v>42</v>
      </c>
      <c r="F36" s="121">
        <f>ROUND((SUM(BF87:BF90)),2)</f>
        <v>0</v>
      </c>
      <c r="G36" s="32"/>
      <c r="H36" s="32"/>
      <c r="I36" s="122">
        <v>0.15</v>
      </c>
      <c r="J36" s="121">
        <f>ROUND(((SUM(BF87:BF90))*I36),2)</f>
        <v>0</v>
      </c>
      <c r="K36" s="32"/>
      <c r="L36" s="111"/>
      <c r="S36" s="32"/>
      <c r="T36" s="32"/>
      <c r="U36" s="32"/>
      <c r="V36" s="32"/>
      <c r="W36" s="32"/>
      <c r="X36" s="32"/>
      <c r="Y36" s="32"/>
      <c r="Z36" s="32"/>
      <c r="AA36" s="32"/>
      <c r="AB36" s="32"/>
      <c r="AC36" s="32"/>
      <c r="AD36" s="32"/>
      <c r="AE36" s="32"/>
    </row>
    <row r="37" spans="1:31" s="2" customFormat="1" ht="14.45" customHeight="1" hidden="1">
      <c r="A37" s="32"/>
      <c r="B37" s="37"/>
      <c r="C37" s="32"/>
      <c r="D37" s="32"/>
      <c r="E37" s="110" t="s">
        <v>43</v>
      </c>
      <c r="F37" s="121">
        <f>ROUND((SUM(BG87:BG90)),2)</f>
        <v>0</v>
      </c>
      <c r="G37" s="32"/>
      <c r="H37" s="32"/>
      <c r="I37" s="122">
        <v>0.21</v>
      </c>
      <c r="J37" s="121">
        <f>0</f>
        <v>0</v>
      </c>
      <c r="K37" s="32"/>
      <c r="L37" s="111"/>
      <c r="S37" s="32"/>
      <c r="T37" s="32"/>
      <c r="U37" s="32"/>
      <c r="V37" s="32"/>
      <c r="W37" s="32"/>
      <c r="X37" s="32"/>
      <c r="Y37" s="32"/>
      <c r="Z37" s="32"/>
      <c r="AA37" s="32"/>
      <c r="AB37" s="32"/>
      <c r="AC37" s="32"/>
      <c r="AD37" s="32"/>
      <c r="AE37" s="32"/>
    </row>
    <row r="38" spans="1:31" s="2" customFormat="1" ht="14.45" customHeight="1" hidden="1">
      <c r="A38" s="32"/>
      <c r="B38" s="37"/>
      <c r="C38" s="32"/>
      <c r="D38" s="32"/>
      <c r="E38" s="110" t="s">
        <v>44</v>
      </c>
      <c r="F38" s="121">
        <f>ROUND((SUM(BH87:BH90)),2)</f>
        <v>0</v>
      </c>
      <c r="G38" s="32"/>
      <c r="H38" s="32"/>
      <c r="I38" s="122">
        <v>0.15</v>
      </c>
      <c r="J38" s="121">
        <f>0</f>
        <v>0</v>
      </c>
      <c r="K38" s="32"/>
      <c r="L38" s="111"/>
      <c r="S38" s="32"/>
      <c r="T38" s="32"/>
      <c r="U38" s="32"/>
      <c r="V38" s="32"/>
      <c r="W38" s="32"/>
      <c r="X38" s="32"/>
      <c r="Y38" s="32"/>
      <c r="Z38" s="32"/>
      <c r="AA38" s="32"/>
      <c r="AB38" s="32"/>
      <c r="AC38" s="32"/>
      <c r="AD38" s="32"/>
      <c r="AE38" s="32"/>
    </row>
    <row r="39" spans="1:31" s="2" customFormat="1" ht="14.45" customHeight="1" hidden="1">
      <c r="A39" s="32"/>
      <c r="B39" s="37"/>
      <c r="C39" s="32"/>
      <c r="D39" s="32"/>
      <c r="E39" s="110" t="s">
        <v>45</v>
      </c>
      <c r="F39" s="121">
        <f>ROUND((SUM(BI87:BI90)),2)</f>
        <v>0</v>
      </c>
      <c r="G39" s="32"/>
      <c r="H39" s="32"/>
      <c r="I39" s="122">
        <v>0</v>
      </c>
      <c r="J39" s="121">
        <f>0</f>
        <v>0</v>
      </c>
      <c r="K39" s="32"/>
      <c r="L39" s="111"/>
      <c r="S39" s="32"/>
      <c r="T39" s="32"/>
      <c r="U39" s="32"/>
      <c r="V39" s="32"/>
      <c r="W39" s="32"/>
      <c r="X39" s="32"/>
      <c r="Y39" s="32"/>
      <c r="Z39" s="32"/>
      <c r="AA39" s="32"/>
      <c r="AB39" s="32"/>
      <c r="AC39" s="32"/>
      <c r="AD39" s="32"/>
      <c r="AE39" s="32"/>
    </row>
    <row r="40" spans="1:31" s="2" customFormat="1" ht="6.95" customHeight="1">
      <c r="A40" s="32"/>
      <c r="B40" s="37"/>
      <c r="C40" s="32"/>
      <c r="D40" s="32"/>
      <c r="E40" s="32"/>
      <c r="F40" s="32"/>
      <c r="G40" s="32"/>
      <c r="H40" s="32"/>
      <c r="I40" s="32"/>
      <c r="J40" s="32"/>
      <c r="K40" s="32"/>
      <c r="L40" s="111"/>
      <c r="S40" s="32"/>
      <c r="T40" s="32"/>
      <c r="U40" s="32"/>
      <c r="V40" s="32"/>
      <c r="W40" s="32"/>
      <c r="X40" s="32"/>
      <c r="Y40" s="32"/>
      <c r="Z40" s="32"/>
      <c r="AA40" s="32"/>
      <c r="AB40" s="32"/>
      <c r="AC40" s="32"/>
      <c r="AD40" s="32"/>
      <c r="AE40" s="32"/>
    </row>
    <row r="41" spans="1:31" s="2" customFormat="1" ht="25.35" customHeight="1">
      <c r="A41" s="32"/>
      <c r="B41" s="37"/>
      <c r="C41" s="123"/>
      <c r="D41" s="124" t="s">
        <v>46</v>
      </c>
      <c r="E41" s="125"/>
      <c r="F41" s="125"/>
      <c r="G41" s="126" t="s">
        <v>47</v>
      </c>
      <c r="H41" s="127" t="s">
        <v>48</v>
      </c>
      <c r="I41" s="125"/>
      <c r="J41" s="128">
        <f>SUM(J32:J39)</f>
        <v>0</v>
      </c>
      <c r="K41" s="129"/>
      <c r="L41" s="111"/>
      <c r="S41" s="32"/>
      <c r="T41" s="32"/>
      <c r="U41" s="32"/>
      <c r="V41" s="32"/>
      <c r="W41" s="32"/>
      <c r="X41" s="32"/>
      <c r="Y41" s="32"/>
      <c r="Z41" s="32"/>
      <c r="AA41" s="32"/>
      <c r="AB41" s="32"/>
      <c r="AC41" s="32"/>
      <c r="AD41" s="32"/>
      <c r="AE41" s="32"/>
    </row>
    <row r="42" spans="1:31" s="2" customFormat="1" ht="14.45" customHeight="1">
      <c r="A42" s="32"/>
      <c r="B42" s="130"/>
      <c r="C42" s="131"/>
      <c r="D42" s="131"/>
      <c r="E42" s="131"/>
      <c r="F42" s="131"/>
      <c r="G42" s="131"/>
      <c r="H42" s="131"/>
      <c r="I42" s="131"/>
      <c r="J42" s="131"/>
      <c r="K42" s="131"/>
      <c r="L42" s="111"/>
      <c r="S42" s="32"/>
      <c r="T42" s="32"/>
      <c r="U42" s="32"/>
      <c r="V42" s="32"/>
      <c r="W42" s="32"/>
      <c r="X42" s="32"/>
      <c r="Y42" s="32"/>
      <c r="Z42" s="32"/>
      <c r="AA42" s="32"/>
      <c r="AB42" s="32"/>
      <c r="AC42" s="32"/>
      <c r="AD42" s="32"/>
      <c r="AE42" s="32"/>
    </row>
    <row r="46" spans="1:31" s="2" customFormat="1" ht="6.95" customHeight="1">
      <c r="A46" s="32"/>
      <c r="B46" s="132"/>
      <c r="C46" s="133"/>
      <c r="D46" s="133"/>
      <c r="E46" s="133"/>
      <c r="F46" s="133"/>
      <c r="G46" s="133"/>
      <c r="H46" s="133"/>
      <c r="I46" s="133"/>
      <c r="J46" s="133"/>
      <c r="K46" s="133"/>
      <c r="L46" s="111"/>
      <c r="S46" s="32"/>
      <c r="T46" s="32"/>
      <c r="U46" s="32"/>
      <c r="V46" s="32"/>
      <c r="W46" s="32"/>
      <c r="X46" s="32"/>
      <c r="Y46" s="32"/>
      <c r="Z46" s="32"/>
      <c r="AA46" s="32"/>
      <c r="AB46" s="32"/>
      <c r="AC46" s="32"/>
      <c r="AD46" s="32"/>
      <c r="AE46" s="32"/>
    </row>
    <row r="47" spans="1:31" s="2" customFormat="1" ht="24.95" customHeight="1">
      <c r="A47" s="32"/>
      <c r="B47" s="33"/>
      <c r="C47" s="21" t="s">
        <v>147</v>
      </c>
      <c r="D47" s="34"/>
      <c r="E47" s="34"/>
      <c r="F47" s="34"/>
      <c r="G47" s="34"/>
      <c r="H47" s="34"/>
      <c r="I47" s="34"/>
      <c r="J47" s="34"/>
      <c r="K47" s="34"/>
      <c r="L47" s="111"/>
      <c r="S47" s="32"/>
      <c r="T47" s="32"/>
      <c r="U47" s="32"/>
      <c r="V47" s="32"/>
      <c r="W47" s="32"/>
      <c r="X47" s="32"/>
      <c r="Y47" s="32"/>
      <c r="Z47" s="32"/>
      <c r="AA47" s="32"/>
      <c r="AB47" s="32"/>
      <c r="AC47" s="32"/>
      <c r="AD47" s="32"/>
      <c r="AE47" s="32"/>
    </row>
    <row r="48" spans="1:31" s="2" customFormat="1" ht="6.95" customHeight="1">
      <c r="A48" s="32"/>
      <c r="B48" s="33"/>
      <c r="C48" s="34"/>
      <c r="D48" s="34"/>
      <c r="E48" s="34"/>
      <c r="F48" s="34"/>
      <c r="G48" s="34"/>
      <c r="H48" s="34"/>
      <c r="I48" s="34"/>
      <c r="J48" s="34"/>
      <c r="K48" s="34"/>
      <c r="L48" s="111"/>
      <c r="S48" s="32"/>
      <c r="T48" s="32"/>
      <c r="U48" s="32"/>
      <c r="V48" s="32"/>
      <c r="W48" s="32"/>
      <c r="X48" s="32"/>
      <c r="Y48" s="32"/>
      <c r="Z48" s="32"/>
      <c r="AA48" s="32"/>
      <c r="AB48" s="32"/>
      <c r="AC48" s="32"/>
      <c r="AD48" s="32"/>
      <c r="AE48" s="32"/>
    </row>
    <row r="49" spans="1:31" s="2" customFormat="1" ht="12" customHeight="1">
      <c r="A49" s="32"/>
      <c r="B49" s="33"/>
      <c r="C49" s="27" t="s">
        <v>16</v>
      </c>
      <c r="D49" s="34"/>
      <c r="E49" s="34"/>
      <c r="F49" s="34"/>
      <c r="G49" s="34"/>
      <c r="H49" s="34"/>
      <c r="I49" s="34"/>
      <c r="J49" s="34"/>
      <c r="K49" s="34"/>
      <c r="L49" s="111"/>
      <c r="S49" s="32"/>
      <c r="T49" s="32"/>
      <c r="U49" s="32"/>
      <c r="V49" s="32"/>
      <c r="W49" s="32"/>
      <c r="X49" s="32"/>
      <c r="Y49" s="32"/>
      <c r="Z49" s="32"/>
      <c r="AA49" s="32"/>
      <c r="AB49" s="32"/>
      <c r="AC49" s="32"/>
      <c r="AD49" s="32"/>
      <c r="AE49" s="32"/>
    </row>
    <row r="50" spans="1:31" s="2" customFormat="1" ht="14.45" customHeight="1">
      <c r="A50" s="32"/>
      <c r="B50" s="33"/>
      <c r="C50" s="34"/>
      <c r="D50" s="34"/>
      <c r="E50" s="700" t="str">
        <f>E7</f>
        <v>Úpravy gastroprovozu Úřadu vlády ČR v 1.pp Strakovy akademie</v>
      </c>
      <c r="F50" s="701"/>
      <c r="G50" s="701"/>
      <c r="H50" s="701"/>
      <c r="I50" s="34"/>
      <c r="J50" s="34"/>
      <c r="K50" s="34"/>
      <c r="L50" s="111"/>
      <c r="S50" s="32"/>
      <c r="T50" s="32"/>
      <c r="U50" s="32"/>
      <c r="V50" s="32"/>
      <c r="W50" s="32"/>
      <c r="X50" s="32"/>
      <c r="Y50" s="32"/>
      <c r="Z50" s="32"/>
      <c r="AA50" s="32"/>
      <c r="AB50" s="32"/>
      <c r="AC50" s="32"/>
      <c r="AD50" s="32"/>
      <c r="AE50" s="32"/>
    </row>
    <row r="51" spans="2:12" s="1" customFormat="1" ht="12" customHeight="1">
      <c r="B51" s="19"/>
      <c r="C51" s="27" t="s">
        <v>142</v>
      </c>
      <c r="D51" s="20"/>
      <c r="E51" s="20"/>
      <c r="F51" s="20"/>
      <c r="G51" s="20"/>
      <c r="H51" s="20"/>
      <c r="I51" s="20"/>
      <c r="J51" s="20"/>
      <c r="K51" s="20"/>
      <c r="L51" s="18"/>
    </row>
    <row r="52" spans="1:31" s="2" customFormat="1" ht="14.45" customHeight="1">
      <c r="A52" s="32"/>
      <c r="B52" s="33"/>
      <c r="C52" s="34"/>
      <c r="D52" s="34"/>
      <c r="E52" s="700" t="s">
        <v>1429</v>
      </c>
      <c r="F52" s="699"/>
      <c r="G52" s="699"/>
      <c r="H52" s="699"/>
      <c r="I52" s="34"/>
      <c r="J52" s="34"/>
      <c r="K52" s="34"/>
      <c r="L52" s="111"/>
      <c r="S52" s="32"/>
      <c r="T52" s="32"/>
      <c r="U52" s="32"/>
      <c r="V52" s="32"/>
      <c r="W52" s="32"/>
      <c r="X52" s="32"/>
      <c r="Y52" s="32"/>
      <c r="Z52" s="32"/>
      <c r="AA52" s="32"/>
      <c r="AB52" s="32"/>
      <c r="AC52" s="32"/>
      <c r="AD52" s="32"/>
      <c r="AE52" s="32"/>
    </row>
    <row r="53" spans="1:31" s="2" customFormat="1" ht="12" customHeight="1">
      <c r="A53" s="32"/>
      <c r="B53" s="33"/>
      <c r="C53" s="27" t="s">
        <v>144</v>
      </c>
      <c r="D53" s="34"/>
      <c r="E53" s="34"/>
      <c r="F53" s="34"/>
      <c r="G53" s="34"/>
      <c r="H53" s="34"/>
      <c r="I53" s="34"/>
      <c r="J53" s="34"/>
      <c r="K53" s="34"/>
      <c r="L53" s="111"/>
      <c r="S53" s="32"/>
      <c r="T53" s="32"/>
      <c r="U53" s="32"/>
      <c r="V53" s="32"/>
      <c r="W53" s="32"/>
      <c r="X53" s="32"/>
      <c r="Y53" s="32"/>
      <c r="Z53" s="32"/>
      <c r="AA53" s="32"/>
      <c r="AB53" s="32"/>
      <c r="AC53" s="32"/>
      <c r="AD53" s="32"/>
      <c r="AE53" s="32"/>
    </row>
    <row r="54" spans="1:31" s="2" customFormat="1" ht="14.45" customHeight="1">
      <c r="A54" s="32"/>
      <c r="B54" s="33"/>
      <c r="C54" s="34"/>
      <c r="D54" s="34"/>
      <c r="E54" s="696" t="str">
        <f>E11</f>
        <v>D.1.4.02 - Soupis prací - Vytápění</v>
      </c>
      <c r="F54" s="699"/>
      <c r="G54" s="699"/>
      <c r="H54" s="699"/>
      <c r="I54" s="34"/>
      <c r="J54" s="34"/>
      <c r="K54" s="34"/>
      <c r="L54" s="111"/>
      <c r="S54" s="32"/>
      <c r="T54" s="32"/>
      <c r="U54" s="32"/>
      <c r="V54" s="32"/>
      <c r="W54" s="32"/>
      <c r="X54" s="32"/>
      <c r="Y54" s="32"/>
      <c r="Z54" s="32"/>
      <c r="AA54" s="32"/>
      <c r="AB54" s="32"/>
      <c r="AC54" s="32"/>
      <c r="AD54" s="32"/>
      <c r="AE54" s="32"/>
    </row>
    <row r="55" spans="1:31" s="2" customFormat="1" ht="6.95" customHeight="1">
      <c r="A55" s="32"/>
      <c r="B55" s="33"/>
      <c r="C55" s="34"/>
      <c r="D55" s="34"/>
      <c r="E55" s="34"/>
      <c r="F55" s="34"/>
      <c r="G55" s="34"/>
      <c r="H55" s="34"/>
      <c r="I55" s="34"/>
      <c r="J55" s="34"/>
      <c r="K55" s="34"/>
      <c r="L55" s="111"/>
      <c r="S55" s="32"/>
      <c r="T55" s="32"/>
      <c r="U55" s="32"/>
      <c r="V55" s="32"/>
      <c r="W55" s="32"/>
      <c r="X55" s="32"/>
      <c r="Y55" s="32"/>
      <c r="Z55" s="32"/>
      <c r="AA55" s="32"/>
      <c r="AB55" s="32"/>
      <c r="AC55" s="32"/>
      <c r="AD55" s="32"/>
      <c r="AE55" s="32"/>
    </row>
    <row r="56" spans="1:31" s="2" customFormat="1" ht="12" customHeight="1">
      <c r="A56" s="32"/>
      <c r="B56" s="33"/>
      <c r="C56" s="27" t="s">
        <v>21</v>
      </c>
      <c r="D56" s="34"/>
      <c r="E56" s="34"/>
      <c r="F56" s="25" t="str">
        <f>F14</f>
        <v xml:space="preserve"> </v>
      </c>
      <c r="G56" s="34"/>
      <c r="H56" s="34"/>
      <c r="I56" s="27" t="s">
        <v>23</v>
      </c>
      <c r="J56" s="57" t="str">
        <f>IF(J14="","",J14)</f>
        <v>Vyplň údaj</v>
      </c>
      <c r="K56" s="34"/>
      <c r="L56" s="111"/>
      <c r="S56" s="32"/>
      <c r="T56" s="32"/>
      <c r="U56" s="32"/>
      <c r="V56" s="32"/>
      <c r="W56" s="32"/>
      <c r="X56" s="32"/>
      <c r="Y56" s="32"/>
      <c r="Z56" s="32"/>
      <c r="AA56" s="32"/>
      <c r="AB56" s="32"/>
      <c r="AC56" s="32"/>
      <c r="AD56" s="32"/>
      <c r="AE56" s="32"/>
    </row>
    <row r="57" spans="1:31" s="2" customFormat="1" ht="6.95" customHeight="1">
      <c r="A57" s="32"/>
      <c r="B57" s="33"/>
      <c r="C57" s="34"/>
      <c r="D57" s="34"/>
      <c r="E57" s="34"/>
      <c r="F57" s="34"/>
      <c r="G57" s="34"/>
      <c r="H57" s="34"/>
      <c r="I57" s="34"/>
      <c r="J57" s="34"/>
      <c r="K57" s="34"/>
      <c r="L57" s="111"/>
      <c r="S57" s="32"/>
      <c r="T57" s="32"/>
      <c r="U57" s="32"/>
      <c r="V57" s="32"/>
      <c r="W57" s="32"/>
      <c r="X57" s="32"/>
      <c r="Y57" s="32"/>
      <c r="Z57" s="32"/>
      <c r="AA57" s="32"/>
      <c r="AB57" s="32"/>
      <c r="AC57" s="32"/>
      <c r="AD57" s="32"/>
      <c r="AE57" s="32"/>
    </row>
    <row r="58" spans="1:31" s="2" customFormat="1" ht="26.45" customHeight="1">
      <c r="A58" s="32"/>
      <c r="B58" s="33"/>
      <c r="C58" s="27" t="s">
        <v>24</v>
      </c>
      <c r="D58" s="34"/>
      <c r="E58" s="34"/>
      <c r="F58" s="25" t="str">
        <f>E17</f>
        <v xml:space="preserve">Úřad vlády České republiky </v>
      </c>
      <c r="G58" s="34"/>
      <c r="H58" s="34"/>
      <c r="I58" s="27" t="s">
        <v>30</v>
      </c>
      <c r="J58" s="30" t="str">
        <f>E23</f>
        <v>Ateliér Simona Group</v>
      </c>
      <c r="K58" s="34"/>
      <c r="L58" s="111"/>
      <c r="S58" s="32"/>
      <c r="T58" s="32"/>
      <c r="U58" s="32"/>
      <c r="V58" s="32"/>
      <c r="W58" s="32"/>
      <c r="X58" s="32"/>
      <c r="Y58" s="32"/>
      <c r="Z58" s="32"/>
      <c r="AA58" s="32"/>
      <c r="AB58" s="32"/>
      <c r="AC58" s="32"/>
      <c r="AD58" s="32"/>
      <c r="AE58" s="32"/>
    </row>
    <row r="59" spans="1:31" s="2" customFormat="1" ht="26.45" customHeight="1">
      <c r="A59" s="32"/>
      <c r="B59" s="33"/>
      <c r="C59" s="27" t="s">
        <v>28</v>
      </c>
      <c r="D59" s="34"/>
      <c r="E59" s="34"/>
      <c r="F59" s="25" t="str">
        <f>IF(E20="","",E20)</f>
        <v>Vyplň údaj</v>
      </c>
      <c r="G59" s="34"/>
      <c r="H59" s="34"/>
      <c r="I59" s="27" t="s">
        <v>33</v>
      </c>
      <c r="J59" s="30" t="str">
        <f>E26</f>
        <v>Ateliér Simona Group</v>
      </c>
      <c r="K59" s="34"/>
      <c r="L59" s="111"/>
      <c r="S59" s="32"/>
      <c r="T59" s="32"/>
      <c r="U59" s="32"/>
      <c r="V59" s="32"/>
      <c r="W59" s="32"/>
      <c r="X59" s="32"/>
      <c r="Y59" s="32"/>
      <c r="Z59" s="32"/>
      <c r="AA59" s="32"/>
      <c r="AB59" s="32"/>
      <c r="AC59" s="32"/>
      <c r="AD59" s="32"/>
      <c r="AE59" s="32"/>
    </row>
    <row r="60" spans="1:31" s="2" customFormat="1" ht="10.35" customHeight="1">
      <c r="A60" s="32"/>
      <c r="B60" s="33"/>
      <c r="C60" s="34"/>
      <c r="D60" s="34"/>
      <c r="E60" s="34"/>
      <c r="F60" s="34"/>
      <c r="G60" s="34"/>
      <c r="H60" s="34"/>
      <c r="I60" s="34"/>
      <c r="J60" s="34"/>
      <c r="K60" s="34"/>
      <c r="L60" s="111"/>
      <c r="S60" s="32"/>
      <c r="T60" s="32"/>
      <c r="U60" s="32"/>
      <c r="V60" s="32"/>
      <c r="W60" s="32"/>
      <c r="X60" s="32"/>
      <c r="Y60" s="32"/>
      <c r="Z60" s="32"/>
      <c r="AA60" s="32"/>
      <c r="AB60" s="32"/>
      <c r="AC60" s="32"/>
      <c r="AD60" s="32"/>
      <c r="AE60" s="32"/>
    </row>
    <row r="61" spans="1:31" s="2" customFormat="1" ht="29.25" customHeight="1">
      <c r="A61" s="32"/>
      <c r="B61" s="33"/>
      <c r="C61" s="134" t="s">
        <v>148</v>
      </c>
      <c r="D61" s="135"/>
      <c r="E61" s="135"/>
      <c r="F61" s="135"/>
      <c r="G61" s="135"/>
      <c r="H61" s="135"/>
      <c r="I61" s="135"/>
      <c r="J61" s="136" t="s">
        <v>149</v>
      </c>
      <c r="K61" s="135"/>
      <c r="L61" s="111"/>
      <c r="S61" s="32"/>
      <c r="T61" s="32"/>
      <c r="U61" s="32"/>
      <c r="V61" s="32"/>
      <c r="W61" s="32"/>
      <c r="X61" s="32"/>
      <c r="Y61" s="32"/>
      <c r="Z61" s="32"/>
      <c r="AA61" s="32"/>
      <c r="AB61" s="32"/>
      <c r="AC61" s="32"/>
      <c r="AD61" s="32"/>
      <c r="AE61" s="32"/>
    </row>
    <row r="62" spans="1:31" s="2" customFormat="1" ht="10.35" customHeight="1">
      <c r="A62" s="32"/>
      <c r="B62" s="33"/>
      <c r="C62" s="34"/>
      <c r="D62" s="34"/>
      <c r="E62" s="34"/>
      <c r="F62" s="34"/>
      <c r="G62" s="34"/>
      <c r="H62" s="34"/>
      <c r="I62" s="34"/>
      <c r="J62" s="34"/>
      <c r="K62" s="34"/>
      <c r="L62" s="111"/>
      <c r="S62" s="32"/>
      <c r="T62" s="32"/>
      <c r="U62" s="32"/>
      <c r="V62" s="32"/>
      <c r="W62" s="32"/>
      <c r="X62" s="32"/>
      <c r="Y62" s="32"/>
      <c r="Z62" s="32"/>
      <c r="AA62" s="32"/>
      <c r="AB62" s="32"/>
      <c r="AC62" s="32"/>
      <c r="AD62" s="32"/>
      <c r="AE62" s="32"/>
    </row>
    <row r="63" spans="1:47" s="2" customFormat="1" ht="22.9" customHeight="1">
      <c r="A63" s="32"/>
      <c r="B63" s="33"/>
      <c r="C63" s="137" t="s">
        <v>68</v>
      </c>
      <c r="D63" s="34"/>
      <c r="E63" s="34"/>
      <c r="F63" s="34"/>
      <c r="G63" s="34"/>
      <c r="H63" s="34"/>
      <c r="I63" s="34"/>
      <c r="J63" s="75">
        <f>J87</f>
        <v>0</v>
      </c>
      <c r="K63" s="34"/>
      <c r="L63" s="111"/>
      <c r="S63" s="32"/>
      <c r="T63" s="32"/>
      <c r="U63" s="32"/>
      <c r="V63" s="32"/>
      <c r="W63" s="32"/>
      <c r="X63" s="32"/>
      <c r="Y63" s="32"/>
      <c r="Z63" s="32"/>
      <c r="AA63" s="32"/>
      <c r="AB63" s="32"/>
      <c r="AC63" s="32"/>
      <c r="AD63" s="32"/>
      <c r="AE63" s="32"/>
      <c r="AU63" s="15" t="s">
        <v>150</v>
      </c>
    </row>
    <row r="64" spans="2:12" s="9" customFormat="1" ht="24.95" customHeight="1">
      <c r="B64" s="138"/>
      <c r="C64" s="139"/>
      <c r="D64" s="140" t="s">
        <v>1431</v>
      </c>
      <c r="E64" s="141"/>
      <c r="F64" s="141"/>
      <c r="G64" s="141"/>
      <c r="H64" s="141"/>
      <c r="I64" s="141"/>
      <c r="J64" s="142">
        <f>J88</f>
        <v>0</v>
      </c>
      <c r="K64" s="139"/>
      <c r="L64" s="143"/>
    </row>
    <row r="65" spans="2:12" s="10" customFormat="1" ht="19.9" customHeight="1">
      <c r="B65" s="144"/>
      <c r="C65" s="95"/>
      <c r="D65" s="145" t="s">
        <v>1440</v>
      </c>
      <c r="E65" s="146"/>
      <c r="F65" s="146"/>
      <c r="G65" s="146"/>
      <c r="H65" s="146"/>
      <c r="I65" s="146"/>
      <c r="J65" s="147">
        <f>J89</f>
        <v>0</v>
      </c>
      <c r="K65" s="95"/>
      <c r="L65" s="148"/>
    </row>
    <row r="66" spans="1:31" s="2" customFormat="1" ht="21.75" customHeight="1">
      <c r="A66" s="32"/>
      <c r="B66" s="33"/>
      <c r="C66" s="34"/>
      <c r="D66" s="34"/>
      <c r="E66" s="34"/>
      <c r="F66" s="34"/>
      <c r="G66" s="34"/>
      <c r="H66" s="34"/>
      <c r="I66" s="34"/>
      <c r="J66" s="34"/>
      <c r="K66" s="34"/>
      <c r="L66" s="111"/>
      <c r="S66" s="32"/>
      <c r="T66" s="32"/>
      <c r="U66" s="32"/>
      <c r="V66" s="32"/>
      <c r="W66" s="32"/>
      <c r="X66" s="32"/>
      <c r="Y66" s="32"/>
      <c r="Z66" s="32"/>
      <c r="AA66" s="32"/>
      <c r="AB66" s="32"/>
      <c r="AC66" s="32"/>
      <c r="AD66" s="32"/>
      <c r="AE66" s="32"/>
    </row>
    <row r="67" spans="1:31" s="2" customFormat="1" ht="6.95" customHeight="1">
      <c r="A67" s="32"/>
      <c r="B67" s="45"/>
      <c r="C67" s="46"/>
      <c r="D67" s="46"/>
      <c r="E67" s="46"/>
      <c r="F67" s="46"/>
      <c r="G67" s="46"/>
      <c r="H67" s="46"/>
      <c r="I67" s="46"/>
      <c r="J67" s="46"/>
      <c r="K67" s="46"/>
      <c r="L67" s="111"/>
      <c r="S67" s="32"/>
      <c r="T67" s="32"/>
      <c r="U67" s="32"/>
      <c r="V67" s="32"/>
      <c r="W67" s="32"/>
      <c r="X67" s="32"/>
      <c r="Y67" s="32"/>
      <c r="Z67" s="32"/>
      <c r="AA67" s="32"/>
      <c r="AB67" s="32"/>
      <c r="AC67" s="32"/>
      <c r="AD67" s="32"/>
      <c r="AE67" s="32"/>
    </row>
    <row r="71" spans="1:31" s="2" customFormat="1" ht="6.95" customHeight="1">
      <c r="A71" s="32"/>
      <c r="B71" s="47"/>
      <c r="C71" s="48"/>
      <c r="D71" s="48"/>
      <c r="E71" s="48"/>
      <c r="F71" s="48"/>
      <c r="G71" s="48"/>
      <c r="H71" s="48"/>
      <c r="I71" s="48"/>
      <c r="J71" s="48"/>
      <c r="K71" s="48"/>
      <c r="L71" s="111"/>
      <c r="S71" s="32"/>
      <c r="T71" s="32"/>
      <c r="U71" s="32"/>
      <c r="V71" s="32"/>
      <c r="W71" s="32"/>
      <c r="X71" s="32"/>
      <c r="Y71" s="32"/>
      <c r="Z71" s="32"/>
      <c r="AA71" s="32"/>
      <c r="AB71" s="32"/>
      <c r="AC71" s="32"/>
      <c r="AD71" s="32"/>
      <c r="AE71" s="32"/>
    </row>
    <row r="72" spans="1:31" s="2" customFormat="1" ht="24.95" customHeight="1">
      <c r="A72" s="32"/>
      <c r="B72" s="33"/>
      <c r="C72" s="21" t="s">
        <v>181</v>
      </c>
      <c r="D72" s="34"/>
      <c r="E72" s="34"/>
      <c r="F72" s="34"/>
      <c r="G72" s="34"/>
      <c r="H72" s="34"/>
      <c r="I72" s="34"/>
      <c r="J72" s="34"/>
      <c r="K72" s="34"/>
      <c r="L72" s="111"/>
      <c r="S72" s="32"/>
      <c r="T72" s="32"/>
      <c r="U72" s="32"/>
      <c r="V72" s="32"/>
      <c r="W72" s="32"/>
      <c r="X72" s="32"/>
      <c r="Y72" s="32"/>
      <c r="Z72" s="32"/>
      <c r="AA72" s="32"/>
      <c r="AB72" s="32"/>
      <c r="AC72" s="32"/>
      <c r="AD72" s="32"/>
      <c r="AE72" s="32"/>
    </row>
    <row r="73" spans="1:31" s="2" customFormat="1" ht="6.95" customHeight="1">
      <c r="A73" s="32"/>
      <c r="B73" s="33"/>
      <c r="C73" s="34"/>
      <c r="D73" s="34"/>
      <c r="E73" s="34"/>
      <c r="F73" s="34"/>
      <c r="G73" s="34"/>
      <c r="H73" s="34"/>
      <c r="I73" s="34"/>
      <c r="J73" s="34"/>
      <c r="K73" s="34"/>
      <c r="L73" s="111"/>
      <c r="S73" s="32"/>
      <c r="T73" s="32"/>
      <c r="U73" s="32"/>
      <c r="V73" s="32"/>
      <c r="W73" s="32"/>
      <c r="X73" s="32"/>
      <c r="Y73" s="32"/>
      <c r="Z73" s="32"/>
      <c r="AA73" s="32"/>
      <c r="AB73" s="32"/>
      <c r="AC73" s="32"/>
      <c r="AD73" s="32"/>
      <c r="AE73" s="32"/>
    </row>
    <row r="74" spans="1:31" s="2" customFormat="1" ht="12" customHeight="1">
      <c r="A74" s="32"/>
      <c r="B74" s="33"/>
      <c r="C74" s="27" t="s">
        <v>16</v>
      </c>
      <c r="D74" s="34"/>
      <c r="E74" s="34"/>
      <c r="F74" s="34"/>
      <c r="G74" s="34"/>
      <c r="H74" s="34"/>
      <c r="I74" s="34"/>
      <c r="J74" s="34"/>
      <c r="K74" s="34"/>
      <c r="L74" s="111"/>
      <c r="S74" s="32"/>
      <c r="T74" s="32"/>
      <c r="U74" s="32"/>
      <c r="V74" s="32"/>
      <c r="W74" s="32"/>
      <c r="X74" s="32"/>
      <c r="Y74" s="32"/>
      <c r="Z74" s="32"/>
      <c r="AA74" s="32"/>
      <c r="AB74" s="32"/>
      <c r="AC74" s="32"/>
      <c r="AD74" s="32"/>
      <c r="AE74" s="32"/>
    </row>
    <row r="75" spans="1:31" s="2" customFormat="1" ht="14.45" customHeight="1">
      <c r="A75" s="32"/>
      <c r="B75" s="33"/>
      <c r="C75" s="34"/>
      <c r="D75" s="34"/>
      <c r="E75" s="700" t="str">
        <f>E7</f>
        <v>Úpravy gastroprovozu Úřadu vlády ČR v 1.pp Strakovy akademie</v>
      </c>
      <c r="F75" s="701"/>
      <c r="G75" s="701"/>
      <c r="H75" s="701"/>
      <c r="I75" s="34"/>
      <c r="J75" s="34"/>
      <c r="K75" s="34"/>
      <c r="L75" s="111"/>
      <c r="S75" s="32"/>
      <c r="T75" s="32"/>
      <c r="U75" s="32"/>
      <c r="V75" s="32"/>
      <c r="W75" s="32"/>
      <c r="X75" s="32"/>
      <c r="Y75" s="32"/>
      <c r="Z75" s="32"/>
      <c r="AA75" s="32"/>
      <c r="AB75" s="32"/>
      <c r="AC75" s="32"/>
      <c r="AD75" s="32"/>
      <c r="AE75" s="32"/>
    </row>
    <row r="76" spans="2:12" s="1" customFormat="1" ht="12" customHeight="1">
      <c r="B76" s="19"/>
      <c r="C76" s="27" t="s">
        <v>142</v>
      </c>
      <c r="D76" s="20"/>
      <c r="E76" s="20"/>
      <c r="F76" s="20"/>
      <c r="G76" s="20"/>
      <c r="H76" s="20"/>
      <c r="I76" s="20"/>
      <c r="J76" s="20"/>
      <c r="K76" s="20"/>
      <c r="L76" s="18"/>
    </row>
    <row r="77" spans="1:31" s="2" customFormat="1" ht="14.45" customHeight="1">
      <c r="A77" s="32"/>
      <c r="B77" s="33"/>
      <c r="C77" s="34"/>
      <c r="D77" s="34"/>
      <c r="E77" s="700" t="s">
        <v>1429</v>
      </c>
      <c r="F77" s="699"/>
      <c r="G77" s="699"/>
      <c r="H77" s="699"/>
      <c r="I77" s="34"/>
      <c r="J77" s="34"/>
      <c r="K77" s="34"/>
      <c r="L77" s="111"/>
      <c r="S77" s="32"/>
      <c r="T77" s="32"/>
      <c r="U77" s="32"/>
      <c r="V77" s="32"/>
      <c r="W77" s="32"/>
      <c r="X77" s="32"/>
      <c r="Y77" s="32"/>
      <c r="Z77" s="32"/>
      <c r="AA77" s="32"/>
      <c r="AB77" s="32"/>
      <c r="AC77" s="32"/>
      <c r="AD77" s="32"/>
      <c r="AE77" s="32"/>
    </row>
    <row r="78" spans="1:31" s="2" customFormat="1" ht="12" customHeight="1">
      <c r="A78" s="32"/>
      <c r="B78" s="33"/>
      <c r="C78" s="27" t="s">
        <v>144</v>
      </c>
      <c r="D78" s="34"/>
      <c r="E78" s="34"/>
      <c r="F78" s="34"/>
      <c r="G78" s="34"/>
      <c r="H78" s="34"/>
      <c r="I78" s="34"/>
      <c r="J78" s="34"/>
      <c r="K78" s="34"/>
      <c r="L78" s="111"/>
      <c r="S78" s="32"/>
      <c r="T78" s="32"/>
      <c r="U78" s="32"/>
      <c r="V78" s="32"/>
      <c r="W78" s="32"/>
      <c r="X78" s="32"/>
      <c r="Y78" s="32"/>
      <c r="Z78" s="32"/>
      <c r="AA78" s="32"/>
      <c r="AB78" s="32"/>
      <c r="AC78" s="32"/>
      <c r="AD78" s="32"/>
      <c r="AE78" s="32"/>
    </row>
    <row r="79" spans="1:31" s="2" customFormat="1" ht="14.45" customHeight="1">
      <c r="A79" s="32"/>
      <c r="B79" s="33"/>
      <c r="C79" s="34"/>
      <c r="D79" s="34"/>
      <c r="E79" s="696" t="str">
        <f>E11</f>
        <v>D.1.4.02 - Soupis prací - Vytápění</v>
      </c>
      <c r="F79" s="699"/>
      <c r="G79" s="699"/>
      <c r="H79" s="699"/>
      <c r="I79" s="34"/>
      <c r="J79" s="34"/>
      <c r="K79" s="34"/>
      <c r="L79" s="111"/>
      <c r="S79" s="32"/>
      <c r="T79" s="32"/>
      <c r="U79" s="32"/>
      <c r="V79" s="32"/>
      <c r="W79" s="32"/>
      <c r="X79" s="32"/>
      <c r="Y79" s="32"/>
      <c r="Z79" s="32"/>
      <c r="AA79" s="32"/>
      <c r="AB79" s="32"/>
      <c r="AC79" s="32"/>
      <c r="AD79" s="32"/>
      <c r="AE79" s="32"/>
    </row>
    <row r="80" spans="1:31" s="2" customFormat="1" ht="6.95" customHeight="1">
      <c r="A80" s="32"/>
      <c r="B80" s="33"/>
      <c r="C80" s="34"/>
      <c r="D80" s="34"/>
      <c r="E80" s="34"/>
      <c r="F80" s="34"/>
      <c r="G80" s="34"/>
      <c r="H80" s="34"/>
      <c r="I80" s="34"/>
      <c r="J80" s="34"/>
      <c r="K80" s="34"/>
      <c r="L80" s="111"/>
      <c r="S80" s="32"/>
      <c r="T80" s="32"/>
      <c r="U80" s="32"/>
      <c r="V80" s="32"/>
      <c r="W80" s="32"/>
      <c r="X80" s="32"/>
      <c r="Y80" s="32"/>
      <c r="Z80" s="32"/>
      <c r="AA80" s="32"/>
      <c r="AB80" s="32"/>
      <c r="AC80" s="32"/>
      <c r="AD80" s="32"/>
      <c r="AE80" s="32"/>
    </row>
    <row r="81" spans="1:31" s="2" customFormat="1" ht="12" customHeight="1">
      <c r="A81" s="32"/>
      <c r="B81" s="33"/>
      <c r="C81" s="27" t="s">
        <v>21</v>
      </c>
      <c r="D81" s="34"/>
      <c r="E81" s="34"/>
      <c r="F81" s="25" t="str">
        <f>F14</f>
        <v xml:space="preserve"> </v>
      </c>
      <c r="G81" s="34"/>
      <c r="H81" s="34"/>
      <c r="I81" s="27" t="s">
        <v>23</v>
      </c>
      <c r="J81" s="57" t="str">
        <f>IF(J14="","",J14)</f>
        <v>Vyplň údaj</v>
      </c>
      <c r="K81" s="34"/>
      <c r="L81" s="111"/>
      <c r="S81" s="32"/>
      <c r="T81" s="32"/>
      <c r="U81" s="32"/>
      <c r="V81" s="32"/>
      <c r="W81" s="32"/>
      <c r="X81" s="32"/>
      <c r="Y81" s="32"/>
      <c r="Z81" s="32"/>
      <c r="AA81" s="32"/>
      <c r="AB81" s="32"/>
      <c r="AC81" s="32"/>
      <c r="AD81" s="32"/>
      <c r="AE81" s="32"/>
    </row>
    <row r="82" spans="1:31" s="2" customFormat="1" ht="6.95" customHeight="1">
      <c r="A82" s="32"/>
      <c r="B82" s="33"/>
      <c r="C82" s="34"/>
      <c r="D82" s="34"/>
      <c r="E82" s="34"/>
      <c r="F82" s="34"/>
      <c r="G82" s="34"/>
      <c r="H82" s="34"/>
      <c r="I82" s="34"/>
      <c r="J82" s="34"/>
      <c r="K82" s="34"/>
      <c r="L82" s="111"/>
      <c r="S82" s="32"/>
      <c r="T82" s="32"/>
      <c r="U82" s="32"/>
      <c r="V82" s="32"/>
      <c r="W82" s="32"/>
      <c r="X82" s="32"/>
      <c r="Y82" s="32"/>
      <c r="Z82" s="32"/>
      <c r="AA82" s="32"/>
      <c r="AB82" s="32"/>
      <c r="AC82" s="32"/>
      <c r="AD82" s="32"/>
      <c r="AE82" s="32"/>
    </row>
    <row r="83" spans="1:31" s="2" customFormat="1" ht="26.45" customHeight="1">
      <c r="A83" s="32"/>
      <c r="B83" s="33"/>
      <c r="C83" s="27" t="s">
        <v>24</v>
      </c>
      <c r="D83" s="34"/>
      <c r="E83" s="34"/>
      <c r="F83" s="25" t="str">
        <f>E17</f>
        <v xml:space="preserve">Úřad vlády České republiky </v>
      </c>
      <c r="G83" s="34"/>
      <c r="H83" s="34"/>
      <c r="I83" s="27" t="s">
        <v>30</v>
      </c>
      <c r="J83" s="30" t="str">
        <f>E23</f>
        <v>Ateliér Simona Group</v>
      </c>
      <c r="K83" s="34"/>
      <c r="L83" s="111"/>
      <c r="S83" s="32"/>
      <c r="T83" s="32"/>
      <c r="U83" s="32"/>
      <c r="V83" s="32"/>
      <c r="W83" s="32"/>
      <c r="X83" s="32"/>
      <c r="Y83" s="32"/>
      <c r="Z83" s="32"/>
      <c r="AA83" s="32"/>
      <c r="AB83" s="32"/>
      <c r="AC83" s="32"/>
      <c r="AD83" s="32"/>
      <c r="AE83" s="32"/>
    </row>
    <row r="84" spans="1:31" s="2" customFormat="1" ht="26.45" customHeight="1">
      <c r="A84" s="32"/>
      <c r="B84" s="33"/>
      <c r="C84" s="27" t="s">
        <v>28</v>
      </c>
      <c r="D84" s="34"/>
      <c r="E84" s="34"/>
      <c r="F84" s="25" t="str">
        <f>IF(E20="","",E20)</f>
        <v>Vyplň údaj</v>
      </c>
      <c r="G84" s="34"/>
      <c r="H84" s="34"/>
      <c r="I84" s="27" t="s">
        <v>33</v>
      </c>
      <c r="J84" s="30" t="str">
        <f>E26</f>
        <v>Ateliér Simona Group</v>
      </c>
      <c r="K84" s="34"/>
      <c r="L84" s="111"/>
      <c r="S84" s="32"/>
      <c r="T84" s="32"/>
      <c r="U84" s="32"/>
      <c r="V84" s="32"/>
      <c r="W84" s="32"/>
      <c r="X84" s="32"/>
      <c r="Y84" s="32"/>
      <c r="Z84" s="32"/>
      <c r="AA84" s="32"/>
      <c r="AB84" s="32"/>
      <c r="AC84" s="32"/>
      <c r="AD84" s="32"/>
      <c r="AE84" s="32"/>
    </row>
    <row r="85" spans="1:31" s="2" customFormat="1" ht="10.35" customHeight="1">
      <c r="A85" s="32"/>
      <c r="B85" s="33"/>
      <c r="C85" s="34"/>
      <c r="D85" s="34"/>
      <c r="E85" s="34"/>
      <c r="F85" s="34"/>
      <c r="G85" s="34"/>
      <c r="H85" s="34"/>
      <c r="I85" s="34"/>
      <c r="J85" s="34"/>
      <c r="K85" s="34"/>
      <c r="L85" s="111"/>
      <c r="S85" s="32"/>
      <c r="T85" s="32"/>
      <c r="U85" s="32"/>
      <c r="V85" s="32"/>
      <c r="W85" s="32"/>
      <c r="X85" s="32"/>
      <c r="Y85" s="32"/>
      <c r="Z85" s="32"/>
      <c r="AA85" s="32"/>
      <c r="AB85" s="32"/>
      <c r="AC85" s="32"/>
      <c r="AD85" s="32"/>
      <c r="AE85" s="32"/>
    </row>
    <row r="86" spans="1:31" s="11" customFormat="1" ht="29.25" customHeight="1">
      <c r="A86" s="149"/>
      <c r="B86" s="150"/>
      <c r="C86" s="151" t="s">
        <v>182</v>
      </c>
      <c r="D86" s="152" t="s">
        <v>55</v>
      </c>
      <c r="E86" s="152" t="s">
        <v>51</v>
      </c>
      <c r="F86" s="152" t="s">
        <v>52</v>
      </c>
      <c r="G86" s="152" t="s">
        <v>183</v>
      </c>
      <c r="H86" s="152" t="s">
        <v>184</v>
      </c>
      <c r="I86" s="152" t="s">
        <v>185</v>
      </c>
      <c r="J86" s="152" t="s">
        <v>149</v>
      </c>
      <c r="K86" s="153" t="s">
        <v>186</v>
      </c>
      <c r="L86" s="154"/>
      <c r="M86" s="66" t="s">
        <v>19</v>
      </c>
      <c r="N86" s="67" t="s">
        <v>40</v>
      </c>
      <c r="O86" s="67" t="s">
        <v>187</v>
      </c>
      <c r="P86" s="67" t="s">
        <v>188</v>
      </c>
      <c r="Q86" s="67" t="s">
        <v>189</v>
      </c>
      <c r="R86" s="67" t="s">
        <v>190</v>
      </c>
      <c r="S86" s="67" t="s">
        <v>191</v>
      </c>
      <c r="T86" s="68" t="s">
        <v>192</v>
      </c>
      <c r="U86" s="149"/>
      <c r="V86" s="149"/>
      <c r="W86" s="149"/>
      <c r="X86" s="149"/>
      <c r="Y86" s="149"/>
      <c r="Z86" s="149"/>
      <c r="AA86" s="149"/>
      <c r="AB86" s="149"/>
      <c r="AC86" s="149"/>
      <c r="AD86" s="149"/>
      <c r="AE86" s="149"/>
    </row>
    <row r="87" spans="1:63" s="2" customFormat="1" ht="22.9" customHeight="1">
      <c r="A87" s="32"/>
      <c r="B87" s="33"/>
      <c r="C87" s="73" t="s">
        <v>193</v>
      </c>
      <c r="D87" s="34"/>
      <c r="E87" s="34"/>
      <c r="F87" s="34"/>
      <c r="G87" s="34"/>
      <c r="H87" s="34"/>
      <c r="I87" s="34"/>
      <c r="J87" s="155">
        <f>BK87</f>
        <v>0</v>
      </c>
      <c r="K87" s="34"/>
      <c r="L87" s="37"/>
      <c r="M87" s="69"/>
      <c r="N87" s="156"/>
      <c r="O87" s="70"/>
      <c r="P87" s="157">
        <f>P88</f>
        <v>0</v>
      </c>
      <c r="Q87" s="70"/>
      <c r="R87" s="157">
        <f>R88</f>
        <v>0</v>
      </c>
      <c r="S87" s="70"/>
      <c r="T87" s="158">
        <f>T88</f>
        <v>0</v>
      </c>
      <c r="U87" s="32"/>
      <c r="V87" s="32"/>
      <c r="W87" s="32"/>
      <c r="X87" s="32"/>
      <c r="Y87" s="32"/>
      <c r="Z87" s="32"/>
      <c r="AA87" s="32"/>
      <c r="AB87" s="32"/>
      <c r="AC87" s="32"/>
      <c r="AD87" s="32"/>
      <c r="AE87" s="32"/>
      <c r="AT87" s="15" t="s">
        <v>69</v>
      </c>
      <c r="AU87" s="15" t="s">
        <v>150</v>
      </c>
      <c r="BK87" s="159">
        <f>BK88</f>
        <v>0</v>
      </c>
    </row>
    <row r="88" spans="2:63" s="12" customFormat="1" ht="25.9" customHeight="1">
      <c r="B88" s="160"/>
      <c r="C88" s="161"/>
      <c r="D88" s="162" t="s">
        <v>69</v>
      </c>
      <c r="E88" s="163" t="s">
        <v>694</v>
      </c>
      <c r="F88" s="163" t="s">
        <v>694</v>
      </c>
      <c r="G88" s="161"/>
      <c r="H88" s="161"/>
      <c r="I88" s="164"/>
      <c r="J88" s="165">
        <f>BK88</f>
        <v>0</v>
      </c>
      <c r="K88" s="161"/>
      <c r="L88" s="166"/>
      <c r="M88" s="167"/>
      <c r="N88" s="168"/>
      <c r="O88" s="168"/>
      <c r="P88" s="169">
        <f>P89</f>
        <v>0</v>
      </c>
      <c r="Q88" s="168"/>
      <c r="R88" s="169">
        <f>R89</f>
        <v>0</v>
      </c>
      <c r="S88" s="168"/>
      <c r="T88" s="170">
        <f>T89</f>
        <v>0</v>
      </c>
      <c r="AR88" s="171" t="s">
        <v>79</v>
      </c>
      <c r="AT88" s="172" t="s">
        <v>69</v>
      </c>
      <c r="AU88" s="172" t="s">
        <v>70</v>
      </c>
      <c r="AY88" s="171" t="s">
        <v>196</v>
      </c>
      <c r="BK88" s="173">
        <f>BK89</f>
        <v>0</v>
      </c>
    </row>
    <row r="89" spans="2:63" s="12" customFormat="1" ht="22.9" customHeight="1">
      <c r="B89" s="160"/>
      <c r="C89" s="161"/>
      <c r="D89" s="162" t="s">
        <v>69</v>
      </c>
      <c r="E89" s="174" t="s">
        <v>1441</v>
      </c>
      <c r="F89" s="174" t="s">
        <v>1442</v>
      </c>
      <c r="G89" s="161"/>
      <c r="H89" s="161"/>
      <c r="I89" s="164"/>
      <c r="J89" s="175">
        <f>BK89</f>
        <v>0</v>
      </c>
      <c r="K89" s="161"/>
      <c r="L89" s="166"/>
      <c r="M89" s="167"/>
      <c r="N89" s="168"/>
      <c r="O89" s="168"/>
      <c r="P89" s="169">
        <f>P90</f>
        <v>0</v>
      </c>
      <c r="Q89" s="168"/>
      <c r="R89" s="169">
        <f>R90</f>
        <v>0</v>
      </c>
      <c r="S89" s="168"/>
      <c r="T89" s="170">
        <f>T90</f>
        <v>0</v>
      </c>
      <c r="AR89" s="171" t="s">
        <v>79</v>
      </c>
      <c r="AT89" s="172" t="s">
        <v>69</v>
      </c>
      <c r="AU89" s="172" t="s">
        <v>77</v>
      </c>
      <c r="AY89" s="171" t="s">
        <v>196</v>
      </c>
      <c r="BK89" s="173">
        <f>BK90</f>
        <v>0</v>
      </c>
    </row>
    <row r="90" spans="1:65" s="2" customFormat="1" ht="13.9" customHeight="1">
      <c r="A90" s="32"/>
      <c r="B90" s="33"/>
      <c r="C90" s="176" t="s">
        <v>77</v>
      </c>
      <c r="D90" s="176" t="s">
        <v>198</v>
      </c>
      <c r="E90" s="177" t="s">
        <v>1443</v>
      </c>
      <c r="F90" s="178" t="s">
        <v>1444</v>
      </c>
      <c r="G90" s="179" t="s">
        <v>1437</v>
      </c>
      <c r="H90" s="180">
        <v>1</v>
      </c>
      <c r="I90" s="181">
        <f>UT!J25</f>
        <v>0</v>
      </c>
      <c r="J90" s="182">
        <f>ROUND(I90*H90,2)</f>
        <v>0</v>
      </c>
      <c r="K90" s="178" t="s">
        <v>19</v>
      </c>
      <c r="L90" s="37"/>
      <c r="M90" s="204" t="s">
        <v>19</v>
      </c>
      <c r="N90" s="205" t="s">
        <v>41</v>
      </c>
      <c r="O90" s="206"/>
      <c r="P90" s="207">
        <f>O90*H90</f>
        <v>0</v>
      </c>
      <c r="Q90" s="207">
        <v>0</v>
      </c>
      <c r="R90" s="207">
        <f>Q90*H90</f>
        <v>0</v>
      </c>
      <c r="S90" s="207">
        <v>0</v>
      </c>
      <c r="T90" s="208">
        <f>S90*H90</f>
        <v>0</v>
      </c>
      <c r="U90" s="32"/>
      <c r="V90" s="32"/>
      <c r="W90" s="32"/>
      <c r="X90" s="32"/>
      <c r="Y90" s="32"/>
      <c r="Z90" s="32"/>
      <c r="AA90" s="32"/>
      <c r="AB90" s="32"/>
      <c r="AC90" s="32"/>
      <c r="AD90" s="32"/>
      <c r="AE90" s="32"/>
      <c r="AR90" s="187" t="s">
        <v>270</v>
      </c>
      <c r="AT90" s="187" t="s">
        <v>198</v>
      </c>
      <c r="AU90" s="187" t="s">
        <v>79</v>
      </c>
      <c r="AY90" s="15" t="s">
        <v>196</v>
      </c>
      <c r="BE90" s="188">
        <f>IF(N90="základní",J90,0)</f>
        <v>0</v>
      </c>
      <c r="BF90" s="188">
        <f>IF(N90="snížená",J90,0)</f>
        <v>0</v>
      </c>
      <c r="BG90" s="188">
        <f>IF(N90="zákl. přenesená",J90,0)</f>
        <v>0</v>
      </c>
      <c r="BH90" s="188">
        <f>IF(N90="sníž. přenesená",J90,0)</f>
        <v>0</v>
      </c>
      <c r="BI90" s="188">
        <f>IF(N90="nulová",J90,0)</f>
        <v>0</v>
      </c>
      <c r="BJ90" s="15" t="s">
        <v>77</v>
      </c>
      <c r="BK90" s="188">
        <f>ROUND(I90*H90,2)</f>
        <v>0</v>
      </c>
      <c r="BL90" s="15" t="s">
        <v>270</v>
      </c>
      <c r="BM90" s="187" t="s">
        <v>1445</v>
      </c>
    </row>
    <row r="91" spans="1:31" s="2" customFormat="1" ht="6.95" customHeight="1">
      <c r="A91" s="32"/>
      <c r="B91" s="45"/>
      <c r="C91" s="46"/>
      <c r="D91" s="46"/>
      <c r="E91" s="46"/>
      <c r="F91" s="46"/>
      <c r="G91" s="46"/>
      <c r="H91" s="46"/>
      <c r="I91" s="46"/>
      <c r="J91" s="46"/>
      <c r="K91" s="46"/>
      <c r="L91" s="37"/>
      <c r="M91" s="32"/>
      <c r="O91" s="32"/>
      <c r="P91" s="32"/>
      <c r="Q91" s="32"/>
      <c r="R91" s="32"/>
      <c r="S91" s="32"/>
      <c r="T91" s="32"/>
      <c r="U91" s="32"/>
      <c r="V91" s="32"/>
      <c r="W91" s="32"/>
      <c r="X91" s="32"/>
      <c r="Y91" s="32"/>
      <c r="Z91" s="32"/>
      <c r="AA91" s="32"/>
      <c r="AB91" s="32"/>
      <c r="AC91" s="32"/>
      <c r="AD91" s="32"/>
      <c r="AE91" s="32"/>
    </row>
  </sheetData>
  <sheetProtection algorithmName="SHA-512" hashValue="voGLqZO14utpoWP+vMcCvipAmShDPd3YMZh7t2Gb4wSyVqvto/AmzrnHpruSSuHQN82EEdo3lQ+fvXhXnlDz9Q==" saltValue="Ez9bCqoTT/VVPpl96gkmC1T8/4AutWqiV8Q3L59fSySWPocohKNIJf/KklRq2f3fTS3eJfDcyTc0WsfWNhzlFw==" spinCount="100000" sheet="1" objects="1" scenarios="1" formatColumns="0" formatRows="0" autoFilter="0"/>
  <autoFilter ref="C86:K90"/>
  <mergeCells count="12">
    <mergeCell ref="E79:H79"/>
    <mergeCell ref="L2:V2"/>
    <mergeCell ref="E50:H50"/>
    <mergeCell ref="E52:H52"/>
    <mergeCell ref="E54:H54"/>
    <mergeCell ref="E75:H75"/>
    <mergeCell ref="E77:H7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6ADBE-073F-4A23-8139-DA4DDB72E129}">
  <sheetPr>
    <tabColor rgb="FFFF0000"/>
    <pageSetUpPr fitToPage="1"/>
  </sheetPr>
  <dimension ref="A1:BG90"/>
  <sheetViews>
    <sheetView workbookViewId="0" topLeftCell="A1">
      <pane ySplit="11" topLeftCell="A12" activePane="bottomLeft" state="frozen"/>
      <selection pane="topLeft" activeCell="A1" sqref="A1:J1"/>
      <selection pane="bottomLeft" activeCell="K14" sqref="K14"/>
    </sheetView>
  </sheetViews>
  <sheetFormatPr defaultColWidth="13.57421875" defaultRowHeight="12"/>
  <cols>
    <col min="1" max="1" width="4.28125" style="290" customWidth="1"/>
    <col min="2" max="2" width="8.8515625" style="290" customWidth="1"/>
    <col min="3" max="3" width="16.7109375" style="290" customWidth="1"/>
    <col min="4" max="4" width="48.421875" style="290" customWidth="1"/>
    <col min="5" max="5" width="5.00390625" style="290" customWidth="1"/>
    <col min="6" max="6" width="15.00390625" style="290" customWidth="1"/>
    <col min="7" max="7" width="14.00390625" style="290" customWidth="1"/>
    <col min="8" max="10" width="16.7109375" style="290" customWidth="1"/>
    <col min="11" max="21" width="13.421875" style="290" customWidth="1"/>
    <col min="22" max="59" width="14.140625" style="290" hidden="1" customWidth="1"/>
    <col min="60" max="16384" width="13.421875" style="290" customWidth="1"/>
  </cols>
  <sheetData>
    <row r="1" spans="1:10" ht="72.95" customHeight="1">
      <c r="A1" s="714" t="s">
        <v>1976</v>
      </c>
      <c r="B1" s="715"/>
      <c r="C1" s="715"/>
      <c r="D1" s="715"/>
      <c r="E1" s="715"/>
      <c r="F1" s="715"/>
      <c r="G1" s="715"/>
      <c r="H1" s="715"/>
      <c r="I1" s="715"/>
      <c r="J1" s="715"/>
    </row>
    <row r="2" spans="1:11" ht="12">
      <c r="A2" s="716" t="s">
        <v>1975</v>
      </c>
      <c r="B2" s="717"/>
      <c r="C2" s="717"/>
      <c r="D2" s="718" t="s">
        <v>1974</v>
      </c>
      <c r="E2" s="732"/>
      <c r="F2" s="720" t="s">
        <v>1973</v>
      </c>
      <c r="G2" s="717"/>
      <c r="H2" s="720" t="s">
        <v>146</v>
      </c>
      <c r="I2" s="721" t="s">
        <v>1972</v>
      </c>
      <c r="J2" s="721" t="s">
        <v>2017</v>
      </c>
      <c r="K2" s="321"/>
    </row>
    <row r="3" spans="1:11" ht="12">
      <c r="A3" s="711"/>
      <c r="B3" s="710"/>
      <c r="C3" s="710"/>
      <c r="D3" s="719"/>
      <c r="E3" s="719"/>
      <c r="F3" s="710"/>
      <c r="G3" s="710"/>
      <c r="H3" s="710"/>
      <c r="I3" s="710"/>
      <c r="J3" s="710"/>
      <c r="K3" s="321"/>
    </row>
    <row r="4" spans="1:11" ht="12">
      <c r="A4" s="709" t="s">
        <v>1970</v>
      </c>
      <c r="B4" s="710"/>
      <c r="C4" s="710"/>
      <c r="D4" s="712" t="s">
        <v>2016</v>
      </c>
      <c r="E4" s="710"/>
      <c r="F4" s="713" t="s">
        <v>1968</v>
      </c>
      <c r="G4" s="710"/>
      <c r="H4" s="713" t="s">
        <v>1963</v>
      </c>
      <c r="I4" s="712" t="s">
        <v>30</v>
      </c>
      <c r="J4" s="712" t="s">
        <v>1957</v>
      </c>
      <c r="K4" s="321"/>
    </row>
    <row r="5" spans="1:11" ht="12">
      <c r="A5" s="711"/>
      <c r="B5" s="710"/>
      <c r="C5" s="710"/>
      <c r="D5" s="710"/>
      <c r="E5" s="710"/>
      <c r="F5" s="710"/>
      <c r="G5" s="710"/>
      <c r="H5" s="710"/>
      <c r="I5" s="710"/>
      <c r="J5" s="710"/>
      <c r="K5" s="321"/>
    </row>
    <row r="6" spans="1:11" ht="12">
      <c r="A6" s="709" t="s">
        <v>1966</v>
      </c>
      <c r="B6" s="710"/>
      <c r="C6" s="710"/>
      <c r="D6" s="712" t="s">
        <v>1965</v>
      </c>
      <c r="E6" s="710"/>
      <c r="F6" s="713" t="s">
        <v>1964</v>
      </c>
      <c r="G6" s="710"/>
      <c r="H6" s="713" t="s">
        <v>1963</v>
      </c>
      <c r="I6" s="712" t="s">
        <v>1962</v>
      </c>
      <c r="J6" s="728">
        <v>0</v>
      </c>
      <c r="K6" s="321"/>
    </row>
    <row r="7" spans="1:11" ht="12">
      <c r="A7" s="711"/>
      <c r="B7" s="710"/>
      <c r="C7" s="710"/>
      <c r="D7" s="710"/>
      <c r="E7" s="710"/>
      <c r="F7" s="710"/>
      <c r="G7" s="710"/>
      <c r="H7" s="710"/>
      <c r="I7" s="710"/>
      <c r="J7" s="710"/>
      <c r="K7" s="321"/>
    </row>
    <row r="8" spans="1:11" ht="12">
      <c r="A8" s="709" t="s">
        <v>1961</v>
      </c>
      <c r="B8" s="710"/>
      <c r="C8" s="710"/>
      <c r="D8" s="728">
        <v>0</v>
      </c>
      <c r="E8" s="710"/>
      <c r="F8" s="713" t="s">
        <v>1960</v>
      </c>
      <c r="G8" s="710"/>
      <c r="H8" s="713" t="s">
        <v>1959</v>
      </c>
      <c r="I8" s="712" t="s">
        <v>1958</v>
      </c>
      <c r="J8" s="712" t="s">
        <v>1957</v>
      </c>
      <c r="K8" s="321"/>
    </row>
    <row r="9" spans="1:11" ht="13.5" thickBot="1">
      <c r="A9" s="726"/>
      <c r="B9" s="727"/>
      <c r="C9" s="727"/>
      <c r="D9" s="727"/>
      <c r="E9" s="727"/>
      <c r="F9" s="727"/>
      <c r="G9" s="727"/>
      <c r="H9" s="727"/>
      <c r="I9" s="727"/>
      <c r="J9" s="727"/>
      <c r="K9" s="321"/>
    </row>
    <row r="10" spans="1:11" ht="12">
      <c r="A10" s="320" t="s">
        <v>1956</v>
      </c>
      <c r="B10" s="319" t="s">
        <v>1684</v>
      </c>
      <c r="C10" s="319" t="s">
        <v>51</v>
      </c>
      <c r="D10" s="319" t="s">
        <v>1955</v>
      </c>
      <c r="E10" s="319" t="s">
        <v>1954</v>
      </c>
      <c r="F10" s="318" t="s">
        <v>184</v>
      </c>
      <c r="G10" s="317" t="s">
        <v>1947</v>
      </c>
      <c r="H10" s="729" t="s">
        <v>1953</v>
      </c>
      <c r="I10" s="730"/>
      <c r="J10" s="731"/>
      <c r="K10" s="309"/>
    </row>
    <row r="11" spans="1:59" ht="13.5" thickBot="1">
      <c r="A11" s="316" t="s">
        <v>146</v>
      </c>
      <c r="B11" s="314" t="s">
        <v>146</v>
      </c>
      <c r="C11" s="314" t="s">
        <v>146</v>
      </c>
      <c r="D11" s="315" t="s">
        <v>1951</v>
      </c>
      <c r="E11" s="314" t="s">
        <v>146</v>
      </c>
      <c r="F11" s="314" t="s">
        <v>146</v>
      </c>
      <c r="G11" s="313" t="s">
        <v>1950</v>
      </c>
      <c r="H11" s="311" t="s">
        <v>1949</v>
      </c>
      <c r="I11" s="312" t="s">
        <v>1948</v>
      </c>
      <c r="J11" s="310" t="s">
        <v>1946</v>
      </c>
      <c r="K11" s="309"/>
      <c r="W11" s="296" t="s">
        <v>1945</v>
      </c>
      <c r="X11" s="296" t="s">
        <v>1944</v>
      </c>
      <c r="Y11" s="296" t="s">
        <v>1943</v>
      </c>
      <c r="Z11" s="296" t="s">
        <v>1942</v>
      </c>
      <c r="AA11" s="296" t="s">
        <v>1941</v>
      </c>
      <c r="AB11" s="296" t="s">
        <v>1940</v>
      </c>
      <c r="AC11" s="296" t="s">
        <v>1939</v>
      </c>
      <c r="AD11" s="296" t="s">
        <v>1938</v>
      </c>
      <c r="AE11" s="296" t="s">
        <v>1937</v>
      </c>
      <c r="BE11" s="296" t="s">
        <v>1936</v>
      </c>
      <c r="BF11" s="296" t="s">
        <v>1935</v>
      </c>
      <c r="BG11" s="296" t="s">
        <v>1934</v>
      </c>
    </row>
    <row r="12" spans="1:44" ht="12">
      <c r="A12" s="307"/>
      <c r="B12" s="308"/>
      <c r="C12" s="308" t="s">
        <v>2015</v>
      </c>
      <c r="D12" s="308" t="s">
        <v>2014</v>
      </c>
      <c r="E12" s="307" t="s">
        <v>146</v>
      </c>
      <c r="F12" s="307" t="s">
        <v>146</v>
      </c>
      <c r="G12" s="307" t="s">
        <v>146</v>
      </c>
      <c r="H12" s="787">
        <f>SUM(H13:H14)</f>
        <v>0</v>
      </c>
      <c r="I12" s="787">
        <f>SUM(I13:I14)</f>
        <v>0</v>
      </c>
      <c r="J12" s="787">
        <f>SUM(J13:J14)</f>
        <v>0</v>
      </c>
      <c r="AF12" s="296"/>
      <c r="AP12" s="301">
        <f>SUM(AG13:AG14)</f>
        <v>0</v>
      </c>
      <c r="AQ12" s="301">
        <f>SUM(AH13:AH14)</f>
        <v>0</v>
      </c>
      <c r="AR12" s="301">
        <f>SUM(AI13:AI14)</f>
        <v>0</v>
      </c>
    </row>
    <row r="13" spans="1:59" ht="12">
      <c r="A13" s="304" t="s">
        <v>77</v>
      </c>
      <c r="B13" s="304"/>
      <c r="C13" s="304" t="s">
        <v>2013</v>
      </c>
      <c r="D13" s="304" t="s">
        <v>2012</v>
      </c>
      <c r="E13" s="304" t="s">
        <v>310</v>
      </c>
      <c r="F13" s="294">
        <v>3</v>
      </c>
      <c r="G13" s="650">
        <v>0</v>
      </c>
      <c r="H13" s="788">
        <f>F13*AL13</f>
        <v>0</v>
      </c>
      <c r="I13" s="788">
        <f>F13*AM13</f>
        <v>0</v>
      </c>
      <c r="J13" s="788">
        <f>F13*G13</f>
        <v>0</v>
      </c>
      <c r="W13" s="295">
        <f>IF(AN13="5",BG13,0)</f>
        <v>0</v>
      </c>
      <c r="Y13" s="295">
        <f>IF(AN13="1",BE13,0)</f>
        <v>0</v>
      </c>
      <c r="Z13" s="295">
        <f>IF(AN13="1",BF13,0)</f>
        <v>0</v>
      </c>
      <c r="AA13" s="295">
        <f>IF(AN13="7",BE13,0)</f>
        <v>0</v>
      </c>
      <c r="AB13" s="295">
        <f>IF(AN13="7",BF13,0)</f>
        <v>0</v>
      </c>
      <c r="AC13" s="295">
        <f>IF(AN13="2",BE13,0)</f>
        <v>0</v>
      </c>
      <c r="AD13" s="295">
        <f>IF(AN13="2",BF13,0)</f>
        <v>0</v>
      </c>
      <c r="AE13" s="295">
        <f>IF(AN13="0",BG13,0)</f>
        <v>0</v>
      </c>
      <c r="AF13" s="296"/>
      <c r="AG13" s="294">
        <f>IF(AK13=0,J13,0)</f>
        <v>0</v>
      </c>
      <c r="AH13" s="294">
        <f>IF(AK13=15,J13,0)</f>
        <v>0</v>
      </c>
      <c r="AI13" s="294">
        <f>IF(AK13=21,J13,0)</f>
        <v>0</v>
      </c>
      <c r="AK13" s="295">
        <v>21</v>
      </c>
      <c r="AL13" s="295">
        <f>G13*0.136178861788618</f>
        <v>0</v>
      </c>
      <c r="AM13" s="295">
        <f>G13*(1-0.136178861788618)</f>
        <v>0</v>
      </c>
      <c r="AN13" s="298" t="s">
        <v>225</v>
      </c>
      <c r="AS13" s="295">
        <f>AT13+AU13</f>
        <v>0</v>
      </c>
      <c r="AT13" s="295">
        <f>F13*AL13</f>
        <v>0</v>
      </c>
      <c r="AU13" s="295">
        <f>F13*AM13</f>
        <v>0</v>
      </c>
      <c r="AV13" s="297" t="s">
        <v>2009</v>
      </c>
      <c r="AW13" s="297" t="s">
        <v>1999</v>
      </c>
      <c r="AX13" s="296" t="s">
        <v>1749</v>
      </c>
      <c r="AZ13" s="295">
        <f>AT13+AU13</f>
        <v>0</v>
      </c>
      <c r="BA13" s="295">
        <f>G13/(100-BB13)*100</f>
        <v>0</v>
      </c>
      <c r="BB13" s="295">
        <v>0</v>
      </c>
      <c r="BC13" s="295" t="e">
        <f>#REF!</f>
        <v>#REF!</v>
      </c>
      <c r="BE13" s="294">
        <f>F13*AL13</f>
        <v>0</v>
      </c>
      <c r="BF13" s="294">
        <f>F13*AM13</f>
        <v>0</v>
      </c>
      <c r="BG13" s="294">
        <f>F13*G13</f>
        <v>0</v>
      </c>
    </row>
    <row r="14" spans="1:59" ht="12">
      <c r="A14" s="304" t="s">
        <v>79</v>
      </c>
      <c r="B14" s="304"/>
      <c r="C14" s="304" t="s">
        <v>2011</v>
      </c>
      <c r="D14" s="304" t="s">
        <v>2010</v>
      </c>
      <c r="E14" s="304" t="s">
        <v>258</v>
      </c>
      <c r="F14" s="294">
        <v>2</v>
      </c>
      <c r="G14" s="650">
        <v>0</v>
      </c>
      <c r="H14" s="788">
        <f>F14*AL14</f>
        <v>0</v>
      </c>
      <c r="I14" s="788">
        <f>F14*AM14</f>
        <v>0</v>
      </c>
      <c r="J14" s="788">
        <f>F14*G14</f>
        <v>0</v>
      </c>
      <c r="W14" s="295">
        <f>IF(AN14="5",BG14,0)</f>
        <v>0</v>
      </c>
      <c r="Y14" s="295">
        <f>IF(AN14="1",BE14,0)</f>
        <v>0</v>
      </c>
      <c r="Z14" s="295">
        <f>IF(AN14="1",BF14,0)</f>
        <v>0</v>
      </c>
      <c r="AA14" s="295">
        <f>IF(AN14="7",BE14,0)</f>
        <v>0</v>
      </c>
      <c r="AB14" s="295">
        <f>IF(AN14="7",BF14,0)</f>
        <v>0</v>
      </c>
      <c r="AC14" s="295">
        <f>IF(AN14="2",BE14,0)</f>
        <v>0</v>
      </c>
      <c r="AD14" s="295">
        <f>IF(AN14="2",BF14,0)</f>
        <v>0</v>
      </c>
      <c r="AE14" s="295">
        <f>IF(AN14="0",BG14,0)</f>
        <v>0</v>
      </c>
      <c r="AF14" s="296"/>
      <c r="AG14" s="294">
        <f>IF(AK14=0,J14,0)</f>
        <v>0</v>
      </c>
      <c r="AH14" s="294">
        <f>IF(AK14=15,J14,0)</f>
        <v>0</v>
      </c>
      <c r="AI14" s="294">
        <f>IF(AK14=21,J14,0)</f>
        <v>0</v>
      </c>
      <c r="AK14" s="295">
        <v>21</v>
      </c>
      <c r="AL14" s="295">
        <f>G14*0.515921568627451</f>
        <v>0</v>
      </c>
      <c r="AM14" s="295">
        <f>G14*(1-0.515921568627451)</f>
        <v>0</v>
      </c>
      <c r="AN14" s="298" t="s">
        <v>225</v>
      </c>
      <c r="AS14" s="295">
        <f>AT14+AU14</f>
        <v>0</v>
      </c>
      <c r="AT14" s="295">
        <f>F14*AL14</f>
        <v>0</v>
      </c>
      <c r="AU14" s="295">
        <f>F14*AM14</f>
        <v>0</v>
      </c>
      <c r="AV14" s="297" t="s">
        <v>2009</v>
      </c>
      <c r="AW14" s="297" t="s">
        <v>1999</v>
      </c>
      <c r="AX14" s="296" t="s">
        <v>1749</v>
      </c>
      <c r="AZ14" s="295">
        <f>AT14+AU14</f>
        <v>0</v>
      </c>
      <c r="BA14" s="295">
        <f>G14/(100-BB14)*100</f>
        <v>0</v>
      </c>
      <c r="BB14" s="295">
        <v>0</v>
      </c>
      <c r="BC14" s="295" t="e">
        <f>#REF!</f>
        <v>#REF!</v>
      </c>
      <c r="BE14" s="294">
        <f>F14*AL14</f>
        <v>0</v>
      </c>
      <c r="BF14" s="294">
        <f>F14*AM14</f>
        <v>0</v>
      </c>
      <c r="BG14" s="294">
        <f>F14*G14</f>
        <v>0</v>
      </c>
    </row>
    <row r="15" spans="1:44" ht="12">
      <c r="A15" s="302"/>
      <c r="B15" s="303"/>
      <c r="C15" s="303" t="s">
        <v>2008</v>
      </c>
      <c r="D15" s="303" t="s">
        <v>2007</v>
      </c>
      <c r="E15" s="302" t="s">
        <v>146</v>
      </c>
      <c r="F15" s="302" t="s">
        <v>146</v>
      </c>
      <c r="G15" s="651" t="s">
        <v>146</v>
      </c>
      <c r="H15" s="789">
        <f>SUM(H16:H18)</f>
        <v>0</v>
      </c>
      <c r="I15" s="789">
        <f>SUM(I16:I18)</f>
        <v>0</v>
      </c>
      <c r="J15" s="789">
        <f>SUM(J16:J18)</f>
        <v>0</v>
      </c>
      <c r="AF15" s="296"/>
      <c r="AP15" s="301">
        <f>SUM(AG16:AG18)</f>
        <v>0</v>
      </c>
      <c r="AQ15" s="301">
        <f>SUM(AH16:AH18)</f>
        <v>0</v>
      </c>
      <c r="AR15" s="301">
        <f>SUM(AI16:AI18)</f>
        <v>0</v>
      </c>
    </row>
    <row r="16" spans="1:59" ht="12">
      <c r="A16" s="304" t="s">
        <v>102</v>
      </c>
      <c r="B16" s="304"/>
      <c r="C16" s="304" t="s">
        <v>2006</v>
      </c>
      <c r="D16" s="304" t="s">
        <v>2005</v>
      </c>
      <c r="E16" s="304" t="s">
        <v>253</v>
      </c>
      <c r="F16" s="294">
        <v>55</v>
      </c>
      <c r="G16" s="650">
        <v>0</v>
      </c>
      <c r="H16" s="788">
        <f>F16*AL16</f>
        <v>0</v>
      </c>
      <c r="I16" s="788">
        <f>F16*AM16</f>
        <v>0</v>
      </c>
      <c r="J16" s="788">
        <f>F16*G16</f>
        <v>0</v>
      </c>
      <c r="W16" s="295">
        <f>IF(AN16="5",BG16,0)</f>
        <v>0</v>
      </c>
      <c r="Y16" s="295">
        <f>IF(AN16="1",BE16,0)</f>
        <v>0</v>
      </c>
      <c r="Z16" s="295">
        <f>IF(AN16="1",BF16,0)</f>
        <v>0</v>
      </c>
      <c r="AA16" s="295">
        <f>IF(AN16="7",BE16,0)</f>
        <v>0</v>
      </c>
      <c r="AB16" s="295">
        <f>IF(AN16="7",BF16,0)</f>
        <v>0</v>
      </c>
      <c r="AC16" s="295">
        <f>IF(AN16="2",BE16,0)</f>
        <v>0</v>
      </c>
      <c r="AD16" s="295">
        <f>IF(AN16="2",BF16,0)</f>
        <v>0</v>
      </c>
      <c r="AE16" s="295">
        <f>IF(AN16="0",BG16,0)</f>
        <v>0</v>
      </c>
      <c r="AF16" s="296"/>
      <c r="AG16" s="294">
        <f>IF(AK16=0,J16,0)</f>
        <v>0</v>
      </c>
      <c r="AH16" s="294">
        <f>IF(AK16=15,J16,0)</f>
        <v>0</v>
      </c>
      <c r="AI16" s="294">
        <f>IF(AK16=21,J16,0)</f>
        <v>0</v>
      </c>
      <c r="AK16" s="295">
        <v>21</v>
      </c>
      <c r="AL16" s="295">
        <f>G16*0</f>
        <v>0</v>
      </c>
      <c r="AM16" s="295">
        <f>G16*(1-0)</f>
        <v>0</v>
      </c>
      <c r="AN16" s="298" t="s">
        <v>225</v>
      </c>
      <c r="AS16" s="295">
        <f>AT16+AU16</f>
        <v>0</v>
      </c>
      <c r="AT16" s="295">
        <f>F16*AL16</f>
        <v>0</v>
      </c>
      <c r="AU16" s="295">
        <f>F16*AM16</f>
        <v>0</v>
      </c>
      <c r="AV16" s="297" t="s">
        <v>2000</v>
      </c>
      <c r="AW16" s="297" t="s">
        <v>1999</v>
      </c>
      <c r="AX16" s="296" t="s">
        <v>1749</v>
      </c>
      <c r="AZ16" s="295">
        <f>AT16+AU16</f>
        <v>0</v>
      </c>
      <c r="BA16" s="295">
        <f>G16/(100-BB16)*100</f>
        <v>0</v>
      </c>
      <c r="BB16" s="295">
        <v>0</v>
      </c>
      <c r="BC16" s="295" t="e">
        <f>#REF!</f>
        <v>#REF!</v>
      </c>
      <c r="BE16" s="294">
        <f>F16*AL16</f>
        <v>0</v>
      </c>
      <c r="BF16" s="294">
        <f>F16*AM16</f>
        <v>0</v>
      </c>
      <c r="BG16" s="294">
        <f>F16*G16</f>
        <v>0</v>
      </c>
    </row>
    <row r="17" spans="1:59" ht="12">
      <c r="A17" s="304" t="s">
        <v>203</v>
      </c>
      <c r="B17" s="304"/>
      <c r="C17" s="304" t="s">
        <v>2004</v>
      </c>
      <c r="D17" s="304" t="s">
        <v>2003</v>
      </c>
      <c r="E17" s="304" t="s">
        <v>253</v>
      </c>
      <c r="F17" s="294">
        <v>55</v>
      </c>
      <c r="G17" s="650">
        <v>0</v>
      </c>
      <c r="H17" s="788">
        <f>F17*AL17</f>
        <v>0</v>
      </c>
      <c r="I17" s="788">
        <v>0</v>
      </c>
      <c r="J17" s="788">
        <f>F17*G17</f>
        <v>0</v>
      </c>
      <c r="W17" s="295">
        <f>IF(AN17="5",BG17,0)</f>
        <v>0</v>
      </c>
      <c r="Y17" s="295">
        <f>IF(AN17="1",BE17,0)</f>
        <v>0</v>
      </c>
      <c r="Z17" s="295">
        <f>IF(AN17="1",BF17,0)</f>
        <v>0</v>
      </c>
      <c r="AA17" s="295">
        <f>IF(AN17="7",BE17,0)</f>
        <v>0</v>
      </c>
      <c r="AB17" s="295">
        <f>IF(AN17="7",BF17,0)</f>
        <v>0</v>
      </c>
      <c r="AC17" s="295">
        <f>IF(AN17="2",BE17,0)</f>
        <v>0</v>
      </c>
      <c r="AD17" s="295">
        <f>IF(AN17="2",BF17,0)</f>
        <v>0</v>
      </c>
      <c r="AE17" s="295">
        <f>IF(AN17="0",BG17,0)</f>
        <v>0</v>
      </c>
      <c r="AF17" s="296"/>
      <c r="AG17" s="294">
        <f>IF(AK17=0,J17,0)</f>
        <v>0</v>
      </c>
      <c r="AH17" s="294">
        <f>IF(AK17=15,J17,0)</f>
        <v>0</v>
      </c>
      <c r="AI17" s="294">
        <f>IF(AK17=21,J17,0)</f>
        <v>0</v>
      </c>
      <c r="AK17" s="295">
        <v>21</v>
      </c>
      <c r="AL17" s="295">
        <f>G17*0.399112627986348</f>
        <v>0</v>
      </c>
      <c r="AM17" s="295">
        <f>G17*(1-0.399112627986348)</f>
        <v>0</v>
      </c>
      <c r="AN17" s="298" t="s">
        <v>225</v>
      </c>
      <c r="AS17" s="295">
        <f>AT17+AU17</f>
        <v>0</v>
      </c>
      <c r="AT17" s="295">
        <f>F17*AL17</f>
        <v>0</v>
      </c>
      <c r="AU17" s="295">
        <f>F17*AM17</f>
        <v>0</v>
      </c>
      <c r="AV17" s="297" t="s">
        <v>2000</v>
      </c>
      <c r="AW17" s="297" t="s">
        <v>1999</v>
      </c>
      <c r="AX17" s="296" t="s">
        <v>1749</v>
      </c>
      <c r="AZ17" s="295">
        <f>AT17+AU17</f>
        <v>0</v>
      </c>
      <c r="BA17" s="295">
        <f>G17/(100-BB17)*100</f>
        <v>0</v>
      </c>
      <c r="BB17" s="295">
        <v>0</v>
      </c>
      <c r="BC17" s="295" t="e">
        <f>#REF!</f>
        <v>#REF!</v>
      </c>
      <c r="BE17" s="294">
        <f>F17*AL17</f>
        <v>0</v>
      </c>
      <c r="BF17" s="294">
        <f>F17*AM17</f>
        <v>0</v>
      </c>
      <c r="BG17" s="294">
        <f>F17*G17</f>
        <v>0</v>
      </c>
    </row>
    <row r="18" spans="1:59" ht="12">
      <c r="A18" s="304" t="s">
        <v>217</v>
      </c>
      <c r="B18" s="304"/>
      <c r="C18" s="304" t="s">
        <v>2002</v>
      </c>
      <c r="D18" s="304" t="s">
        <v>2001</v>
      </c>
      <c r="E18" s="304" t="s">
        <v>253</v>
      </c>
      <c r="F18" s="294">
        <v>55</v>
      </c>
      <c r="G18" s="650">
        <v>0</v>
      </c>
      <c r="H18" s="788">
        <f>F18*AL18</f>
        <v>0</v>
      </c>
      <c r="I18" s="788">
        <f>F18*AM18</f>
        <v>0</v>
      </c>
      <c r="J18" s="788">
        <f>F18*G18</f>
        <v>0</v>
      </c>
      <c r="W18" s="295">
        <f>IF(AN18="5",BG18,0)</f>
        <v>0</v>
      </c>
      <c r="Y18" s="295">
        <f>IF(AN18="1",BE18,0)</f>
        <v>0</v>
      </c>
      <c r="Z18" s="295">
        <f>IF(AN18="1",BF18,0)</f>
        <v>0</v>
      </c>
      <c r="AA18" s="295">
        <f>IF(AN18="7",BE18,0)</f>
        <v>0</v>
      </c>
      <c r="AB18" s="295">
        <f>IF(AN18="7",BF18,0)</f>
        <v>0</v>
      </c>
      <c r="AC18" s="295">
        <f>IF(AN18="2",BE18,0)</f>
        <v>0</v>
      </c>
      <c r="AD18" s="295">
        <f>IF(AN18="2",BF18,0)</f>
        <v>0</v>
      </c>
      <c r="AE18" s="295">
        <f>IF(AN18="0",BG18,0)</f>
        <v>0</v>
      </c>
      <c r="AF18" s="296"/>
      <c r="AG18" s="294">
        <f>IF(AK18=0,J18,0)</f>
        <v>0</v>
      </c>
      <c r="AH18" s="294">
        <f>IF(AK18=15,J18,0)</f>
        <v>0</v>
      </c>
      <c r="AI18" s="294">
        <f>IF(AK18=21,J18,0)</f>
        <v>0</v>
      </c>
      <c r="AK18" s="295">
        <v>21</v>
      </c>
      <c r="AL18" s="295">
        <f>G18*0</f>
        <v>0</v>
      </c>
      <c r="AM18" s="295">
        <f>G18*(1-0)</f>
        <v>0</v>
      </c>
      <c r="AN18" s="298" t="s">
        <v>225</v>
      </c>
      <c r="AS18" s="295">
        <f>AT18+AU18</f>
        <v>0</v>
      </c>
      <c r="AT18" s="295">
        <f>F18*AL18</f>
        <v>0</v>
      </c>
      <c r="AU18" s="295">
        <f>F18*AM18</f>
        <v>0</v>
      </c>
      <c r="AV18" s="297" t="s">
        <v>2000</v>
      </c>
      <c r="AW18" s="297" t="s">
        <v>1999</v>
      </c>
      <c r="AX18" s="296" t="s">
        <v>1749</v>
      </c>
      <c r="AZ18" s="295">
        <f>AT18+AU18</f>
        <v>0</v>
      </c>
      <c r="BA18" s="295">
        <f>G18/(100-BB18)*100</f>
        <v>0</v>
      </c>
      <c r="BB18" s="295">
        <v>0</v>
      </c>
      <c r="BC18" s="295" t="e">
        <f>#REF!</f>
        <v>#REF!</v>
      </c>
      <c r="BE18" s="294">
        <f>F18*AL18</f>
        <v>0</v>
      </c>
      <c r="BF18" s="294">
        <f>F18*AM18</f>
        <v>0</v>
      </c>
      <c r="BG18" s="294">
        <f>F18*G18</f>
        <v>0</v>
      </c>
    </row>
    <row r="19" spans="1:44" ht="12">
      <c r="A19" s="302"/>
      <c r="B19" s="303"/>
      <c r="C19" s="303" t="s">
        <v>1270</v>
      </c>
      <c r="D19" s="303" t="s">
        <v>1998</v>
      </c>
      <c r="E19" s="302" t="s">
        <v>146</v>
      </c>
      <c r="F19" s="302" t="s">
        <v>146</v>
      </c>
      <c r="G19" s="651" t="s">
        <v>146</v>
      </c>
      <c r="H19" s="789">
        <f>SUM(H20:H21)</f>
        <v>0</v>
      </c>
      <c r="I19" s="789">
        <f>SUM(I20:I21)</f>
        <v>0</v>
      </c>
      <c r="J19" s="789">
        <f>SUM(J20:J21)</f>
        <v>0</v>
      </c>
      <c r="AF19" s="296"/>
      <c r="AP19" s="301">
        <f>SUM(AG20:AG21)</f>
        <v>0</v>
      </c>
      <c r="AQ19" s="301">
        <f>SUM(AH20:AH21)</f>
        <v>0</v>
      </c>
      <c r="AR19" s="301">
        <f>SUM(AI20:AI21)</f>
        <v>0</v>
      </c>
    </row>
    <row r="20" spans="1:59" ht="12">
      <c r="A20" s="304" t="s">
        <v>221</v>
      </c>
      <c r="B20" s="304"/>
      <c r="C20" s="304" t="s">
        <v>1997</v>
      </c>
      <c r="D20" s="304" t="s">
        <v>1996</v>
      </c>
      <c r="E20" s="304" t="s">
        <v>310</v>
      </c>
      <c r="F20" s="294">
        <v>30</v>
      </c>
      <c r="G20" s="650">
        <v>0</v>
      </c>
      <c r="H20" s="788">
        <f>F20*AL20</f>
        <v>0</v>
      </c>
      <c r="I20" s="788">
        <f>F20*AM20</f>
        <v>0</v>
      </c>
      <c r="J20" s="788">
        <f>F20*G20</f>
        <v>0</v>
      </c>
      <c r="W20" s="295">
        <f>IF(AN20="5",BG20,0)</f>
        <v>0</v>
      </c>
      <c r="Y20" s="295">
        <f>IF(AN20="1",BE20,0)</f>
        <v>0</v>
      </c>
      <c r="Z20" s="295">
        <f>IF(AN20="1",BF20,0)</f>
        <v>0</v>
      </c>
      <c r="AA20" s="295">
        <f>IF(AN20="7",BE20,0)</f>
        <v>0</v>
      </c>
      <c r="AB20" s="295">
        <f>IF(AN20="7",BF20,0)</f>
        <v>0</v>
      </c>
      <c r="AC20" s="295">
        <f>IF(AN20="2",BE20,0)</f>
        <v>0</v>
      </c>
      <c r="AD20" s="295">
        <f>IF(AN20="2",BF20,0)</f>
        <v>0</v>
      </c>
      <c r="AE20" s="295">
        <f>IF(AN20="0",BG20,0)</f>
        <v>0</v>
      </c>
      <c r="AF20" s="296"/>
      <c r="AG20" s="294">
        <f>IF(AK20=0,J20,0)</f>
        <v>0</v>
      </c>
      <c r="AH20" s="294">
        <f>IF(AK20=15,J20,0)</f>
        <v>0</v>
      </c>
      <c r="AI20" s="294">
        <f>IF(AK20=21,J20,0)</f>
        <v>0</v>
      </c>
      <c r="AK20" s="295">
        <v>21</v>
      </c>
      <c r="AL20" s="295">
        <f>G20*0.222350674373796</f>
        <v>0</v>
      </c>
      <c r="AM20" s="295">
        <f>G20*(1-0.222350674373796)</f>
        <v>0</v>
      </c>
      <c r="AN20" s="298" t="s">
        <v>225</v>
      </c>
      <c r="AS20" s="295">
        <f>AT20+AU20</f>
        <v>0</v>
      </c>
      <c r="AT20" s="295">
        <f>F20*AL20</f>
        <v>0</v>
      </c>
      <c r="AU20" s="295">
        <f>F20*AM20</f>
        <v>0</v>
      </c>
      <c r="AV20" s="297" t="s">
        <v>1993</v>
      </c>
      <c r="AW20" s="297" t="s">
        <v>1992</v>
      </c>
      <c r="AX20" s="296" t="s">
        <v>1749</v>
      </c>
      <c r="AZ20" s="295">
        <f>AT20+AU20</f>
        <v>0</v>
      </c>
      <c r="BA20" s="295">
        <f>G20/(100-BB20)*100</f>
        <v>0</v>
      </c>
      <c r="BB20" s="295">
        <v>0</v>
      </c>
      <c r="BC20" s="295" t="e">
        <f>#REF!</f>
        <v>#REF!</v>
      </c>
      <c r="BE20" s="294">
        <f>F20*AL20</f>
        <v>0</v>
      </c>
      <c r="BF20" s="294">
        <f>F20*AM20</f>
        <v>0</v>
      </c>
      <c r="BG20" s="294">
        <f>F20*G20</f>
        <v>0</v>
      </c>
    </row>
    <row r="21" spans="1:59" ht="12">
      <c r="A21" s="304" t="s">
        <v>225</v>
      </c>
      <c r="B21" s="304"/>
      <c r="C21" s="304" t="s">
        <v>1995</v>
      </c>
      <c r="D21" s="304" t="s">
        <v>1994</v>
      </c>
      <c r="E21" s="304" t="s">
        <v>253</v>
      </c>
      <c r="F21" s="294">
        <v>55</v>
      </c>
      <c r="G21" s="650">
        <v>0</v>
      </c>
      <c r="H21" s="788">
        <f>F21*AL21</f>
        <v>0</v>
      </c>
      <c r="I21" s="788">
        <f>F21*AM21</f>
        <v>0</v>
      </c>
      <c r="J21" s="788">
        <f>F21*G21</f>
        <v>0</v>
      </c>
      <c r="W21" s="295">
        <f>IF(AN21="5",BG21,0)</f>
        <v>0</v>
      </c>
      <c r="Y21" s="295">
        <f>IF(AN21="1",BE21,0)</f>
        <v>0</v>
      </c>
      <c r="Z21" s="295">
        <f>IF(AN21="1",BF21,0)</f>
        <v>0</v>
      </c>
      <c r="AA21" s="295">
        <f>IF(AN21="7",BE21,0)</f>
        <v>0</v>
      </c>
      <c r="AB21" s="295">
        <f>IF(AN21="7",BF21,0)</f>
        <v>0</v>
      </c>
      <c r="AC21" s="295">
        <f>IF(AN21="2",BE21,0)</f>
        <v>0</v>
      </c>
      <c r="AD21" s="295">
        <f>IF(AN21="2",BF21,0)</f>
        <v>0</v>
      </c>
      <c r="AE21" s="295">
        <f>IF(AN21="0",BG21,0)</f>
        <v>0</v>
      </c>
      <c r="AF21" s="296"/>
      <c r="AG21" s="294">
        <f>IF(AK21=0,J21,0)</f>
        <v>0</v>
      </c>
      <c r="AH21" s="294">
        <f>IF(AK21=15,J21,0)</f>
        <v>0</v>
      </c>
      <c r="AI21" s="294">
        <f>IF(AK21=21,J21,0)</f>
        <v>0</v>
      </c>
      <c r="AK21" s="295">
        <v>21</v>
      </c>
      <c r="AL21" s="295">
        <f>G21*0.409865951742627</f>
        <v>0</v>
      </c>
      <c r="AM21" s="295">
        <f>G21*(1-0.409865951742627)</f>
        <v>0</v>
      </c>
      <c r="AN21" s="298" t="s">
        <v>225</v>
      </c>
      <c r="AS21" s="295">
        <f>AT21+AU21</f>
        <v>0</v>
      </c>
      <c r="AT21" s="295">
        <f>F21*AL21</f>
        <v>0</v>
      </c>
      <c r="AU21" s="295">
        <f>F21*AM21</f>
        <v>0</v>
      </c>
      <c r="AV21" s="297" t="s">
        <v>1993</v>
      </c>
      <c r="AW21" s="297" t="s">
        <v>1992</v>
      </c>
      <c r="AX21" s="296" t="s">
        <v>1749</v>
      </c>
      <c r="AZ21" s="295">
        <f>AT21+AU21</f>
        <v>0</v>
      </c>
      <c r="BA21" s="295">
        <f>G21/(100-BB21)*100</f>
        <v>0</v>
      </c>
      <c r="BB21" s="295">
        <v>0</v>
      </c>
      <c r="BC21" s="295" t="e">
        <f>#REF!</f>
        <v>#REF!</v>
      </c>
      <c r="BE21" s="294">
        <f>F21*AL21</f>
        <v>0</v>
      </c>
      <c r="BF21" s="294">
        <f>F21*AM21</f>
        <v>0</v>
      </c>
      <c r="BG21" s="294">
        <f>F21*G21</f>
        <v>0</v>
      </c>
    </row>
    <row r="22" spans="1:44" ht="12">
      <c r="A22" s="302"/>
      <c r="B22" s="303"/>
      <c r="C22" s="303" t="s">
        <v>1754</v>
      </c>
      <c r="D22" s="303" t="s">
        <v>1583</v>
      </c>
      <c r="E22" s="302" t="s">
        <v>146</v>
      </c>
      <c r="F22" s="302" t="s">
        <v>146</v>
      </c>
      <c r="G22" s="651" t="s">
        <v>146</v>
      </c>
      <c r="H22" s="789">
        <f>SUM(H23:H24)</f>
        <v>0</v>
      </c>
      <c r="I22" s="789">
        <f>SUM(I23:I24)</f>
        <v>0</v>
      </c>
      <c r="J22" s="789">
        <f>SUM(J23:J24)</f>
        <v>0</v>
      </c>
      <c r="AF22" s="296"/>
      <c r="AP22" s="301">
        <f>SUM(AG23:AG24)</f>
        <v>0</v>
      </c>
      <c r="AQ22" s="301">
        <f>SUM(AH23:AH24)</f>
        <v>0</v>
      </c>
      <c r="AR22" s="301">
        <f>SUM(AI23:AI24)</f>
        <v>0</v>
      </c>
    </row>
    <row r="23" spans="1:59" ht="12">
      <c r="A23" s="304" t="s">
        <v>230</v>
      </c>
      <c r="B23" s="304"/>
      <c r="C23" s="304" t="s">
        <v>1991</v>
      </c>
      <c r="D23" s="304" t="s">
        <v>1990</v>
      </c>
      <c r="E23" s="304" t="s">
        <v>1437</v>
      </c>
      <c r="F23" s="294">
        <v>1</v>
      </c>
      <c r="G23" s="650">
        <v>0</v>
      </c>
      <c r="H23" s="788">
        <f>F23*AL23</f>
        <v>0</v>
      </c>
      <c r="I23" s="788">
        <f>F23*AM23</f>
        <v>0</v>
      </c>
      <c r="J23" s="788">
        <f>F23*G23</f>
        <v>0</v>
      </c>
      <c r="W23" s="295">
        <f>IF(AN23="5",BG23,0)</f>
        <v>0</v>
      </c>
      <c r="Y23" s="295">
        <f>IF(AN23="1",BE23,0)</f>
        <v>0</v>
      </c>
      <c r="Z23" s="295">
        <f>IF(AN23="1",BF23,0)</f>
        <v>0</v>
      </c>
      <c r="AA23" s="295">
        <f>IF(AN23="7",BE23,0)</f>
        <v>0</v>
      </c>
      <c r="AB23" s="295">
        <f>IF(AN23="7",BF23,0)</f>
        <v>0</v>
      </c>
      <c r="AC23" s="295">
        <f>IF(AN23="2",BE23,0)</f>
        <v>0</v>
      </c>
      <c r="AD23" s="295">
        <f>IF(AN23="2",BF23,0)</f>
        <v>0</v>
      </c>
      <c r="AE23" s="295">
        <f>IF(AN23="0",BG23,0)</f>
        <v>0</v>
      </c>
      <c r="AF23" s="296"/>
      <c r="AG23" s="294">
        <f>IF(AK23=0,J23,0)</f>
        <v>0</v>
      </c>
      <c r="AH23" s="294">
        <f>IF(AK23=15,J23,0)</f>
        <v>0</v>
      </c>
      <c r="AI23" s="294">
        <f>IF(AK23=21,J23,0)</f>
        <v>0</v>
      </c>
      <c r="AK23" s="295">
        <v>21</v>
      </c>
      <c r="AL23" s="295">
        <f>G23*0</f>
        <v>0</v>
      </c>
      <c r="AM23" s="295">
        <f>G23*(1-0)</f>
        <v>0</v>
      </c>
      <c r="AN23" s="298" t="s">
        <v>77</v>
      </c>
      <c r="AS23" s="295">
        <f>AT23+AU23</f>
        <v>0</v>
      </c>
      <c r="AT23" s="295">
        <f>F23*AL23</f>
        <v>0</v>
      </c>
      <c r="AU23" s="295">
        <f>F23*AM23</f>
        <v>0</v>
      </c>
      <c r="AV23" s="297" t="s">
        <v>1751</v>
      </c>
      <c r="AW23" s="297" t="s">
        <v>1750</v>
      </c>
      <c r="AX23" s="296" t="s">
        <v>1749</v>
      </c>
      <c r="AZ23" s="295">
        <f>AT23+AU23</f>
        <v>0</v>
      </c>
      <c r="BA23" s="295">
        <f>G23/(100-BB23)*100</f>
        <v>0</v>
      </c>
      <c r="BB23" s="295">
        <v>0</v>
      </c>
      <c r="BC23" s="295" t="e">
        <f>#REF!</f>
        <v>#REF!</v>
      </c>
      <c r="BE23" s="294">
        <f>F23*AL23</f>
        <v>0</v>
      </c>
      <c r="BF23" s="294">
        <f>F23*AM23</f>
        <v>0</v>
      </c>
      <c r="BG23" s="294">
        <f>F23*G23</f>
        <v>0</v>
      </c>
    </row>
    <row r="24" spans="1:59" ht="12">
      <c r="A24" s="300" t="s">
        <v>234</v>
      </c>
      <c r="B24" s="300"/>
      <c r="C24" s="300" t="s">
        <v>1989</v>
      </c>
      <c r="D24" s="300" t="s">
        <v>1988</v>
      </c>
      <c r="E24" s="300" t="s">
        <v>1437</v>
      </c>
      <c r="F24" s="299">
        <v>1</v>
      </c>
      <c r="G24" s="652">
        <v>0</v>
      </c>
      <c r="H24" s="790">
        <f>F24*AL24</f>
        <v>0</v>
      </c>
      <c r="I24" s="790">
        <f>F24*AM24</f>
        <v>0</v>
      </c>
      <c r="J24" s="790">
        <f>F24*G24</f>
        <v>0</v>
      </c>
      <c r="W24" s="295">
        <f>IF(AN24="5",BG24,0)</f>
        <v>0</v>
      </c>
      <c r="Y24" s="295">
        <f>IF(AN24="1",BE24,0)</f>
        <v>0</v>
      </c>
      <c r="Z24" s="295">
        <f>IF(AN24="1",BF24,0)</f>
        <v>0</v>
      </c>
      <c r="AA24" s="295">
        <f>IF(AN24="7",BE24,0)</f>
        <v>0</v>
      </c>
      <c r="AB24" s="295">
        <f>IF(AN24="7",BF24,0)</f>
        <v>0</v>
      </c>
      <c r="AC24" s="295">
        <f>IF(AN24="2",BE24,0)</f>
        <v>0</v>
      </c>
      <c r="AD24" s="295">
        <f>IF(AN24="2",BF24,0)</f>
        <v>0</v>
      </c>
      <c r="AE24" s="295">
        <f>IF(AN24="0",BG24,0)</f>
        <v>0</v>
      </c>
      <c r="AF24" s="296"/>
      <c r="AG24" s="294">
        <f>IF(AK24=0,J24,0)</f>
        <v>0</v>
      </c>
      <c r="AH24" s="294">
        <f>IF(AK24=15,J24,0)</f>
        <v>0</v>
      </c>
      <c r="AI24" s="294">
        <f>IF(AK24=21,J24,0)</f>
        <v>0</v>
      </c>
      <c r="AK24" s="295">
        <v>21</v>
      </c>
      <c r="AL24" s="295">
        <f>G24*0</f>
        <v>0</v>
      </c>
      <c r="AM24" s="295">
        <f>G24*(1-0)</f>
        <v>0</v>
      </c>
      <c r="AN24" s="298" t="s">
        <v>77</v>
      </c>
      <c r="AS24" s="295">
        <f>AT24+AU24</f>
        <v>0</v>
      </c>
      <c r="AT24" s="295">
        <f>F24*AL24</f>
        <v>0</v>
      </c>
      <c r="AU24" s="295">
        <f>F24*AM24</f>
        <v>0</v>
      </c>
      <c r="AV24" s="297" t="s">
        <v>1751</v>
      </c>
      <c r="AW24" s="297" t="s">
        <v>1750</v>
      </c>
      <c r="AX24" s="296" t="s">
        <v>1749</v>
      </c>
      <c r="AZ24" s="295">
        <f>AT24+AU24</f>
        <v>0</v>
      </c>
      <c r="BA24" s="295">
        <f>G24/(100-BB24)*100</f>
        <v>0</v>
      </c>
      <c r="BB24" s="295">
        <v>0</v>
      </c>
      <c r="BC24" s="295" t="e">
        <f>#REF!</f>
        <v>#REF!</v>
      </c>
      <c r="BE24" s="294">
        <f>F24*AL24</f>
        <v>0</v>
      </c>
      <c r="BF24" s="294">
        <f>F24*AM24</f>
        <v>0</v>
      </c>
      <c r="BG24" s="294">
        <f>F24*G24</f>
        <v>0</v>
      </c>
    </row>
    <row r="25" spans="1:10" ht="12">
      <c r="A25" s="293"/>
      <c r="B25" s="293"/>
      <c r="C25" s="293"/>
      <c r="D25" s="293"/>
      <c r="E25" s="293"/>
      <c r="F25" s="293"/>
      <c r="G25" s="293"/>
      <c r="H25" s="791" t="s">
        <v>1748</v>
      </c>
      <c r="I25" s="792"/>
      <c r="J25" s="793">
        <f>J12+J15+J19+J22</f>
        <v>0</v>
      </c>
    </row>
    <row r="26" ht="11.25" customHeight="1">
      <c r="A26" s="292" t="s">
        <v>34</v>
      </c>
    </row>
    <row r="27" spans="1:10" ht="12">
      <c r="A27" s="712"/>
      <c r="B27" s="710"/>
      <c r="C27" s="710"/>
      <c r="D27" s="710"/>
      <c r="E27" s="710"/>
      <c r="F27" s="710"/>
      <c r="G27" s="710"/>
      <c r="H27" s="710"/>
      <c r="I27" s="710"/>
      <c r="J27" s="710"/>
    </row>
    <row r="90" ht="12">
      <c r="I90" s="347">
        <f>UT!J25</f>
        <v>0</v>
      </c>
    </row>
  </sheetData>
  <sheetProtection algorithmName="SHA-512" hashValue="9j/hOM1ydMbrhn789B2B1kwbg2jH7bxibmY8ntyiMcfWPsZI6uml0iOrNvOMCiv5P4vmId2UaRxF9g4TSpLchA==" saltValue="Tvsb8TpydaK9r4S6k8zqTw==" spinCount="100000" sheet="1" objects="1" scenarios="1"/>
  <mergeCells count="28">
    <mergeCell ref="J4:J5"/>
    <mergeCell ref="A4:C5"/>
    <mergeCell ref="D4:E5"/>
    <mergeCell ref="F4:G5"/>
    <mergeCell ref="H4:H5"/>
    <mergeCell ref="I4:I5"/>
    <mergeCell ref="A1:J1"/>
    <mergeCell ref="A2:C3"/>
    <mergeCell ref="D2:E3"/>
    <mergeCell ref="F2:G3"/>
    <mergeCell ref="H2:H3"/>
    <mergeCell ref="I2:I3"/>
    <mergeCell ref="J2:J3"/>
    <mergeCell ref="A6:C7"/>
    <mergeCell ref="D6:E7"/>
    <mergeCell ref="F6:G7"/>
    <mergeCell ref="H10:J10"/>
    <mergeCell ref="H25:I25"/>
    <mergeCell ref="H6:H7"/>
    <mergeCell ref="I6:I7"/>
    <mergeCell ref="J6:J7"/>
    <mergeCell ref="A27:J27"/>
    <mergeCell ref="A8:C9"/>
    <mergeCell ref="D8:E9"/>
    <mergeCell ref="F8:G9"/>
    <mergeCell ref="H8:H9"/>
    <mergeCell ref="I8:I9"/>
    <mergeCell ref="J8:J9"/>
  </mergeCells>
  <printOptions/>
  <pageMargins left="0.394" right="0.394" top="0.591" bottom="0.591" header="0.5" footer="0.5"/>
  <pageSetup fitToHeight="0" fitToWidth="1" horizontalDpi="600" verticalDpi="600" orientation="portrait" paperSize="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2:BM91"/>
  <sheetViews>
    <sheetView showGridLines="0" workbookViewId="0" topLeftCell="A67">
      <selection activeCell="J89" sqref="J89"/>
    </sheetView>
  </sheetViews>
  <sheetFormatPr defaultColWidth="9.140625" defaultRowHeight="12"/>
  <cols>
    <col min="1" max="1" width="8.8515625" style="1" customWidth="1"/>
    <col min="2" max="2" width="1.1484375" style="1" customWidth="1"/>
    <col min="3" max="4" width="4.421875" style="1" customWidth="1"/>
    <col min="5" max="5" width="18.28125" style="1" customWidth="1"/>
    <col min="6" max="6" width="108.00390625" style="1" customWidth="1"/>
    <col min="7" max="7" width="8.00390625" style="1" customWidth="1"/>
    <col min="8" max="8" width="12.28125" style="1" customWidth="1"/>
    <col min="9" max="11" width="21.421875" style="1" customWidth="1"/>
    <col min="12" max="12" width="10.00390625" style="1" customWidth="1"/>
    <col min="13" max="13" width="11.421875" style="1" hidden="1" customWidth="1"/>
    <col min="14" max="14" width="9.140625" style="1" hidden="1" customWidth="1"/>
    <col min="15" max="20" width="15.140625" style="1" hidden="1" customWidth="1"/>
    <col min="21" max="21" width="17.421875" style="1" hidden="1" customWidth="1"/>
    <col min="22" max="22" width="13.140625" style="1" customWidth="1"/>
    <col min="23" max="23" width="17.421875" style="1" customWidth="1"/>
    <col min="24" max="24" width="13.140625" style="1" customWidth="1"/>
    <col min="25" max="25" width="16.00390625" style="1" customWidth="1"/>
    <col min="26" max="26" width="11.7109375" style="1" customWidth="1"/>
    <col min="27" max="27" width="16.00390625" style="1" customWidth="1"/>
    <col min="28" max="28" width="17.421875" style="1" customWidth="1"/>
    <col min="29" max="29" width="11.7109375" style="1" customWidth="1"/>
    <col min="30" max="30" width="16.00390625" style="1" customWidth="1"/>
    <col min="31" max="31" width="17.421875" style="1" customWidth="1"/>
    <col min="44" max="65" width="9.140625" style="1" hidden="1" customWidth="1"/>
  </cols>
  <sheetData>
    <row r="1" ht="12"/>
    <row r="2" spans="12:46" s="1" customFormat="1" ht="36.95" customHeight="1">
      <c r="L2" s="682"/>
      <c r="M2" s="682"/>
      <c r="N2" s="682"/>
      <c r="O2" s="682"/>
      <c r="P2" s="682"/>
      <c r="Q2" s="682"/>
      <c r="R2" s="682"/>
      <c r="S2" s="682"/>
      <c r="T2" s="682"/>
      <c r="U2" s="682"/>
      <c r="V2" s="682"/>
      <c r="AT2" s="15" t="s">
        <v>96</v>
      </c>
    </row>
    <row r="3" spans="2:46" s="1" customFormat="1" ht="6.95" customHeight="1">
      <c r="B3" s="106"/>
      <c r="C3" s="107"/>
      <c r="D3" s="107"/>
      <c r="E3" s="107"/>
      <c r="F3" s="107"/>
      <c r="G3" s="107"/>
      <c r="H3" s="107"/>
      <c r="I3" s="107"/>
      <c r="J3" s="107"/>
      <c r="K3" s="107"/>
      <c r="L3" s="18"/>
      <c r="AT3" s="15" t="s">
        <v>79</v>
      </c>
    </row>
    <row r="4" spans="2:46" s="1" customFormat="1" ht="24.95" customHeight="1">
      <c r="B4" s="18"/>
      <c r="D4" s="108" t="s">
        <v>141</v>
      </c>
      <c r="L4" s="18"/>
      <c r="M4" s="109" t="s">
        <v>10</v>
      </c>
      <c r="AT4" s="15" t="s">
        <v>4</v>
      </c>
    </row>
    <row r="5" spans="2:12" s="1" customFormat="1" ht="6.95" customHeight="1">
      <c r="B5" s="18"/>
      <c r="L5" s="18"/>
    </row>
    <row r="6" spans="2:12" s="1" customFormat="1" ht="12" customHeight="1">
      <c r="B6" s="18"/>
      <c r="D6" s="110" t="s">
        <v>16</v>
      </c>
      <c r="L6" s="18"/>
    </row>
    <row r="7" spans="2:12" s="1" customFormat="1" ht="14.45" customHeight="1">
      <c r="B7" s="18"/>
      <c r="E7" s="702" t="str">
        <f>'Rekapitulace stavby'!K6</f>
        <v>Úpravy gastroprovozu Úřadu vlády ČR v 1.pp Strakovy akademie</v>
      </c>
      <c r="F7" s="703"/>
      <c r="G7" s="703"/>
      <c r="H7" s="703"/>
      <c r="L7" s="18"/>
    </row>
    <row r="8" spans="2:12" s="1" customFormat="1" ht="12" customHeight="1">
      <c r="B8" s="18"/>
      <c r="D8" s="110" t="s">
        <v>142</v>
      </c>
      <c r="L8" s="18"/>
    </row>
    <row r="9" spans="1:31" s="2" customFormat="1" ht="14.45" customHeight="1">
      <c r="A9" s="32"/>
      <c r="B9" s="37"/>
      <c r="C9" s="32"/>
      <c r="D9" s="32"/>
      <c r="E9" s="702" t="s">
        <v>1429</v>
      </c>
      <c r="F9" s="704"/>
      <c r="G9" s="704"/>
      <c r="H9" s="704"/>
      <c r="I9" s="32"/>
      <c r="J9" s="32"/>
      <c r="K9" s="32"/>
      <c r="L9" s="111"/>
      <c r="S9" s="32"/>
      <c r="T9" s="32"/>
      <c r="U9" s="32"/>
      <c r="V9" s="32"/>
      <c r="W9" s="32"/>
      <c r="X9" s="32"/>
      <c r="Y9" s="32"/>
      <c r="Z9" s="32"/>
      <c r="AA9" s="32"/>
      <c r="AB9" s="32"/>
      <c r="AC9" s="32"/>
      <c r="AD9" s="32"/>
      <c r="AE9" s="32"/>
    </row>
    <row r="10" spans="1:31" s="2" customFormat="1" ht="12" customHeight="1">
      <c r="A10" s="32"/>
      <c r="B10" s="37"/>
      <c r="C10" s="32"/>
      <c r="D10" s="110" t="s">
        <v>144</v>
      </c>
      <c r="E10" s="32"/>
      <c r="F10" s="32"/>
      <c r="G10" s="32"/>
      <c r="H10" s="32"/>
      <c r="I10" s="32"/>
      <c r="J10" s="32"/>
      <c r="K10" s="32"/>
      <c r="L10" s="111"/>
      <c r="S10" s="32"/>
      <c r="T10" s="32"/>
      <c r="U10" s="32"/>
      <c r="V10" s="32"/>
      <c r="W10" s="32"/>
      <c r="X10" s="32"/>
      <c r="Y10" s="32"/>
      <c r="Z10" s="32"/>
      <c r="AA10" s="32"/>
      <c r="AB10" s="32"/>
      <c r="AC10" s="32"/>
      <c r="AD10" s="32"/>
      <c r="AE10" s="32"/>
    </row>
    <row r="11" spans="1:31" s="2" customFormat="1" ht="14.45" customHeight="1">
      <c r="A11" s="32"/>
      <c r="B11" s="37"/>
      <c r="C11" s="32"/>
      <c r="D11" s="32"/>
      <c r="E11" s="705" t="s">
        <v>1446</v>
      </c>
      <c r="F11" s="704"/>
      <c r="G11" s="704"/>
      <c r="H11" s="704"/>
      <c r="I11" s="32"/>
      <c r="J11" s="32"/>
      <c r="K11" s="32"/>
      <c r="L11" s="111"/>
      <c r="S11" s="32"/>
      <c r="T11" s="32"/>
      <c r="U11" s="32"/>
      <c r="V11" s="32"/>
      <c r="W11" s="32"/>
      <c r="X11" s="32"/>
      <c r="Y11" s="32"/>
      <c r="Z11" s="32"/>
      <c r="AA11" s="32"/>
      <c r="AB11" s="32"/>
      <c r="AC11" s="32"/>
      <c r="AD11" s="32"/>
      <c r="AE11" s="32"/>
    </row>
    <row r="12" spans="1:31" s="2" customFormat="1" ht="12">
      <c r="A12" s="32"/>
      <c r="B12" s="37"/>
      <c r="C12" s="32"/>
      <c r="D12" s="32"/>
      <c r="E12" s="32"/>
      <c r="F12" s="32"/>
      <c r="G12" s="32"/>
      <c r="H12" s="32"/>
      <c r="I12" s="32"/>
      <c r="J12" s="32"/>
      <c r="K12" s="32"/>
      <c r="L12" s="111"/>
      <c r="S12" s="32"/>
      <c r="T12" s="32"/>
      <c r="U12" s="32"/>
      <c r="V12" s="32"/>
      <c r="W12" s="32"/>
      <c r="X12" s="32"/>
      <c r="Y12" s="32"/>
      <c r="Z12" s="32"/>
      <c r="AA12" s="32"/>
      <c r="AB12" s="32"/>
      <c r="AC12" s="32"/>
      <c r="AD12" s="32"/>
      <c r="AE12" s="32"/>
    </row>
    <row r="13" spans="1:31" s="2" customFormat="1" ht="12" customHeight="1">
      <c r="A13" s="32"/>
      <c r="B13" s="37"/>
      <c r="C13" s="32"/>
      <c r="D13" s="110" t="s">
        <v>18</v>
      </c>
      <c r="E13" s="32"/>
      <c r="F13" s="101" t="s">
        <v>19</v>
      </c>
      <c r="G13" s="32"/>
      <c r="H13" s="32"/>
      <c r="I13" s="110" t="s">
        <v>20</v>
      </c>
      <c r="J13" s="101" t="s">
        <v>19</v>
      </c>
      <c r="K13" s="32"/>
      <c r="L13" s="111"/>
      <c r="S13" s="32"/>
      <c r="T13" s="32"/>
      <c r="U13" s="32"/>
      <c r="V13" s="32"/>
      <c r="W13" s="32"/>
      <c r="X13" s="32"/>
      <c r="Y13" s="32"/>
      <c r="Z13" s="32"/>
      <c r="AA13" s="32"/>
      <c r="AB13" s="32"/>
      <c r="AC13" s="32"/>
      <c r="AD13" s="32"/>
      <c r="AE13" s="32"/>
    </row>
    <row r="14" spans="1:31" s="2" customFormat="1" ht="12" customHeight="1">
      <c r="A14" s="32"/>
      <c r="B14" s="37"/>
      <c r="C14" s="32"/>
      <c r="D14" s="110" t="s">
        <v>21</v>
      </c>
      <c r="E14" s="32"/>
      <c r="F14" s="101" t="s">
        <v>146</v>
      </c>
      <c r="G14" s="32"/>
      <c r="H14" s="32"/>
      <c r="I14" s="110" t="s">
        <v>23</v>
      </c>
      <c r="J14" s="112" t="str">
        <f>'Rekapitulace stavby'!AN8</f>
        <v>Vyplň údaj</v>
      </c>
      <c r="K14" s="32"/>
      <c r="L14" s="111"/>
      <c r="S14" s="32"/>
      <c r="T14" s="32"/>
      <c r="U14" s="32"/>
      <c r="V14" s="32"/>
      <c r="W14" s="32"/>
      <c r="X14" s="32"/>
      <c r="Y14" s="32"/>
      <c r="Z14" s="32"/>
      <c r="AA14" s="32"/>
      <c r="AB14" s="32"/>
      <c r="AC14" s="32"/>
      <c r="AD14" s="32"/>
      <c r="AE14" s="32"/>
    </row>
    <row r="15" spans="1:31" s="2" customFormat="1" ht="10.9" customHeight="1">
      <c r="A15" s="32"/>
      <c r="B15" s="37"/>
      <c r="C15" s="32"/>
      <c r="D15" s="32"/>
      <c r="E15" s="32"/>
      <c r="F15" s="32"/>
      <c r="G15" s="32"/>
      <c r="H15" s="32"/>
      <c r="I15" s="32"/>
      <c r="J15" s="32"/>
      <c r="K15" s="32"/>
      <c r="L15" s="111"/>
      <c r="S15" s="32"/>
      <c r="T15" s="32"/>
      <c r="U15" s="32"/>
      <c r="V15" s="32"/>
      <c r="W15" s="32"/>
      <c r="X15" s="32"/>
      <c r="Y15" s="32"/>
      <c r="Z15" s="32"/>
      <c r="AA15" s="32"/>
      <c r="AB15" s="32"/>
      <c r="AC15" s="32"/>
      <c r="AD15" s="32"/>
      <c r="AE15" s="32"/>
    </row>
    <row r="16" spans="1:31" s="2" customFormat="1" ht="12" customHeight="1">
      <c r="A16" s="32"/>
      <c r="B16" s="37"/>
      <c r="C16" s="32"/>
      <c r="D16" s="110" t="s">
        <v>24</v>
      </c>
      <c r="E16" s="32"/>
      <c r="F16" s="32"/>
      <c r="G16" s="32"/>
      <c r="H16" s="32"/>
      <c r="I16" s="110" t="s">
        <v>25</v>
      </c>
      <c r="J16" s="101" t="s">
        <v>19</v>
      </c>
      <c r="K16" s="32"/>
      <c r="L16" s="111"/>
      <c r="S16" s="32"/>
      <c r="T16" s="32"/>
      <c r="U16" s="32"/>
      <c r="V16" s="32"/>
      <c r="W16" s="32"/>
      <c r="X16" s="32"/>
      <c r="Y16" s="32"/>
      <c r="Z16" s="32"/>
      <c r="AA16" s="32"/>
      <c r="AB16" s="32"/>
      <c r="AC16" s="32"/>
      <c r="AD16" s="32"/>
      <c r="AE16" s="32"/>
    </row>
    <row r="17" spans="1:31" s="2" customFormat="1" ht="18" customHeight="1">
      <c r="A17" s="32"/>
      <c r="B17" s="37"/>
      <c r="C17" s="32"/>
      <c r="D17" s="32"/>
      <c r="E17" s="101" t="s">
        <v>26</v>
      </c>
      <c r="F17" s="32"/>
      <c r="G17" s="32"/>
      <c r="H17" s="32"/>
      <c r="I17" s="110" t="s">
        <v>27</v>
      </c>
      <c r="J17" s="101" t="s">
        <v>19</v>
      </c>
      <c r="K17" s="32"/>
      <c r="L17" s="111"/>
      <c r="S17" s="32"/>
      <c r="T17" s="32"/>
      <c r="U17" s="32"/>
      <c r="V17" s="32"/>
      <c r="W17" s="32"/>
      <c r="X17" s="32"/>
      <c r="Y17" s="32"/>
      <c r="Z17" s="32"/>
      <c r="AA17" s="32"/>
      <c r="AB17" s="32"/>
      <c r="AC17" s="32"/>
      <c r="AD17" s="32"/>
      <c r="AE17" s="32"/>
    </row>
    <row r="18" spans="1:31" s="2" customFormat="1" ht="6.95" customHeight="1">
      <c r="A18" s="32"/>
      <c r="B18" s="37"/>
      <c r="C18" s="32"/>
      <c r="D18" s="32"/>
      <c r="E18" s="32"/>
      <c r="F18" s="32"/>
      <c r="G18" s="32"/>
      <c r="H18" s="32"/>
      <c r="I18" s="32"/>
      <c r="J18" s="32"/>
      <c r="K18" s="32"/>
      <c r="L18" s="111"/>
      <c r="S18" s="32"/>
      <c r="T18" s="32"/>
      <c r="U18" s="32"/>
      <c r="V18" s="32"/>
      <c r="W18" s="32"/>
      <c r="X18" s="32"/>
      <c r="Y18" s="32"/>
      <c r="Z18" s="32"/>
      <c r="AA18" s="32"/>
      <c r="AB18" s="32"/>
      <c r="AC18" s="32"/>
      <c r="AD18" s="32"/>
      <c r="AE18" s="32"/>
    </row>
    <row r="19" spans="1:31" s="2" customFormat="1" ht="12" customHeight="1">
      <c r="A19" s="32"/>
      <c r="B19" s="37"/>
      <c r="C19" s="32"/>
      <c r="D19" s="110" t="s">
        <v>28</v>
      </c>
      <c r="E19" s="32"/>
      <c r="F19" s="32"/>
      <c r="G19" s="32"/>
      <c r="H19" s="32"/>
      <c r="I19" s="110" t="s">
        <v>25</v>
      </c>
      <c r="J19" s="28" t="str">
        <f>'Rekapitulace stavby'!AN13</f>
        <v>Vyplň údaj</v>
      </c>
      <c r="K19" s="32"/>
      <c r="L19" s="111"/>
      <c r="S19" s="32"/>
      <c r="T19" s="32"/>
      <c r="U19" s="32"/>
      <c r="V19" s="32"/>
      <c r="W19" s="32"/>
      <c r="X19" s="32"/>
      <c r="Y19" s="32"/>
      <c r="Z19" s="32"/>
      <c r="AA19" s="32"/>
      <c r="AB19" s="32"/>
      <c r="AC19" s="32"/>
      <c r="AD19" s="32"/>
      <c r="AE19" s="32"/>
    </row>
    <row r="20" spans="1:31" s="2" customFormat="1" ht="18" customHeight="1">
      <c r="A20" s="32"/>
      <c r="B20" s="37"/>
      <c r="C20" s="32"/>
      <c r="D20" s="32"/>
      <c r="E20" s="706" t="str">
        <f>'Rekapitulace stavby'!E14</f>
        <v>Vyplň údaj</v>
      </c>
      <c r="F20" s="707"/>
      <c r="G20" s="707"/>
      <c r="H20" s="707"/>
      <c r="I20" s="110" t="s">
        <v>27</v>
      </c>
      <c r="J20" s="28" t="str">
        <f>'Rekapitulace stavby'!AN14</f>
        <v>Vyplň údaj</v>
      </c>
      <c r="K20" s="32"/>
      <c r="L20" s="111"/>
      <c r="S20" s="32"/>
      <c r="T20" s="32"/>
      <c r="U20" s="32"/>
      <c r="V20" s="32"/>
      <c r="W20" s="32"/>
      <c r="X20" s="32"/>
      <c r="Y20" s="32"/>
      <c r="Z20" s="32"/>
      <c r="AA20" s="32"/>
      <c r="AB20" s="32"/>
      <c r="AC20" s="32"/>
      <c r="AD20" s="32"/>
      <c r="AE20" s="32"/>
    </row>
    <row r="21" spans="1:31" s="2" customFormat="1" ht="6.95" customHeight="1">
      <c r="A21" s="32"/>
      <c r="B21" s="37"/>
      <c r="C21" s="32"/>
      <c r="D21" s="32"/>
      <c r="E21" s="32"/>
      <c r="F21" s="32"/>
      <c r="G21" s="32"/>
      <c r="H21" s="32"/>
      <c r="I21" s="32"/>
      <c r="J21" s="32"/>
      <c r="K21" s="32"/>
      <c r="L21" s="111"/>
      <c r="S21" s="32"/>
      <c r="T21" s="32"/>
      <c r="U21" s="32"/>
      <c r="V21" s="32"/>
      <c r="W21" s="32"/>
      <c r="X21" s="32"/>
      <c r="Y21" s="32"/>
      <c r="Z21" s="32"/>
      <c r="AA21" s="32"/>
      <c r="AB21" s="32"/>
      <c r="AC21" s="32"/>
      <c r="AD21" s="32"/>
      <c r="AE21" s="32"/>
    </row>
    <row r="22" spans="1:31" s="2" customFormat="1" ht="12" customHeight="1">
      <c r="A22" s="32"/>
      <c r="B22" s="37"/>
      <c r="C22" s="32"/>
      <c r="D22" s="110" t="s">
        <v>30</v>
      </c>
      <c r="E22" s="32"/>
      <c r="F22" s="32"/>
      <c r="G22" s="32"/>
      <c r="H22" s="32"/>
      <c r="I22" s="110" t="s">
        <v>25</v>
      </c>
      <c r="J22" s="101" t="s">
        <v>19</v>
      </c>
      <c r="K22" s="32"/>
      <c r="L22" s="111"/>
      <c r="S22" s="32"/>
      <c r="T22" s="32"/>
      <c r="U22" s="32"/>
      <c r="V22" s="32"/>
      <c r="W22" s="32"/>
      <c r="X22" s="32"/>
      <c r="Y22" s="32"/>
      <c r="Z22" s="32"/>
      <c r="AA22" s="32"/>
      <c r="AB22" s="32"/>
      <c r="AC22" s="32"/>
      <c r="AD22" s="32"/>
      <c r="AE22" s="32"/>
    </row>
    <row r="23" spans="1:31" s="2" customFormat="1" ht="18" customHeight="1">
      <c r="A23" s="32"/>
      <c r="B23" s="37"/>
      <c r="C23" s="32"/>
      <c r="D23" s="32"/>
      <c r="E23" s="101" t="s">
        <v>31</v>
      </c>
      <c r="F23" s="32"/>
      <c r="G23" s="32"/>
      <c r="H23" s="32"/>
      <c r="I23" s="110" t="s">
        <v>27</v>
      </c>
      <c r="J23" s="101" t="s">
        <v>19</v>
      </c>
      <c r="K23" s="32"/>
      <c r="L23" s="111"/>
      <c r="S23" s="32"/>
      <c r="T23" s="32"/>
      <c r="U23" s="32"/>
      <c r="V23" s="32"/>
      <c r="W23" s="32"/>
      <c r="X23" s="32"/>
      <c r="Y23" s="32"/>
      <c r="Z23" s="32"/>
      <c r="AA23" s="32"/>
      <c r="AB23" s="32"/>
      <c r="AC23" s="32"/>
      <c r="AD23" s="32"/>
      <c r="AE23" s="32"/>
    </row>
    <row r="24" spans="1:31" s="2" customFormat="1" ht="6.95" customHeight="1">
      <c r="A24" s="32"/>
      <c r="B24" s="37"/>
      <c r="C24" s="32"/>
      <c r="D24" s="32"/>
      <c r="E24" s="32"/>
      <c r="F24" s="32"/>
      <c r="G24" s="32"/>
      <c r="H24" s="32"/>
      <c r="I24" s="32"/>
      <c r="J24" s="32"/>
      <c r="K24" s="32"/>
      <c r="L24" s="111"/>
      <c r="S24" s="32"/>
      <c r="T24" s="32"/>
      <c r="U24" s="32"/>
      <c r="V24" s="32"/>
      <c r="W24" s="32"/>
      <c r="X24" s="32"/>
      <c r="Y24" s="32"/>
      <c r="Z24" s="32"/>
      <c r="AA24" s="32"/>
      <c r="AB24" s="32"/>
      <c r="AC24" s="32"/>
      <c r="AD24" s="32"/>
      <c r="AE24" s="32"/>
    </row>
    <row r="25" spans="1:31" s="2" customFormat="1" ht="12" customHeight="1">
      <c r="A25" s="32"/>
      <c r="B25" s="37"/>
      <c r="C25" s="32"/>
      <c r="D25" s="110" t="s">
        <v>33</v>
      </c>
      <c r="E25" s="32"/>
      <c r="F25" s="32"/>
      <c r="G25" s="32"/>
      <c r="H25" s="32"/>
      <c r="I25" s="110" t="s">
        <v>25</v>
      </c>
      <c r="J25" s="101" t="s">
        <v>19</v>
      </c>
      <c r="K25" s="32"/>
      <c r="L25" s="111"/>
      <c r="S25" s="32"/>
      <c r="T25" s="32"/>
      <c r="U25" s="32"/>
      <c r="V25" s="32"/>
      <c r="W25" s="32"/>
      <c r="X25" s="32"/>
      <c r="Y25" s="32"/>
      <c r="Z25" s="32"/>
      <c r="AA25" s="32"/>
      <c r="AB25" s="32"/>
      <c r="AC25" s="32"/>
      <c r="AD25" s="32"/>
      <c r="AE25" s="32"/>
    </row>
    <row r="26" spans="1:31" s="2" customFormat="1" ht="18" customHeight="1">
      <c r="A26" s="32"/>
      <c r="B26" s="37"/>
      <c r="C26" s="32"/>
      <c r="D26" s="32"/>
      <c r="E26" s="101" t="s">
        <v>31</v>
      </c>
      <c r="F26" s="32"/>
      <c r="G26" s="32"/>
      <c r="H26" s="32"/>
      <c r="I26" s="110" t="s">
        <v>27</v>
      </c>
      <c r="J26" s="101" t="s">
        <v>19</v>
      </c>
      <c r="K26" s="32"/>
      <c r="L26" s="111"/>
      <c r="S26" s="32"/>
      <c r="T26" s="32"/>
      <c r="U26" s="32"/>
      <c r="V26" s="32"/>
      <c r="W26" s="32"/>
      <c r="X26" s="32"/>
      <c r="Y26" s="32"/>
      <c r="Z26" s="32"/>
      <c r="AA26" s="32"/>
      <c r="AB26" s="32"/>
      <c r="AC26" s="32"/>
      <c r="AD26" s="32"/>
      <c r="AE26" s="32"/>
    </row>
    <row r="27" spans="1:31" s="2" customFormat="1" ht="6.95" customHeight="1">
      <c r="A27" s="32"/>
      <c r="B27" s="37"/>
      <c r="C27" s="32"/>
      <c r="D27" s="32"/>
      <c r="E27" s="32"/>
      <c r="F27" s="32"/>
      <c r="G27" s="32"/>
      <c r="H27" s="32"/>
      <c r="I27" s="32"/>
      <c r="J27" s="32"/>
      <c r="K27" s="32"/>
      <c r="L27" s="111"/>
      <c r="S27" s="32"/>
      <c r="T27" s="32"/>
      <c r="U27" s="32"/>
      <c r="V27" s="32"/>
      <c r="W27" s="32"/>
      <c r="X27" s="32"/>
      <c r="Y27" s="32"/>
      <c r="Z27" s="32"/>
      <c r="AA27" s="32"/>
      <c r="AB27" s="32"/>
      <c r="AC27" s="32"/>
      <c r="AD27" s="32"/>
      <c r="AE27" s="32"/>
    </row>
    <row r="28" spans="1:31" s="2" customFormat="1" ht="12" customHeight="1">
      <c r="A28" s="32"/>
      <c r="B28" s="37"/>
      <c r="C28" s="32"/>
      <c r="D28" s="110" t="s">
        <v>34</v>
      </c>
      <c r="E28" s="32"/>
      <c r="F28" s="32"/>
      <c r="G28" s="32"/>
      <c r="H28" s="32"/>
      <c r="I28" s="32"/>
      <c r="J28" s="32"/>
      <c r="K28" s="32"/>
      <c r="L28" s="111"/>
      <c r="S28" s="32"/>
      <c r="T28" s="32"/>
      <c r="U28" s="32"/>
      <c r="V28" s="32"/>
      <c r="W28" s="32"/>
      <c r="X28" s="32"/>
      <c r="Y28" s="32"/>
      <c r="Z28" s="32"/>
      <c r="AA28" s="32"/>
      <c r="AB28" s="32"/>
      <c r="AC28" s="32"/>
      <c r="AD28" s="32"/>
      <c r="AE28" s="32"/>
    </row>
    <row r="29" spans="1:31" s="8" customFormat="1" ht="14.45" customHeight="1">
      <c r="A29" s="113"/>
      <c r="B29" s="114"/>
      <c r="C29" s="113"/>
      <c r="D29" s="113"/>
      <c r="E29" s="708" t="s">
        <v>19</v>
      </c>
      <c r="F29" s="708"/>
      <c r="G29" s="708"/>
      <c r="H29" s="708"/>
      <c r="I29" s="113"/>
      <c r="J29" s="113"/>
      <c r="K29" s="113"/>
      <c r="L29" s="115"/>
      <c r="S29" s="113"/>
      <c r="T29" s="113"/>
      <c r="U29" s="113"/>
      <c r="V29" s="113"/>
      <c r="W29" s="113"/>
      <c r="X29" s="113"/>
      <c r="Y29" s="113"/>
      <c r="Z29" s="113"/>
      <c r="AA29" s="113"/>
      <c r="AB29" s="113"/>
      <c r="AC29" s="113"/>
      <c r="AD29" s="113"/>
      <c r="AE29" s="113"/>
    </row>
    <row r="30" spans="1:31" s="2" customFormat="1" ht="6.95" customHeight="1">
      <c r="A30" s="32"/>
      <c r="B30" s="37"/>
      <c r="C30" s="32"/>
      <c r="D30" s="32"/>
      <c r="E30" s="32"/>
      <c r="F30" s="32"/>
      <c r="G30" s="32"/>
      <c r="H30" s="32"/>
      <c r="I30" s="32"/>
      <c r="J30" s="32"/>
      <c r="K30" s="32"/>
      <c r="L30" s="111"/>
      <c r="S30" s="32"/>
      <c r="T30" s="32"/>
      <c r="U30" s="32"/>
      <c r="V30" s="32"/>
      <c r="W30" s="32"/>
      <c r="X30" s="32"/>
      <c r="Y30" s="32"/>
      <c r="Z30" s="32"/>
      <c r="AA30" s="32"/>
      <c r="AB30" s="32"/>
      <c r="AC30" s="32"/>
      <c r="AD30" s="32"/>
      <c r="AE30" s="32"/>
    </row>
    <row r="31" spans="1:31" s="2" customFormat="1" ht="6.95" customHeight="1">
      <c r="A31" s="32"/>
      <c r="B31" s="37"/>
      <c r="C31" s="32"/>
      <c r="D31" s="116"/>
      <c r="E31" s="116"/>
      <c r="F31" s="116"/>
      <c r="G31" s="116"/>
      <c r="H31" s="116"/>
      <c r="I31" s="116"/>
      <c r="J31" s="116"/>
      <c r="K31" s="116"/>
      <c r="L31" s="111"/>
      <c r="S31" s="32"/>
      <c r="T31" s="32"/>
      <c r="U31" s="32"/>
      <c r="V31" s="32"/>
      <c r="W31" s="32"/>
      <c r="X31" s="32"/>
      <c r="Y31" s="32"/>
      <c r="Z31" s="32"/>
      <c r="AA31" s="32"/>
      <c r="AB31" s="32"/>
      <c r="AC31" s="32"/>
      <c r="AD31" s="32"/>
      <c r="AE31" s="32"/>
    </row>
    <row r="32" spans="1:31" s="2" customFormat="1" ht="25.35" customHeight="1">
      <c r="A32" s="32"/>
      <c r="B32" s="37"/>
      <c r="C32" s="32"/>
      <c r="D32" s="117" t="s">
        <v>36</v>
      </c>
      <c r="E32" s="32"/>
      <c r="F32" s="32"/>
      <c r="G32" s="32"/>
      <c r="H32" s="32"/>
      <c r="I32" s="32"/>
      <c r="J32" s="118">
        <f>ROUND(J87,2)</f>
        <v>0</v>
      </c>
      <c r="K32" s="32"/>
      <c r="L32" s="111"/>
      <c r="S32" s="32"/>
      <c r="T32" s="32"/>
      <c r="U32" s="32"/>
      <c r="V32" s="32"/>
      <c r="W32" s="32"/>
      <c r="X32" s="32"/>
      <c r="Y32" s="32"/>
      <c r="Z32" s="32"/>
      <c r="AA32" s="32"/>
      <c r="AB32" s="32"/>
      <c r="AC32" s="32"/>
      <c r="AD32" s="32"/>
      <c r="AE32" s="32"/>
    </row>
    <row r="33" spans="1:31" s="2" customFormat="1" ht="6.95" customHeight="1">
      <c r="A33" s="32"/>
      <c r="B33" s="37"/>
      <c r="C33" s="32"/>
      <c r="D33" s="116"/>
      <c r="E33" s="116"/>
      <c r="F33" s="116"/>
      <c r="G33" s="116"/>
      <c r="H33" s="116"/>
      <c r="I33" s="116"/>
      <c r="J33" s="116"/>
      <c r="K33" s="116"/>
      <c r="L33" s="111"/>
      <c r="S33" s="32"/>
      <c r="T33" s="32"/>
      <c r="U33" s="32"/>
      <c r="V33" s="32"/>
      <c r="W33" s="32"/>
      <c r="X33" s="32"/>
      <c r="Y33" s="32"/>
      <c r="Z33" s="32"/>
      <c r="AA33" s="32"/>
      <c r="AB33" s="32"/>
      <c r="AC33" s="32"/>
      <c r="AD33" s="32"/>
      <c r="AE33" s="32"/>
    </row>
    <row r="34" spans="1:31" s="2" customFormat="1" ht="14.45" customHeight="1">
      <c r="A34" s="32"/>
      <c r="B34" s="37"/>
      <c r="C34" s="32"/>
      <c r="D34" s="32"/>
      <c r="E34" s="32"/>
      <c r="F34" s="119" t="s">
        <v>38</v>
      </c>
      <c r="G34" s="32"/>
      <c r="H34" s="32"/>
      <c r="I34" s="119" t="s">
        <v>37</v>
      </c>
      <c r="J34" s="119" t="s">
        <v>39</v>
      </c>
      <c r="K34" s="32"/>
      <c r="L34" s="111"/>
      <c r="S34" s="32"/>
      <c r="T34" s="32"/>
      <c r="U34" s="32"/>
      <c r="V34" s="32"/>
      <c r="W34" s="32"/>
      <c r="X34" s="32"/>
      <c r="Y34" s="32"/>
      <c r="Z34" s="32"/>
      <c r="AA34" s="32"/>
      <c r="AB34" s="32"/>
      <c r="AC34" s="32"/>
      <c r="AD34" s="32"/>
      <c r="AE34" s="32"/>
    </row>
    <row r="35" spans="1:31" s="2" customFormat="1" ht="14.45" customHeight="1">
      <c r="A35" s="32"/>
      <c r="B35" s="37"/>
      <c r="C35" s="32"/>
      <c r="D35" s="120" t="s">
        <v>40</v>
      </c>
      <c r="E35" s="110" t="s">
        <v>41</v>
      </c>
      <c r="F35" s="121">
        <f>ROUND((SUM(BE87:BE90)),2)</f>
        <v>0</v>
      </c>
      <c r="G35" s="32"/>
      <c r="H35" s="32"/>
      <c r="I35" s="122">
        <v>0.21</v>
      </c>
      <c r="J35" s="121">
        <f>ROUND(((SUM(BE87:BE90))*I35),2)</f>
        <v>0</v>
      </c>
      <c r="K35" s="32"/>
      <c r="L35" s="111"/>
      <c r="S35" s="32"/>
      <c r="T35" s="32"/>
      <c r="U35" s="32"/>
      <c r="V35" s="32"/>
      <c r="W35" s="32"/>
      <c r="X35" s="32"/>
      <c r="Y35" s="32"/>
      <c r="Z35" s="32"/>
      <c r="AA35" s="32"/>
      <c r="AB35" s="32"/>
      <c r="AC35" s="32"/>
      <c r="AD35" s="32"/>
      <c r="AE35" s="32"/>
    </row>
    <row r="36" spans="1:31" s="2" customFormat="1" ht="14.45" customHeight="1">
      <c r="A36" s="32"/>
      <c r="B36" s="37"/>
      <c r="C36" s="32"/>
      <c r="D36" s="32"/>
      <c r="E36" s="110" t="s">
        <v>42</v>
      </c>
      <c r="F36" s="121">
        <f>ROUND((SUM(BF87:BF90)),2)</f>
        <v>0</v>
      </c>
      <c r="G36" s="32"/>
      <c r="H36" s="32"/>
      <c r="I36" s="122">
        <v>0.15</v>
      </c>
      <c r="J36" s="121">
        <f>ROUND(((SUM(BF87:BF90))*I36),2)</f>
        <v>0</v>
      </c>
      <c r="K36" s="32"/>
      <c r="L36" s="111"/>
      <c r="S36" s="32"/>
      <c r="T36" s="32"/>
      <c r="U36" s="32"/>
      <c r="V36" s="32"/>
      <c r="W36" s="32"/>
      <c r="X36" s="32"/>
      <c r="Y36" s="32"/>
      <c r="Z36" s="32"/>
      <c r="AA36" s="32"/>
      <c r="AB36" s="32"/>
      <c r="AC36" s="32"/>
      <c r="AD36" s="32"/>
      <c r="AE36" s="32"/>
    </row>
    <row r="37" spans="1:31" s="2" customFormat="1" ht="14.45" customHeight="1" hidden="1">
      <c r="A37" s="32"/>
      <c r="B37" s="37"/>
      <c r="C37" s="32"/>
      <c r="D37" s="32"/>
      <c r="E37" s="110" t="s">
        <v>43</v>
      </c>
      <c r="F37" s="121">
        <f>ROUND((SUM(BG87:BG90)),2)</f>
        <v>0</v>
      </c>
      <c r="G37" s="32"/>
      <c r="H37" s="32"/>
      <c r="I37" s="122">
        <v>0.21</v>
      </c>
      <c r="J37" s="121">
        <f>0</f>
        <v>0</v>
      </c>
      <c r="K37" s="32"/>
      <c r="L37" s="111"/>
      <c r="S37" s="32"/>
      <c r="T37" s="32"/>
      <c r="U37" s="32"/>
      <c r="V37" s="32"/>
      <c r="W37" s="32"/>
      <c r="X37" s="32"/>
      <c r="Y37" s="32"/>
      <c r="Z37" s="32"/>
      <c r="AA37" s="32"/>
      <c r="AB37" s="32"/>
      <c r="AC37" s="32"/>
      <c r="AD37" s="32"/>
      <c r="AE37" s="32"/>
    </row>
    <row r="38" spans="1:31" s="2" customFormat="1" ht="14.45" customHeight="1" hidden="1">
      <c r="A38" s="32"/>
      <c r="B38" s="37"/>
      <c r="C38" s="32"/>
      <c r="D38" s="32"/>
      <c r="E38" s="110" t="s">
        <v>44</v>
      </c>
      <c r="F38" s="121">
        <f>ROUND((SUM(BH87:BH90)),2)</f>
        <v>0</v>
      </c>
      <c r="G38" s="32"/>
      <c r="H38" s="32"/>
      <c r="I38" s="122">
        <v>0.15</v>
      </c>
      <c r="J38" s="121">
        <f>0</f>
        <v>0</v>
      </c>
      <c r="K38" s="32"/>
      <c r="L38" s="111"/>
      <c r="S38" s="32"/>
      <c r="T38" s="32"/>
      <c r="U38" s="32"/>
      <c r="V38" s="32"/>
      <c r="W38" s="32"/>
      <c r="X38" s="32"/>
      <c r="Y38" s="32"/>
      <c r="Z38" s="32"/>
      <c r="AA38" s="32"/>
      <c r="AB38" s="32"/>
      <c r="AC38" s="32"/>
      <c r="AD38" s="32"/>
      <c r="AE38" s="32"/>
    </row>
    <row r="39" spans="1:31" s="2" customFormat="1" ht="14.45" customHeight="1" hidden="1">
      <c r="A39" s="32"/>
      <c r="B39" s="37"/>
      <c r="C39" s="32"/>
      <c r="D39" s="32"/>
      <c r="E39" s="110" t="s">
        <v>45</v>
      </c>
      <c r="F39" s="121">
        <f>ROUND((SUM(BI87:BI90)),2)</f>
        <v>0</v>
      </c>
      <c r="G39" s="32"/>
      <c r="H39" s="32"/>
      <c r="I39" s="122">
        <v>0</v>
      </c>
      <c r="J39" s="121">
        <f>0</f>
        <v>0</v>
      </c>
      <c r="K39" s="32"/>
      <c r="L39" s="111"/>
      <c r="S39" s="32"/>
      <c r="T39" s="32"/>
      <c r="U39" s="32"/>
      <c r="V39" s="32"/>
      <c r="W39" s="32"/>
      <c r="X39" s="32"/>
      <c r="Y39" s="32"/>
      <c r="Z39" s="32"/>
      <c r="AA39" s="32"/>
      <c r="AB39" s="32"/>
      <c r="AC39" s="32"/>
      <c r="AD39" s="32"/>
      <c r="AE39" s="32"/>
    </row>
    <row r="40" spans="1:31" s="2" customFormat="1" ht="6.95" customHeight="1">
      <c r="A40" s="32"/>
      <c r="B40" s="37"/>
      <c r="C40" s="32"/>
      <c r="D40" s="32"/>
      <c r="E40" s="32"/>
      <c r="F40" s="32"/>
      <c r="G40" s="32"/>
      <c r="H40" s="32"/>
      <c r="I40" s="32"/>
      <c r="J40" s="32"/>
      <c r="K40" s="32"/>
      <c r="L40" s="111"/>
      <c r="S40" s="32"/>
      <c r="T40" s="32"/>
      <c r="U40" s="32"/>
      <c r="V40" s="32"/>
      <c r="W40" s="32"/>
      <c r="X40" s="32"/>
      <c r="Y40" s="32"/>
      <c r="Z40" s="32"/>
      <c r="AA40" s="32"/>
      <c r="AB40" s="32"/>
      <c r="AC40" s="32"/>
      <c r="AD40" s="32"/>
      <c r="AE40" s="32"/>
    </row>
    <row r="41" spans="1:31" s="2" customFormat="1" ht="25.35" customHeight="1">
      <c r="A41" s="32"/>
      <c r="B41" s="37"/>
      <c r="C41" s="123"/>
      <c r="D41" s="124" t="s">
        <v>46</v>
      </c>
      <c r="E41" s="125"/>
      <c r="F41" s="125"/>
      <c r="G41" s="126" t="s">
        <v>47</v>
      </c>
      <c r="H41" s="127" t="s">
        <v>48</v>
      </c>
      <c r="I41" s="125"/>
      <c r="J41" s="128">
        <f>SUM(J32:J39)</f>
        <v>0</v>
      </c>
      <c r="K41" s="129"/>
      <c r="L41" s="111"/>
      <c r="S41" s="32"/>
      <c r="T41" s="32"/>
      <c r="U41" s="32"/>
      <c r="V41" s="32"/>
      <c r="W41" s="32"/>
      <c r="X41" s="32"/>
      <c r="Y41" s="32"/>
      <c r="Z41" s="32"/>
      <c r="AA41" s="32"/>
      <c r="AB41" s="32"/>
      <c r="AC41" s="32"/>
      <c r="AD41" s="32"/>
      <c r="AE41" s="32"/>
    </row>
    <row r="42" spans="1:31" s="2" customFormat="1" ht="14.45" customHeight="1">
      <c r="A42" s="32"/>
      <c r="B42" s="130"/>
      <c r="C42" s="131"/>
      <c r="D42" s="131"/>
      <c r="E42" s="131"/>
      <c r="F42" s="131"/>
      <c r="G42" s="131"/>
      <c r="H42" s="131"/>
      <c r="I42" s="131"/>
      <c r="J42" s="131"/>
      <c r="K42" s="131"/>
      <c r="L42" s="111"/>
      <c r="S42" s="32"/>
      <c r="T42" s="32"/>
      <c r="U42" s="32"/>
      <c r="V42" s="32"/>
      <c r="W42" s="32"/>
      <c r="X42" s="32"/>
      <c r="Y42" s="32"/>
      <c r="Z42" s="32"/>
      <c r="AA42" s="32"/>
      <c r="AB42" s="32"/>
      <c r="AC42" s="32"/>
      <c r="AD42" s="32"/>
      <c r="AE42" s="32"/>
    </row>
    <row r="46" spans="1:31" s="2" customFormat="1" ht="6.95" customHeight="1">
      <c r="A46" s="32"/>
      <c r="B46" s="132"/>
      <c r="C46" s="133"/>
      <c r="D46" s="133"/>
      <c r="E46" s="133"/>
      <c r="F46" s="133"/>
      <c r="G46" s="133"/>
      <c r="H46" s="133"/>
      <c r="I46" s="133"/>
      <c r="J46" s="133"/>
      <c r="K46" s="133"/>
      <c r="L46" s="111"/>
      <c r="S46" s="32"/>
      <c r="T46" s="32"/>
      <c r="U46" s="32"/>
      <c r="V46" s="32"/>
      <c r="W46" s="32"/>
      <c r="X46" s="32"/>
      <c r="Y46" s="32"/>
      <c r="Z46" s="32"/>
      <c r="AA46" s="32"/>
      <c r="AB46" s="32"/>
      <c r="AC46" s="32"/>
      <c r="AD46" s="32"/>
      <c r="AE46" s="32"/>
    </row>
    <row r="47" spans="1:31" s="2" customFormat="1" ht="24.95" customHeight="1">
      <c r="A47" s="32"/>
      <c r="B47" s="33"/>
      <c r="C47" s="21" t="s">
        <v>147</v>
      </c>
      <c r="D47" s="34"/>
      <c r="E47" s="34"/>
      <c r="F47" s="34"/>
      <c r="G47" s="34"/>
      <c r="H47" s="34"/>
      <c r="I47" s="34"/>
      <c r="J47" s="34"/>
      <c r="K47" s="34"/>
      <c r="L47" s="111"/>
      <c r="S47" s="32"/>
      <c r="T47" s="32"/>
      <c r="U47" s="32"/>
      <c r="V47" s="32"/>
      <c r="W47" s="32"/>
      <c r="X47" s="32"/>
      <c r="Y47" s="32"/>
      <c r="Z47" s="32"/>
      <c r="AA47" s="32"/>
      <c r="AB47" s="32"/>
      <c r="AC47" s="32"/>
      <c r="AD47" s="32"/>
      <c r="AE47" s="32"/>
    </row>
    <row r="48" spans="1:31" s="2" customFormat="1" ht="6.95" customHeight="1">
      <c r="A48" s="32"/>
      <c r="B48" s="33"/>
      <c r="C48" s="34"/>
      <c r="D48" s="34"/>
      <c r="E48" s="34"/>
      <c r="F48" s="34"/>
      <c r="G48" s="34"/>
      <c r="H48" s="34"/>
      <c r="I48" s="34"/>
      <c r="J48" s="34"/>
      <c r="K48" s="34"/>
      <c r="L48" s="111"/>
      <c r="S48" s="32"/>
      <c r="T48" s="32"/>
      <c r="U48" s="32"/>
      <c r="V48" s="32"/>
      <c r="W48" s="32"/>
      <c r="X48" s="32"/>
      <c r="Y48" s="32"/>
      <c r="Z48" s="32"/>
      <c r="AA48" s="32"/>
      <c r="AB48" s="32"/>
      <c r="AC48" s="32"/>
      <c r="AD48" s="32"/>
      <c r="AE48" s="32"/>
    </row>
    <row r="49" spans="1:31" s="2" customFormat="1" ht="12" customHeight="1">
      <c r="A49" s="32"/>
      <c r="B49" s="33"/>
      <c r="C49" s="27" t="s">
        <v>16</v>
      </c>
      <c r="D49" s="34"/>
      <c r="E49" s="34"/>
      <c r="F49" s="34"/>
      <c r="G49" s="34"/>
      <c r="H49" s="34"/>
      <c r="I49" s="34"/>
      <c r="J49" s="34"/>
      <c r="K49" s="34"/>
      <c r="L49" s="111"/>
      <c r="S49" s="32"/>
      <c r="T49" s="32"/>
      <c r="U49" s="32"/>
      <c r="V49" s="32"/>
      <c r="W49" s="32"/>
      <c r="X49" s="32"/>
      <c r="Y49" s="32"/>
      <c r="Z49" s="32"/>
      <c r="AA49" s="32"/>
      <c r="AB49" s="32"/>
      <c r="AC49" s="32"/>
      <c r="AD49" s="32"/>
      <c r="AE49" s="32"/>
    </row>
    <row r="50" spans="1:31" s="2" customFormat="1" ht="14.45" customHeight="1">
      <c r="A50" s="32"/>
      <c r="B50" s="33"/>
      <c r="C50" s="34"/>
      <c r="D50" s="34"/>
      <c r="E50" s="700" t="str">
        <f>E7</f>
        <v>Úpravy gastroprovozu Úřadu vlády ČR v 1.pp Strakovy akademie</v>
      </c>
      <c r="F50" s="701"/>
      <c r="G50" s="701"/>
      <c r="H50" s="701"/>
      <c r="I50" s="34"/>
      <c r="J50" s="34"/>
      <c r="K50" s="34"/>
      <c r="L50" s="111"/>
      <c r="S50" s="32"/>
      <c r="T50" s="32"/>
      <c r="U50" s="32"/>
      <c r="V50" s="32"/>
      <c r="W50" s="32"/>
      <c r="X50" s="32"/>
      <c r="Y50" s="32"/>
      <c r="Z50" s="32"/>
      <c r="AA50" s="32"/>
      <c r="AB50" s="32"/>
      <c r="AC50" s="32"/>
      <c r="AD50" s="32"/>
      <c r="AE50" s="32"/>
    </row>
    <row r="51" spans="2:12" s="1" customFormat="1" ht="12" customHeight="1">
      <c r="B51" s="19"/>
      <c r="C51" s="27" t="s">
        <v>142</v>
      </c>
      <c r="D51" s="20"/>
      <c r="E51" s="20"/>
      <c r="F51" s="20"/>
      <c r="G51" s="20"/>
      <c r="H51" s="20"/>
      <c r="I51" s="20"/>
      <c r="J51" s="20"/>
      <c r="K51" s="20"/>
      <c r="L51" s="18"/>
    </row>
    <row r="52" spans="1:31" s="2" customFormat="1" ht="14.45" customHeight="1">
      <c r="A52" s="32"/>
      <c r="B52" s="33"/>
      <c r="C52" s="34"/>
      <c r="D52" s="34"/>
      <c r="E52" s="700" t="s">
        <v>1429</v>
      </c>
      <c r="F52" s="699"/>
      <c r="G52" s="699"/>
      <c r="H52" s="699"/>
      <c r="I52" s="34"/>
      <c r="J52" s="34"/>
      <c r="K52" s="34"/>
      <c r="L52" s="111"/>
      <c r="S52" s="32"/>
      <c r="T52" s="32"/>
      <c r="U52" s="32"/>
      <c r="V52" s="32"/>
      <c r="W52" s="32"/>
      <c r="X52" s="32"/>
      <c r="Y52" s="32"/>
      <c r="Z52" s="32"/>
      <c r="AA52" s="32"/>
      <c r="AB52" s="32"/>
      <c r="AC52" s="32"/>
      <c r="AD52" s="32"/>
      <c r="AE52" s="32"/>
    </row>
    <row r="53" spans="1:31" s="2" customFormat="1" ht="12" customHeight="1">
      <c r="A53" s="32"/>
      <c r="B53" s="33"/>
      <c r="C53" s="27" t="s">
        <v>144</v>
      </c>
      <c r="D53" s="34"/>
      <c r="E53" s="34"/>
      <c r="F53" s="34"/>
      <c r="G53" s="34"/>
      <c r="H53" s="34"/>
      <c r="I53" s="34"/>
      <c r="J53" s="34"/>
      <c r="K53" s="34"/>
      <c r="L53" s="111"/>
      <c r="S53" s="32"/>
      <c r="T53" s="32"/>
      <c r="U53" s="32"/>
      <c r="V53" s="32"/>
      <c r="W53" s="32"/>
      <c r="X53" s="32"/>
      <c r="Y53" s="32"/>
      <c r="Z53" s="32"/>
      <c r="AA53" s="32"/>
      <c r="AB53" s="32"/>
      <c r="AC53" s="32"/>
      <c r="AD53" s="32"/>
      <c r="AE53" s="32"/>
    </row>
    <row r="54" spans="1:31" s="2" customFormat="1" ht="14.45" customHeight="1">
      <c r="A54" s="32"/>
      <c r="B54" s="33"/>
      <c r="C54" s="34"/>
      <c r="D54" s="34"/>
      <c r="E54" s="696" t="str">
        <f>E11</f>
        <v>D.1.4.03 - Soupis prací - Elektroinstalace silnoproud</v>
      </c>
      <c r="F54" s="699"/>
      <c r="G54" s="699"/>
      <c r="H54" s="699"/>
      <c r="I54" s="34"/>
      <c r="J54" s="34"/>
      <c r="K54" s="34"/>
      <c r="L54" s="111"/>
      <c r="S54" s="32"/>
      <c r="T54" s="32"/>
      <c r="U54" s="32"/>
      <c r="V54" s="32"/>
      <c r="W54" s="32"/>
      <c r="X54" s="32"/>
      <c r="Y54" s="32"/>
      <c r="Z54" s="32"/>
      <c r="AA54" s="32"/>
      <c r="AB54" s="32"/>
      <c r="AC54" s="32"/>
      <c r="AD54" s="32"/>
      <c r="AE54" s="32"/>
    </row>
    <row r="55" spans="1:31" s="2" customFormat="1" ht="6.95" customHeight="1">
      <c r="A55" s="32"/>
      <c r="B55" s="33"/>
      <c r="C55" s="34"/>
      <c r="D55" s="34"/>
      <c r="E55" s="34"/>
      <c r="F55" s="34"/>
      <c r="G55" s="34"/>
      <c r="H55" s="34"/>
      <c r="I55" s="34"/>
      <c r="J55" s="34"/>
      <c r="K55" s="34"/>
      <c r="L55" s="111"/>
      <c r="S55" s="32"/>
      <c r="T55" s="32"/>
      <c r="U55" s="32"/>
      <c r="V55" s="32"/>
      <c r="W55" s="32"/>
      <c r="X55" s="32"/>
      <c r="Y55" s="32"/>
      <c r="Z55" s="32"/>
      <c r="AA55" s="32"/>
      <c r="AB55" s="32"/>
      <c r="AC55" s="32"/>
      <c r="AD55" s="32"/>
      <c r="AE55" s="32"/>
    </row>
    <row r="56" spans="1:31" s="2" customFormat="1" ht="12" customHeight="1">
      <c r="A56" s="32"/>
      <c r="B56" s="33"/>
      <c r="C56" s="27" t="s">
        <v>21</v>
      </c>
      <c r="D56" s="34"/>
      <c r="E56" s="34"/>
      <c r="F56" s="25" t="str">
        <f>F14</f>
        <v xml:space="preserve"> </v>
      </c>
      <c r="G56" s="34"/>
      <c r="H56" s="34"/>
      <c r="I56" s="27" t="s">
        <v>23</v>
      </c>
      <c r="J56" s="57" t="str">
        <f>IF(J14="","",J14)</f>
        <v>Vyplň údaj</v>
      </c>
      <c r="K56" s="34"/>
      <c r="L56" s="111"/>
      <c r="S56" s="32"/>
      <c r="T56" s="32"/>
      <c r="U56" s="32"/>
      <c r="V56" s="32"/>
      <c r="W56" s="32"/>
      <c r="X56" s="32"/>
      <c r="Y56" s="32"/>
      <c r="Z56" s="32"/>
      <c r="AA56" s="32"/>
      <c r="AB56" s="32"/>
      <c r="AC56" s="32"/>
      <c r="AD56" s="32"/>
      <c r="AE56" s="32"/>
    </row>
    <row r="57" spans="1:31" s="2" customFormat="1" ht="6.95" customHeight="1">
      <c r="A57" s="32"/>
      <c r="B57" s="33"/>
      <c r="C57" s="34"/>
      <c r="D57" s="34"/>
      <c r="E57" s="34"/>
      <c r="F57" s="34"/>
      <c r="G57" s="34"/>
      <c r="H57" s="34"/>
      <c r="I57" s="34"/>
      <c r="J57" s="34"/>
      <c r="K57" s="34"/>
      <c r="L57" s="111"/>
      <c r="S57" s="32"/>
      <c r="T57" s="32"/>
      <c r="U57" s="32"/>
      <c r="V57" s="32"/>
      <c r="W57" s="32"/>
      <c r="X57" s="32"/>
      <c r="Y57" s="32"/>
      <c r="Z57" s="32"/>
      <c r="AA57" s="32"/>
      <c r="AB57" s="32"/>
      <c r="AC57" s="32"/>
      <c r="AD57" s="32"/>
      <c r="AE57" s="32"/>
    </row>
    <row r="58" spans="1:31" s="2" customFormat="1" ht="26.45" customHeight="1">
      <c r="A58" s="32"/>
      <c r="B58" s="33"/>
      <c r="C58" s="27" t="s">
        <v>24</v>
      </c>
      <c r="D58" s="34"/>
      <c r="E58" s="34"/>
      <c r="F58" s="25" t="str">
        <f>E17</f>
        <v xml:space="preserve">Úřad vlády České republiky </v>
      </c>
      <c r="G58" s="34"/>
      <c r="H58" s="34"/>
      <c r="I58" s="27" t="s">
        <v>30</v>
      </c>
      <c r="J58" s="30" t="str">
        <f>E23</f>
        <v>Ateliér Simona Group</v>
      </c>
      <c r="K58" s="34"/>
      <c r="L58" s="111"/>
      <c r="S58" s="32"/>
      <c r="T58" s="32"/>
      <c r="U58" s="32"/>
      <c r="V58" s="32"/>
      <c r="W58" s="32"/>
      <c r="X58" s="32"/>
      <c r="Y58" s="32"/>
      <c r="Z58" s="32"/>
      <c r="AA58" s="32"/>
      <c r="AB58" s="32"/>
      <c r="AC58" s="32"/>
      <c r="AD58" s="32"/>
      <c r="AE58" s="32"/>
    </row>
    <row r="59" spans="1:31" s="2" customFormat="1" ht="26.45" customHeight="1">
      <c r="A59" s="32"/>
      <c r="B59" s="33"/>
      <c r="C59" s="27" t="s">
        <v>28</v>
      </c>
      <c r="D59" s="34"/>
      <c r="E59" s="34"/>
      <c r="F59" s="25" t="str">
        <f>IF(E20="","",E20)</f>
        <v>Vyplň údaj</v>
      </c>
      <c r="G59" s="34"/>
      <c r="H59" s="34"/>
      <c r="I59" s="27" t="s">
        <v>33</v>
      </c>
      <c r="J59" s="30" t="str">
        <f>E26</f>
        <v>Ateliér Simona Group</v>
      </c>
      <c r="K59" s="34"/>
      <c r="L59" s="111"/>
      <c r="S59" s="32"/>
      <c r="T59" s="32"/>
      <c r="U59" s="32"/>
      <c r="V59" s="32"/>
      <c r="W59" s="32"/>
      <c r="X59" s="32"/>
      <c r="Y59" s="32"/>
      <c r="Z59" s="32"/>
      <c r="AA59" s="32"/>
      <c r="AB59" s="32"/>
      <c r="AC59" s="32"/>
      <c r="AD59" s="32"/>
      <c r="AE59" s="32"/>
    </row>
    <row r="60" spans="1:31" s="2" customFormat="1" ht="10.35" customHeight="1">
      <c r="A60" s="32"/>
      <c r="B60" s="33"/>
      <c r="C60" s="34"/>
      <c r="D60" s="34"/>
      <c r="E60" s="34"/>
      <c r="F60" s="34"/>
      <c r="G60" s="34"/>
      <c r="H60" s="34"/>
      <c r="I60" s="34"/>
      <c r="J60" s="34"/>
      <c r="K60" s="34"/>
      <c r="L60" s="111"/>
      <c r="S60" s="32"/>
      <c r="T60" s="32"/>
      <c r="U60" s="32"/>
      <c r="V60" s="32"/>
      <c r="W60" s="32"/>
      <c r="X60" s="32"/>
      <c r="Y60" s="32"/>
      <c r="Z60" s="32"/>
      <c r="AA60" s="32"/>
      <c r="AB60" s="32"/>
      <c r="AC60" s="32"/>
      <c r="AD60" s="32"/>
      <c r="AE60" s="32"/>
    </row>
    <row r="61" spans="1:31" s="2" customFormat="1" ht="29.25" customHeight="1">
      <c r="A61" s="32"/>
      <c r="B61" s="33"/>
      <c r="C61" s="134" t="s">
        <v>148</v>
      </c>
      <c r="D61" s="135"/>
      <c r="E61" s="135"/>
      <c r="F61" s="135"/>
      <c r="G61" s="135"/>
      <c r="H61" s="135"/>
      <c r="I61" s="135"/>
      <c r="J61" s="136" t="s">
        <v>149</v>
      </c>
      <c r="K61" s="135"/>
      <c r="L61" s="111"/>
      <c r="S61" s="32"/>
      <c r="T61" s="32"/>
      <c r="U61" s="32"/>
      <c r="V61" s="32"/>
      <c r="W61" s="32"/>
      <c r="X61" s="32"/>
      <c r="Y61" s="32"/>
      <c r="Z61" s="32"/>
      <c r="AA61" s="32"/>
      <c r="AB61" s="32"/>
      <c r="AC61" s="32"/>
      <c r="AD61" s="32"/>
      <c r="AE61" s="32"/>
    </row>
    <row r="62" spans="1:31" s="2" customFormat="1" ht="10.35" customHeight="1">
      <c r="A62" s="32"/>
      <c r="B62" s="33"/>
      <c r="C62" s="34"/>
      <c r="D62" s="34"/>
      <c r="E62" s="34"/>
      <c r="F62" s="34"/>
      <c r="G62" s="34"/>
      <c r="H62" s="34"/>
      <c r="I62" s="34"/>
      <c r="J62" s="34"/>
      <c r="K62" s="34"/>
      <c r="L62" s="111"/>
      <c r="S62" s="32"/>
      <c r="T62" s="32"/>
      <c r="U62" s="32"/>
      <c r="V62" s="32"/>
      <c r="W62" s="32"/>
      <c r="X62" s="32"/>
      <c r="Y62" s="32"/>
      <c r="Z62" s="32"/>
      <c r="AA62" s="32"/>
      <c r="AB62" s="32"/>
      <c r="AC62" s="32"/>
      <c r="AD62" s="32"/>
      <c r="AE62" s="32"/>
    </row>
    <row r="63" spans="1:47" s="2" customFormat="1" ht="22.9" customHeight="1">
      <c r="A63" s="32"/>
      <c r="B63" s="33"/>
      <c r="C63" s="137" t="s">
        <v>68</v>
      </c>
      <c r="D63" s="34"/>
      <c r="E63" s="34"/>
      <c r="F63" s="34"/>
      <c r="G63" s="34"/>
      <c r="H63" s="34"/>
      <c r="I63" s="34"/>
      <c r="J63" s="75">
        <f>J87</f>
        <v>0</v>
      </c>
      <c r="K63" s="34"/>
      <c r="L63" s="111"/>
      <c r="S63" s="32"/>
      <c r="T63" s="32"/>
      <c r="U63" s="32"/>
      <c r="V63" s="32"/>
      <c r="W63" s="32"/>
      <c r="X63" s="32"/>
      <c r="Y63" s="32"/>
      <c r="Z63" s="32"/>
      <c r="AA63" s="32"/>
      <c r="AB63" s="32"/>
      <c r="AC63" s="32"/>
      <c r="AD63" s="32"/>
      <c r="AE63" s="32"/>
      <c r="AU63" s="15" t="s">
        <v>150</v>
      </c>
    </row>
    <row r="64" spans="2:12" s="9" customFormat="1" ht="24.95" customHeight="1">
      <c r="B64" s="138"/>
      <c r="C64" s="139"/>
      <c r="D64" s="140" t="s">
        <v>161</v>
      </c>
      <c r="E64" s="141"/>
      <c r="F64" s="141"/>
      <c r="G64" s="141"/>
      <c r="H64" s="141"/>
      <c r="I64" s="141"/>
      <c r="J64" s="142">
        <f>J88</f>
        <v>0</v>
      </c>
      <c r="K64" s="139"/>
      <c r="L64" s="143"/>
    </row>
    <row r="65" spans="2:12" s="10" customFormat="1" ht="19.9" customHeight="1">
      <c r="B65" s="144"/>
      <c r="C65" s="95"/>
      <c r="D65" s="145" t="s">
        <v>164</v>
      </c>
      <c r="E65" s="146"/>
      <c r="F65" s="146"/>
      <c r="G65" s="146"/>
      <c r="H65" s="146"/>
      <c r="I65" s="146"/>
      <c r="J65" s="147">
        <f>J89</f>
        <v>0</v>
      </c>
      <c r="K65" s="95"/>
      <c r="L65" s="148"/>
    </row>
    <row r="66" spans="1:31" s="2" customFormat="1" ht="21.75" customHeight="1">
      <c r="A66" s="32"/>
      <c r="B66" s="33"/>
      <c r="C66" s="34"/>
      <c r="D66" s="34"/>
      <c r="E66" s="34"/>
      <c r="F66" s="34"/>
      <c r="G66" s="34"/>
      <c r="H66" s="34"/>
      <c r="I66" s="34"/>
      <c r="J66" s="34"/>
      <c r="K66" s="34"/>
      <c r="L66" s="111"/>
      <c r="S66" s="32"/>
      <c r="T66" s="32"/>
      <c r="U66" s="32"/>
      <c r="V66" s="32"/>
      <c r="W66" s="32"/>
      <c r="X66" s="32"/>
      <c r="Y66" s="32"/>
      <c r="Z66" s="32"/>
      <c r="AA66" s="32"/>
      <c r="AB66" s="32"/>
      <c r="AC66" s="32"/>
      <c r="AD66" s="32"/>
      <c r="AE66" s="32"/>
    </row>
    <row r="67" spans="1:31" s="2" customFormat="1" ht="6.95" customHeight="1">
      <c r="A67" s="32"/>
      <c r="B67" s="45"/>
      <c r="C67" s="46"/>
      <c r="D67" s="46"/>
      <c r="E67" s="46"/>
      <c r="F67" s="46"/>
      <c r="G67" s="46"/>
      <c r="H67" s="46"/>
      <c r="I67" s="46"/>
      <c r="J67" s="46"/>
      <c r="K67" s="46"/>
      <c r="L67" s="111"/>
      <c r="S67" s="32"/>
      <c r="T67" s="32"/>
      <c r="U67" s="32"/>
      <c r="V67" s="32"/>
      <c r="W67" s="32"/>
      <c r="X67" s="32"/>
      <c r="Y67" s="32"/>
      <c r="Z67" s="32"/>
      <c r="AA67" s="32"/>
      <c r="AB67" s="32"/>
      <c r="AC67" s="32"/>
      <c r="AD67" s="32"/>
      <c r="AE67" s="32"/>
    </row>
    <row r="71" spans="1:31" s="2" customFormat="1" ht="6.95" customHeight="1">
      <c r="A71" s="32"/>
      <c r="B71" s="47"/>
      <c r="C71" s="48"/>
      <c r="D71" s="48"/>
      <c r="E71" s="48"/>
      <c r="F71" s="48"/>
      <c r="G71" s="48"/>
      <c r="H71" s="48"/>
      <c r="I71" s="48"/>
      <c r="J71" s="48"/>
      <c r="K71" s="48"/>
      <c r="L71" s="111"/>
      <c r="S71" s="32"/>
      <c r="T71" s="32"/>
      <c r="U71" s="32"/>
      <c r="V71" s="32"/>
      <c r="W71" s="32"/>
      <c r="X71" s="32"/>
      <c r="Y71" s="32"/>
      <c r="Z71" s="32"/>
      <c r="AA71" s="32"/>
      <c r="AB71" s="32"/>
      <c r="AC71" s="32"/>
      <c r="AD71" s="32"/>
      <c r="AE71" s="32"/>
    </row>
    <row r="72" spans="1:31" s="2" customFormat="1" ht="24.95" customHeight="1">
      <c r="A72" s="32"/>
      <c r="B72" s="33"/>
      <c r="C72" s="21" t="s">
        <v>181</v>
      </c>
      <c r="D72" s="34"/>
      <c r="E72" s="34"/>
      <c r="F72" s="34"/>
      <c r="G72" s="34"/>
      <c r="H72" s="34"/>
      <c r="I72" s="34"/>
      <c r="J72" s="34"/>
      <c r="K72" s="34"/>
      <c r="L72" s="111"/>
      <c r="S72" s="32"/>
      <c r="T72" s="32"/>
      <c r="U72" s="32"/>
      <c r="V72" s="32"/>
      <c r="W72" s="32"/>
      <c r="X72" s="32"/>
      <c r="Y72" s="32"/>
      <c r="Z72" s="32"/>
      <c r="AA72" s="32"/>
      <c r="AB72" s="32"/>
      <c r="AC72" s="32"/>
      <c r="AD72" s="32"/>
      <c r="AE72" s="32"/>
    </row>
    <row r="73" spans="1:31" s="2" customFormat="1" ht="6.95" customHeight="1">
      <c r="A73" s="32"/>
      <c r="B73" s="33"/>
      <c r="C73" s="34"/>
      <c r="D73" s="34"/>
      <c r="E73" s="34"/>
      <c r="F73" s="34"/>
      <c r="G73" s="34"/>
      <c r="H73" s="34"/>
      <c r="I73" s="34"/>
      <c r="J73" s="34"/>
      <c r="K73" s="34"/>
      <c r="L73" s="111"/>
      <c r="S73" s="32"/>
      <c r="T73" s="32"/>
      <c r="U73" s="32"/>
      <c r="V73" s="32"/>
      <c r="W73" s="32"/>
      <c r="X73" s="32"/>
      <c r="Y73" s="32"/>
      <c r="Z73" s="32"/>
      <c r="AA73" s="32"/>
      <c r="AB73" s="32"/>
      <c r="AC73" s="32"/>
      <c r="AD73" s="32"/>
      <c r="AE73" s="32"/>
    </row>
    <row r="74" spans="1:31" s="2" customFormat="1" ht="12" customHeight="1">
      <c r="A74" s="32"/>
      <c r="B74" s="33"/>
      <c r="C74" s="27" t="s">
        <v>16</v>
      </c>
      <c r="D74" s="34"/>
      <c r="E74" s="34"/>
      <c r="F74" s="34"/>
      <c r="G74" s="34"/>
      <c r="H74" s="34"/>
      <c r="I74" s="34"/>
      <c r="J74" s="34"/>
      <c r="K74" s="34"/>
      <c r="L74" s="111"/>
      <c r="S74" s="32"/>
      <c r="T74" s="32"/>
      <c r="U74" s="32"/>
      <c r="V74" s="32"/>
      <c r="W74" s="32"/>
      <c r="X74" s="32"/>
      <c r="Y74" s="32"/>
      <c r="Z74" s="32"/>
      <c r="AA74" s="32"/>
      <c r="AB74" s="32"/>
      <c r="AC74" s="32"/>
      <c r="AD74" s="32"/>
      <c r="AE74" s="32"/>
    </row>
    <row r="75" spans="1:31" s="2" customFormat="1" ht="14.45" customHeight="1">
      <c r="A75" s="32"/>
      <c r="B75" s="33"/>
      <c r="C75" s="34"/>
      <c r="D75" s="34"/>
      <c r="E75" s="700" t="str">
        <f>E7</f>
        <v>Úpravy gastroprovozu Úřadu vlády ČR v 1.pp Strakovy akademie</v>
      </c>
      <c r="F75" s="701"/>
      <c r="G75" s="701"/>
      <c r="H75" s="701"/>
      <c r="I75" s="34"/>
      <c r="J75" s="34"/>
      <c r="K75" s="34"/>
      <c r="L75" s="111"/>
      <c r="S75" s="32"/>
      <c r="T75" s="32"/>
      <c r="U75" s="32"/>
      <c r="V75" s="32"/>
      <c r="W75" s="32"/>
      <c r="X75" s="32"/>
      <c r="Y75" s="32"/>
      <c r="Z75" s="32"/>
      <c r="AA75" s="32"/>
      <c r="AB75" s="32"/>
      <c r="AC75" s="32"/>
      <c r="AD75" s="32"/>
      <c r="AE75" s="32"/>
    </row>
    <row r="76" spans="2:12" s="1" customFormat="1" ht="12" customHeight="1">
      <c r="B76" s="19"/>
      <c r="C76" s="27" t="s">
        <v>142</v>
      </c>
      <c r="D76" s="20"/>
      <c r="E76" s="20"/>
      <c r="F76" s="20"/>
      <c r="G76" s="20"/>
      <c r="H76" s="20"/>
      <c r="I76" s="20"/>
      <c r="J76" s="20"/>
      <c r="K76" s="20"/>
      <c r="L76" s="18"/>
    </row>
    <row r="77" spans="1:31" s="2" customFormat="1" ht="14.45" customHeight="1">
      <c r="A77" s="32"/>
      <c r="B77" s="33"/>
      <c r="C77" s="34"/>
      <c r="D77" s="34"/>
      <c r="E77" s="700" t="s">
        <v>1429</v>
      </c>
      <c r="F77" s="699"/>
      <c r="G77" s="699"/>
      <c r="H77" s="699"/>
      <c r="I77" s="34"/>
      <c r="J77" s="34"/>
      <c r="K77" s="34"/>
      <c r="L77" s="111"/>
      <c r="S77" s="32"/>
      <c r="T77" s="32"/>
      <c r="U77" s="32"/>
      <c r="V77" s="32"/>
      <c r="W77" s="32"/>
      <c r="X77" s="32"/>
      <c r="Y77" s="32"/>
      <c r="Z77" s="32"/>
      <c r="AA77" s="32"/>
      <c r="AB77" s="32"/>
      <c r="AC77" s="32"/>
      <c r="AD77" s="32"/>
      <c r="AE77" s="32"/>
    </row>
    <row r="78" spans="1:31" s="2" customFormat="1" ht="12" customHeight="1">
      <c r="A78" s="32"/>
      <c r="B78" s="33"/>
      <c r="C78" s="27" t="s">
        <v>144</v>
      </c>
      <c r="D78" s="34"/>
      <c r="E78" s="34"/>
      <c r="F78" s="34"/>
      <c r="G78" s="34"/>
      <c r="H78" s="34"/>
      <c r="I78" s="34"/>
      <c r="J78" s="34"/>
      <c r="K78" s="34"/>
      <c r="L78" s="111"/>
      <c r="S78" s="32"/>
      <c r="T78" s="32"/>
      <c r="U78" s="32"/>
      <c r="V78" s="32"/>
      <c r="W78" s="32"/>
      <c r="X78" s="32"/>
      <c r="Y78" s="32"/>
      <c r="Z78" s="32"/>
      <c r="AA78" s="32"/>
      <c r="AB78" s="32"/>
      <c r="AC78" s="32"/>
      <c r="AD78" s="32"/>
      <c r="AE78" s="32"/>
    </row>
    <row r="79" spans="1:31" s="2" customFormat="1" ht="14.45" customHeight="1">
      <c r="A79" s="32"/>
      <c r="B79" s="33"/>
      <c r="C79" s="34"/>
      <c r="D79" s="34"/>
      <c r="E79" s="696" t="str">
        <f>E11</f>
        <v>D.1.4.03 - Soupis prací - Elektroinstalace silnoproud</v>
      </c>
      <c r="F79" s="699"/>
      <c r="G79" s="699"/>
      <c r="H79" s="699"/>
      <c r="I79" s="34"/>
      <c r="J79" s="34"/>
      <c r="K79" s="34"/>
      <c r="L79" s="111"/>
      <c r="S79" s="32"/>
      <c r="T79" s="32"/>
      <c r="U79" s="32"/>
      <c r="V79" s="32"/>
      <c r="W79" s="32"/>
      <c r="X79" s="32"/>
      <c r="Y79" s="32"/>
      <c r="Z79" s="32"/>
      <c r="AA79" s="32"/>
      <c r="AB79" s="32"/>
      <c r="AC79" s="32"/>
      <c r="AD79" s="32"/>
      <c r="AE79" s="32"/>
    </row>
    <row r="80" spans="1:31" s="2" customFormat="1" ht="6.95" customHeight="1">
      <c r="A80" s="32"/>
      <c r="B80" s="33"/>
      <c r="C80" s="34"/>
      <c r="D80" s="34"/>
      <c r="E80" s="34"/>
      <c r="F80" s="34"/>
      <c r="G80" s="34"/>
      <c r="H80" s="34"/>
      <c r="I80" s="34"/>
      <c r="J80" s="34"/>
      <c r="K80" s="34"/>
      <c r="L80" s="111"/>
      <c r="S80" s="32"/>
      <c r="T80" s="32"/>
      <c r="U80" s="32"/>
      <c r="V80" s="32"/>
      <c r="W80" s="32"/>
      <c r="X80" s="32"/>
      <c r="Y80" s="32"/>
      <c r="Z80" s="32"/>
      <c r="AA80" s="32"/>
      <c r="AB80" s="32"/>
      <c r="AC80" s="32"/>
      <c r="AD80" s="32"/>
      <c r="AE80" s="32"/>
    </row>
    <row r="81" spans="1:31" s="2" customFormat="1" ht="12" customHeight="1">
      <c r="A81" s="32"/>
      <c r="B81" s="33"/>
      <c r="C81" s="27" t="s">
        <v>21</v>
      </c>
      <c r="D81" s="34"/>
      <c r="E81" s="34"/>
      <c r="F81" s="25" t="str">
        <f>F14</f>
        <v xml:space="preserve"> </v>
      </c>
      <c r="G81" s="34"/>
      <c r="H81" s="34"/>
      <c r="I81" s="27" t="s">
        <v>23</v>
      </c>
      <c r="J81" s="57" t="str">
        <f>IF(J14="","",J14)</f>
        <v>Vyplň údaj</v>
      </c>
      <c r="K81" s="34"/>
      <c r="L81" s="111"/>
      <c r="S81" s="32"/>
      <c r="T81" s="32"/>
      <c r="U81" s="32"/>
      <c r="V81" s="32"/>
      <c r="W81" s="32"/>
      <c r="X81" s="32"/>
      <c r="Y81" s="32"/>
      <c r="Z81" s="32"/>
      <c r="AA81" s="32"/>
      <c r="AB81" s="32"/>
      <c r="AC81" s="32"/>
      <c r="AD81" s="32"/>
      <c r="AE81" s="32"/>
    </row>
    <row r="82" spans="1:31" s="2" customFormat="1" ht="6.95" customHeight="1">
      <c r="A82" s="32"/>
      <c r="B82" s="33"/>
      <c r="C82" s="34"/>
      <c r="D82" s="34"/>
      <c r="E82" s="34"/>
      <c r="F82" s="34"/>
      <c r="G82" s="34"/>
      <c r="H82" s="34"/>
      <c r="I82" s="34"/>
      <c r="J82" s="34"/>
      <c r="K82" s="34"/>
      <c r="L82" s="111"/>
      <c r="S82" s="32"/>
      <c r="T82" s="32"/>
      <c r="U82" s="32"/>
      <c r="V82" s="32"/>
      <c r="W82" s="32"/>
      <c r="X82" s="32"/>
      <c r="Y82" s="32"/>
      <c r="Z82" s="32"/>
      <c r="AA82" s="32"/>
      <c r="AB82" s="32"/>
      <c r="AC82" s="32"/>
      <c r="AD82" s="32"/>
      <c r="AE82" s="32"/>
    </row>
    <row r="83" spans="1:31" s="2" customFormat="1" ht="26.45" customHeight="1">
      <c r="A83" s="32"/>
      <c r="B83" s="33"/>
      <c r="C83" s="27" t="s">
        <v>24</v>
      </c>
      <c r="D83" s="34"/>
      <c r="E83" s="34"/>
      <c r="F83" s="25" t="str">
        <f>E17</f>
        <v xml:space="preserve">Úřad vlády České republiky </v>
      </c>
      <c r="G83" s="34"/>
      <c r="H83" s="34"/>
      <c r="I83" s="27" t="s">
        <v>30</v>
      </c>
      <c r="J83" s="30" t="str">
        <f>E23</f>
        <v>Ateliér Simona Group</v>
      </c>
      <c r="K83" s="34"/>
      <c r="L83" s="111"/>
      <c r="S83" s="32"/>
      <c r="T83" s="32"/>
      <c r="U83" s="32"/>
      <c r="V83" s="32"/>
      <c r="W83" s="32"/>
      <c r="X83" s="32"/>
      <c r="Y83" s="32"/>
      <c r="Z83" s="32"/>
      <c r="AA83" s="32"/>
      <c r="AB83" s="32"/>
      <c r="AC83" s="32"/>
      <c r="AD83" s="32"/>
      <c r="AE83" s="32"/>
    </row>
    <row r="84" spans="1:31" s="2" customFormat="1" ht="26.45" customHeight="1">
      <c r="A84" s="32"/>
      <c r="B84" s="33"/>
      <c r="C84" s="27" t="s">
        <v>28</v>
      </c>
      <c r="D84" s="34"/>
      <c r="E84" s="34"/>
      <c r="F84" s="25" t="str">
        <f>IF(E20="","",E20)</f>
        <v>Vyplň údaj</v>
      </c>
      <c r="G84" s="34"/>
      <c r="H84" s="34"/>
      <c r="I84" s="27" t="s">
        <v>33</v>
      </c>
      <c r="J84" s="30" t="str">
        <f>E26</f>
        <v>Ateliér Simona Group</v>
      </c>
      <c r="K84" s="34"/>
      <c r="L84" s="111"/>
      <c r="S84" s="32"/>
      <c r="T84" s="32"/>
      <c r="U84" s="32"/>
      <c r="V84" s="32"/>
      <c r="W84" s="32"/>
      <c r="X84" s="32"/>
      <c r="Y84" s="32"/>
      <c r="Z84" s="32"/>
      <c r="AA84" s="32"/>
      <c r="AB84" s="32"/>
      <c r="AC84" s="32"/>
      <c r="AD84" s="32"/>
      <c r="AE84" s="32"/>
    </row>
    <row r="85" spans="1:31" s="2" customFormat="1" ht="10.35" customHeight="1">
      <c r="A85" s="32"/>
      <c r="B85" s="33"/>
      <c r="C85" s="34"/>
      <c r="D85" s="34"/>
      <c r="E85" s="34"/>
      <c r="F85" s="34"/>
      <c r="G85" s="34"/>
      <c r="H85" s="34"/>
      <c r="I85" s="34"/>
      <c r="J85" s="34"/>
      <c r="K85" s="34"/>
      <c r="L85" s="111"/>
      <c r="S85" s="32"/>
      <c r="T85" s="32"/>
      <c r="U85" s="32"/>
      <c r="V85" s="32"/>
      <c r="W85" s="32"/>
      <c r="X85" s="32"/>
      <c r="Y85" s="32"/>
      <c r="Z85" s="32"/>
      <c r="AA85" s="32"/>
      <c r="AB85" s="32"/>
      <c r="AC85" s="32"/>
      <c r="AD85" s="32"/>
      <c r="AE85" s="32"/>
    </row>
    <row r="86" spans="1:31" s="11" customFormat="1" ht="29.25" customHeight="1">
      <c r="A86" s="149"/>
      <c r="B86" s="150"/>
      <c r="C86" s="151" t="s">
        <v>182</v>
      </c>
      <c r="D86" s="152" t="s">
        <v>55</v>
      </c>
      <c r="E86" s="152" t="s">
        <v>51</v>
      </c>
      <c r="F86" s="152" t="s">
        <v>52</v>
      </c>
      <c r="G86" s="152" t="s">
        <v>183</v>
      </c>
      <c r="H86" s="152" t="s">
        <v>184</v>
      </c>
      <c r="I86" s="152" t="s">
        <v>185</v>
      </c>
      <c r="J86" s="152" t="s">
        <v>149</v>
      </c>
      <c r="K86" s="153" t="s">
        <v>186</v>
      </c>
      <c r="L86" s="154"/>
      <c r="M86" s="66" t="s">
        <v>19</v>
      </c>
      <c r="N86" s="67" t="s">
        <v>40</v>
      </c>
      <c r="O86" s="67" t="s">
        <v>187</v>
      </c>
      <c r="P86" s="67" t="s">
        <v>188</v>
      </c>
      <c r="Q86" s="67" t="s">
        <v>189</v>
      </c>
      <c r="R86" s="67" t="s">
        <v>190</v>
      </c>
      <c r="S86" s="67" t="s">
        <v>191</v>
      </c>
      <c r="T86" s="68" t="s">
        <v>192</v>
      </c>
      <c r="U86" s="149"/>
      <c r="V86" s="149"/>
      <c r="W86" s="149"/>
      <c r="X86" s="149"/>
      <c r="Y86" s="149"/>
      <c r="Z86" s="149"/>
      <c r="AA86" s="149"/>
      <c r="AB86" s="149"/>
      <c r="AC86" s="149"/>
      <c r="AD86" s="149"/>
      <c r="AE86" s="149"/>
    </row>
    <row r="87" spans="1:63" s="2" customFormat="1" ht="22.9" customHeight="1">
      <c r="A87" s="32"/>
      <c r="B87" s="33"/>
      <c r="C87" s="73" t="s">
        <v>193</v>
      </c>
      <c r="D87" s="34"/>
      <c r="E87" s="34"/>
      <c r="F87" s="34"/>
      <c r="G87" s="34"/>
      <c r="H87" s="34"/>
      <c r="I87" s="34"/>
      <c r="J87" s="155">
        <f>BK87</f>
        <v>0</v>
      </c>
      <c r="K87" s="34"/>
      <c r="L87" s="37"/>
      <c r="M87" s="69"/>
      <c r="N87" s="156"/>
      <c r="O87" s="70"/>
      <c r="P87" s="157">
        <f>P88</f>
        <v>0</v>
      </c>
      <c r="Q87" s="70"/>
      <c r="R87" s="157">
        <f>R88</f>
        <v>0</v>
      </c>
      <c r="S87" s="70"/>
      <c r="T87" s="158">
        <f>T88</f>
        <v>0</v>
      </c>
      <c r="U87" s="32"/>
      <c r="V87" s="32"/>
      <c r="W87" s="32"/>
      <c r="X87" s="32"/>
      <c r="Y87" s="32"/>
      <c r="Z87" s="32"/>
      <c r="AA87" s="32"/>
      <c r="AB87" s="32"/>
      <c r="AC87" s="32"/>
      <c r="AD87" s="32"/>
      <c r="AE87" s="32"/>
      <c r="AT87" s="15" t="s">
        <v>69</v>
      </c>
      <c r="AU87" s="15" t="s">
        <v>150</v>
      </c>
      <c r="BK87" s="159">
        <f>BK88</f>
        <v>0</v>
      </c>
    </row>
    <row r="88" spans="2:63" s="12" customFormat="1" ht="25.9" customHeight="1">
      <c r="B88" s="160"/>
      <c r="C88" s="161"/>
      <c r="D88" s="162" t="s">
        <v>69</v>
      </c>
      <c r="E88" s="163" t="s">
        <v>694</v>
      </c>
      <c r="F88" s="163" t="s">
        <v>695</v>
      </c>
      <c r="G88" s="161"/>
      <c r="H88" s="161"/>
      <c r="I88" s="164"/>
      <c r="J88" s="165">
        <f>BK88</f>
        <v>0</v>
      </c>
      <c r="K88" s="161"/>
      <c r="L88" s="166"/>
      <c r="M88" s="167"/>
      <c r="N88" s="168"/>
      <c r="O88" s="168"/>
      <c r="P88" s="169">
        <f>P89</f>
        <v>0</v>
      </c>
      <c r="Q88" s="168"/>
      <c r="R88" s="169">
        <f>R89</f>
        <v>0</v>
      </c>
      <c r="S88" s="168"/>
      <c r="T88" s="170">
        <f>T89</f>
        <v>0</v>
      </c>
      <c r="AR88" s="171" t="s">
        <v>79</v>
      </c>
      <c r="AT88" s="172" t="s">
        <v>69</v>
      </c>
      <c r="AU88" s="172" t="s">
        <v>70</v>
      </c>
      <c r="AY88" s="171" t="s">
        <v>196</v>
      </c>
      <c r="BK88" s="173">
        <f>BK89</f>
        <v>0</v>
      </c>
    </row>
    <row r="89" spans="2:63" s="12" customFormat="1" ht="22.9" customHeight="1">
      <c r="B89" s="160"/>
      <c r="C89" s="161"/>
      <c r="D89" s="162" t="s">
        <v>69</v>
      </c>
      <c r="E89" s="174" t="s">
        <v>731</v>
      </c>
      <c r="F89" s="174" t="s">
        <v>732</v>
      </c>
      <c r="G89" s="161"/>
      <c r="H89" s="161"/>
      <c r="I89" s="164"/>
      <c r="J89" s="175">
        <f>BK89</f>
        <v>0</v>
      </c>
      <c r="K89" s="161"/>
      <c r="L89" s="166"/>
      <c r="M89" s="167"/>
      <c r="N89" s="168"/>
      <c r="O89" s="168"/>
      <c r="P89" s="169">
        <f>P90</f>
        <v>0</v>
      </c>
      <c r="Q89" s="168"/>
      <c r="R89" s="169">
        <f>R90</f>
        <v>0</v>
      </c>
      <c r="S89" s="168"/>
      <c r="T89" s="170">
        <f>T90</f>
        <v>0</v>
      </c>
      <c r="AR89" s="171" t="s">
        <v>79</v>
      </c>
      <c r="AT89" s="172" t="s">
        <v>69</v>
      </c>
      <c r="AU89" s="172" t="s">
        <v>77</v>
      </c>
      <c r="AY89" s="171" t="s">
        <v>196</v>
      </c>
      <c r="BK89" s="173">
        <f>BK90</f>
        <v>0</v>
      </c>
    </row>
    <row r="90" spans="1:65" s="2" customFormat="1" ht="13.9" customHeight="1">
      <c r="A90" s="32"/>
      <c r="B90" s="33"/>
      <c r="C90" s="176" t="s">
        <v>77</v>
      </c>
      <c r="D90" s="176" t="s">
        <v>198</v>
      </c>
      <c r="E90" s="177" t="s">
        <v>731</v>
      </c>
      <c r="F90" s="178" t="s">
        <v>1447</v>
      </c>
      <c r="G90" s="179" t="s">
        <v>1437</v>
      </c>
      <c r="H90" s="180">
        <v>1</v>
      </c>
      <c r="I90" s="181">
        <f>ELE!F93</f>
        <v>0</v>
      </c>
      <c r="J90" s="182">
        <f>ROUND(I90*H90,2)</f>
        <v>0</v>
      </c>
      <c r="K90" s="178" t="s">
        <v>19</v>
      </c>
      <c r="L90" s="37"/>
      <c r="M90" s="204" t="s">
        <v>19</v>
      </c>
      <c r="N90" s="205" t="s">
        <v>41</v>
      </c>
      <c r="O90" s="206"/>
      <c r="P90" s="207">
        <f>O90*H90</f>
        <v>0</v>
      </c>
      <c r="Q90" s="207">
        <v>0</v>
      </c>
      <c r="R90" s="207">
        <f>Q90*H90</f>
        <v>0</v>
      </c>
      <c r="S90" s="207">
        <v>0</v>
      </c>
      <c r="T90" s="208">
        <f>S90*H90</f>
        <v>0</v>
      </c>
      <c r="U90" s="32"/>
      <c r="V90" s="32"/>
      <c r="W90" s="32"/>
      <c r="X90" s="32"/>
      <c r="Y90" s="32"/>
      <c r="Z90" s="32"/>
      <c r="AA90" s="32"/>
      <c r="AB90" s="32"/>
      <c r="AC90" s="32"/>
      <c r="AD90" s="32"/>
      <c r="AE90" s="32"/>
      <c r="AR90" s="187" t="s">
        <v>270</v>
      </c>
      <c r="AT90" s="187" t="s">
        <v>198</v>
      </c>
      <c r="AU90" s="187" t="s">
        <v>79</v>
      </c>
      <c r="AY90" s="15" t="s">
        <v>196</v>
      </c>
      <c r="BE90" s="188">
        <f>IF(N90="základní",J90,0)</f>
        <v>0</v>
      </c>
      <c r="BF90" s="188">
        <f>IF(N90="snížená",J90,0)</f>
        <v>0</v>
      </c>
      <c r="BG90" s="188">
        <f>IF(N90="zákl. přenesená",J90,0)</f>
        <v>0</v>
      </c>
      <c r="BH90" s="188">
        <f>IF(N90="sníž. přenesená",J90,0)</f>
        <v>0</v>
      </c>
      <c r="BI90" s="188">
        <f>IF(N90="nulová",J90,0)</f>
        <v>0</v>
      </c>
      <c r="BJ90" s="15" t="s">
        <v>77</v>
      </c>
      <c r="BK90" s="188">
        <f>ROUND(I90*H90,2)</f>
        <v>0</v>
      </c>
      <c r="BL90" s="15" t="s">
        <v>270</v>
      </c>
      <c r="BM90" s="187" t="s">
        <v>1448</v>
      </c>
    </row>
    <row r="91" spans="1:31" s="2" customFormat="1" ht="6.95" customHeight="1">
      <c r="A91" s="32"/>
      <c r="B91" s="45"/>
      <c r="C91" s="46"/>
      <c r="D91" s="46"/>
      <c r="E91" s="46"/>
      <c r="F91" s="46"/>
      <c r="G91" s="46"/>
      <c r="H91" s="46"/>
      <c r="I91" s="46"/>
      <c r="J91" s="46"/>
      <c r="K91" s="46"/>
      <c r="L91" s="37"/>
      <c r="M91" s="32"/>
      <c r="O91" s="32"/>
      <c r="P91" s="32"/>
      <c r="Q91" s="32"/>
      <c r="R91" s="32"/>
      <c r="S91" s="32"/>
      <c r="T91" s="32"/>
      <c r="U91" s="32"/>
      <c r="V91" s="32"/>
      <c r="W91" s="32"/>
      <c r="X91" s="32"/>
      <c r="Y91" s="32"/>
      <c r="Z91" s="32"/>
      <c r="AA91" s="32"/>
      <c r="AB91" s="32"/>
      <c r="AC91" s="32"/>
      <c r="AD91" s="32"/>
      <c r="AE91" s="32"/>
    </row>
  </sheetData>
  <sheetProtection algorithmName="SHA-512" hashValue="ZXx/x0jm5ARte6LpGdgWN3lTJr2HttC8l4L2zAPAmTDoEmAAtasxn5WAV4oTVe8yj7vmUcDjH7MN0n+C+LyUdQ==" saltValue="j3YILC7FxMkmd+pKncjAN+gPUyg/cOWQn0zMqQIaeWXvsMqHlYgeODVvA/VLKFQkz0E+TxsXCR8hMpY9+cvRtQ==" spinCount="100000" sheet="1" objects="1" scenarios="1" formatColumns="0" formatRows="0" autoFilter="0"/>
  <autoFilter ref="C86:K90"/>
  <mergeCells count="12">
    <mergeCell ref="E79:H79"/>
    <mergeCell ref="L2:V2"/>
    <mergeCell ref="E50:H50"/>
    <mergeCell ref="E52:H52"/>
    <mergeCell ref="E54:H54"/>
    <mergeCell ref="E75:H75"/>
    <mergeCell ref="E77:H7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0ABC7-3A27-473A-922D-F55D886ACEC2}">
  <sheetPr>
    <tabColor rgb="FFFFC000"/>
    <outlinePr summaryBelow="0"/>
  </sheetPr>
  <dimension ref="B1:BJ5081"/>
  <sheetViews>
    <sheetView workbookViewId="0" topLeftCell="A73">
      <selection activeCell="G85" sqref="G85"/>
    </sheetView>
  </sheetViews>
  <sheetFormatPr defaultColWidth="9.140625" defaultRowHeight="12" outlineLevelRow="1"/>
  <cols>
    <col min="1" max="1" width="1.7109375" style="348" customWidth="1"/>
    <col min="2" max="2" width="4.00390625" style="348" customWidth="1"/>
    <col min="3" max="3" width="14.7109375" style="351" customWidth="1"/>
    <col min="4" max="5" width="44.7109375" style="351" customWidth="1"/>
    <col min="6" max="6" width="5.7109375" style="348" customWidth="1"/>
    <col min="7" max="7" width="10.140625" style="355" customWidth="1"/>
    <col min="8" max="8" width="10.7109375" style="348" customWidth="1"/>
    <col min="9" max="9" width="11.421875" style="348" customWidth="1"/>
    <col min="10" max="25" width="9.140625" style="348" hidden="1" customWidth="1"/>
    <col min="26" max="26" width="45.140625" style="348" customWidth="1"/>
    <col min="27" max="30" width="9.28125" style="348" customWidth="1"/>
    <col min="31" max="31" width="9.140625" style="348" hidden="1" customWidth="1"/>
    <col min="32" max="32" width="9.28125" style="348" customWidth="1"/>
    <col min="33" max="43" width="9.140625" style="348" hidden="1" customWidth="1"/>
    <col min="44" max="54" width="9.28125" style="348" customWidth="1"/>
    <col min="55" max="55" width="86.00390625" style="348" customWidth="1"/>
    <col min="56" max="16384" width="9.28125" style="348" customWidth="1"/>
  </cols>
  <sheetData>
    <row r="1" spans="2:35" ht="15.75" customHeight="1">
      <c r="B1" s="736" t="s">
        <v>1610</v>
      </c>
      <c r="C1" s="736"/>
      <c r="D1" s="736"/>
      <c r="E1" s="736"/>
      <c r="F1" s="736"/>
      <c r="G1" s="736"/>
      <c r="H1" s="736"/>
      <c r="I1" s="736"/>
      <c r="AI1" s="348" t="s">
        <v>2018</v>
      </c>
    </row>
    <row r="2" spans="2:35" ht="24.95" customHeight="1">
      <c r="B2" s="349" t="s">
        <v>2019</v>
      </c>
      <c r="C2" s="350"/>
      <c r="D2" s="737" t="s">
        <v>2152</v>
      </c>
      <c r="E2" s="737"/>
      <c r="F2" s="738"/>
      <c r="G2" s="738"/>
      <c r="H2" s="738"/>
      <c r="I2" s="739"/>
      <c r="AI2" s="348" t="s">
        <v>76</v>
      </c>
    </row>
    <row r="3" spans="2:35" ht="24.95" customHeight="1">
      <c r="B3" s="349" t="s">
        <v>2020</v>
      </c>
      <c r="C3" s="350" t="s">
        <v>2021</v>
      </c>
      <c r="D3" s="740" t="s">
        <v>2022</v>
      </c>
      <c r="E3" s="737"/>
      <c r="F3" s="738"/>
      <c r="G3" s="738"/>
      <c r="H3" s="738"/>
      <c r="I3" s="739"/>
      <c r="AE3" s="351" t="s">
        <v>76</v>
      </c>
      <c r="AI3" s="348" t="s">
        <v>2023</v>
      </c>
    </row>
    <row r="4" spans="2:35" ht="24.95" customHeight="1">
      <c r="B4" s="352" t="s">
        <v>2024</v>
      </c>
      <c r="C4" s="353" t="s">
        <v>2025</v>
      </c>
      <c r="D4" s="741" t="s">
        <v>2026</v>
      </c>
      <c r="E4" s="741"/>
      <c r="F4" s="742"/>
      <c r="G4" s="742"/>
      <c r="H4" s="742"/>
      <c r="I4" s="743"/>
      <c r="AI4" s="348" t="s">
        <v>2027</v>
      </c>
    </row>
    <row r="5" ht="12">
      <c r="F5" s="354"/>
    </row>
    <row r="6" spans="2:25" ht="51">
      <c r="B6" s="356" t="s">
        <v>2028</v>
      </c>
      <c r="C6" s="357" t="s">
        <v>2029</v>
      </c>
      <c r="D6" s="357" t="s">
        <v>2030</v>
      </c>
      <c r="E6" s="357" t="s">
        <v>2031</v>
      </c>
      <c r="F6" s="358" t="s">
        <v>183</v>
      </c>
      <c r="G6" s="359" t="s">
        <v>2032</v>
      </c>
      <c r="H6" s="360" t="s">
        <v>2033</v>
      </c>
      <c r="I6" s="361" t="s">
        <v>2034</v>
      </c>
      <c r="J6" s="361" t="s">
        <v>1949</v>
      </c>
      <c r="K6" s="361" t="s">
        <v>2035</v>
      </c>
      <c r="L6" s="361" t="s">
        <v>1948</v>
      </c>
      <c r="M6" s="361" t="s">
        <v>2036</v>
      </c>
      <c r="N6" s="361" t="s">
        <v>40</v>
      </c>
      <c r="O6" s="361" t="s">
        <v>2037</v>
      </c>
      <c r="P6" s="361" t="s">
        <v>2038</v>
      </c>
      <c r="Q6" s="361" t="s">
        <v>2039</v>
      </c>
      <c r="R6" s="361" t="s">
        <v>2040</v>
      </c>
      <c r="S6" s="361" t="s">
        <v>2041</v>
      </c>
      <c r="T6" s="361" t="s">
        <v>2042</v>
      </c>
      <c r="U6" s="361" t="s">
        <v>2043</v>
      </c>
      <c r="V6" s="361" t="s">
        <v>2044</v>
      </c>
      <c r="W6" s="361" t="s">
        <v>2045</v>
      </c>
      <c r="X6" s="361" t="s">
        <v>2046</v>
      </c>
      <c r="Y6" s="361" t="s">
        <v>2047</v>
      </c>
    </row>
    <row r="7" spans="2:25" ht="12" hidden="1">
      <c r="B7" s="362"/>
      <c r="C7" s="363"/>
      <c r="D7" s="363"/>
      <c r="E7" s="363"/>
      <c r="F7" s="364"/>
      <c r="G7" s="365"/>
      <c r="H7" s="366"/>
      <c r="I7" s="366"/>
      <c r="J7" s="366"/>
      <c r="K7" s="366"/>
      <c r="L7" s="366"/>
      <c r="M7" s="366"/>
      <c r="N7" s="366"/>
      <c r="O7" s="366"/>
      <c r="P7" s="366"/>
      <c r="Q7" s="366"/>
      <c r="R7" s="366"/>
      <c r="S7" s="366"/>
      <c r="T7" s="366"/>
      <c r="U7" s="366"/>
      <c r="V7" s="366"/>
      <c r="W7" s="366"/>
      <c r="X7" s="366"/>
      <c r="Y7" s="366"/>
    </row>
    <row r="8" spans="2:35" ht="12">
      <c r="B8" s="367" t="s">
        <v>2048</v>
      </c>
      <c r="C8" s="368"/>
      <c r="D8" s="369" t="s">
        <v>2049</v>
      </c>
      <c r="E8" s="369"/>
      <c r="F8" s="370"/>
      <c r="G8" s="371"/>
      <c r="H8" s="372"/>
      <c r="I8" s="373"/>
      <c r="J8" s="374"/>
      <c r="K8" s="374">
        <f>SUM(K20:K20)</f>
        <v>0</v>
      </c>
      <c r="L8" s="374"/>
      <c r="M8" s="374">
        <f>SUM(M20:M20)</f>
        <v>0</v>
      </c>
      <c r="N8" s="374"/>
      <c r="O8" s="374">
        <f>SUM(O20:O20)</f>
        <v>0</v>
      </c>
      <c r="P8" s="374"/>
      <c r="Q8" s="374">
        <f>SUM(Q20:Q20)</f>
        <v>0</v>
      </c>
      <c r="R8" s="374"/>
      <c r="S8" s="374">
        <f>SUM(S20:S20)</f>
        <v>0</v>
      </c>
      <c r="T8" s="374"/>
      <c r="U8" s="374"/>
      <c r="V8" s="374"/>
      <c r="W8" s="374"/>
      <c r="X8" s="374">
        <f>SUM(X20:X20)</f>
        <v>0</v>
      </c>
      <c r="Y8" s="374"/>
      <c r="AI8" s="348" t="s">
        <v>2050</v>
      </c>
    </row>
    <row r="9" spans="2:25" ht="12">
      <c r="B9" s="367"/>
      <c r="C9" s="368"/>
      <c r="D9" s="375" t="s">
        <v>2051</v>
      </c>
      <c r="E9" s="369"/>
      <c r="F9" s="370"/>
      <c r="G9" s="371"/>
      <c r="H9" s="372"/>
      <c r="I9" s="373">
        <f>SUM(I10:I18)</f>
        <v>0</v>
      </c>
      <c r="J9" s="374"/>
      <c r="K9" s="374"/>
      <c r="L9" s="374"/>
      <c r="M9" s="374"/>
      <c r="N9" s="374"/>
      <c r="O9" s="374"/>
      <c r="P9" s="374"/>
      <c r="Q9" s="374"/>
      <c r="R9" s="374"/>
      <c r="S9" s="374"/>
      <c r="T9" s="374"/>
      <c r="U9" s="374"/>
      <c r="V9" s="374"/>
      <c r="W9" s="374"/>
      <c r="X9" s="374"/>
      <c r="Y9" s="374"/>
    </row>
    <row r="10" spans="2:25" ht="12">
      <c r="B10" s="376">
        <v>1</v>
      </c>
      <c r="C10" s="377"/>
      <c r="D10" s="378" t="s">
        <v>2052</v>
      </c>
      <c r="E10" s="378"/>
      <c r="F10" s="379" t="s">
        <v>310</v>
      </c>
      <c r="G10" s="380">
        <v>30</v>
      </c>
      <c r="H10" s="644">
        <v>0</v>
      </c>
      <c r="I10" s="381">
        <f>G10*H10</f>
        <v>0</v>
      </c>
      <c r="J10" s="374"/>
      <c r="K10" s="374"/>
      <c r="L10" s="374"/>
      <c r="M10" s="374"/>
      <c r="N10" s="374"/>
      <c r="O10" s="374"/>
      <c r="P10" s="374"/>
      <c r="Q10" s="374"/>
      <c r="R10" s="374"/>
      <c r="S10" s="374"/>
      <c r="T10" s="374"/>
      <c r="U10" s="374"/>
      <c r="V10" s="374"/>
      <c r="W10" s="374"/>
      <c r="X10" s="374"/>
      <c r="Y10" s="374"/>
    </row>
    <row r="11" spans="2:25" ht="22.5">
      <c r="B11" s="376">
        <v>2</v>
      </c>
      <c r="C11" s="377"/>
      <c r="D11" s="378" t="s">
        <v>2053</v>
      </c>
      <c r="E11" s="378"/>
      <c r="F11" s="379" t="s">
        <v>310</v>
      </c>
      <c r="G11" s="380">
        <v>30</v>
      </c>
      <c r="H11" s="644">
        <v>0</v>
      </c>
      <c r="I11" s="381">
        <f aca="true" t="shared" si="0" ref="I11:I18">G11*H11</f>
        <v>0</v>
      </c>
      <c r="J11" s="374"/>
      <c r="K11" s="374"/>
      <c r="L11" s="374"/>
      <c r="M11" s="374"/>
      <c r="N11" s="374"/>
      <c r="O11" s="374"/>
      <c r="P11" s="374"/>
      <c r="Q11" s="374"/>
      <c r="R11" s="374"/>
      <c r="S11" s="374"/>
      <c r="T11" s="374"/>
      <c r="U11" s="374"/>
      <c r="V11" s="374"/>
      <c r="W11" s="374"/>
      <c r="X11" s="374"/>
      <c r="Y11" s="374"/>
    </row>
    <row r="12" spans="2:25" ht="12">
      <c r="B12" s="376">
        <v>3</v>
      </c>
      <c r="C12" s="377"/>
      <c r="D12" s="378" t="s">
        <v>2054</v>
      </c>
      <c r="E12" s="378"/>
      <c r="F12" s="379" t="s">
        <v>310</v>
      </c>
      <c r="G12" s="380">
        <v>30</v>
      </c>
      <c r="H12" s="644">
        <v>0</v>
      </c>
      <c r="I12" s="381">
        <f t="shared" si="0"/>
        <v>0</v>
      </c>
      <c r="J12" s="374"/>
      <c r="K12" s="374"/>
      <c r="L12" s="374"/>
      <c r="M12" s="374"/>
      <c r="N12" s="374"/>
      <c r="O12" s="374"/>
      <c r="P12" s="374"/>
      <c r="Q12" s="374"/>
      <c r="R12" s="374"/>
      <c r="S12" s="374"/>
      <c r="T12" s="374"/>
      <c r="U12" s="374"/>
      <c r="V12" s="374"/>
      <c r="W12" s="374"/>
      <c r="X12" s="374"/>
      <c r="Y12" s="374"/>
    </row>
    <row r="13" spans="2:25" ht="12">
      <c r="B13" s="376">
        <v>4</v>
      </c>
      <c r="C13" s="377"/>
      <c r="D13" s="378" t="s">
        <v>2055</v>
      </c>
      <c r="E13" s="378"/>
      <c r="F13" s="379" t="s">
        <v>310</v>
      </c>
      <c r="G13" s="380">
        <v>30</v>
      </c>
      <c r="H13" s="644">
        <v>0</v>
      </c>
      <c r="I13" s="381">
        <f t="shared" si="0"/>
        <v>0</v>
      </c>
      <c r="J13" s="374"/>
      <c r="K13" s="374"/>
      <c r="L13" s="374"/>
      <c r="M13" s="374"/>
      <c r="N13" s="374"/>
      <c r="O13" s="374"/>
      <c r="P13" s="374"/>
      <c r="Q13" s="374"/>
      <c r="R13" s="374"/>
      <c r="S13" s="374"/>
      <c r="T13" s="374"/>
      <c r="U13" s="374"/>
      <c r="V13" s="374"/>
      <c r="W13" s="374"/>
      <c r="X13" s="374"/>
      <c r="Y13" s="374"/>
    </row>
    <row r="14" spans="2:25" ht="12">
      <c r="B14" s="376">
        <v>5</v>
      </c>
      <c r="C14" s="377"/>
      <c r="D14" s="378" t="s">
        <v>2056</v>
      </c>
      <c r="E14" s="378"/>
      <c r="F14" s="379" t="s">
        <v>2057</v>
      </c>
      <c r="G14" s="380">
        <v>1</v>
      </c>
      <c r="H14" s="644">
        <v>0</v>
      </c>
      <c r="I14" s="381">
        <f t="shared" si="0"/>
        <v>0</v>
      </c>
      <c r="J14" s="374"/>
      <c r="K14" s="374"/>
      <c r="L14" s="374"/>
      <c r="M14" s="374"/>
      <c r="N14" s="374"/>
      <c r="O14" s="374"/>
      <c r="P14" s="374"/>
      <c r="Q14" s="374"/>
      <c r="R14" s="374"/>
      <c r="S14" s="374"/>
      <c r="T14" s="374"/>
      <c r="U14" s="374"/>
      <c r="V14" s="374"/>
      <c r="W14" s="374"/>
      <c r="X14" s="374"/>
      <c r="Y14" s="374"/>
    </row>
    <row r="15" spans="2:25" ht="12">
      <c r="B15" s="376">
        <v>6</v>
      </c>
      <c r="C15" s="377"/>
      <c r="D15" s="378" t="s">
        <v>2058</v>
      </c>
      <c r="E15" s="378"/>
      <c r="F15" s="379" t="s">
        <v>1437</v>
      </c>
      <c r="G15" s="380">
        <v>1</v>
      </c>
      <c r="H15" s="644">
        <v>0</v>
      </c>
      <c r="I15" s="381">
        <f t="shared" si="0"/>
        <v>0</v>
      </c>
      <c r="J15" s="374"/>
      <c r="K15" s="374"/>
      <c r="L15" s="374"/>
      <c r="M15" s="374"/>
      <c r="N15" s="374"/>
      <c r="O15" s="374"/>
      <c r="P15" s="374"/>
      <c r="Q15" s="374"/>
      <c r="R15" s="374"/>
      <c r="S15" s="374"/>
      <c r="T15" s="374"/>
      <c r="U15" s="374"/>
      <c r="V15" s="374"/>
      <c r="W15" s="374"/>
      <c r="X15" s="374"/>
      <c r="Y15" s="374"/>
    </row>
    <row r="16" spans="2:25" ht="15" customHeight="1">
      <c r="B16" s="376">
        <v>7</v>
      </c>
      <c r="C16" s="377"/>
      <c r="D16" s="378" t="s">
        <v>2059</v>
      </c>
      <c r="E16" s="378"/>
      <c r="F16" s="379" t="s">
        <v>2057</v>
      </c>
      <c r="G16" s="380">
        <v>200</v>
      </c>
      <c r="H16" s="644">
        <v>0</v>
      </c>
      <c r="I16" s="381">
        <f t="shared" si="0"/>
        <v>0</v>
      </c>
      <c r="J16" s="374"/>
      <c r="K16" s="374"/>
      <c r="L16" s="374"/>
      <c r="M16" s="374"/>
      <c r="N16" s="374"/>
      <c r="O16" s="374"/>
      <c r="P16" s="374"/>
      <c r="Q16" s="374"/>
      <c r="R16" s="374"/>
      <c r="S16" s="374"/>
      <c r="T16" s="374"/>
      <c r="U16" s="374"/>
      <c r="V16" s="374"/>
      <c r="W16" s="374"/>
      <c r="X16" s="374"/>
      <c r="Y16" s="374"/>
    </row>
    <row r="17" spans="2:25" ht="15" customHeight="1">
      <c r="B17" s="376">
        <v>8</v>
      </c>
      <c r="C17" s="377"/>
      <c r="D17" s="378" t="s">
        <v>2060</v>
      </c>
      <c r="E17" s="378"/>
      <c r="F17" s="379" t="s">
        <v>310</v>
      </c>
      <c r="G17" s="380">
        <v>15</v>
      </c>
      <c r="H17" s="644">
        <v>0</v>
      </c>
      <c r="I17" s="381">
        <f t="shared" si="0"/>
        <v>0</v>
      </c>
      <c r="J17" s="374"/>
      <c r="K17" s="374"/>
      <c r="L17" s="374"/>
      <c r="M17" s="374"/>
      <c r="N17" s="374"/>
      <c r="O17" s="374"/>
      <c r="P17" s="374"/>
      <c r="Q17" s="374"/>
      <c r="R17" s="374"/>
      <c r="S17" s="374"/>
      <c r="T17" s="374"/>
      <c r="U17" s="374"/>
      <c r="V17" s="374"/>
      <c r="W17" s="374"/>
      <c r="X17" s="374"/>
      <c r="Y17" s="374"/>
    </row>
    <row r="18" spans="2:25" ht="15" customHeight="1">
      <c r="B18" s="376">
        <v>9</v>
      </c>
      <c r="C18" s="377"/>
      <c r="D18" s="378" t="s">
        <v>2061</v>
      </c>
      <c r="E18" s="378"/>
      <c r="F18" s="379" t="s">
        <v>310</v>
      </c>
      <c r="G18" s="380">
        <v>200</v>
      </c>
      <c r="H18" s="644">
        <v>0</v>
      </c>
      <c r="I18" s="381">
        <f t="shared" si="0"/>
        <v>0</v>
      </c>
      <c r="J18" s="374"/>
      <c r="K18" s="374"/>
      <c r="L18" s="374"/>
      <c r="M18" s="374"/>
      <c r="N18" s="374"/>
      <c r="O18" s="374"/>
      <c r="P18" s="374"/>
      <c r="Q18" s="374"/>
      <c r="R18" s="374"/>
      <c r="S18" s="374"/>
      <c r="T18" s="374"/>
      <c r="U18" s="374"/>
      <c r="V18" s="374"/>
      <c r="W18" s="374"/>
      <c r="X18" s="374"/>
      <c r="Y18" s="374"/>
    </row>
    <row r="19" spans="2:25" ht="12">
      <c r="B19" s="367"/>
      <c r="C19" s="368"/>
      <c r="D19" s="375" t="s">
        <v>2062</v>
      </c>
      <c r="E19" s="369"/>
      <c r="F19" s="370"/>
      <c r="G19" s="371"/>
      <c r="H19" s="645"/>
      <c r="I19" s="373">
        <f>SUM(I20:I65)</f>
        <v>0</v>
      </c>
      <c r="J19" s="374"/>
      <c r="K19" s="374"/>
      <c r="L19" s="374"/>
      <c r="M19" s="374"/>
      <c r="N19" s="374"/>
      <c r="O19" s="374"/>
      <c r="P19" s="374"/>
      <c r="Q19" s="374"/>
      <c r="R19" s="374"/>
      <c r="S19" s="374"/>
      <c r="T19" s="374"/>
      <c r="U19" s="374"/>
      <c r="V19" s="374"/>
      <c r="W19" s="374"/>
      <c r="X19" s="374"/>
      <c r="Y19" s="374"/>
    </row>
    <row r="20" spans="2:62" ht="12" outlineLevel="1">
      <c r="B20" s="376">
        <v>1</v>
      </c>
      <c r="C20" s="377"/>
      <c r="D20" s="378" t="s">
        <v>2063</v>
      </c>
      <c r="E20" s="378"/>
      <c r="F20" s="379" t="s">
        <v>2057</v>
      </c>
      <c r="G20" s="380">
        <v>52</v>
      </c>
      <c r="H20" s="644">
        <v>0</v>
      </c>
      <c r="I20" s="381">
        <f aca="true" t="shared" si="1" ref="I20:I65">G20*H20</f>
        <v>0</v>
      </c>
      <c r="J20" s="382"/>
      <c r="K20" s="382"/>
      <c r="L20" s="382"/>
      <c r="M20" s="382"/>
      <c r="N20" s="382"/>
      <c r="O20" s="382"/>
      <c r="P20" s="382"/>
      <c r="Q20" s="382"/>
      <c r="R20" s="382"/>
      <c r="S20" s="382"/>
      <c r="T20" s="382"/>
      <c r="U20" s="382"/>
      <c r="V20" s="382"/>
      <c r="W20" s="382"/>
      <c r="X20" s="382"/>
      <c r="Y20" s="382"/>
      <c r="Z20" s="383"/>
      <c r="AA20" s="383"/>
      <c r="AB20" s="383"/>
      <c r="AC20" s="383"/>
      <c r="AD20" s="383"/>
      <c r="AE20" s="383"/>
      <c r="AF20" s="383"/>
      <c r="AG20" s="383"/>
      <c r="AH20" s="383"/>
      <c r="AI20" s="383"/>
      <c r="AJ20" s="383"/>
      <c r="AK20" s="383"/>
      <c r="AL20" s="383"/>
      <c r="AM20" s="383"/>
      <c r="AN20" s="383"/>
      <c r="AO20" s="383"/>
      <c r="AP20" s="383"/>
      <c r="AQ20" s="383"/>
      <c r="AR20" s="383"/>
      <c r="AS20" s="383"/>
      <c r="AT20" s="383"/>
      <c r="AU20" s="383"/>
      <c r="AV20" s="383"/>
      <c r="AW20" s="383"/>
      <c r="AX20" s="383"/>
      <c r="AY20" s="383"/>
      <c r="AZ20" s="383"/>
      <c r="BA20" s="383"/>
      <c r="BB20" s="383"/>
      <c r="BC20" s="383"/>
      <c r="BD20" s="383"/>
      <c r="BE20" s="383"/>
      <c r="BF20" s="383"/>
      <c r="BG20" s="383"/>
      <c r="BH20" s="383"/>
      <c r="BI20" s="383"/>
      <c r="BJ20" s="383"/>
    </row>
    <row r="21" spans="2:62" ht="12" outlineLevel="1">
      <c r="B21" s="376">
        <v>2</v>
      </c>
      <c r="C21" s="377"/>
      <c r="D21" s="378" t="s">
        <v>2064</v>
      </c>
      <c r="E21" s="378"/>
      <c r="F21" s="379" t="s">
        <v>2057</v>
      </c>
      <c r="G21" s="380">
        <v>24</v>
      </c>
      <c r="H21" s="644">
        <v>0</v>
      </c>
      <c r="I21" s="381">
        <f t="shared" si="1"/>
        <v>0</v>
      </c>
      <c r="J21" s="382"/>
      <c r="K21" s="382"/>
      <c r="L21" s="382"/>
      <c r="M21" s="382"/>
      <c r="N21" s="382"/>
      <c r="O21" s="382"/>
      <c r="P21" s="382"/>
      <c r="Q21" s="382"/>
      <c r="R21" s="382"/>
      <c r="S21" s="382"/>
      <c r="T21" s="382"/>
      <c r="U21" s="382"/>
      <c r="V21" s="382"/>
      <c r="W21" s="382"/>
      <c r="X21" s="382"/>
      <c r="Y21" s="382"/>
      <c r="Z21" s="384"/>
      <c r="AA21" s="383"/>
      <c r="AB21" s="383"/>
      <c r="AC21" s="383"/>
      <c r="AD21" s="383"/>
      <c r="AE21" s="383"/>
      <c r="AF21" s="383"/>
      <c r="AG21" s="383"/>
      <c r="AH21" s="383"/>
      <c r="AI21" s="383"/>
      <c r="AJ21" s="383"/>
      <c r="AK21" s="383"/>
      <c r="AL21" s="383"/>
      <c r="AM21" s="383"/>
      <c r="AN21" s="383"/>
      <c r="AO21" s="383"/>
      <c r="AP21" s="383"/>
      <c r="AQ21" s="383"/>
      <c r="AR21" s="383"/>
      <c r="AS21" s="383"/>
      <c r="AT21" s="383"/>
      <c r="AU21" s="383"/>
      <c r="AV21" s="383"/>
      <c r="AW21" s="383"/>
      <c r="AX21" s="383"/>
      <c r="AY21" s="383"/>
      <c r="AZ21" s="383"/>
      <c r="BA21" s="383"/>
      <c r="BB21" s="383"/>
      <c r="BC21" s="383"/>
      <c r="BD21" s="383"/>
      <c r="BE21" s="383"/>
      <c r="BF21" s="383"/>
      <c r="BG21" s="383"/>
      <c r="BH21" s="383"/>
      <c r="BI21" s="383"/>
      <c r="BJ21" s="383"/>
    </row>
    <row r="22" spans="2:62" ht="12" outlineLevel="1">
      <c r="B22" s="376">
        <v>3</v>
      </c>
      <c r="C22" s="377"/>
      <c r="D22" s="378" t="s">
        <v>2065</v>
      </c>
      <c r="E22" s="378"/>
      <c r="F22" s="379" t="s">
        <v>2057</v>
      </c>
      <c r="G22" s="380">
        <v>2</v>
      </c>
      <c r="H22" s="644">
        <v>0</v>
      </c>
      <c r="I22" s="381">
        <f t="shared" si="1"/>
        <v>0</v>
      </c>
      <c r="J22" s="382"/>
      <c r="K22" s="382"/>
      <c r="L22" s="382"/>
      <c r="M22" s="382"/>
      <c r="N22" s="382"/>
      <c r="O22" s="382"/>
      <c r="P22" s="382"/>
      <c r="Q22" s="382"/>
      <c r="R22" s="382"/>
      <c r="S22" s="382"/>
      <c r="T22" s="382"/>
      <c r="U22" s="382"/>
      <c r="V22" s="382"/>
      <c r="W22" s="382"/>
      <c r="X22" s="382"/>
      <c r="Y22" s="382"/>
      <c r="Z22" s="383"/>
      <c r="AA22" s="383"/>
      <c r="AB22" s="383"/>
      <c r="AC22" s="383"/>
      <c r="AD22" s="383"/>
      <c r="AE22" s="383"/>
      <c r="AF22" s="383"/>
      <c r="AG22" s="383"/>
      <c r="AH22" s="383"/>
      <c r="AI22" s="383"/>
      <c r="AJ22" s="383"/>
      <c r="AK22" s="383"/>
      <c r="AL22" s="383"/>
      <c r="AM22" s="383"/>
      <c r="AN22" s="383"/>
      <c r="AO22" s="383"/>
      <c r="AP22" s="383"/>
      <c r="AQ22" s="383"/>
      <c r="AR22" s="383"/>
      <c r="AS22" s="383"/>
      <c r="AT22" s="383"/>
      <c r="AU22" s="383"/>
      <c r="AV22" s="383"/>
      <c r="AW22" s="383"/>
      <c r="AX22" s="383"/>
      <c r="AY22" s="383"/>
      <c r="AZ22" s="383"/>
      <c r="BA22" s="383"/>
      <c r="BB22" s="383"/>
      <c r="BC22" s="383"/>
      <c r="BD22" s="383"/>
      <c r="BE22" s="383"/>
      <c r="BF22" s="383"/>
      <c r="BG22" s="383"/>
      <c r="BH22" s="383"/>
      <c r="BI22" s="383"/>
      <c r="BJ22" s="383"/>
    </row>
    <row r="23" spans="2:62" ht="12" outlineLevel="1">
      <c r="B23" s="376">
        <v>4</v>
      </c>
      <c r="C23" s="377"/>
      <c r="D23" s="378" t="s">
        <v>2066</v>
      </c>
      <c r="E23" s="378"/>
      <c r="F23" s="379" t="s">
        <v>2057</v>
      </c>
      <c r="G23" s="380">
        <v>11</v>
      </c>
      <c r="H23" s="644">
        <v>0</v>
      </c>
      <c r="I23" s="381">
        <f t="shared" si="1"/>
        <v>0</v>
      </c>
      <c r="J23" s="382"/>
      <c r="K23" s="382"/>
      <c r="L23" s="382"/>
      <c r="M23" s="382"/>
      <c r="N23" s="382"/>
      <c r="O23" s="382"/>
      <c r="P23" s="382"/>
      <c r="Q23" s="382"/>
      <c r="R23" s="382"/>
      <c r="S23" s="382"/>
      <c r="T23" s="382"/>
      <c r="U23" s="382"/>
      <c r="V23" s="382"/>
      <c r="W23" s="382"/>
      <c r="X23" s="382"/>
      <c r="Y23" s="382"/>
      <c r="Z23" s="383"/>
      <c r="AA23" s="383"/>
      <c r="AB23" s="383"/>
      <c r="AC23" s="383"/>
      <c r="AD23" s="383"/>
      <c r="AE23" s="383"/>
      <c r="AF23" s="383"/>
      <c r="AG23" s="383"/>
      <c r="AH23" s="383"/>
      <c r="AI23" s="383"/>
      <c r="AJ23" s="383"/>
      <c r="AK23" s="383"/>
      <c r="AL23" s="383"/>
      <c r="AM23" s="383"/>
      <c r="AN23" s="383"/>
      <c r="AO23" s="383"/>
      <c r="AP23" s="383"/>
      <c r="AQ23" s="383"/>
      <c r="AR23" s="383"/>
      <c r="AS23" s="383"/>
      <c r="AT23" s="383"/>
      <c r="AU23" s="383"/>
      <c r="AV23" s="383"/>
      <c r="AW23" s="383"/>
      <c r="AX23" s="383"/>
      <c r="AY23" s="383"/>
      <c r="AZ23" s="383"/>
      <c r="BA23" s="383"/>
      <c r="BB23" s="383"/>
      <c r="BC23" s="383"/>
      <c r="BD23" s="383"/>
      <c r="BE23" s="383"/>
      <c r="BF23" s="383"/>
      <c r="BG23" s="383"/>
      <c r="BH23" s="383"/>
      <c r="BI23" s="383"/>
      <c r="BJ23" s="383"/>
    </row>
    <row r="24" spans="2:62" ht="12" outlineLevel="1">
      <c r="B24" s="376">
        <v>5</v>
      </c>
      <c r="C24" s="377"/>
      <c r="D24" s="378" t="s">
        <v>2067</v>
      </c>
      <c r="E24" s="378"/>
      <c r="F24" s="379" t="s">
        <v>2057</v>
      </c>
      <c r="G24" s="380">
        <v>4</v>
      </c>
      <c r="H24" s="644">
        <v>0</v>
      </c>
      <c r="I24" s="381">
        <f t="shared" si="1"/>
        <v>0</v>
      </c>
      <c r="J24" s="382"/>
      <c r="K24" s="382"/>
      <c r="L24" s="382"/>
      <c r="M24" s="382"/>
      <c r="N24" s="382"/>
      <c r="O24" s="382"/>
      <c r="P24" s="382"/>
      <c r="Q24" s="382"/>
      <c r="R24" s="382"/>
      <c r="S24" s="382"/>
      <c r="T24" s="382"/>
      <c r="U24" s="382"/>
      <c r="V24" s="382"/>
      <c r="W24" s="382"/>
      <c r="X24" s="382"/>
      <c r="Y24" s="382"/>
      <c r="Z24" s="383"/>
      <c r="AA24" s="383"/>
      <c r="AB24" s="383"/>
      <c r="AC24" s="383"/>
      <c r="AD24" s="383"/>
      <c r="AE24" s="383"/>
      <c r="AF24" s="383"/>
      <c r="AG24" s="383"/>
      <c r="AH24" s="383"/>
      <c r="AI24" s="383"/>
      <c r="AJ24" s="383"/>
      <c r="AK24" s="383"/>
      <c r="AL24" s="383"/>
      <c r="AM24" s="383"/>
      <c r="AN24" s="383"/>
      <c r="AO24" s="383"/>
      <c r="AP24" s="383"/>
      <c r="AQ24" s="383"/>
      <c r="AR24" s="383"/>
      <c r="AS24" s="383"/>
      <c r="AT24" s="383"/>
      <c r="AU24" s="383"/>
      <c r="AV24" s="383"/>
      <c r="AW24" s="383"/>
      <c r="AX24" s="383"/>
      <c r="AY24" s="383"/>
      <c r="AZ24" s="383"/>
      <c r="BA24" s="383"/>
      <c r="BB24" s="383"/>
      <c r="BC24" s="383"/>
      <c r="BD24" s="383"/>
      <c r="BE24" s="383"/>
      <c r="BF24" s="383"/>
      <c r="BG24" s="383"/>
      <c r="BH24" s="383"/>
      <c r="BI24" s="383"/>
      <c r="BJ24" s="383"/>
    </row>
    <row r="25" spans="2:62" ht="12" outlineLevel="1">
      <c r="B25" s="376">
        <v>6</v>
      </c>
      <c r="C25" s="377"/>
      <c r="D25" s="378" t="s">
        <v>2068</v>
      </c>
      <c r="E25" s="378"/>
      <c r="F25" s="379" t="s">
        <v>2057</v>
      </c>
      <c r="G25" s="380">
        <v>6</v>
      </c>
      <c r="H25" s="644">
        <v>0</v>
      </c>
      <c r="I25" s="381">
        <f t="shared" si="1"/>
        <v>0</v>
      </c>
      <c r="J25" s="382"/>
      <c r="K25" s="382"/>
      <c r="L25" s="382"/>
      <c r="M25" s="382"/>
      <c r="N25" s="382"/>
      <c r="O25" s="382"/>
      <c r="P25" s="382"/>
      <c r="Q25" s="382"/>
      <c r="R25" s="382"/>
      <c r="S25" s="382"/>
      <c r="T25" s="382"/>
      <c r="U25" s="382"/>
      <c r="V25" s="382"/>
      <c r="W25" s="382"/>
      <c r="X25" s="382"/>
      <c r="Y25" s="382"/>
      <c r="Z25" s="383"/>
      <c r="AA25" s="383"/>
      <c r="AB25" s="383"/>
      <c r="AC25" s="383"/>
      <c r="AD25" s="383"/>
      <c r="AE25" s="383"/>
      <c r="AF25" s="383"/>
      <c r="AG25" s="383"/>
      <c r="AH25" s="383"/>
      <c r="AI25" s="383"/>
      <c r="AJ25" s="383"/>
      <c r="AK25" s="383"/>
      <c r="AL25" s="383"/>
      <c r="AM25" s="383"/>
      <c r="AN25" s="383"/>
      <c r="AO25" s="383"/>
      <c r="AP25" s="383"/>
      <c r="AQ25" s="383"/>
      <c r="AR25" s="383"/>
      <c r="AS25" s="383"/>
      <c r="AT25" s="383"/>
      <c r="AU25" s="383"/>
      <c r="AV25" s="383"/>
      <c r="AW25" s="383"/>
      <c r="AX25" s="383"/>
      <c r="AY25" s="383"/>
      <c r="AZ25" s="383"/>
      <c r="BA25" s="383"/>
      <c r="BB25" s="383"/>
      <c r="BC25" s="383"/>
      <c r="BD25" s="383"/>
      <c r="BE25" s="383"/>
      <c r="BF25" s="383"/>
      <c r="BG25" s="383"/>
      <c r="BH25" s="383"/>
      <c r="BI25" s="383"/>
      <c r="BJ25" s="383"/>
    </row>
    <row r="26" spans="2:62" ht="12" outlineLevel="1">
      <c r="B26" s="376">
        <v>7</v>
      </c>
      <c r="C26" s="377"/>
      <c r="D26" s="378" t="s">
        <v>2069</v>
      </c>
      <c r="E26" s="378"/>
      <c r="F26" s="379" t="s">
        <v>2057</v>
      </c>
      <c r="G26" s="380">
        <v>2</v>
      </c>
      <c r="H26" s="644">
        <v>0</v>
      </c>
      <c r="I26" s="381">
        <f t="shared" si="1"/>
        <v>0</v>
      </c>
      <c r="J26" s="382"/>
      <c r="K26" s="382"/>
      <c r="L26" s="382"/>
      <c r="M26" s="382"/>
      <c r="N26" s="382"/>
      <c r="O26" s="382"/>
      <c r="P26" s="382"/>
      <c r="Q26" s="382"/>
      <c r="R26" s="382"/>
      <c r="S26" s="382"/>
      <c r="T26" s="382"/>
      <c r="U26" s="382"/>
      <c r="V26" s="382"/>
      <c r="W26" s="382"/>
      <c r="X26" s="382"/>
      <c r="Y26" s="382"/>
      <c r="Z26" s="383"/>
      <c r="AA26" s="383"/>
      <c r="AB26" s="383"/>
      <c r="AC26" s="383"/>
      <c r="AD26" s="383"/>
      <c r="AE26" s="383"/>
      <c r="AF26" s="383"/>
      <c r="AG26" s="383"/>
      <c r="AH26" s="383"/>
      <c r="AI26" s="383"/>
      <c r="AJ26" s="383"/>
      <c r="AK26" s="383"/>
      <c r="AL26" s="383"/>
      <c r="AM26" s="383"/>
      <c r="AN26" s="383"/>
      <c r="AO26" s="383"/>
      <c r="AP26" s="383"/>
      <c r="AQ26" s="383"/>
      <c r="AR26" s="383"/>
      <c r="AS26" s="383"/>
      <c r="AT26" s="383"/>
      <c r="AU26" s="383"/>
      <c r="AV26" s="383"/>
      <c r="AW26" s="383"/>
      <c r="AX26" s="383"/>
      <c r="AY26" s="383"/>
      <c r="AZ26" s="383"/>
      <c r="BA26" s="383"/>
      <c r="BB26" s="383"/>
      <c r="BC26" s="383"/>
      <c r="BD26" s="383"/>
      <c r="BE26" s="383"/>
      <c r="BF26" s="383"/>
      <c r="BG26" s="383"/>
      <c r="BH26" s="383"/>
      <c r="BI26" s="383"/>
      <c r="BJ26" s="383"/>
    </row>
    <row r="27" spans="2:62" ht="12" outlineLevel="1">
      <c r="B27" s="376">
        <v>8</v>
      </c>
      <c r="C27" s="377"/>
      <c r="D27" s="378" t="s">
        <v>2070</v>
      </c>
      <c r="E27" s="378"/>
      <c r="F27" s="379" t="s">
        <v>2057</v>
      </c>
      <c r="G27" s="380">
        <v>2</v>
      </c>
      <c r="H27" s="644">
        <v>0</v>
      </c>
      <c r="I27" s="381">
        <f t="shared" si="1"/>
        <v>0</v>
      </c>
      <c r="J27" s="382"/>
      <c r="K27" s="382"/>
      <c r="L27" s="382"/>
      <c r="M27" s="382"/>
      <c r="N27" s="382"/>
      <c r="O27" s="382"/>
      <c r="P27" s="382"/>
      <c r="Q27" s="382"/>
      <c r="R27" s="382"/>
      <c r="S27" s="382"/>
      <c r="T27" s="382"/>
      <c r="U27" s="382"/>
      <c r="V27" s="382"/>
      <c r="W27" s="382"/>
      <c r="X27" s="382"/>
      <c r="Y27" s="382"/>
      <c r="Z27" s="383"/>
      <c r="AA27" s="383"/>
      <c r="AB27" s="383"/>
      <c r="AC27" s="383"/>
      <c r="AD27" s="383"/>
      <c r="AE27" s="383"/>
      <c r="AF27" s="383"/>
      <c r="AG27" s="383"/>
      <c r="AH27" s="383"/>
      <c r="AI27" s="383"/>
      <c r="AJ27" s="383"/>
      <c r="AK27" s="383"/>
      <c r="AL27" s="383"/>
      <c r="AM27" s="383"/>
      <c r="AN27" s="383"/>
      <c r="AO27" s="383"/>
      <c r="AP27" s="383"/>
      <c r="AQ27" s="383"/>
      <c r="AR27" s="383"/>
      <c r="AS27" s="383"/>
      <c r="AT27" s="383"/>
      <c r="AU27" s="383"/>
      <c r="AV27" s="383"/>
      <c r="AW27" s="383"/>
      <c r="AX27" s="383"/>
      <c r="AY27" s="383"/>
      <c r="AZ27" s="383"/>
      <c r="BA27" s="383"/>
      <c r="BB27" s="383"/>
      <c r="BC27" s="383"/>
      <c r="BD27" s="383"/>
      <c r="BE27" s="383"/>
      <c r="BF27" s="383"/>
      <c r="BG27" s="383"/>
      <c r="BH27" s="383"/>
      <c r="BI27" s="383"/>
      <c r="BJ27" s="383"/>
    </row>
    <row r="28" spans="2:62" ht="12" outlineLevel="1">
      <c r="B28" s="376">
        <v>9</v>
      </c>
      <c r="C28" s="377"/>
      <c r="D28" s="378" t="s">
        <v>2071</v>
      </c>
      <c r="E28" s="378"/>
      <c r="F28" s="379" t="s">
        <v>2057</v>
      </c>
      <c r="G28" s="380">
        <v>6</v>
      </c>
      <c r="H28" s="644">
        <v>0</v>
      </c>
      <c r="I28" s="381">
        <f t="shared" si="1"/>
        <v>0</v>
      </c>
      <c r="J28" s="382"/>
      <c r="K28" s="382"/>
      <c r="L28" s="382"/>
      <c r="M28" s="382"/>
      <c r="N28" s="382"/>
      <c r="O28" s="382"/>
      <c r="P28" s="382"/>
      <c r="Q28" s="382"/>
      <c r="R28" s="382"/>
      <c r="S28" s="382"/>
      <c r="T28" s="382"/>
      <c r="U28" s="382"/>
      <c r="V28" s="382"/>
      <c r="W28" s="382"/>
      <c r="X28" s="382"/>
      <c r="Y28" s="382"/>
      <c r="Z28" s="383"/>
      <c r="AA28" s="383"/>
      <c r="AB28" s="383"/>
      <c r="AC28" s="383"/>
      <c r="AD28" s="383"/>
      <c r="AE28" s="383"/>
      <c r="AF28" s="383"/>
      <c r="AG28" s="383"/>
      <c r="AH28" s="383"/>
      <c r="AI28" s="383"/>
      <c r="AJ28" s="383"/>
      <c r="AK28" s="383"/>
      <c r="AL28" s="383"/>
      <c r="AM28" s="383"/>
      <c r="AN28" s="383"/>
      <c r="AO28" s="383"/>
      <c r="AP28" s="383"/>
      <c r="AQ28" s="383"/>
      <c r="AR28" s="383"/>
      <c r="AS28" s="383"/>
      <c r="AT28" s="383"/>
      <c r="AU28" s="383"/>
      <c r="AV28" s="383"/>
      <c r="AW28" s="383"/>
      <c r="AX28" s="383"/>
      <c r="AY28" s="383"/>
      <c r="AZ28" s="383"/>
      <c r="BA28" s="383"/>
      <c r="BB28" s="383"/>
      <c r="BC28" s="383"/>
      <c r="BD28" s="383"/>
      <c r="BE28" s="383"/>
      <c r="BF28" s="383"/>
      <c r="BG28" s="383"/>
      <c r="BH28" s="383"/>
      <c r="BI28" s="383"/>
      <c r="BJ28" s="383"/>
    </row>
    <row r="29" spans="2:62" ht="12" outlineLevel="1">
      <c r="B29" s="376">
        <v>10</v>
      </c>
      <c r="C29" s="377"/>
      <c r="D29" s="378" t="s">
        <v>2072</v>
      </c>
      <c r="E29" s="378"/>
      <c r="F29" s="379" t="s">
        <v>2057</v>
      </c>
      <c r="G29" s="380">
        <v>1</v>
      </c>
      <c r="H29" s="644">
        <v>0</v>
      </c>
      <c r="I29" s="381">
        <f t="shared" si="1"/>
        <v>0</v>
      </c>
      <c r="J29" s="382"/>
      <c r="K29" s="382"/>
      <c r="L29" s="382"/>
      <c r="M29" s="382"/>
      <c r="N29" s="382"/>
      <c r="O29" s="382"/>
      <c r="P29" s="382"/>
      <c r="Q29" s="382"/>
      <c r="R29" s="382"/>
      <c r="S29" s="382"/>
      <c r="T29" s="382"/>
      <c r="U29" s="382"/>
      <c r="V29" s="382"/>
      <c r="W29" s="382"/>
      <c r="X29" s="382"/>
      <c r="Y29" s="382"/>
      <c r="Z29" s="383"/>
      <c r="AA29" s="383"/>
      <c r="AB29" s="383"/>
      <c r="AC29" s="383"/>
      <c r="AD29" s="383"/>
      <c r="AE29" s="383"/>
      <c r="AF29" s="383"/>
      <c r="AG29" s="383"/>
      <c r="AH29" s="383"/>
      <c r="AI29" s="383"/>
      <c r="AJ29" s="383"/>
      <c r="AK29" s="383"/>
      <c r="AL29" s="383"/>
      <c r="AM29" s="383"/>
      <c r="AN29" s="383"/>
      <c r="AO29" s="383"/>
      <c r="AP29" s="383"/>
      <c r="AQ29" s="383"/>
      <c r="AR29" s="383"/>
      <c r="AS29" s="383"/>
      <c r="AT29" s="383"/>
      <c r="AU29" s="383"/>
      <c r="AV29" s="383"/>
      <c r="AW29" s="383"/>
      <c r="AX29" s="383"/>
      <c r="AY29" s="383"/>
      <c r="AZ29" s="383"/>
      <c r="BA29" s="383"/>
      <c r="BB29" s="383"/>
      <c r="BC29" s="383"/>
      <c r="BD29" s="383"/>
      <c r="BE29" s="383"/>
      <c r="BF29" s="383"/>
      <c r="BG29" s="383"/>
      <c r="BH29" s="383"/>
      <c r="BI29" s="383"/>
      <c r="BJ29" s="383"/>
    </row>
    <row r="30" spans="2:62" ht="12" outlineLevel="1">
      <c r="B30" s="376">
        <v>11</v>
      </c>
      <c r="C30" s="377"/>
      <c r="D30" s="378" t="s">
        <v>2073</v>
      </c>
      <c r="E30" s="378"/>
      <c r="F30" s="379" t="s">
        <v>2057</v>
      </c>
      <c r="G30" s="380">
        <v>150</v>
      </c>
      <c r="H30" s="644">
        <v>0</v>
      </c>
      <c r="I30" s="381">
        <f t="shared" si="1"/>
        <v>0</v>
      </c>
      <c r="J30" s="382"/>
      <c r="K30" s="382"/>
      <c r="L30" s="382"/>
      <c r="M30" s="382"/>
      <c r="N30" s="382"/>
      <c r="O30" s="382"/>
      <c r="P30" s="382"/>
      <c r="Q30" s="382"/>
      <c r="R30" s="382"/>
      <c r="S30" s="382"/>
      <c r="T30" s="382"/>
      <c r="U30" s="382"/>
      <c r="V30" s="382"/>
      <c r="W30" s="382"/>
      <c r="X30" s="382"/>
      <c r="Y30" s="382"/>
      <c r="Z30" s="383"/>
      <c r="AA30" s="383"/>
      <c r="AB30" s="383"/>
      <c r="AC30" s="383"/>
      <c r="AD30" s="383"/>
      <c r="AE30" s="383"/>
      <c r="AF30" s="383"/>
      <c r="AG30" s="383"/>
      <c r="AH30" s="383"/>
      <c r="AI30" s="383"/>
      <c r="AJ30" s="383"/>
      <c r="AK30" s="383"/>
      <c r="AL30" s="383"/>
      <c r="AM30" s="383"/>
      <c r="AN30" s="383"/>
      <c r="AO30" s="383"/>
      <c r="AP30" s="383"/>
      <c r="AQ30" s="383"/>
      <c r="AR30" s="383"/>
      <c r="AS30" s="383"/>
      <c r="AT30" s="383"/>
      <c r="AU30" s="383"/>
      <c r="AV30" s="383"/>
      <c r="AW30" s="383"/>
      <c r="AX30" s="383"/>
      <c r="AY30" s="383"/>
      <c r="AZ30" s="383"/>
      <c r="BA30" s="383"/>
      <c r="BB30" s="383"/>
      <c r="BC30" s="383"/>
      <c r="BD30" s="383"/>
      <c r="BE30" s="383"/>
      <c r="BF30" s="383"/>
      <c r="BG30" s="383"/>
      <c r="BH30" s="383"/>
      <c r="BI30" s="383"/>
      <c r="BJ30" s="383"/>
    </row>
    <row r="31" spans="2:62" ht="12" outlineLevel="1">
      <c r="B31" s="376">
        <v>12</v>
      </c>
      <c r="C31" s="377"/>
      <c r="D31" s="378" t="s">
        <v>2074</v>
      </c>
      <c r="E31" s="378"/>
      <c r="F31" s="379" t="s">
        <v>2057</v>
      </c>
      <c r="G31" s="380">
        <v>30</v>
      </c>
      <c r="H31" s="644">
        <v>0</v>
      </c>
      <c r="I31" s="381">
        <f t="shared" si="1"/>
        <v>0</v>
      </c>
      <c r="J31" s="382"/>
      <c r="K31" s="382"/>
      <c r="L31" s="382"/>
      <c r="M31" s="382"/>
      <c r="N31" s="382"/>
      <c r="O31" s="382"/>
      <c r="P31" s="382"/>
      <c r="Q31" s="382"/>
      <c r="R31" s="382"/>
      <c r="S31" s="382"/>
      <c r="T31" s="382"/>
      <c r="U31" s="382"/>
      <c r="V31" s="382"/>
      <c r="W31" s="382"/>
      <c r="X31" s="382"/>
      <c r="Y31" s="382"/>
      <c r="Z31" s="383"/>
      <c r="AA31" s="383"/>
      <c r="AB31" s="383"/>
      <c r="AC31" s="383"/>
      <c r="AD31" s="383"/>
      <c r="AE31" s="383"/>
      <c r="AF31" s="383"/>
      <c r="AG31" s="383"/>
      <c r="AH31" s="383"/>
      <c r="AI31" s="383"/>
      <c r="AJ31" s="383"/>
      <c r="AK31" s="383"/>
      <c r="AL31" s="383"/>
      <c r="AM31" s="383"/>
      <c r="AN31" s="383"/>
      <c r="AO31" s="383"/>
      <c r="AP31" s="383"/>
      <c r="AQ31" s="383"/>
      <c r="AR31" s="383"/>
      <c r="AS31" s="383"/>
      <c r="AT31" s="383"/>
      <c r="AU31" s="383"/>
      <c r="AV31" s="383"/>
      <c r="AW31" s="383"/>
      <c r="AX31" s="383"/>
      <c r="AY31" s="383"/>
      <c r="AZ31" s="383"/>
      <c r="BA31" s="383"/>
      <c r="BB31" s="383"/>
      <c r="BC31" s="383"/>
      <c r="BD31" s="383"/>
      <c r="BE31" s="383"/>
      <c r="BF31" s="383"/>
      <c r="BG31" s="383"/>
      <c r="BH31" s="383"/>
      <c r="BI31" s="383"/>
      <c r="BJ31" s="383"/>
    </row>
    <row r="32" spans="2:62" ht="12" outlineLevel="1">
      <c r="B32" s="376">
        <v>13</v>
      </c>
      <c r="C32" s="377"/>
      <c r="D32" s="378" t="s">
        <v>2075</v>
      </c>
      <c r="E32" s="378"/>
      <c r="F32" s="379" t="s">
        <v>2057</v>
      </c>
      <c r="G32" s="380">
        <v>6</v>
      </c>
      <c r="H32" s="644">
        <v>0</v>
      </c>
      <c r="I32" s="381">
        <f t="shared" si="1"/>
        <v>0</v>
      </c>
      <c r="J32" s="382"/>
      <c r="K32" s="382"/>
      <c r="L32" s="382"/>
      <c r="M32" s="382"/>
      <c r="N32" s="382"/>
      <c r="O32" s="382"/>
      <c r="P32" s="382"/>
      <c r="Q32" s="382"/>
      <c r="R32" s="382"/>
      <c r="S32" s="382"/>
      <c r="T32" s="382"/>
      <c r="U32" s="382"/>
      <c r="V32" s="382"/>
      <c r="W32" s="382"/>
      <c r="X32" s="382"/>
      <c r="Y32" s="382"/>
      <c r="Z32" s="383"/>
      <c r="AA32" s="383"/>
      <c r="AB32" s="383"/>
      <c r="AC32" s="383"/>
      <c r="AD32" s="383"/>
      <c r="AE32" s="383"/>
      <c r="AF32" s="383"/>
      <c r="AG32" s="383"/>
      <c r="AH32" s="383"/>
      <c r="AI32" s="383"/>
      <c r="AJ32" s="383"/>
      <c r="AK32" s="383"/>
      <c r="AL32" s="383"/>
      <c r="AM32" s="383"/>
      <c r="AN32" s="383"/>
      <c r="AO32" s="383"/>
      <c r="AP32" s="383"/>
      <c r="AQ32" s="383"/>
      <c r="AR32" s="383"/>
      <c r="AS32" s="383"/>
      <c r="AT32" s="383"/>
      <c r="AU32" s="383"/>
      <c r="AV32" s="383"/>
      <c r="AW32" s="383"/>
      <c r="AX32" s="383"/>
      <c r="AY32" s="383"/>
      <c r="AZ32" s="383"/>
      <c r="BA32" s="383"/>
      <c r="BB32" s="383"/>
      <c r="BC32" s="383"/>
      <c r="BD32" s="383"/>
      <c r="BE32" s="383"/>
      <c r="BF32" s="383"/>
      <c r="BG32" s="383"/>
      <c r="BH32" s="383"/>
      <c r="BI32" s="383"/>
      <c r="BJ32" s="383"/>
    </row>
    <row r="33" spans="2:62" ht="12" outlineLevel="1">
      <c r="B33" s="376">
        <v>14</v>
      </c>
      <c r="C33" s="377"/>
      <c r="D33" s="378" t="s">
        <v>2076</v>
      </c>
      <c r="E33" s="378"/>
      <c r="F33" s="379" t="s">
        <v>2057</v>
      </c>
      <c r="G33" s="380">
        <v>7</v>
      </c>
      <c r="H33" s="644">
        <v>0</v>
      </c>
      <c r="I33" s="381">
        <f t="shared" si="1"/>
        <v>0</v>
      </c>
      <c r="J33" s="382"/>
      <c r="K33" s="382"/>
      <c r="L33" s="382"/>
      <c r="M33" s="382"/>
      <c r="N33" s="382"/>
      <c r="O33" s="382"/>
      <c r="P33" s="382"/>
      <c r="Q33" s="382"/>
      <c r="R33" s="382"/>
      <c r="S33" s="382"/>
      <c r="T33" s="382"/>
      <c r="U33" s="382"/>
      <c r="V33" s="382"/>
      <c r="W33" s="382"/>
      <c r="X33" s="382"/>
      <c r="Y33" s="382"/>
      <c r="Z33" s="383"/>
      <c r="AA33" s="383"/>
      <c r="AB33" s="383"/>
      <c r="AC33" s="383"/>
      <c r="AD33" s="383"/>
      <c r="AE33" s="383"/>
      <c r="AF33" s="383"/>
      <c r="AG33" s="383"/>
      <c r="AH33" s="383"/>
      <c r="AI33" s="383"/>
      <c r="AJ33" s="383"/>
      <c r="AK33" s="383"/>
      <c r="AL33" s="383"/>
      <c r="AM33" s="383"/>
      <c r="AN33" s="383"/>
      <c r="AO33" s="383"/>
      <c r="AP33" s="383"/>
      <c r="AQ33" s="383"/>
      <c r="AR33" s="383"/>
      <c r="AS33" s="383"/>
      <c r="AT33" s="383"/>
      <c r="AU33" s="383"/>
      <c r="AV33" s="383"/>
      <c r="AW33" s="383"/>
      <c r="AX33" s="383"/>
      <c r="AY33" s="383"/>
      <c r="AZ33" s="383"/>
      <c r="BA33" s="383"/>
      <c r="BB33" s="383"/>
      <c r="BC33" s="383"/>
      <c r="BD33" s="383"/>
      <c r="BE33" s="383"/>
      <c r="BF33" s="383"/>
      <c r="BG33" s="383"/>
      <c r="BH33" s="383"/>
      <c r="BI33" s="383"/>
      <c r="BJ33" s="383"/>
    </row>
    <row r="34" spans="2:62" ht="12" outlineLevel="1">
      <c r="B34" s="376">
        <v>15</v>
      </c>
      <c r="C34" s="377"/>
      <c r="D34" s="378" t="s">
        <v>2077</v>
      </c>
      <c r="E34" s="378"/>
      <c r="F34" s="379" t="s">
        <v>2057</v>
      </c>
      <c r="G34" s="380">
        <v>1</v>
      </c>
      <c r="H34" s="644">
        <v>0</v>
      </c>
      <c r="I34" s="381">
        <f t="shared" si="1"/>
        <v>0</v>
      </c>
      <c r="J34" s="382"/>
      <c r="K34" s="382"/>
      <c r="L34" s="382"/>
      <c r="M34" s="382"/>
      <c r="N34" s="382"/>
      <c r="O34" s="382"/>
      <c r="P34" s="382"/>
      <c r="Q34" s="382"/>
      <c r="R34" s="382"/>
      <c r="S34" s="382"/>
      <c r="T34" s="382"/>
      <c r="U34" s="382"/>
      <c r="V34" s="382"/>
      <c r="W34" s="382"/>
      <c r="X34" s="382"/>
      <c r="Y34" s="382"/>
      <c r="Z34" s="383"/>
      <c r="AA34" s="383"/>
      <c r="AB34" s="383"/>
      <c r="AC34" s="383"/>
      <c r="AD34" s="383"/>
      <c r="AE34" s="383"/>
      <c r="AF34" s="383"/>
      <c r="AG34" s="383"/>
      <c r="AH34" s="383"/>
      <c r="AI34" s="383"/>
      <c r="AJ34" s="383"/>
      <c r="AK34" s="383"/>
      <c r="AL34" s="383"/>
      <c r="AM34" s="383"/>
      <c r="AN34" s="383"/>
      <c r="AO34" s="383"/>
      <c r="AP34" s="383"/>
      <c r="AQ34" s="383"/>
      <c r="AR34" s="383"/>
      <c r="AS34" s="383"/>
      <c r="AT34" s="383"/>
      <c r="AU34" s="383"/>
      <c r="AV34" s="383"/>
      <c r="AW34" s="383"/>
      <c r="AX34" s="383"/>
      <c r="AY34" s="383"/>
      <c r="AZ34" s="383"/>
      <c r="BA34" s="383"/>
      <c r="BB34" s="383"/>
      <c r="BC34" s="383"/>
      <c r="BD34" s="383"/>
      <c r="BE34" s="383"/>
      <c r="BF34" s="383"/>
      <c r="BG34" s="383"/>
      <c r="BH34" s="383"/>
      <c r="BI34" s="383"/>
      <c r="BJ34" s="383"/>
    </row>
    <row r="35" spans="2:62" ht="12" outlineLevel="1">
      <c r="B35" s="376">
        <v>16</v>
      </c>
      <c r="C35" s="377"/>
      <c r="D35" s="378" t="s">
        <v>2078</v>
      </c>
      <c r="E35" s="378"/>
      <c r="F35" s="379" t="s">
        <v>310</v>
      </c>
      <c r="G35" s="380">
        <v>720</v>
      </c>
      <c r="H35" s="644">
        <v>0</v>
      </c>
      <c r="I35" s="381">
        <f t="shared" si="1"/>
        <v>0</v>
      </c>
      <c r="J35" s="382"/>
      <c r="K35" s="382"/>
      <c r="L35" s="382"/>
      <c r="M35" s="382"/>
      <c r="N35" s="382"/>
      <c r="O35" s="382"/>
      <c r="P35" s="382"/>
      <c r="Q35" s="382"/>
      <c r="R35" s="382"/>
      <c r="S35" s="382"/>
      <c r="T35" s="382"/>
      <c r="U35" s="382"/>
      <c r="V35" s="382"/>
      <c r="W35" s="382"/>
      <c r="X35" s="382"/>
      <c r="Y35" s="382"/>
      <c r="Z35" s="383"/>
      <c r="AA35" s="383"/>
      <c r="AB35" s="383"/>
      <c r="AC35" s="383"/>
      <c r="AD35" s="383"/>
      <c r="AE35" s="383"/>
      <c r="AF35" s="383"/>
      <c r="AG35" s="383"/>
      <c r="AH35" s="383"/>
      <c r="AI35" s="383"/>
      <c r="AJ35" s="383"/>
      <c r="AK35" s="383"/>
      <c r="AL35" s="383"/>
      <c r="AM35" s="383"/>
      <c r="AN35" s="383"/>
      <c r="AO35" s="383"/>
      <c r="AP35" s="383"/>
      <c r="AQ35" s="383"/>
      <c r="AR35" s="383"/>
      <c r="AS35" s="383"/>
      <c r="AT35" s="383"/>
      <c r="AU35" s="383"/>
      <c r="AV35" s="383"/>
      <c r="AW35" s="383"/>
      <c r="AX35" s="383"/>
      <c r="AY35" s="383"/>
      <c r="AZ35" s="383"/>
      <c r="BA35" s="383"/>
      <c r="BB35" s="383"/>
      <c r="BC35" s="383"/>
      <c r="BD35" s="383"/>
      <c r="BE35" s="383"/>
      <c r="BF35" s="383"/>
      <c r="BG35" s="383"/>
      <c r="BH35" s="383"/>
      <c r="BI35" s="383"/>
      <c r="BJ35" s="383"/>
    </row>
    <row r="36" spans="2:62" ht="12" outlineLevel="1">
      <c r="B36" s="376">
        <v>17</v>
      </c>
      <c r="C36" s="377"/>
      <c r="D36" s="378" t="s">
        <v>2079</v>
      </c>
      <c r="E36" s="378"/>
      <c r="F36" s="379" t="s">
        <v>310</v>
      </c>
      <c r="G36" s="380">
        <v>2000</v>
      </c>
      <c r="H36" s="644">
        <v>0</v>
      </c>
      <c r="I36" s="381">
        <f t="shared" si="1"/>
        <v>0</v>
      </c>
      <c r="J36" s="382"/>
      <c r="K36" s="382"/>
      <c r="L36" s="382"/>
      <c r="M36" s="382"/>
      <c r="N36" s="382"/>
      <c r="O36" s="382"/>
      <c r="P36" s="382"/>
      <c r="Q36" s="382"/>
      <c r="R36" s="382"/>
      <c r="S36" s="382"/>
      <c r="T36" s="382"/>
      <c r="U36" s="382"/>
      <c r="V36" s="382"/>
      <c r="W36" s="382"/>
      <c r="X36" s="382"/>
      <c r="Y36" s="382"/>
      <c r="Z36" s="383"/>
      <c r="AA36" s="383"/>
      <c r="AB36" s="383"/>
      <c r="AC36" s="383"/>
      <c r="AD36" s="383"/>
      <c r="AE36" s="383"/>
      <c r="AF36" s="383"/>
      <c r="AG36" s="383"/>
      <c r="AH36" s="383"/>
      <c r="AI36" s="383"/>
      <c r="AJ36" s="383"/>
      <c r="AK36" s="383"/>
      <c r="AL36" s="383"/>
      <c r="AM36" s="383"/>
      <c r="AN36" s="383"/>
      <c r="AO36" s="383"/>
      <c r="AP36" s="383"/>
      <c r="AQ36" s="383"/>
      <c r="AR36" s="383"/>
      <c r="AS36" s="383"/>
      <c r="AT36" s="383"/>
      <c r="AU36" s="383"/>
      <c r="AV36" s="383"/>
      <c r="AW36" s="383"/>
      <c r="AX36" s="383"/>
      <c r="AY36" s="383"/>
      <c r="AZ36" s="383"/>
      <c r="BA36" s="383"/>
      <c r="BB36" s="383"/>
      <c r="BC36" s="383"/>
      <c r="BD36" s="383"/>
      <c r="BE36" s="383"/>
      <c r="BF36" s="383"/>
      <c r="BG36" s="383"/>
      <c r="BH36" s="383"/>
      <c r="BI36" s="383"/>
      <c r="BJ36" s="383"/>
    </row>
    <row r="37" spans="2:62" ht="12" outlineLevel="1">
      <c r="B37" s="376">
        <v>18</v>
      </c>
      <c r="C37" s="377"/>
      <c r="D37" s="378" t="s">
        <v>2080</v>
      </c>
      <c r="E37" s="378"/>
      <c r="F37" s="379" t="s">
        <v>310</v>
      </c>
      <c r="G37" s="380">
        <v>30</v>
      </c>
      <c r="H37" s="644">
        <v>0</v>
      </c>
      <c r="I37" s="381">
        <f t="shared" si="1"/>
        <v>0</v>
      </c>
      <c r="J37" s="382"/>
      <c r="K37" s="382"/>
      <c r="L37" s="382"/>
      <c r="M37" s="382"/>
      <c r="N37" s="382"/>
      <c r="O37" s="382"/>
      <c r="P37" s="382"/>
      <c r="Q37" s="382"/>
      <c r="R37" s="382"/>
      <c r="S37" s="382"/>
      <c r="T37" s="382"/>
      <c r="U37" s="382"/>
      <c r="V37" s="382"/>
      <c r="W37" s="382"/>
      <c r="X37" s="382"/>
      <c r="Y37" s="382"/>
      <c r="Z37" s="383"/>
      <c r="AA37" s="383"/>
      <c r="AB37" s="383"/>
      <c r="AC37" s="383"/>
      <c r="AD37" s="383"/>
      <c r="AE37" s="383"/>
      <c r="AF37" s="383"/>
      <c r="AG37" s="383"/>
      <c r="AH37" s="383"/>
      <c r="AI37" s="383"/>
      <c r="AJ37" s="383"/>
      <c r="AK37" s="383"/>
      <c r="AL37" s="383"/>
      <c r="AM37" s="383"/>
      <c r="AN37" s="383"/>
      <c r="AO37" s="383"/>
      <c r="AP37" s="383"/>
      <c r="AQ37" s="383"/>
      <c r="AR37" s="383"/>
      <c r="AS37" s="383"/>
      <c r="AT37" s="383"/>
      <c r="AU37" s="383"/>
      <c r="AV37" s="383"/>
      <c r="AW37" s="383"/>
      <c r="AX37" s="383"/>
      <c r="AY37" s="383"/>
      <c r="AZ37" s="383"/>
      <c r="BA37" s="383"/>
      <c r="BB37" s="383"/>
      <c r="BC37" s="383"/>
      <c r="BD37" s="383"/>
      <c r="BE37" s="383"/>
      <c r="BF37" s="383"/>
      <c r="BG37" s="383"/>
      <c r="BH37" s="383"/>
      <c r="BI37" s="383"/>
      <c r="BJ37" s="383"/>
    </row>
    <row r="38" spans="2:62" ht="12" outlineLevel="1">
      <c r="B38" s="376">
        <v>19</v>
      </c>
      <c r="C38" s="377"/>
      <c r="D38" s="378" t="s">
        <v>2081</v>
      </c>
      <c r="E38" s="378"/>
      <c r="F38" s="379" t="s">
        <v>310</v>
      </c>
      <c r="G38" s="380">
        <v>30</v>
      </c>
      <c r="H38" s="644">
        <v>0</v>
      </c>
      <c r="I38" s="381">
        <f t="shared" si="1"/>
        <v>0</v>
      </c>
      <c r="J38" s="382"/>
      <c r="K38" s="382"/>
      <c r="L38" s="382"/>
      <c r="M38" s="382"/>
      <c r="N38" s="382"/>
      <c r="O38" s="382"/>
      <c r="P38" s="382"/>
      <c r="Q38" s="382"/>
      <c r="R38" s="382"/>
      <c r="S38" s="382"/>
      <c r="T38" s="382"/>
      <c r="U38" s="382"/>
      <c r="V38" s="382"/>
      <c r="W38" s="382"/>
      <c r="X38" s="382"/>
      <c r="Y38" s="382"/>
      <c r="Z38" s="383"/>
      <c r="AA38" s="383"/>
      <c r="AB38" s="383"/>
      <c r="AC38" s="383"/>
      <c r="AD38" s="383"/>
      <c r="AE38" s="383"/>
      <c r="AF38" s="383"/>
      <c r="AG38" s="383"/>
      <c r="AH38" s="383"/>
      <c r="AI38" s="383"/>
      <c r="AJ38" s="383"/>
      <c r="AK38" s="383"/>
      <c r="AL38" s="383"/>
      <c r="AM38" s="383"/>
      <c r="AN38" s="383"/>
      <c r="AO38" s="383"/>
      <c r="AP38" s="383"/>
      <c r="AQ38" s="383"/>
      <c r="AR38" s="383"/>
      <c r="AS38" s="383"/>
      <c r="AT38" s="383"/>
      <c r="AU38" s="383"/>
      <c r="AV38" s="383"/>
      <c r="AW38" s="383"/>
      <c r="AX38" s="383"/>
      <c r="AY38" s="383"/>
      <c r="AZ38" s="383"/>
      <c r="BA38" s="383"/>
      <c r="BB38" s="383"/>
      <c r="BC38" s="383"/>
      <c r="BD38" s="383"/>
      <c r="BE38" s="383"/>
      <c r="BF38" s="383"/>
      <c r="BG38" s="383"/>
      <c r="BH38" s="383"/>
      <c r="BI38" s="383"/>
      <c r="BJ38" s="383"/>
    </row>
    <row r="39" spans="2:62" ht="12" outlineLevel="1">
      <c r="B39" s="376">
        <v>20</v>
      </c>
      <c r="C39" s="377"/>
      <c r="D39" s="378" t="s">
        <v>2082</v>
      </c>
      <c r="E39" s="378"/>
      <c r="F39" s="379" t="s">
        <v>310</v>
      </c>
      <c r="G39" s="380">
        <v>150</v>
      </c>
      <c r="H39" s="644">
        <v>0</v>
      </c>
      <c r="I39" s="381">
        <f t="shared" si="1"/>
        <v>0</v>
      </c>
      <c r="J39" s="382"/>
      <c r="K39" s="382"/>
      <c r="L39" s="382"/>
      <c r="M39" s="382"/>
      <c r="N39" s="382"/>
      <c r="O39" s="382"/>
      <c r="P39" s="382"/>
      <c r="Q39" s="382"/>
      <c r="R39" s="382"/>
      <c r="S39" s="382"/>
      <c r="T39" s="382"/>
      <c r="U39" s="382"/>
      <c r="V39" s="382"/>
      <c r="W39" s="382"/>
      <c r="X39" s="382"/>
      <c r="Y39" s="382"/>
      <c r="Z39" s="383"/>
      <c r="AA39" s="383"/>
      <c r="AB39" s="383"/>
      <c r="AC39" s="383"/>
      <c r="AD39" s="383"/>
      <c r="AE39" s="383"/>
      <c r="AF39" s="383"/>
      <c r="AG39" s="383"/>
      <c r="AH39" s="383"/>
      <c r="AI39" s="383"/>
      <c r="AJ39" s="383"/>
      <c r="AK39" s="383"/>
      <c r="AL39" s="383"/>
      <c r="AM39" s="383"/>
      <c r="AN39" s="383"/>
      <c r="AO39" s="383"/>
      <c r="AP39" s="383"/>
      <c r="AQ39" s="383"/>
      <c r="AR39" s="383"/>
      <c r="AS39" s="383"/>
      <c r="AT39" s="383"/>
      <c r="AU39" s="383"/>
      <c r="AV39" s="383"/>
      <c r="AW39" s="383"/>
      <c r="AX39" s="383"/>
      <c r="AY39" s="383"/>
      <c r="AZ39" s="383"/>
      <c r="BA39" s="383"/>
      <c r="BB39" s="383"/>
      <c r="BC39" s="383"/>
      <c r="BD39" s="383"/>
      <c r="BE39" s="383"/>
      <c r="BF39" s="383"/>
      <c r="BG39" s="383"/>
      <c r="BH39" s="383"/>
      <c r="BI39" s="383"/>
      <c r="BJ39" s="383"/>
    </row>
    <row r="40" spans="2:62" ht="12" outlineLevel="1">
      <c r="B40" s="376">
        <v>21</v>
      </c>
      <c r="C40" s="377"/>
      <c r="D40" s="378" t="s">
        <v>2083</v>
      </c>
      <c r="E40" s="378"/>
      <c r="F40" s="379" t="s">
        <v>310</v>
      </c>
      <c r="G40" s="380">
        <v>120</v>
      </c>
      <c r="H40" s="644">
        <v>0</v>
      </c>
      <c r="I40" s="381">
        <f t="shared" si="1"/>
        <v>0</v>
      </c>
      <c r="J40" s="382"/>
      <c r="K40" s="382"/>
      <c r="L40" s="382"/>
      <c r="M40" s="382"/>
      <c r="N40" s="382"/>
      <c r="O40" s="382"/>
      <c r="P40" s="382"/>
      <c r="Q40" s="382"/>
      <c r="R40" s="382"/>
      <c r="S40" s="382"/>
      <c r="T40" s="382"/>
      <c r="U40" s="382"/>
      <c r="V40" s="382"/>
      <c r="W40" s="382"/>
      <c r="X40" s="382"/>
      <c r="Y40" s="382"/>
      <c r="Z40" s="383"/>
      <c r="AA40" s="383"/>
      <c r="AB40" s="383"/>
      <c r="AC40" s="383"/>
      <c r="AD40" s="383"/>
      <c r="AE40" s="383"/>
      <c r="AF40" s="383"/>
      <c r="AG40" s="383"/>
      <c r="AH40" s="383"/>
      <c r="AI40" s="383"/>
      <c r="AJ40" s="383"/>
      <c r="AK40" s="383"/>
      <c r="AL40" s="383"/>
      <c r="AM40" s="383"/>
      <c r="AN40" s="383"/>
      <c r="AO40" s="383"/>
      <c r="AP40" s="383"/>
      <c r="AQ40" s="383"/>
      <c r="AR40" s="383"/>
      <c r="AS40" s="383"/>
      <c r="AT40" s="383"/>
      <c r="AU40" s="383"/>
      <c r="AV40" s="383"/>
      <c r="AW40" s="383"/>
      <c r="AX40" s="383"/>
      <c r="AY40" s="383"/>
      <c r="AZ40" s="383"/>
      <c r="BA40" s="383"/>
      <c r="BB40" s="383"/>
      <c r="BC40" s="383"/>
      <c r="BD40" s="383"/>
      <c r="BE40" s="383"/>
      <c r="BF40" s="383"/>
      <c r="BG40" s="383"/>
      <c r="BH40" s="383"/>
      <c r="BI40" s="383"/>
      <c r="BJ40" s="383"/>
    </row>
    <row r="41" spans="2:62" ht="12" outlineLevel="1">
      <c r="B41" s="376">
        <v>22</v>
      </c>
      <c r="C41" s="377"/>
      <c r="D41" s="378" t="s">
        <v>2084</v>
      </c>
      <c r="E41" s="378"/>
      <c r="F41" s="379"/>
      <c r="G41" s="380">
        <v>80</v>
      </c>
      <c r="H41" s="644">
        <v>0</v>
      </c>
      <c r="I41" s="381">
        <f t="shared" si="1"/>
        <v>0</v>
      </c>
      <c r="J41" s="382"/>
      <c r="K41" s="382"/>
      <c r="L41" s="382"/>
      <c r="M41" s="382"/>
      <c r="N41" s="382"/>
      <c r="O41" s="382"/>
      <c r="P41" s="382"/>
      <c r="Q41" s="382"/>
      <c r="R41" s="382"/>
      <c r="S41" s="382"/>
      <c r="T41" s="382"/>
      <c r="U41" s="382"/>
      <c r="V41" s="382"/>
      <c r="W41" s="382"/>
      <c r="X41" s="382"/>
      <c r="Y41" s="382"/>
      <c r="Z41" s="383"/>
      <c r="AA41" s="383"/>
      <c r="AB41" s="383"/>
      <c r="AC41" s="383"/>
      <c r="AD41" s="383"/>
      <c r="AE41" s="383"/>
      <c r="AF41" s="383"/>
      <c r="AG41" s="383"/>
      <c r="AH41" s="383"/>
      <c r="AI41" s="383"/>
      <c r="AJ41" s="383"/>
      <c r="AK41" s="383"/>
      <c r="AL41" s="383"/>
      <c r="AM41" s="383"/>
      <c r="AN41" s="383"/>
      <c r="AO41" s="383"/>
      <c r="AP41" s="383"/>
      <c r="AQ41" s="383"/>
      <c r="AR41" s="383"/>
      <c r="AS41" s="383"/>
      <c r="AT41" s="383"/>
      <c r="AU41" s="383"/>
      <c r="AV41" s="383"/>
      <c r="AW41" s="383"/>
      <c r="AX41" s="383"/>
      <c r="AY41" s="383"/>
      <c r="AZ41" s="383"/>
      <c r="BA41" s="383"/>
      <c r="BB41" s="383"/>
      <c r="BC41" s="383"/>
      <c r="BD41" s="383"/>
      <c r="BE41" s="383"/>
      <c r="BF41" s="383"/>
      <c r="BG41" s="383"/>
      <c r="BH41" s="383"/>
      <c r="BI41" s="383"/>
      <c r="BJ41" s="383"/>
    </row>
    <row r="42" spans="2:62" ht="12" outlineLevel="1">
      <c r="B42" s="376">
        <v>23</v>
      </c>
      <c r="C42" s="377"/>
      <c r="D42" s="378" t="s">
        <v>2085</v>
      </c>
      <c r="E42" s="378"/>
      <c r="F42" s="379" t="s">
        <v>310</v>
      </c>
      <c r="G42" s="380">
        <v>25</v>
      </c>
      <c r="H42" s="644">
        <v>0</v>
      </c>
      <c r="I42" s="381">
        <f t="shared" si="1"/>
        <v>0</v>
      </c>
      <c r="J42" s="382"/>
      <c r="K42" s="382"/>
      <c r="L42" s="382"/>
      <c r="M42" s="382"/>
      <c r="N42" s="382"/>
      <c r="O42" s="382"/>
      <c r="P42" s="382"/>
      <c r="Q42" s="382"/>
      <c r="R42" s="382"/>
      <c r="S42" s="382"/>
      <c r="T42" s="382"/>
      <c r="U42" s="382"/>
      <c r="V42" s="382"/>
      <c r="W42" s="382"/>
      <c r="X42" s="382"/>
      <c r="Y42" s="382"/>
      <c r="Z42" s="383"/>
      <c r="AA42" s="383"/>
      <c r="AB42" s="383"/>
      <c r="AC42" s="383"/>
      <c r="AD42" s="383"/>
      <c r="AE42" s="383"/>
      <c r="AF42" s="383"/>
      <c r="AG42" s="383"/>
      <c r="AH42" s="383"/>
      <c r="AI42" s="383"/>
      <c r="AJ42" s="383"/>
      <c r="AK42" s="383"/>
      <c r="AL42" s="383"/>
      <c r="AM42" s="383"/>
      <c r="AN42" s="383"/>
      <c r="AO42" s="383"/>
      <c r="AP42" s="383"/>
      <c r="AQ42" s="383"/>
      <c r="AR42" s="383"/>
      <c r="AS42" s="383"/>
      <c r="AT42" s="383"/>
      <c r="AU42" s="383"/>
      <c r="AV42" s="383"/>
      <c r="AW42" s="383"/>
      <c r="AX42" s="383"/>
      <c r="AY42" s="383"/>
      <c r="AZ42" s="383"/>
      <c r="BA42" s="383"/>
      <c r="BB42" s="383"/>
      <c r="BC42" s="383"/>
      <c r="BD42" s="383"/>
      <c r="BE42" s="383"/>
      <c r="BF42" s="383"/>
      <c r="BG42" s="383"/>
      <c r="BH42" s="383"/>
      <c r="BI42" s="383"/>
      <c r="BJ42" s="383"/>
    </row>
    <row r="43" spans="2:62" ht="12" outlineLevel="1">
      <c r="B43" s="376">
        <v>24</v>
      </c>
      <c r="C43" s="377"/>
      <c r="D43" s="378" t="s">
        <v>2086</v>
      </c>
      <c r="E43" s="378"/>
      <c r="F43" s="379" t="s">
        <v>310</v>
      </c>
      <c r="G43" s="380">
        <v>200</v>
      </c>
      <c r="H43" s="644">
        <v>0</v>
      </c>
      <c r="I43" s="381">
        <f t="shared" si="1"/>
        <v>0</v>
      </c>
      <c r="J43" s="382"/>
      <c r="K43" s="382"/>
      <c r="L43" s="382"/>
      <c r="M43" s="382"/>
      <c r="N43" s="382"/>
      <c r="O43" s="382"/>
      <c r="P43" s="382"/>
      <c r="Q43" s="382"/>
      <c r="R43" s="382"/>
      <c r="S43" s="382"/>
      <c r="T43" s="382"/>
      <c r="U43" s="382"/>
      <c r="V43" s="382"/>
      <c r="W43" s="382"/>
      <c r="X43" s="382"/>
      <c r="Y43" s="382"/>
      <c r="Z43" s="383"/>
      <c r="AA43" s="383"/>
      <c r="AB43" s="383"/>
      <c r="AC43" s="383"/>
      <c r="AD43" s="383"/>
      <c r="AE43" s="383"/>
      <c r="AF43" s="383"/>
      <c r="AG43" s="383"/>
      <c r="AH43" s="383"/>
      <c r="AI43" s="383"/>
      <c r="AJ43" s="383"/>
      <c r="AK43" s="383"/>
      <c r="AL43" s="383"/>
      <c r="AM43" s="383"/>
      <c r="AN43" s="383"/>
      <c r="AO43" s="383"/>
      <c r="AP43" s="383"/>
      <c r="AQ43" s="383"/>
      <c r="AR43" s="383"/>
      <c r="AS43" s="383"/>
      <c r="AT43" s="383"/>
      <c r="AU43" s="383"/>
      <c r="AV43" s="383"/>
      <c r="AW43" s="383"/>
      <c r="AX43" s="383"/>
      <c r="AY43" s="383"/>
      <c r="AZ43" s="383"/>
      <c r="BA43" s="383"/>
      <c r="BB43" s="383"/>
      <c r="BC43" s="383"/>
      <c r="BD43" s="383"/>
      <c r="BE43" s="383"/>
      <c r="BF43" s="383"/>
      <c r="BG43" s="383"/>
      <c r="BH43" s="383"/>
      <c r="BI43" s="383"/>
      <c r="BJ43" s="383"/>
    </row>
    <row r="44" spans="2:62" ht="12" outlineLevel="1">
      <c r="B44" s="376">
        <v>25</v>
      </c>
      <c r="C44" s="377"/>
      <c r="D44" s="378" t="s">
        <v>2087</v>
      </c>
      <c r="E44" s="378"/>
      <c r="F44" s="379" t="s">
        <v>310</v>
      </c>
      <c r="G44" s="380">
        <v>30</v>
      </c>
      <c r="H44" s="644">
        <v>0</v>
      </c>
      <c r="I44" s="381">
        <f t="shared" si="1"/>
        <v>0</v>
      </c>
      <c r="J44" s="382"/>
      <c r="K44" s="382"/>
      <c r="L44" s="382"/>
      <c r="M44" s="382"/>
      <c r="N44" s="382"/>
      <c r="O44" s="382"/>
      <c r="P44" s="382"/>
      <c r="Q44" s="382"/>
      <c r="R44" s="382"/>
      <c r="S44" s="382"/>
      <c r="T44" s="382"/>
      <c r="U44" s="382"/>
      <c r="V44" s="382"/>
      <c r="W44" s="382"/>
      <c r="X44" s="382"/>
      <c r="Y44" s="382"/>
      <c r="Z44" s="383"/>
      <c r="AA44" s="383"/>
      <c r="AB44" s="383"/>
      <c r="AC44" s="383"/>
      <c r="AD44" s="383"/>
      <c r="AE44" s="383"/>
      <c r="AF44" s="383"/>
      <c r="AG44" s="383"/>
      <c r="AH44" s="383"/>
      <c r="AI44" s="383"/>
      <c r="AJ44" s="383"/>
      <c r="AK44" s="383"/>
      <c r="AL44" s="383"/>
      <c r="AM44" s="383"/>
      <c r="AN44" s="383"/>
      <c r="AO44" s="383"/>
      <c r="AP44" s="383"/>
      <c r="AQ44" s="383"/>
      <c r="AR44" s="383"/>
      <c r="AS44" s="383"/>
      <c r="AT44" s="383"/>
      <c r="AU44" s="383"/>
      <c r="AV44" s="383"/>
      <c r="AW44" s="383"/>
      <c r="AX44" s="383"/>
      <c r="AY44" s="383"/>
      <c r="AZ44" s="383"/>
      <c r="BA44" s="383"/>
      <c r="BB44" s="383"/>
      <c r="BC44" s="383"/>
      <c r="BD44" s="383"/>
      <c r="BE44" s="383"/>
      <c r="BF44" s="383"/>
      <c r="BG44" s="383"/>
      <c r="BH44" s="383"/>
      <c r="BI44" s="383"/>
      <c r="BJ44" s="383"/>
    </row>
    <row r="45" spans="2:62" ht="12" outlineLevel="1">
      <c r="B45" s="376">
        <v>26</v>
      </c>
      <c r="C45" s="377"/>
      <c r="D45" s="378" t="s">
        <v>2088</v>
      </c>
      <c r="E45" s="378"/>
      <c r="F45" s="379" t="s">
        <v>310</v>
      </c>
      <c r="G45" s="380">
        <v>200</v>
      </c>
      <c r="H45" s="644">
        <v>0</v>
      </c>
      <c r="I45" s="381">
        <f t="shared" si="1"/>
        <v>0</v>
      </c>
      <c r="J45" s="382"/>
      <c r="K45" s="382"/>
      <c r="L45" s="382"/>
      <c r="M45" s="382"/>
      <c r="N45" s="382"/>
      <c r="O45" s="382"/>
      <c r="P45" s="382"/>
      <c r="Q45" s="382"/>
      <c r="R45" s="382"/>
      <c r="S45" s="382"/>
      <c r="T45" s="382"/>
      <c r="U45" s="382"/>
      <c r="V45" s="382"/>
      <c r="W45" s="382"/>
      <c r="X45" s="382"/>
      <c r="Y45" s="382"/>
      <c r="Z45" s="383"/>
      <c r="AA45" s="383"/>
      <c r="AB45" s="383"/>
      <c r="AC45" s="383"/>
      <c r="AD45" s="383"/>
      <c r="AE45" s="383"/>
      <c r="AF45" s="383"/>
      <c r="AG45" s="383"/>
      <c r="AH45" s="383"/>
      <c r="AI45" s="383"/>
      <c r="AJ45" s="383"/>
      <c r="AK45" s="383"/>
      <c r="AL45" s="383"/>
      <c r="AM45" s="383"/>
      <c r="AN45" s="383"/>
      <c r="AO45" s="383"/>
      <c r="AP45" s="383"/>
      <c r="AQ45" s="383"/>
      <c r="AR45" s="383"/>
      <c r="AS45" s="383"/>
      <c r="AT45" s="383"/>
      <c r="AU45" s="383"/>
      <c r="AV45" s="383"/>
      <c r="AW45" s="383"/>
      <c r="AX45" s="383"/>
      <c r="AY45" s="383"/>
      <c r="AZ45" s="383"/>
      <c r="BA45" s="383"/>
      <c r="BB45" s="383"/>
      <c r="BC45" s="383"/>
      <c r="BD45" s="383"/>
      <c r="BE45" s="383"/>
      <c r="BF45" s="383"/>
      <c r="BG45" s="383"/>
      <c r="BH45" s="383"/>
      <c r="BI45" s="383"/>
      <c r="BJ45" s="383"/>
    </row>
    <row r="46" spans="2:62" ht="12" outlineLevel="1">
      <c r="B46" s="376">
        <v>27</v>
      </c>
      <c r="C46" s="377"/>
      <c r="D46" s="378" t="s">
        <v>2089</v>
      </c>
      <c r="E46" s="378"/>
      <c r="F46" s="379" t="s">
        <v>310</v>
      </c>
      <c r="G46" s="380">
        <v>150</v>
      </c>
      <c r="H46" s="644">
        <v>0</v>
      </c>
      <c r="I46" s="381">
        <f t="shared" si="1"/>
        <v>0</v>
      </c>
      <c r="J46" s="382"/>
      <c r="K46" s="382"/>
      <c r="L46" s="382"/>
      <c r="M46" s="382"/>
      <c r="N46" s="382"/>
      <c r="O46" s="382"/>
      <c r="P46" s="382"/>
      <c r="Q46" s="382"/>
      <c r="R46" s="382"/>
      <c r="S46" s="382"/>
      <c r="T46" s="382"/>
      <c r="U46" s="382"/>
      <c r="V46" s="382"/>
      <c r="W46" s="382"/>
      <c r="X46" s="382"/>
      <c r="Y46" s="382"/>
      <c r="Z46" s="383"/>
      <c r="AA46" s="383"/>
      <c r="AB46" s="383"/>
      <c r="AC46" s="383"/>
      <c r="AD46" s="383"/>
      <c r="AE46" s="383"/>
      <c r="AF46" s="383"/>
      <c r="AG46" s="383"/>
      <c r="AH46" s="383"/>
      <c r="AI46" s="383"/>
      <c r="AJ46" s="383"/>
      <c r="AK46" s="383"/>
      <c r="AL46" s="383"/>
      <c r="AM46" s="383"/>
      <c r="AN46" s="383"/>
      <c r="AO46" s="383"/>
      <c r="AP46" s="383"/>
      <c r="AQ46" s="383"/>
      <c r="AR46" s="383"/>
      <c r="AS46" s="383"/>
      <c r="AT46" s="383"/>
      <c r="AU46" s="383"/>
      <c r="AV46" s="383"/>
      <c r="AW46" s="383"/>
      <c r="AX46" s="383"/>
      <c r="AY46" s="383"/>
      <c r="AZ46" s="383"/>
      <c r="BA46" s="383"/>
      <c r="BB46" s="383"/>
      <c r="BC46" s="383"/>
      <c r="BD46" s="383"/>
      <c r="BE46" s="383"/>
      <c r="BF46" s="383"/>
      <c r="BG46" s="383"/>
      <c r="BH46" s="383"/>
      <c r="BI46" s="383"/>
      <c r="BJ46" s="383"/>
    </row>
    <row r="47" spans="2:62" ht="12" outlineLevel="1">
      <c r="B47" s="376">
        <v>28</v>
      </c>
      <c r="C47" s="377"/>
      <c r="D47" s="378" t="s">
        <v>2090</v>
      </c>
      <c r="E47" s="378"/>
      <c r="F47" s="379" t="s">
        <v>310</v>
      </c>
      <c r="G47" s="380">
        <v>4</v>
      </c>
      <c r="H47" s="644">
        <v>0</v>
      </c>
      <c r="I47" s="381">
        <f t="shared" si="1"/>
        <v>0</v>
      </c>
      <c r="J47" s="382"/>
      <c r="K47" s="382"/>
      <c r="L47" s="382"/>
      <c r="M47" s="382"/>
      <c r="N47" s="382"/>
      <c r="O47" s="382"/>
      <c r="P47" s="382"/>
      <c r="Q47" s="382"/>
      <c r="R47" s="382"/>
      <c r="S47" s="382"/>
      <c r="T47" s="382"/>
      <c r="U47" s="382"/>
      <c r="V47" s="382"/>
      <c r="W47" s="382"/>
      <c r="X47" s="382"/>
      <c r="Y47" s="382"/>
      <c r="Z47" s="383"/>
      <c r="AA47" s="383"/>
      <c r="AB47" s="383"/>
      <c r="AC47" s="383"/>
      <c r="AD47" s="383"/>
      <c r="AE47" s="383"/>
      <c r="AF47" s="383"/>
      <c r="AG47" s="383"/>
      <c r="AH47" s="383"/>
      <c r="AI47" s="383"/>
      <c r="AJ47" s="383"/>
      <c r="AK47" s="383"/>
      <c r="AL47" s="383"/>
      <c r="AM47" s="383"/>
      <c r="AN47" s="383"/>
      <c r="AO47" s="383"/>
      <c r="AP47" s="383"/>
      <c r="AQ47" s="383"/>
      <c r="AR47" s="383"/>
      <c r="AS47" s="383"/>
      <c r="AT47" s="383"/>
      <c r="AU47" s="383"/>
      <c r="AV47" s="383"/>
      <c r="AW47" s="383"/>
      <c r="AX47" s="383"/>
      <c r="AY47" s="383"/>
      <c r="AZ47" s="383"/>
      <c r="BA47" s="383"/>
      <c r="BB47" s="383"/>
      <c r="BC47" s="383"/>
      <c r="BD47" s="383"/>
      <c r="BE47" s="383"/>
      <c r="BF47" s="383"/>
      <c r="BG47" s="383"/>
      <c r="BH47" s="383"/>
      <c r="BI47" s="383"/>
      <c r="BJ47" s="383"/>
    </row>
    <row r="48" spans="2:62" ht="12" outlineLevel="1">
      <c r="B48" s="376">
        <v>29</v>
      </c>
      <c r="C48" s="377"/>
      <c r="D48" s="378" t="s">
        <v>2091</v>
      </c>
      <c r="E48" s="378"/>
      <c r="F48" s="379" t="s">
        <v>310</v>
      </c>
      <c r="G48" s="380">
        <v>4</v>
      </c>
      <c r="H48" s="644">
        <v>0</v>
      </c>
      <c r="I48" s="381">
        <f t="shared" si="1"/>
        <v>0</v>
      </c>
      <c r="J48" s="382"/>
      <c r="K48" s="382"/>
      <c r="L48" s="382"/>
      <c r="M48" s="382"/>
      <c r="N48" s="382"/>
      <c r="O48" s="382"/>
      <c r="P48" s="382"/>
      <c r="Q48" s="382"/>
      <c r="R48" s="382"/>
      <c r="S48" s="382"/>
      <c r="T48" s="382"/>
      <c r="U48" s="382"/>
      <c r="V48" s="382"/>
      <c r="W48" s="382"/>
      <c r="X48" s="382"/>
      <c r="Y48" s="382"/>
      <c r="Z48" s="383"/>
      <c r="AA48" s="383"/>
      <c r="AB48" s="383"/>
      <c r="AC48" s="383"/>
      <c r="AD48" s="383"/>
      <c r="AE48" s="383"/>
      <c r="AF48" s="383"/>
      <c r="AG48" s="383"/>
      <c r="AH48" s="383"/>
      <c r="AI48" s="383"/>
      <c r="AJ48" s="383"/>
      <c r="AK48" s="383"/>
      <c r="AL48" s="383"/>
      <c r="AM48" s="383"/>
      <c r="AN48" s="383"/>
      <c r="AO48" s="383"/>
      <c r="AP48" s="383"/>
      <c r="AQ48" s="383"/>
      <c r="AR48" s="383"/>
      <c r="AS48" s="383"/>
      <c r="AT48" s="383"/>
      <c r="AU48" s="383"/>
      <c r="AV48" s="383"/>
      <c r="AW48" s="383"/>
      <c r="AX48" s="383"/>
      <c r="AY48" s="383"/>
      <c r="AZ48" s="383"/>
      <c r="BA48" s="383"/>
      <c r="BB48" s="383"/>
      <c r="BC48" s="383"/>
      <c r="BD48" s="383"/>
      <c r="BE48" s="383"/>
      <c r="BF48" s="383"/>
      <c r="BG48" s="383"/>
      <c r="BH48" s="383"/>
      <c r="BI48" s="383"/>
      <c r="BJ48" s="383"/>
    </row>
    <row r="49" spans="2:62" ht="12" outlineLevel="1">
      <c r="B49" s="376">
        <v>30</v>
      </c>
      <c r="C49" s="377"/>
      <c r="D49" s="378" t="s">
        <v>2092</v>
      </c>
      <c r="E49" s="378" t="s">
        <v>2093</v>
      </c>
      <c r="F49" s="379" t="s">
        <v>310</v>
      </c>
      <c r="G49" s="380">
        <v>15</v>
      </c>
      <c r="H49" s="644">
        <v>0</v>
      </c>
      <c r="I49" s="381">
        <f t="shared" si="1"/>
        <v>0</v>
      </c>
      <c r="J49" s="382"/>
      <c r="K49" s="382"/>
      <c r="L49" s="382"/>
      <c r="M49" s="382"/>
      <c r="N49" s="382"/>
      <c r="O49" s="382"/>
      <c r="P49" s="382"/>
      <c r="Q49" s="382"/>
      <c r="R49" s="382"/>
      <c r="S49" s="382"/>
      <c r="T49" s="382"/>
      <c r="U49" s="382"/>
      <c r="V49" s="382"/>
      <c r="W49" s="382"/>
      <c r="X49" s="382"/>
      <c r="Y49" s="382"/>
      <c r="Z49" s="383"/>
      <c r="AA49" s="383"/>
      <c r="AB49" s="383"/>
      <c r="AC49" s="383"/>
      <c r="AD49" s="383"/>
      <c r="AE49" s="383"/>
      <c r="AF49" s="383"/>
      <c r="AG49" s="383"/>
      <c r="AH49" s="383"/>
      <c r="AI49" s="383"/>
      <c r="AJ49" s="383"/>
      <c r="AK49" s="383"/>
      <c r="AL49" s="383"/>
      <c r="AM49" s="383"/>
      <c r="AN49" s="383"/>
      <c r="AO49" s="383"/>
      <c r="AP49" s="383"/>
      <c r="AQ49" s="383"/>
      <c r="AR49" s="383"/>
      <c r="AS49" s="383"/>
      <c r="AT49" s="383"/>
      <c r="AU49" s="383"/>
      <c r="AV49" s="383"/>
      <c r="AW49" s="383"/>
      <c r="AX49" s="383"/>
      <c r="AY49" s="383"/>
      <c r="AZ49" s="383"/>
      <c r="BA49" s="383"/>
      <c r="BB49" s="383"/>
      <c r="BC49" s="383"/>
      <c r="BD49" s="383"/>
      <c r="BE49" s="383"/>
      <c r="BF49" s="383"/>
      <c r="BG49" s="383"/>
      <c r="BH49" s="383"/>
      <c r="BI49" s="383"/>
      <c r="BJ49" s="383"/>
    </row>
    <row r="50" spans="2:62" ht="22.5" outlineLevel="1">
      <c r="B50" s="376">
        <v>31</v>
      </c>
      <c r="C50" s="377"/>
      <c r="D50" s="378" t="s">
        <v>2094</v>
      </c>
      <c r="E50" s="378"/>
      <c r="F50" s="379" t="s">
        <v>310</v>
      </c>
      <c r="G50" s="380">
        <v>30</v>
      </c>
      <c r="H50" s="644">
        <v>0</v>
      </c>
      <c r="I50" s="381">
        <f t="shared" si="1"/>
        <v>0</v>
      </c>
      <c r="J50" s="382"/>
      <c r="K50" s="382"/>
      <c r="L50" s="382"/>
      <c r="M50" s="382"/>
      <c r="N50" s="382"/>
      <c r="O50" s="382"/>
      <c r="P50" s="382"/>
      <c r="Q50" s="382"/>
      <c r="R50" s="382"/>
      <c r="S50" s="382"/>
      <c r="T50" s="382"/>
      <c r="U50" s="382"/>
      <c r="V50" s="382"/>
      <c r="W50" s="382"/>
      <c r="X50" s="382"/>
      <c r="Y50" s="382"/>
      <c r="Z50" s="383"/>
      <c r="AA50" s="383"/>
      <c r="AB50" s="383"/>
      <c r="AC50" s="383"/>
      <c r="AD50" s="383"/>
      <c r="AE50" s="383"/>
      <c r="AF50" s="383"/>
      <c r="AG50" s="383"/>
      <c r="AH50" s="383"/>
      <c r="AI50" s="383"/>
      <c r="AJ50" s="383"/>
      <c r="AK50" s="383"/>
      <c r="AL50" s="383"/>
      <c r="AM50" s="383"/>
      <c r="AN50" s="383"/>
      <c r="AO50" s="383"/>
      <c r="AP50" s="383"/>
      <c r="AQ50" s="383"/>
      <c r="AR50" s="383"/>
      <c r="AS50" s="383"/>
      <c r="AT50" s="383"/>
      <c r="AU50" s="383"/>
      <c r="AV50" s="383"/>
      <c r="AW50" s="383"/>
      <c r="AX50" s="383"/>
      <c r="AY50" s="383"/>
      <c r="AZ50" s="383"/>
      <c r="BA50" s="383"/>
      <c r="BB50" s="383"/>
      <c r="BC50" s="383"/>
      <c r="BD50" s="383"/>
      <c r="BE50" s="383"/>
      <c r="BF50" s="383"/>
      <c r="BG50" s="383"/>
      <c r="BH50" s="383"/>
      <c r="BI50" s="383"/>
      <c r="BJ50" s="383"/>
    </row>
    <row r="51" spans="2:62" ht="12" outlineLevel="1">
      <c r="B51" s="376">
        <v>32</v>
      </c>
      <c r="C51" s="377"/>
      <c r="D51" s="378" t="s">
        <v>2095</v>
      </c>
      <c r="E51" s="378"/>
      <c r="F51" s="379" t="s">
        <v>310</v>
      </c>
      <c r="G51" s="380">
        <v>40</v>
      </c>
      <c r="H51" s="644">
        <v>0</v>
      </c>
      <c r="I51" s="381">
        <f t="shared" si="1"/>
        <v>0</v>
      </c>
      <c r="J51" s="382"/>
      <c r="K51" s="382"/>
      <c r="L51" s="382"/>
      <c r="M51" s="382"/>
      <c r="N51" s="382"/>
      <c r="O51" s="382"/>
      <c r="P51" s="382"/>
      <c r="Q51" s="382"/>
      <c r="R51" s="382"/>
      <c r="S51" s="382"/>
      <c r="T51" s="382"/>
      <c r="U51" s="382"/>
      <c r="V51" s="382"/>
      <c r="W51" s="382"/>
      <c r="X51" s="382"/>
      <c r="Y51" s="382"/>
      <c r="Z51" s="383"/>
      <c r="AA51" s="383"/>
      <c r="AB51" s="383"/>
      <c r="AC51" s="383"/>
      <c r="AD51" s="383"/>
      <c r="AE51" s="383"/>
      <c r="AF51" s="383"/>
      <c r="AG51" s="383"/>
      <c r="AH51" s="383"/>
      <c r="AI51" s="383"/>
      <c r="AJ51" s="383"/>
      <c r="AK51" s="383"/>
      <c r="AL51" s="383"/>
      <c r="AM51" s="383"/>
      <c r="AN51" s="383"/>
      <c r="AO51" s="383"/>
      <c r="AP51" s="383"/>
      <c r="AQ51" s="383"/>
      <c r="AR51" s="383"/>
      <c r="AS51" s="383"/>
      <c r="AT51" s="383"/>
      <c r="AU51" s="383"/>
      <c r="AV51" s="383"/>
      <c r="AW51" s="383"/>
      <c r="AX51" s="383"/>
      <c r="AY51" s="383"/>
      <c r="AZ51" s="383"/>
      <c r="BA51" s="383"/>
      <c r="BB51" s="383"/>
      <c r="BC51" s="383"/>
      <c r="BD51" s="383"/>
      <c r="BE51" s="383"/>
      <c r="BF51" s="383"/>
      <c r="BG51" s="383"/>
      <c r="BH51" s="383"/>
      <c r="BI51" s="383"/>
      <c r="BJ51" s="383"/>
    </row>
    <row r="52" spans="2:62" ht="12" outlineLevel="1">
      <c r="B52" s="376">
        <v>33</v>
      </c>
      <c r="C52" s="377"/>
      <c r="D52" s="378" t="s">
        <v>2096</v>
      </c>
      <c r="E52" s="378"/>
      <c r="F52" s="379" t="s">
        <v>310</v>
      </c>
      <c r="G52" s="380">
        <v>15</v>
      </c>
      <c r="H52" s="644">
        <v>0</v>
      </c>
      <c r="I52" s="381">
        <f t="shared" si="1"/>
        <v>0</v>
      </c>
      <c r="J52" s="382"/>
      <c r="K52" s="382"/>
      <c r="L52" s="382"/>
      <c r="M52" s="382"/>
      <c r="N52" s="382"/>
      <c r="O52" s="382"/>
      <c r="P52" s="382"/>
      <c r="Q52" s="382"/>
      <c r="R52" s="382"/>
      <c r="S52" s="382"/>
      <c r="T52" s="382"/>
      <c r="U52" s="382"/>
      <c r="V52" s="382"/>
      <c r="W52" s="382"/>
      <c r="X52" s="382"/>
      <c r="Y52" s="382"/>
      <c r="Z52" s="383"/>
      <c r="AA52" s="383"/>
      <c r="AB52" s="383"/>
      <c r="AC52" s="383"/>
      <c r="AD52" s="383"/>
      <c r="AE52" s="383"/>
      <c r="AF52" s="383"/>
      <c r="AG52" s="383"/>
      <c r="AH52" s="383"/>
      <c r="AI52" s="383"/>
      <c r="AJ52" s="383"/>
      <c r="AK52" s="383"/>
      <c r="AL52" s="383"/>
      <c r="AM52" s="383"/>
      <c r="AN52" s="383"/>
      <c r="AO52" s="383"/>
      <c r="AP52" s="383"/>
      <c r="AQ52" s="383"/>
      <c r="AR52" s="383"/>
      <c r="AS52" s="383"/>
      <c r="AT52" s="383"/>
      <c r="AU52" s="383"/>
      <c r="AV52" s="383"/>
      <c r="AW52" s="383"/>
      <c r="AX52" s="383"/>
      <c r="AY52" s="383"/>
      <c r="AZ52" s="383"/>
      <c r="BA52" s="383"/>
      <c r="BB52" s="383"/>
      <c r="BC52" s="383"/>
      <c r="BD52" s="383"/>
      <c r="BE52" s="383"/>
      <c r="BF52" s="383"/>
      <c r="BG52" s="383"/>
      <c r="BH52" s="383"/>
      <c r="BI52" s="383"/>
      <c r="BJ52" s="383"/>
    </row>
    <row r="53" spans="2:62" ht="12" outlineLevel="1">
      <c r="B53" s="376">
        <v>34</v>
      </c>
      <c r="C53" s="377"/>
      <c r="D53" s="378" t="s">
        <v>2097</v>
      </c>
      <c r="E53" s="378"/>
      <c r="F53" s="379" t="s">
        <v>2057</v>
      </c>
      <c r="G53" s="380">
        <v>300</v>
      </c>
      <c r="H53" s="644">
        <v>0</v>
      </c>
      <c r="I53" s="381">
        <f t="shared" si="1"/>
        <v>0</v>
      </c>
      <c r="J53" s="382"/>
      <c r="K53" s="382"/>
      <c r="L53" s="382"/>
      <c r="M53" s="382"/>
      <c r="N53" s="382"/>
      <c r="O53" s="382"/>
      <c r="P53" s="382"/>
      <c r="Q53" s="382"/>
      <c r="R53" s="382"/>
      <c r="S53" s="382"/>
      <c r="T53" s="382"/>
      <c r="U53" s="382"/>
      <c r="V53" s="382"/>
      <c r="W53" s="382"/>
      <c r="X53" s="382"/>
      <c r="Y53" s="382"/>
      <c r="Z53" s="383"/>
      <c r="AA53" s="383"/>
      <c r="AB53" s="383"/>
      <c r="AC53" s="383"/>
      <c r="AD53" s="383"/>
      <c r="AE53" s="383"/>
      <c r="AF53" s="383"/>
      <c r="AG53" s="383"/>
      <c r="AH53" s="383"/>
      <c r="AI53" s="383"/>
      <c r="AJ53" s="383"/>
      <c r="AK53" s="383"/>
      <c r="AL53" s="383"/>
      <c r="AM53" s="383"/>
      <c r="AN53" s="383"/>
      <c r="AO53" s="383"/>
      <c r="AP53" s="383"/>
      <c r="AQ53" s="383"/>
      <c r="AR53" s="383"/>
      <c r="AS53" s="383"/>
      <c r="AT53" s="383"/>
      <c r="AU53" s="383"/>
      <c r="AV53" s="383"/>
      <c r="AW53" s="383"/>
      <c r="AX53" s="383"/>
      <c r="AY53" s="383"/>
      <c r="AZ53" s="383"/>
      <c r="BA53" s="383"/>
      <c r="BB53" s="383"/>
      <c r="BC53" s="383"/>
      <c r="BD53" s="383"/>
      <c r="BE53" s="383"/>
      <c r="BF53" s="383"/>
      <c r="BG53" s="383"/>
      <c r="BH53" s="383"/>
      <c r="BI53" s="383"/>
      <c r="BJ53" s="383"/>
    </row>
    <row r="54" spans="2:62" ht="12" outlineLevel="1">
      <c r="B54" s="376">
        <v>35</v>
      </c>
      <c r="C54" s="377"/>
      <c r="D54" s="378" t="s">
        <v>2098</v>
      </c>
      <c r="E54" s="378"/>
      <c r="F54" s="379" t="s">
        <v>2057</v>
      </c>
      <c r="G54" s="380">
        <v>30</v>
      </c>
      <c r="H54" s="644">
        <v>0</v>
      </c>
      <c r="I54" s="381">
        <f t="shared" si="1"/>
        <v>0</v>
      </c>
      <c r="J54" s="382"/>
      <c r="K54" s="382"/>
      <c r="L54" s="382"/>
      <c r="M54" s="382"/>
      <c r="N54" s="382"/>
      <c r="O54" s="382"/>
      <c r="P54" s="382"/>
      <c r="Q54" s="382"/>
      <c r="R54" s="382"/>
      <c r="S54" s="382"/>
      <c r="T54" s="382"/>
      <c r="U54" s="382"/>
      <c r="V54" s="382"/>
      <c r="W54" s="382"/>
      <c r="X54" s="382"/>
      <c r="Y54" s="382"/>
      <c r="Z54" s="383"/>
      <c r="AA54" s="383"/>
      <c r="AB54" s="383"/>
      <c r="AC54" s="383"/>
      <c r="AD54" s="383"/>
      <c r="AE54" s="383"/>
      <c r="AF54" s="383"/>
      <c r="AG54" s="383"/>
      <c r="AH54" s="383"/>
      <c r="AI54" s="383"/>
      <c r="AJ54" s="383"/>
      <c r="AK54" s="383"/>
      <c r="AL54" s="383"/>
      <c r="AM54" s="383"/>
      <c r="AN54" s="383"/>
      <c r="AO54" s="383"/>
      <c r="AP54" s="383"/>
      <c r="AQ54" s="383"/>
      <c r="AR54" s="383"/>
      <c r="AS54" s="383"/>
      <c r="AT54" s="383"/>
      <c r="AU54" s="383"/>
      <c r="AV54" s="383"/>
      <c r="AW54" s="383"/>
      <c r="AX54" s="383"/>
      <c r="AY54" s="383"/>
      <c r="AZ54" s="383"/>
      <c r="BA54" s="383"/>
      <c r="BB54" s="383"/>
      <c r="BC54" s="383"/>
      <c r="BD54" s="383"/>
      <c r="BE54" s="383"/>
      <c r="BF54" s="383"/>
      <c r="BG54" s="383"/>
      <c r="BH54" s="383"/>
      <c r="BI54" s="383"/>
      <c r="BJ54" s="383"/>
    </row>
    <row r="55" spans="2:62" ht="12" outlineLevel="1">
      <c r="B55" s="376">
        <v>36</v>
      </c>
      <c r="C55" s="377"/>
      <c r="D55" s="378" t="s">
        <v>2099</v>
      </c>
      <c r="E55" s="378"/>
      <c r="F55" s="379" t="s">
        <v>2057</v>
      </c>
      <c r="G55" s="380">
        <v>80</v>
      </c>
      <c r="H55" s="644">
        <v>0</v>
      </c>
      <c r="I55" s="381">
        <f t="shared" si="1"/>
        <v>0</v>
      </c>
      <c r="J55" s="382"/>
      <c r="K55" s="382"/>
      <c r="L55" s="382"/>
      <c r="M55" s="382"/>
      <c r="N55" s="382"/>
      <c r="O55" s="382"/>
      <c r="P55" s="382"/>
      <c r="Q55" s="382"/>
      <c r="R55" s="382"/>
      <c r="S55" s="382"/>
      <c r="T55" s="382"/>
      <c r="U55" s="382"/>
      <c r="V55" s="382"/>
      <c r="W55" s="382"/>
      <c r="X55" s="382"/>
      <c r="Y55" s="382"/>
      <c r="Z55" s="383"/>
      <c r="AA55" s="383"/>
      <c r="AB55" s="383"/>
      <c r="AC55" s="383"/>
      <c r="AD55" s="383"/>
      <c r="AE55" s="383"/>
      <c r="AF55" s="383"/>
      <c r="AG55" s="383"/>
      <c r="AH55" s="383"/>
      <c r="AI55" s="383"/>
      <c r="AJ55" s="383"/>
      <c r="AK55" s="383"/>
      <c r="AL55" s="383"/>
      <c r="AM55" s="383"/>
      <c r="AN55" s="383"/>
      <c r="AO55" s="383"/>
      <c r="AP55" s="383"/>
      <c r="AQ55" s="383"/>
      <c r="AR55" s="383"/>
      <c r="AS55" s="383"/>
      <c r="AT55" s="383"/>
      <c r="AU55" s="383"/>
      <c r="AV55" s="383"/>
      <c r="AW55" s="383"/>
      <c r="AX55" s="383"/>
      <c r="AY55" s="383"/>
      <c r="AZ55" s="383"/>
      <c r="BA55" s="383"/>
      <c r="BB55" s="383"/>
      <c r="BC55" s="383"/>
      <c r="BD55" s="383"/>
      <c r="BE55" s="383"/>
      <c r="BF55" s="383"/>
      <c r="BG55" s="383"/>
      <c r="BH55" s="383"/>
      <c r="BI55" s="383"/>
      <c r="BJ55" s="383"/>
    </row>
    <row r="56" spans="2:62" ht="12" outlineLevel="1">
      <c r="B56" s="376">
        <v>37</v>
      </c>
      <c r="C56" s="377"/>
      <c r="D56" s="378" t="s">
        <v>2100</v>
      </c>
      <c r="E56" s="378"/>
      <c r="F56" s="379" t="s">
        <v>2057</v>
      </c>
      <c r="G56" s="380">
        <v>20</v>
      </c>
      <c r="H56" s="644">
        <v>0</v>
      </c>
      <c r="I56" s="381">
        <f t="shared" si="1"/>
        <v>0</v>
      </c>
      <c r="J56" s="382"/>
      <c r="K56" s="382"/>
      <c r="L56" s="382"/>
      <c r="M56" s="382"/>
      <c r="N56" s="382"/>
      <c r="O56" s="382"/>
      <c r="P56" s="382"/>
      <c r="Q56" s="382"/>
      <c r="R56" s="382"/>
      <c r="S56" s="382"/>
      <c r="T56" s="382"/>
      <c r="U56" s="382"/>
      <c r="V56" s="382"/>
      <c r="W56" s="382"/>
      <c r="X56" s="382"/>
      <c r="Y56" s="382"/>
      <c r="Z56" s="383"/>
      <c r="AA56" s="383"/>
      <c r="AB56" s="383"/>
      <c r="AC56" s="383"/>
      <c r="AD56" s="383"/>
      <c r="AE56" s="383"/>
      <c r="AF56" s="383"/>
      <c r="AG56" s="383"/>
      <c r="AH56" s="383"/>
      <c r="AI56" s="383"/>
      <c r="AJ56" s="383"/>
      <c r="AK56" s="383"/>
      <c r="AL56" s="383"/>
      <c r="AM56" s="383"/>
      <c r="AN56" s="383"/>
      <c r="AO56" s="383"/>
      <c r="AP56" s="383"/>
      <c r="AQ56" s="383"/>
      <c r="AR56" s="383"/>
      <c r="AS56" s="383"/>
      <c r="AT56" s="383"/>
      <c r="AU56" s="383"/>
      <c r="AV56" s="383"/>
      <c r="AW56" s="383"/>
      <c r="AX56" s="383"/>
      <c r="AY56" s="383"/>
      <c r="AZ56" s="383"/>
      <c r="BA56" s="383"/>
      <c r="BB56" s="383"/>
      <c r="BC56" s="383"/>
      <c r="BD56" s="383"/>
      <c r="BE56" s="383"/>
      <c r="BF56" s="383"/>
      <c r="BG56" s="383"/>
      <c r="BH56" s="383"/>
      <c r="BI56" s="383"/>
      <c r="BJ56" s="383"/>
    </row>
    <row r="57" spans="2:62" ht="12" outlineLevel="1">
      <c r="B57" s="376">
        <v>38</v>
      </c>
      <c r="C57" s="377"/>
      <c r="D57" s="378" t="s">
        <v>2101</v>
      </c>
      <c r="E57" s="378"/>
      <c r="F57" s="379" t="s">
        <v>2057</v>
      </c>
      <c r="G57" s="380">
        <v>4</v>
      </c>
      <c r="H57" s="644">
        <v>0</v>
      </c>
      <c r="I57" s="381">
        <f t="shared" si="1"/>
        <v>0</v>
      </c>
      <c r="J57" s="382"/>
      <c r="K57" s="382"/>
      <c r="L57" s="382"/>
      <c r="M57" s="382"/>
      <c r="N57" s="382"/>
      <c r="O57" s="382"/>
      <c r="P57" s="382"/>
      <c r="Q57" s="382"/>
      <c r="R57" s="382"/>
      <c r="S57" s="382"/>
      <c r="T57" s="382"/>
      <c r="U57" s="382"/>
      <c r="V57" s="382"/>
      <c r="W57" s="382"/>
      <c r="X57" s="382"/>
      <c r="Y57" s="382"/>
      <c r="Z57" s="383"/>
      <c r="AA57" s="383"/>
      <c r="AB57" s="383"/>
      <c r="AC57" s="383"/>
      <c r="AD57" s="383"/>
      <c r="AE57" s="383"/>
      <c r="AF57" s="383"/>
      <c r="AG57" s="383"/>
      <c r="AH57" s="383"/>
      <c r="AI57" s="383"/>
      <c r="AJ57" s="383"/>
      <c r="AK57" s="383"/>
      <c r="AL57" s="383"/>
      <c r="AM57" s="383"/>
      <c r="AN57" s="383"/>
      <c r="AO57" s="383"/>
      <c r="AP57" s="383"/>
      <c r="AQ57" s="383"/>
      <c r="AR57" s="383"/>
      <c r="AS57" s="383"/>
      <c r="AT57" s="383"/>
      <c r="AU57" s="383"/>
      <c r="AV57" s="383"/>
      <c r="AW57" s="383"/>
      <c r="AX57" s="383"/>
      <c r="AY57" s="383"/>
      <c r="AZ57" s="383"/>
      <c r="BA57" s="383"/>
      <c r="BB57" s="383"/>
      <c r="BC57" s="383"/>
      <c r="BD57" s="383"/>
      <c r="BE57" s="383"/>
      <c r="BF57" s="383"/>
      <c r="BG57" s="383"/>
      <c r="BH57" s="383"/>
      <c r="BI57" s="383"/>
      <c r="BJ57" s="383"/>
    </row>
    <row r="58" spans="2:62" ht="12" outlineLevel="1">
      <c r="B58" s="376">
        <v>39</v>
      </c>
      <c r="C58" s="377"/>
      <c r="D58" s="378" t="s">
        <v>2102</v>
      </c>
      <c r="E58" s="378"/>
      <c r="F58" s="379" t="s">
        <v>1437</v>
      </c>
      <c r="G58" s="380">
        <v>1</v>
      </c>
      <c r="H58" s="644">
        <v>0</v>
      </c>
      <c r="I58" s="381">
        <f t="shared" si="1"/>
        <v>0</v>
      </c>
      <c r="J58" s="382"/>
      <c r="K58" s="382"/>
      <c r="L58" s="382"/>
      <c r="M58" s="382"/>
      <c r="N58" s="382"/>
      <c r="O58" s="382"/>
      <c r="P58" s="382"/>
      <c r="Q58" s="382"/>
      <c r="R58" s="382"/>
      <c r="S58" s="382"/>
      <c r="T58" s="382"/>
      <c r="U58" s="382"/>
      <c r="V58" s="382"/>
      <c r="W58" s="382"/>
      <c r="X58" s="382"/>
      <c r="Y58" s="382"/>
      <c r="Z58" s="383"/>
      <c r="AA58" s="383"/>
      <c r="AB58" s="383"/>
      <c r="AC58" s="383"/>
      <c r="AD58" s="383"/>
      <c r="AE58" s="383"/>
      <c r="AF58" s="383"/>
      <c r="AG58" s="383"/>
      <c r="AH58" s="383"/>
      <c r="AI58" s="383"/>
      <c r="AJ58" s="383"/>
      <c r="AK58" s="383"/>
      <c r="AL58" s="383"/>
      <c r="AM58" s="383"/>
      <c r="AN58" s="383"/>
      <c r="AO58" s="383"/>
      <c r="AP58" s="383"/>
      <c r="AQ58" s="383"/>
      <c r="AR58" s="383"/>
      <c r="AS58" s="383"/>
      <c r="AT58" s="383"/>
      <c r="AU58" s="383"/>
      <c r="AV58" s="383"/>
      <c r="AW58" s="383"/>
      <c r="AX58" s="383"/>
      <c r="AY58" s="383"/>
      <c r="AZ58" s="383"/>
      <c r="BA58" s="383"/>
      <c r="BB58" s="383"/>
      <c r="BC58" s="383"/>
      <c r="BD58" s="383"/>
      <c r="BE58" s="383"/>
      <c r="BF58" s="383"/>
      <c r="BG58" s="383"/>
      <c r="BH58" s="383"/>
      <c r="BI58" s="383"/>
      <c r="BJ58" s="383"/>
    </row>
    <row r="59" spans="2:62" ht="12" outlineLevel="1">
      <c r="B59" s="376">
        <v>40</v>
      </c>
      <c r="C59" s="377"/>
      <c r="D59" s="378" t="s">
        <v>2103</v>
      </c>
      <c r="E59" s="378"/>
      <c r="F59" s="379" t="s">
        <v>1437</v>
      </c>
      <c r="G59" s="380">
        <v>1</v>
      </c>
      <c r="H59" s="644">
        <v>0</v>
      </c>
      <c r="I59" s="381">
        <f t="shared" si="1"/>
        <v>0</v>
      </c>
      <c r="J59" s="382"/>
      <c r="K59" s="382"/>
      <c r="L59" s="382"/>
      <c r="M59" s="382"/>
      <c r="N59" s="382"/>
      <c r="O59" s="382"/>
      <c r="P59" s="382"/>
      <c r="Q59" s="382"/>
      <c r="R59" s="382"/>
      <c r="S59" s="382"/>
      <c r="T59" s="382"/>
      <c r="U59" s="382"/>
      <c r="V59" s="382"/>
      <c r="W59" s="382"/>
      <c r="X59" s="382"/>
      <c r="Y59" s="382"/>
      <c r="Z59" s="383"/>
      <c r="AA59" s="383"/>
      <c r="AB59" s="383"/>
      <c r="AC59" s="383"/>
      <c r="AD59" s="383"/>
      <c r="AE59" s="383"/>
      <c r="AF59" s="383"/>
      <c r="AG59" s="383"/>
      <c r="AH59" s="383"/>
      <c r="AI59" s="383"/>
      <c r="AJ59" s="383"/>
      <c r="AK59" s="383"/>
      <c r="AL59" s="383"/>
      <c r="AM59" s="383"/>
      <c r="AN59" s="383"/>
      <c r="AO59" s="383"/>
      <c r="AP59" s="383"/>
      <c r="AQ59" s="383"/>
      <c r="AR59" s="383"/>
      <c r="AS59" s="383"/>
      <c r="AT59" s="383"/>
      <c r="AU59" s="383"/>
      <c r="AV59" s="383"/>
      <c r="AW59" s="383"/>
      <c r="AX59" s="383"/>
      <c r="AY59" s="383"/>
      <c r="AZ59" s="383"/>
      <c r="BA59" s="383"/>
      <c r="BB59" s="383"/>
      <c r="BC59" s="383"/>
      <c r="BD59" s="383"/>
      <c r="BE59" s="383"/>
      <c r="BF59" s="383"/>
      <c r="BG59" s="383"/>
      <c r="BH59" s="383"/>
      <c r="BI59" s="383"/>
      <c r="BJ59" s="383"/>
    </row>
    <row r="60" spans="2:62" ht="22.5" outlineLevel="1">
      <c r="B60" s="376">
        <v>41</v>
      </c>
      <c r="C60" s="377"/>
      <c r="D60" s="378" t="s">
        <v>2104</v>
      </c>
      <c r="E60" s="378"/>
      <c r="F60" s="379" t="s">
        <v>1437</v>
      </c>
      <c r="G60" s="380">
        <v>1</v>
      </c>
      <c r="H60" s="644">
        <v>0</v>
      </c>
      <c r="I60" s="381">
        <f t="shared" si="1"/>
        <v>0</v>
      </c>
      <c r="J60" s="382"/>
      <c r="K60" s="382"/>
      <c r="L60" s="382"/>
      <c r="M60" s="382"/>
      <c r="N60" s="382"/>
      <c r="O60" s="382"/>
      <c r="P60" s="382"/>
      <c r="Q60" s="382"/>
      <c r="R60" s="382"/>
      <c r="S60" s="382"/>
      <c r="T60" s="382"/>
      <c r="U60" s="382"/>
      <c r="V60" s="382"/>
      <c r="W60" s="382"/>
      <c r="X60" s="382"/>
      <c r="Y60" s="382"/>
      <c r="Z60" s="383"/>
      <c r="AA60" s="383"/>
      <c r="AB60" s="383"/>
      <c r="AC60" s="383"/>
      <c r="AD60" s="383"/>
      <c r="AE60" s="383"/>
      <c r="AF60" s="383"/>
      <c r="AG60" s="383"/>
      <c r="AH60" s="383"/>
      <c r="AI60" s="383"/>
      <c r="AJ60" s="383"/>
      <c r="AK60" s="383"/>
      <c r="AL60" s="383"/>
      <c r="AM60" s="383"/>
      <c r="AN60" s="383"/>
      <c r="AO60" s="383"/>
      <c r="AP60" s="383"/>
      <c r="AQ60" s="383"/>
      <c r="AR60" s="383"/>
      <c r="AS60" s="383"/>
      <c r="AT60" s="383"/>
      <c r="AU60" s="383"/>
      <c r="AV60" s="383"/>
      <c r="AW60" s="383"/>
      <c r="AX60" s="383"/>
      <c r="AY60" s="383"/>
      <c r="AZ60" s="383"/>
      <c r="BA60" s="383"/>
      <c r="BB60" s="383"/>
      <c r="BC60" s="383"/>
      <c r="BD60" s="383"/>
      <c r="BE60" s="383"/>
      <c r="BF60" s="383"/>
      <c r="BG60" s="383"/>
      <c r="BH60" s="383"/>
      <c r="BI60" s="383"/>
      <c r="BJ60" s="383"/>
    </row>
    <row r="61" spans="2:62" ht="12" outlineLevel="1">
      <c r="B61" s="376">
        <v>42</v>
      </c>
      <c r="C61" s="385"/>
      <c r="D61" s="386" t="s">
        <v>2105</v>
      </c>
      <c r="E61" s="378"/>
      <c r="F61" s="379" t="s">
        <v>1437</v>
      </c>
      <c r="G61" s="380">
        <v>1</v>
      </c>
      <c r="H61" s="644">
        <v>0</v>
      </c>
      <c r="I61" s="381">
        <f t="shared" si="1"/>
        <v>0</v>
      </c>
      <c r="J61" s="382"/>
      <c r="K61" s="382"/>
      <c r="L61" s="382"/>
      <c r="M61" s="382"/>
      <c r="N61" s="382"/>
      <c r="O61" s="382"/>
      <c r="P61" s="382"/>
      <c r="Q61" s="382"/>
      <c r="R61" s="382"/>
      <c r="S61" s="382"/>
      <c r="T61" s="382"/>
      <c r="U61" s="382"/>
      <c r="V61" s="382"/>
      <c r="W61" s="382"/>
      <c r="X61" s="382"/>
      <c r="Y61" s="382"/>
      <c r="Z61" s="383"/>
      <c r="AA61" s="383"/>
      <c r="AB61" s="383"/>
      <c r="AC61" s="383"/>
      <c r="AD61" s="383"/>
      <c r="AE61" s="383"/>
      <c r="AF61" s="383"/>
      <c r="AG61" s="383"/>
      <c r="AH61" s="383"/>
      <c r="AI61" s="383"/>
      <c r="AJ61" s="383"/>
      <c r="AK61" s="383"/>
      <c r="AL61" s="383"/>
      <c r="AM61" s="383"/>
      <c r="AN61" s="383"/>
      <c r="AO61" s="383"/>
      <c r="AP61" s="383"/>
      <c r="AQ61" s="383"/>
      <c r="AR61" s="383"/>
      <c r="AS61" s="383"/>
      <c r="AT61" s="383"/>
      <c r="AU61" s="383"/>
      <c r="AV61" s="383"/>
      <c r="AW61" s="383"/>
      <c r="AX61" s="383"/>
      <c r="AY61" s="383"/>
      <c r="AZ61" s="383"/>
      <c r="BA61" s="383"/>
      <c r="BB61" s="383"/>
      <c r="BC61" s="383"/>
      <c r="BD61" s="383"/>
      <c r="BE61" s="383"/>
      <c r="BF61" s="383"/>
      <c r="BG61" s="383"/>
      <c r="BH61" s="383"/>
      <c r="BI61" s="383"/>
      <c r="BJ61" s="383"/>
    </row>
    <row r="62" spans="2:62" ht="12" outlineLevel="1">
      <c r="B62" s="376">
        <v>43</v>
      </c>
      <c r="C62" s="385"/>
      <c r="D62" s="386" t="s">
        <v>2106</v>
      </c>
      <c r="E62" s="378"/>
      <c r="F62" s="379" t="s">
        <v>2057</v>
      </c>
      <c r="G62" s="380">
        <v>1</v>
      </c>
      <c r="H62" s="644">
        <v>0</v>
      </c>
      <c r="I62" s="381">
        <f t="shared" si="1"/>
        <v>0</v>
      </c>
      <c r="J62" s="382"/>
      <c r="K62" s="382"/>
      <c r="L62" s="382"/>
      <c r="M62" s="382"/>
      <c r="N62" s="382"/>
      <c r="O62" s="382"/>
      <c r="P62" s="382"/>
      <c r="Q62" s="382"/>
      <c r="R62" s="382"/>
      <c r="S62" s="382"/>
      <c r="T62" s="382"/>
      <c r="U62" s="382"/>
      <c r="V62" s="382"/>
      <c r="W62" s="382"/>
      <c r="X62" s="382"/>
      <c r="Y62" s="382"/>
      <c r="Z62" s="383"/>
      <c r="AA62" s="383"/>
      <c r="AB62" s="383"/>
      <c r="AC62" s="383"/>
      <c r="AD62" s="383"/>
      <c r="AE62" s="383"/>
      <c r="AF62" s="383"/>
      <c r="AG62" s="383"/>
      <c r="AH62" s="383"/>
      <c r="AI62" s="383"/>
      <c r="AJ62" s="383"/>
      <c r="AK62" s="383"/>
      <c r="AL62" s="383"/>
      <c r="AM62" s="383"/>
      <c r="AN62" s="383"/>
      <c r="AO62" s="383"/>
      <c r="AP62" s="383"/>
      <c r="AQ62" s="383"/>
      <c r="AR62" s="383"/>
      <c r="AS62" s="383"/>
      <c r="AT62" s="383"/>
      <c r="AU62" s="383"/>
      <c r="AV62" s="383"/>
      <c r="AW62" s="383"/>
      <c r="AX62" s="383"/>
      <c r="AY62" s="383"/>
      <c r="AZ62" s="383"/>
      <c r="BA62" s="383"/>
      <c r="BB62" s="383"/>
      <c r="BC62" s="383"/>
      <c r="BD62" s="383"/>
      <c r="BE62" s="383"/>
      <c r="BF62" s="383"/>
      <c r="BG62" s="383"/>
      <c r="BH62" s="383"/>
      <c r="BI62" s="383"/>
      <c r="BJ62" s="383"/>
    </row>
    <row r="63" spans="2:62" ht="12" outlineLevel="1">
      <c r="B63" s="376">
        <v>44</v>
      </c>
      <c r="C63" s="387"/>
      <c r="D63" s="386" t="s">
        <v>2107</v>
      </c>
      <c r="E63" s="378"/>
      <c r="F63" s="379" t="s">
        <v>2057</v>
      </c>
      <c r="G63" s="380">
        <v>4</v>
      </c>
      <c r="H63" s="644">
        <v>0</v>
      </c>
      <c r="I63" s="381">
        <f t="shared" si="1"/>
        <v>0</v>
      </c>
      <c r="J63" s="382"/>
      <c r="K63" s="382"/>
      <c r="L63" s="382"/>
      <c r="M63" s="382"/>
      <c r="N63" s="382"/>
      <c r="O63" s="382"/>
      <c r="P63" s="382"/>
      <c r="Q63" s="382"/>
      <c r="R63" s="382"/>
      <c r="S63" s="382"/>
      <c r="T63" s="382"/>
      <c r="U63" s="382"/>
      <c r="V63" s="382"/>
      <c r="W63" s="382"/>
      <c r="X63" s="382"/>
      <c r="Y63" s="382"/>
      <c r="Z63" s="383"/>
      <c r="AA63" s="383"/>
      <c r="AB63" s="383"/>
      <c r="AC63" s="383"/>
      <c r="AD63" s="383"/>
      <c r="AE63" s="383"/>
      <c r="AF63" s="383"/>
      <c r="AG63" s="383"/>
      <c r="AH63" s="383"/>
      <c r="AI63" s="383"/>
      <c r="AJ63" s="383"/>
      <c r="AK63" s="383"/>
      <c r="AL63" s="383"/>
      <c r="AM63" s="383"/>
      <c r="AN63" s="383"/>
      <c r="AO63" s="383"/>
      <c r="AP63" s="383"/>
      <c r="AQ63" s="383"/>
      <c r="AR63" s="383"/>
      <c r="AS63" s="383"/>
      <c r="AT63" s="383"/>
      <c r="AU63" s="383"/>
      <c r="AV63" s="383"/>
      <c r="AW63" s="383"/>
      <c r="AX63" s="383"/>
      <c r="AY63" s="383"/>
      <c r="AZ63" s="383"/>
      <c r="BA63" s="383"/>
      <c r="BB63" s="383"/>
      <c r="BC63" s="383"/>
      <c r="BD63" s="383"/>
      <c r="BE63" s="383"/>
      <c r="BF63" s="383"/>
      <c r="BG63" s="383"/>
      <c r="BH63" s="383"/>
      <c r="BI63" s="383"/>
      <c r="BJ63" s="383"/>
    </row>
    <row r="64" spans="2:62" ht="12" outlineLevel="1">
      <c r="B64" s="376">
        <v>45</v>
      </c>
      <c r="C64" s="387"/>
      <c r="D64" s="386" t="s">
        <v>2108</v>
      </c>
      <c r="E64" s="378"/>
      <c r="F64" s="379" t="s">
        <v>310</v>
      </c>
      <c r="G64" s="380">
        <v>200</v>
      </c>
      <c r="H64" s="644">
        <v>0</v>
      </c>
      <c r="I64" s="381">
        <f t="shared" si="1"/>
        <v>0</v>
      </c>
      <c r="J64" s="382"/>
      <c r="K64" s="382"/>
      <c r="L64" s="382"/>
      <c r="M64" s="382"/>
      <c r="N64" s="382"/>
      <c r="O64" s="382"/>
      <c r="P64" s="382"/>
      <c r="Q64" s="382"/>
      <c r="R64" s="382"/>
      <c r="S64" s="382"/>
      <c r="T64" s="382"/>
      <c r="U64" s="382"/>
      <c r="V64" s="382"/>
      <c r="W64" s="382"/>
      <c r="X64" s="382"/>
      <c r="Y64" s="382"/>
      <c r="Z64" s="383"/>
      <c r="AA64" s="383"/>
      <c r="AB64" s="383"/>
      <c r="AC64" s="383"/>
      <c r="AD64" s="383"/>
      <c r="AE64" s="383"/>
      <c r="AF64" s="383"/>
      <c r="AG64" s="383"/>
      <c r="AH64" s="383"/>
      <c r="AI64" s="383"/>
      <c r="AJ64" s="383"/>
      <c r="AK64" s="383"/>
      <c r="AL64" s="383"/>
      <c r="AM64" s="383"/>
      <c r="AN64" s="383"/>
      <c r="AO64" s="383"/>
      <c r="AP64" s="383"/>
      <c r="AQ64" s="383"/>
      <c r="AR64" s="383"/>
      <c r="AS64" s="383"/>
      <c r="AT64" s="383"/>
      <c r="AU64" s="383"/>
      <c r="AV64" s="383"/>
      <c r="AW64" s="383"/>
      <c r="AX64" s="383"/>
      <c r="AY64" s="383"/>
      <c r="AZ64" s="383"/>
      <c r="BA64" s="383"/>
      <c r="BB64" s="383"/>
      <c r="BC64" s="383"/>
      <c r="BD64" s="383"/>
      <c r="BE64" s="383"/>
      <c r="BF64" s="383"/>
      <c r="BG64" s="383"/>
      <c r="BH64" s="383"/>
      <c r="BI64" s="383"/>
      <c r="BJ64" s="383"/>
    </row>
    <row r="65" spans="2:62" ht="12" outlineLevel="1">
      <c r="B65" s="376">
        <v>46</v>
      </c>
      <c r="C65" s="387"/>
      <c r="D65" s="386" t="s">
        <v>2109</v>
      </c>
      <c r="E65" s="378"/>
      <c r="F65" s="379" t="s">
        <v>310</v>
      </c>
      <c r="G65" s="380">
        <v>150</v>
      </c>
      <c r="H65" s="644">
        <v>0</v>
      </c>
      <c r="I65" s="381">
        <f t="shared" si="1"/>
        <v>0</v>
      </c>
      <c r="J65" s="382"/>
      <c r="K65" s="382"/>
      <c r="L65" s="382"/>
      <c r="M65" s="382"/>
      <c r="N65" s="382"/>
      <c r="O65" s="382"/>
      <c r="P65" s="382"/>
      <c r="Q65" s="382"/>
      <c r="R65" s="382"/>
      <c r="S65" s="382"/>
      <c r="T65" s="382"/>
      <c r="U65" s="382"/>
      <c r="V65" s="382"/>
      <c r="W65" s="382"/>
      <c r="X65" s="382"/>
      <c r="Y65" s="382"/>
      <c r="Z65" s="383"/>
      <c r="AA65" s="383"/>
      <c r="AB65" s="383"/>
      <c r="AC65" s="383"/>
      <c r="AD65" s="383"/>
      <c r="AE65" s="383"/>
      <c r="AF65" s="383"/>
      <c r="AG65" s="383"/>
      <c r="AH65" s="383"/>
      <c r="AI65" s="383"/>
      <c r="AJ65" s="383"/>
      <c r="AK65" s="383"/>
      <c r="AL65" s="383"/>
      <c r="AM65" s="383"/>
      <c r="AN65" s="383"/>
      <c r="AO65" s="383"/>
      <c r="AP65" s="383"/>
      <c r="AQ65" s="383"/>
      <c r="AR65" s="383"/>
      <c r="AS65" s="383"/>
      <c r="AT65" s="383"/>
      <c r="AU65" s="383"/>
      <c r="AV65" s="383"/>
      <c r="AW65" s="383"/>
      <c r="AX65" s="383"/>
      <c r="AY65" s="383"/>
      <c r="AZ65" s="383"/>
      <c r="BA65" s="383"/>
      <c r="BB65" s="383"/>
      <c r="BC65" s="383"/>
      <c r="BD65" s="383"/>
      <c r="BE65" s="383"/>
      <c r="BF65" s="383"/>
      <c r="BG65" s="383"/>
      <c r="BH65" s="383"/>
      <c r="BI65" s="383"/>
      <c r="BJ65" s="383"/>
    </row>
    <row r="66" spans="2:62" ht="12" outlineLevel="1">
      <c r="B66" s="388"/>
      <c r="C66" s="389"/>
      <c r="D66" s="390"/>
      <c r="E66" s="390"/>
      <c r="F66" s="391"/>
      <c r="G66" s="392"/>
      <c r="H66" s="646"/>
      <c r="I66" s="393"/>
      <c r="J66" s="382"/>
      <c r="K66" s="382"/>
      <c r="L66" s="382"/>
      <c r="M66" s="382"/>
      <c r="N66" s="382"/>
      <c r="O66" s="382"/>
      <c r="P66" s="382"/>
      <c r="Q66" s="382"/>
      <c r="R66" s="382"/>
      <c r="S66" s="382"/>
      <c r="T66" s="382"/>
      <c r="U66" s="382"/>
      <c r="V66" s="382"/>
      <c r="W66" s="382"/>
      <c r="X66" s="382"/>
      <c r="Y66" s="382"/>
      <c r="Z66" s="383"/>
      <c r="AA66" s="383"/>
      <c r="AB66" s="383"/>
      <c r="AC66" s="383"/>
      <c r="AD66" s="383"/>
      <c r="AE66" s="383"/>
      <c r="AF66" s="383"/>
      <c r="AG66" s="383"/>
      <c r="AH66" s="383"/>
      <c r="AI66" s="383"/>
      <c r="AJ66" s="383"/>
      <c r="AK66" s="383"/>
      <c r="AL66" s="383"/>
      <c r="AM66" s="383"/>
      <c r="AN66" s="383"/>
      <c r="AO66" s="383"/>
      <c r="AP66" s="383"/>
      <c r="AQ66" s="383"/>
      <c r="AR66" s="383"/>
      <c r="AS66" s="383"/>
      <c r="AT66" s="383"/>
      <c r="AU66" s="383"/>
      <c r="AV66" s="383"/>
      <c r="AW66" s="383"/>
      <c r="AX66" s="383"/>
      <c r="AY66" s="383"/>
      <c r="AZ66" s="383"/>
      <c r="BA66" s="383"/>
      <c r="BB66" s="383"/>
      <c r="BC66" s="383"/>
      <c r="BD66" s="383"/>
      <c r="BE66" s="383"/>
      <c r="BF66" s="383"/>
      <c r="BG66" s="383"/>
      <c r="BH66" s="383"/>
      <c r="BI66" s="383"/>
      <c r="BJ66" s="383"/>
    </row>
    <row r="67" spans="2:62" ht="12" outlineLevel="1">
      <c r="B67" s="367"/>
      <c r="C67" s="368"/>
      <c r="D67" s="375" t="s">
        <v>2110</v>
      </c>
      <c r="E67" s="394"/>
      <c r="F67" s="395"/>
      <c r="G67" s="396"/>
      <c r="H67" s="647"/>
      <c r="I67" s="397">
        <f>SUM(I68:I79)</f>
        <v>0</v>
      </c>
      <c r="J67" s="382"/>
      <c r="K67" s="382"/>
      <c r="L67" s="382"/>
      <c r="M67" s="382"/>
      <c r="N67" s="382"/>
      <c r="O67" s="382"/>
      <c r="P67" s="382"/>
      <c r="Q67" s="382"/>
      <c r="R67" s="382"/>
      <c r="S67" s="382"/>
      <c r="T67" s="382"/>
      <c r="U67" s="382"/>
      <c r="V67" s="382"/>
      <c r="W67" s="382"/>
      <c r="X67" s="382"/>
      <c r="Y67" s="382"/>
      <c r="Z67" s="383"/>
      <c r="AA67" s="383"/>
      <c r="AB67" s="383"/>
      <c r="AC67" s="383"/>
      <c r="AD67" s="383"/>
      <c r="AE67" s="383"/>
      <c r="AF67" s="383"/>
      <c r="AG67" s="383"/>
      <c r="AH67" s="383"/>
      <c r="AI67" s="383"/>
      <c r="AJ67" s="383"/>
      <c r="AK67" s="383"/>
      <c r="AL67" s="383"/>
      <c r="AM67" s="383"/>
      <c r="AN67" s="383"/>
      <c r="AO67" s="383"/>
      <c r="AP67" s="383"/>
      <c r="AQ67" s="383"/>
      <c r="AR67" s="383"/>
      <c r="AS67" s="383"/>
      <c r="AT67" s="383"/>
      <c r="AU67" s="383"/>
      <c r="AV67" s="383"/>
      <c r="AW67" s="383"/>
      <c r="AX67" s="383"/>
      <c r="AY67" s="383"/>
      <c r="AZ67" s="383"/>
      <c r="BA67" s="383"/>
      <c r="BB67" s="383"/>
      <c r="BC67" s="383"/>
      <c r="BD67" s="383"/>
      <c r="BE67" s="383"/>
      <c r="BF67" s="383"/>
      <c r="BG67" s="383"/>
      <c r="BH67" s="383"/>
      <c r="BI67" s="383"/>
      <c r="BJ67" s="383"/>
    </row>
    <row r="68" spans="2:62" ht="12" outlineLevel="1">
      <c r="B68" s="376">
        <v>1</v>
      </c>
      <c r="C68" s="377"/>
      <c r="D68" s="398" t="s">
        <v>2111</v>
      </c>
      <c r="E68" s="398" t="s">
        <v>2112</v>
      </c>
      <c r="F68" s="399" t="s">
        <v>2057</v>
      </c>
      <c r="G68" s="400">
        <v>31</v>
      </c>
      <c r="H68" s="648">
        <v>0</v>
      </c>
      <c r="I68" s="401">
        <f>G68*H68</f>
        <v>0</v>
      </c>
      <c r="J68" s="382"/>
      <c r="K68" s="382"/>
      <c r="L68" s="382"/>
      <c r="M68" s="382"/>
      <c r="N68" s="382"/>
      <c r="O68" s="382"/>
      <c r="P68" s="382"/>
      <c r="Q68" s="382"/>
      <c r="R68" s="382"/>
      <c r="S68" s="382"/>
      <c r="T68" s="382"/>
      <c r="U68" s="382"/>
      <c r="V68" s="382"/>
      <c r="W68" s="382"/>
      <c r="X68" s="382"/>
      <c r="Y68" s="382"/>
      <c r="Z68" s="383"/>
      <c r="AA68" s="383"/>
      <c r="AB68" s="383"/>
      <c r="AC68" s="383"/>
      <c r="AD68" s="383"/>
      <c r="AE68" s="383"/>
      <c r="AF68" s="383"/>
      <c r="AG68" s="383"/>
      <c r="AH68" s="383"/>
      <c r="AI68" s="383"/>
      <c r="AJ68" s="383"/>
      <c r="AK68" s="383"/>
      <c r="AL68" s="383"/>
      <c r="AM68" s="383"/>
      <c r="AN68" s="383"/>
      <c r="AO68" s="383"/>
      <c r="AP68" s="383"/>
      <c r="AQ68" s="383"/>
      <c r="AR68" s="383"/>
      <c r="AS68" s="383"/>
      <c r="AT68" s="383"/>
      <c r="AU68" s="383"/>
      <c r="AV68" s="383"/>
      <c r="AW68" s="383"/>
      <c r="AX68" s="383"/>
      <c r="AY68" s="383"/>
      <c r="AZ68" s="383"/>
      <c r="BA68" s="383"/>
      <c r="BB68" s="383"/>
      <c r="BC68" s="383"/>
      <c r="BD68" s="383"/>
      <c r="BE68" s="383"/>
      <c r="BF68" s="383"/>
      <c r="BG68" s="383"/>
      <c r="BH68" s="383"/>
      <c r="BI68" s="383"/>
      <c r="BJ68" s="383"/>
    </row>
    <row r="69" spans="2:62" ht="12" outlineLevel="1">
      <c r="B69" s="376">
        <v>2</v>
      </c>
      <c r="C69" s="377"/>
      <c r="D69" s="398" t="s">
        <v>2113</v>
      </c>
      <c r="E69" s="398" t="s">
        <v>2114</v>
      </c>
      <c r="F69" s="399" t="s">
        <v>2057</v>
      </c>
      <c r="G69" s="400">
        <v>24</v>
      </c>
      <c r="H69" s="648">
        <v>0</v>
      </c>
      <c r="I69" s="401">
        <f aca="true" t="shared" si="2" ref="I69:I79">G69*H69</f>
        <v>0</v>
      </c>
      <c r="J69" s="382"/>
      <c r="K69" s="382"/>
      <c r="L69" s="382"/>
      <c r="M69" s="382"/>
      <c r="N69" s="382"/>
      <c r="O69" s="382"/>
      <c r="P69" s="382"/>
      <c r="Q69" s="382"/>
      <c r="R69" s="382"/>
      <c r="S69" s="382"/>
      <c r="T69" s="382"/>
      <c r="U69" s="382"/>
      <c r="V69" s="382"/>
      <c r="W69" s="382"/>
      <c r="X69" s="382"/>
      <c r="Y69" s="382"/>
      <c r="Z69" s="383"/>
      <c r="AA69" s="383"/>
      <c r="AB69" s="383"/>
      <c r="AC69" s="383"/>
      <c r="AD69" s="383"/>
      <c r="AE69" s="383"/>
      <c r="AF69" s="383"/>
      <c r="AG69" s="383"/>
      <c r="AH69" s="383"/>
      <c r="AI69" s="383"/>
      <c r="AJ69" s="383"/>
      <c r="AK69" s="383"/>
      <c r="AL69" s="383"/>
      <c r="AM69" s="383"/>
      <c r="AN69" s="383"/>
      <c r="AO69" s="383"/>
      <c r="AP69" s="383"/>
      <c r="AQ69" s="383"/>
      <c r="AR69" s="383"/>
      <c r="AS69" s="383"/>
      <c r="AT69" s="383"/>
      <c r="AU69" s="383"/>
      <c r="AV69" s="383"/>
      <c r="AW69" s="383"/>
      <c r="AX69" s="383"/>
      <c r="AY69" s="383"/>
      <c r="AZ69" s="383"/>
      <c r="BA69" s="383"/>
      <c r="BB69" s="383"/>
      <c r="BC69" s="383"/>
      <c r="BD69" s="383"/>
      <c r="BE69" s="383"/>
      <c r="BF69" s="383"/>
      <c r="BG69" s="383"/>
      <c r="BH69" s="383"/>
      <c r="BI69" s="383"/>
      <c r="BJ69" s="383"/>
    </row>
    <row r="70" spans="2:62" ht="12" outlineLevel="1">
      <c r="B70" s="376">
        <v>3</v>
      </c>
      <c r="C70" s="377"/>
      <c r="D70" s="398" t="s">
        <v>2115</v>
      </c>
      <c r="E70" s="398" t="s">
        <v>2116</v>
      </c>
      <c r="F70" s="399" t="s">
        <v>2057</v>
      </c>
      <c r="G70" s="400">
        <v>9</v>
      </c>
      <c r="H70" s="648">
        <v>0</v>
      </c>
      <c r="I70" s="401">
        <f t="shared" si="2"/>
        <v>0</v>
      </c>
      <c r="J70" s="382"/>
      <c r="K70" s="382"/>
      <c r="L70" s="382"/>
      <c r="M70" s="382"/>
      <c r="N70" s="382"/>
      <c r="O70" s="382"/>
      <c r="P70" s="382"/>
      <c r="Q70" s="382"/>
      <c r="R70" s="382"/>
      <c r="S70" s="382"/>
      <c r="T70" s="382"/>
      <c r="U70" s="382"/>
      <c r="V70" s="382"/>
      <c r="W70" s="382"/>
      <c r="X70" s="382"/>
      <c r="Y70" s="382"/>
      <c r="Z70" s="383"/>
      <c r="AA70" s="383"/>
      <c r="AB70" s="383"/>
      <c r="AC70" s="383"/>
      <c r="AD70" s="383"/>
      <c r="AE70" s="383"/>
      <c r="AF70" s="383"/>
      <c r="AG70" s="383"/>
      <c r="AH70" s="383"/>
      <c r="AI70" s="383"/>
      <c r="AJ70" s="383"/>
      <c r="AK70" s="383"/>
      <c r="AL70" s="383"/>
      <c r="AM70" s="383"/>
      <c r="AN70" s="383"/>
      <c r="AO70" s="383"/>
      <c r="AP70" s="383"/>
      <c r="AQ70" s="383"/>
      <c r="AR70" s="383"/>
      <c r="AS70" s="383"/>
      <c r="AT70" s="383"/>
      <c r="AU70" s="383"/>
      <c r="AV70" s="383"/>
      <c r="AW70" s="383"/>
      <c r="AX70" s="383"/>
      <c r="AY70" s="383"/>
      <c r="AZ70" s="383"/>
      <c r="BA70" s="383"/>
      <c r="BB70" s="383"/>
      <c r="BC70" s="383"/>
      <c r="BD70" s="383"/>
      <c r="BE70" s="383"/>
      <c r="BF70" s="383"/>
      <c r="BG70" s="383"/>
      <c r="BH70" s="383"/>
      <c r="BI70" s="383"/>
      <c r="BJ70" s="383"/>
    </row>
    <row r="71" spans="2:62" ht="12" outlineLevel="1">
      <c r="B71" s="376">
        <v>4</v>
      </c>
      <c r="C71" s="377"/>
      <c r="D71" s="398" t="s">
        <v>2117</v>
      </c>
      <c r="E71" s="398" t="s">
        <v>2118</v>
      </c>
      <c r="F71" s="399" t="s">
        <v>2057</v>
      </c>
      <c r="G71" s="400">
        <v>1</v>
      </c>
      <c r="H71" s="648">
        <v>0</v>
      </c>
      <c r="I71" s="401">
        <f t="shared" si="2"/>
        <v>0</v>
      </c>
      <c r="J71" s="382"/>
      <c r="K71" s="382"/>
      <c r="L71" s="382"/>
      <c r="M71" s="382"/>
      <c r="N71" s="382"/>
      <c r="O71" s="382"/>
      <c r="P71" s="382"/>
      <c r="Q71" s="382"/>
      <c r="R71" s="382"/>
      <c r="S71" s="382"/>
      <c r="T71" s="382"/>
      <c r="U71" s="382"/>
      <c r="V71" s="382"/>
      <c r="W71" s="382"/>
      <c r="X71" s="382"/>
      <c r="Y71" s="382"/>
      <c r="Z71" s="383"/>
      <c r="AA71" s="383"/>
      <c r="AB71" s="383"/>
      <c r="AC71" s="383"/>
      <c r="AD71" s="383"/>
      <c r="AE71" s="383"/>
      <c r="AF71" s="383"/>
      <c r="AG71" s="383"/>
      <c r="AH71" s="383"/>
      <c r="AI71" s="383"/>
      <c r="AJ71" s="383"/>
      <c r="AK71" s="383"/>
      <c r="AL71" s="383"/>
      <c r="AM71" s="383"/>
      <c r="AN71" s="383"/>
      <c r="AO71" s="383"/>
      <c r="AP71" s="383"/>
      <c r="AQ71" s="383"/>
      <c r="AR71" s="383"/>
      <c r="AS71" s="383"/>
      <c r="AT71" s="383"/>
      <c r="AU71" s="383"/>
      <c r="AV71" s="383"/>
      <c r="AW71" s="383"/>
      <c r="AX71" s="383"/>
      <c r="AY71" s="383"/>
      <c r="AZ71" s="383"/>
      <c r="BA71" s="383"/>
      <c r="BB71" s="383"/>
      <c r="BC71" s="383"/>
      <c r="BD71" s="383"/>
      <c r="BE71" s="383"/>
      <c r="BF71" s="383"/>
      <c r="BG71" s="383"/>
      <c r="BH71" s="383"/>
      <c r="BI71" s="383"/>
      <c r="BJ71" s="383"/>
    </row>
    <row r="72" spans="2:62" ht="12" outlineLevel="1">
      <c r="B72" s="376">
        <v>5</v>
      </c>
      <c r="C72" s="377"/>
      <c r="D72" s="398" t="s">
        <v>2119</v>
      </c>
      <c r="E72" s="398" t="s">
        <v>2120</v>
      </c>
      <c r="F72" s="399" t="s">
        <v>2057</v>
      </c>
      <c r="G72" s="400">
        <v>3</v>
      </c>
      <c r="H72" s="648">
        <v>0</v>
      </c>
      <c r="I72" s="401">
        <f t="shared" si="2"/>
        <v>0</v>
      </c>
      <c r="J72" s="382"/>
      <c r="K72" s="382"/>
      <c r="L72" s="382"/>
      <c r="M72" s="382"/>
      <c r="N72" s="382"/>
      <c r="O72" s="382"/>
      <c r="P72" s="382"/>
      <c r="Q72" s="382"/>
      <c r="R72" s="382"/>
      <c r="S72" s="382"/>
      <c r="T72" s="382"/>
      <c r="U72" s="382"/>
      <c r="V72" s="382"/>
      <c r="W72" s="382"/>
      <c r="X72" s="382"/>
      <c r="Y72" s="382"/>
      <c r="Z72" s="383"/>
      <c r="AA72" s="383"/>
      <c r="AB72" s="383"/>
      <c r="AC72" s="383"/>
      <c r="AD72" s="383"/>
      <c r="AE72" s="383"/>
      <c r="AF72" s="383"/>
      <c r="AG72" s="383"/>
      <c r="AH72" s="383"/>
      <c r="AI72" s="383"/>
      <c r="AJ72" s="383"/>
      <c r="AK72" s="383"/>
      <c r="AL72" s="383"/>
      <c r="AM72" s="383"/>
      <c r="AN72" s="383"/>
      <c r="AO72" s="383"/>
      <c r="AP72" s="383"/>
      <c r="AQ72" s="383"/>
      <c r="AR72" s="383"/>
      <c r="AS72" s="383"/>
      <c r="AT72" s="383"/>
      <c r="AU72" s="383"/>
      <c r="AV72" s="383"/>
      <c r="AW72" s="383"/>
      <c r="AX72" s="383"/>
      <c r="AY72" s="383"/>
      <c r="AZ72" s="383"/>
      <c r="BA72" s="383"/>
      <c r="BB72" s="383"/>
      <c r="BC72" s="383"/>
      <c r="BD72" s="383"/>
      <c r="BE72" s="383"/>
      <c r="BF72" s="383"/>
      <c r="BG72" s="383"/>
      <c r="BH72" s="383"/>
      <c r="BI72" s="383"/>
      <c r="BJ72" s="383"/>
    </row>
    <row r="73" spans="2:62" ht="12" outlineLevel="1">
      <c r="B73" s="376">
        <v>6</v>
      </c>
      <c r="C73" s="377"/>
      <c r="D73" s="398" t="s">
        <v>2121</v>
      </c>
      <c r="E73" s="398" t="s">
        <v>2122</v>
      </c>
      <c r="F73" s="399" t="s">
        <v>310</v>
      </c>
      <c r="G73" s="400">
        <v>5</v>
      </c>
      <c r="H73" s="648">
        <v>0</v>
      </c>
      <c r="I73" s="401">
        <f t="shared" si="2"/>
        <v>0</v>
      </c>
      <c r="J73" s="382"/>
      <c r="K73" s="382"/>
      <c r="L73" s="382"/>
      <c r="M73" s="382"/>
      <c r="N73" s="382"/>
      <c r="O73" s="382"/>
      <c r="P73" s="382"/>
      <c r="Q73" s="382"/>
      <c r="R73" s="382"/>
      <c r="S73" s="382"/>
      <c r="T73" s="382"/>
      <c r="U73" s="382"/>
      <c r="V73" s="382"/>
      <c r="W73" s="382"/>
      <c r="X73" s="382"/>
      <c r="Y73" s="382"/>
      <c r="Z73" s="383"/>
      <c r="AA73" s="383"/>
      <c r="AB73" s="383"/>
      <c r="AC73" s="383"/>
      <c r="AD73" s="383"/>
      <c r="AE73" s="383"/>
      <c r="AF73" s="383"/>
      <c r="AG73" s="383"/>
      <c r="AH73" s="383"/>
      <c r="AI73" s="383"/>
      <c r="AJ73" s="383"/>
      <c r="AK73" s="383"/>
      <c r="AL73" s="383"/>
      <c r="AM73" s="383"/>
      <c r="AN73" s="383"/>
      <c r="AO73" s="383"/>
      <c r="AP73" s="383"/>
      <c r="AQ73" s="383"/>
      <c r="AR73" s="383"/>
      <c r="AS73" s="383"/>
      <c r="AT73" s="383"/>
      <c r="AU73" s="383"/>
      <c r="AV73" s="383"/>
      <c r="AW73" s="383"/>
      <c r="AX73" s="383"/>
      <c r="AY73" s="383"/>
      <c r="AZ73" s="383"/>
      <c r="BA73" s="383"/>
      <c r="BB73" s="383"/>
      <c r="BC73" s="383"/>
      <c r="BD73" s="383"/>
      <c r="BE73" s="383"/>
      <c r="BF73" s="383"/>
      <c r="BG73" s="383"/>
      <c r="BH73" s="383"/>
      <c r="BI73" s="383"/>
      <c r="BJ73" s="383"/>
    </row>
    <row r="74" spans="2:62" ht="12" outlineLevel="1">
      <c r="B74" s="376">
        <v>7</v>
      </c>
      <c r="C74" s="377"/>
      <c r="D74" s="398" t="s">
        <v>2123</v>
      </c>
      <c r="E74" s="398" t="s">
        <v>2124</v>
      </c>
      <c r="F74" s="399" t="s">
        <v>2057</v>
      </c>
      <c r="G74" s="400">
        <v>5</v>
      </c>
      <c r="H74" s="648">
        <v>0</v>
      </c>
      <c r="I74" s="401">
        <f t="shared" si="2"/>
        <v>0</v>
      </c>
      <c r="J74" s="382"/>
      <c r="K74" s="382"/>
      <c r="L74" s="382"/>
      <c r="M74" s="382"/>
      <c r="N74" s="382"/>
      <c r="O74" s="382"/>
      <c r="P74" s="382"/>
      <c r="Q74" s="382"/>
      <c r="R74" s="382"/>
      <c r="S74" s="382"/>
      <c r="T74" s="382"/>
      <c r="U74" s="382"/>
      <c r="V74" s="382"/>
      <c r="W74" s="382"/>
      <c r="X74" s="382"/>
      <c r="Y74" s="382"/>
      <c r="Z74" s="383"/>
      <c r="AA74" s="383"/>
      <c r="AB74" s="383"/>
      <c r="AC74" s="383"/>
      <c r="AD74" s="383"/>
      <c r="AE74" s="383"/>
      <c r="AF74" s="383"/>
      <c r="AG74" s="383"/>
      <c r="AH74" s="383"/>
      <c r="AI74" s="383"/>
      <c r="AJ74" s="383"/>
      <c r="AK74" s="383"/>
      <c r="AL74" s="383"/>
      <c r="AM74" s="383"/>
      <c r="AN74" s="383"/>
      <c r="AO74" s="383"/>
      <c r="AP74" s="383"/>
      <c r="AQ74" s="383"/>
      <c r="AR74" s="383"/>
      <c r="AS74" s="383"/>
      <c r="AT74" s="383"/>
      <c r="AU74" s="383"/>
      <c r="AV74" s="383"/>
      <c r="AW74" s="383"/>
      <c r="AX74" s="383"/>
      <c r="AY74" s="383"/>
      <c r="AZ74" s="383"/>
      <c r="BA74" s="383"/>
      <c r="BB74" s="383"/>
      <c r="BC74" s="383"/>
      <c r="BD74" s="383"/>
      <c r="BE74" s="383"/>
      <c r="BF74" s="383"/>
      <c r="BG74" s="383"/>
      <c r="BH74" s="383"/>
      <c r="BI74" s="383"/>
      <c r="BJ74" s="383"/>
    </row>
    <row r="75" spans="2:62" ht="12" outlineLevel="1">
      <c r="B75" s="376">
        <v>8</v>
      </c>
      <c r="C75" s="377"/>
      <c r="D75" s="398" t="s">
        <v>2125</v>
      </c>
      <c r="E75" s="398" t="s">
        <v>2126</v>
      </c>
      <c r="F75" s="399" t="s">
        <v>2057</v>
      </c>
      <c r="G75" s="400">
        <v>4</v>
      </c>
      <c r="H75" s="648">
        <v>0</v>
      </c>
      <c r="I75" s="401">
        <f t="shared" si="2"/>
        <v>0</v>
      </c>
      <c r="J75" s="382"/>
      <c r="K75" s="382"/>
      <c r="L75" s="382"/>
      <c r="M75" s="382"/>
      <c r="N75" s="382"/>
      <c r="O75" s="382"/>
      <c r="P75" s="382"/>
      <c r="Q75" s="382"/>
      <c r="R75" s="382"/>
      <c r="S75" s="382"/>
      <c r="T75" s="382"/>
      <c r="U75" s="382"/>
      <c r="V75" s="382"/>
      <c r="W75" s="382"/>
      <c r="X75" s="382"/>
      <c r="Y75" s="382"/>
      <c r="Z75" s="383"/>
      <c r="AA75" s="383"/>
      <c r="AB75" s="383"/>
      <c r="AC75" s="383"/>
      <c r="AD75" s="383"/>
      <c r="AE75" s="383"/>
      <c r="AF75" s="383"/>
      <c r="AG75" s="383"/>
      <c r="AH75" s="383"/>
      <c r="AI75" s="383"/>
      <c r="AJ75" s="383"/>
      <c r="AK75" s="383"/>
      <c r="AL75" s="383"/>
      <c r="AM75" s="383"/>
      <c r="AN75" s="383"/>
      <c r="AO75" s="383"/>
      <c r="AP75" s="383"/>
      <c r="AQ75" s="383"/>
      <c r="AR75" s="383"/>
      <c r="AS75" s="383"/>
      <c r="AT75" s="383"/>
      <c r="AU75" s="383"/>
      <c r="AV75" s="383"/>
      <c r="AW75" s="383"/>
      <c r="AX75" s="383"/>
      <c r="AY75" s="383"/>
      <c r="AZ75" s="383"/>
      <c r="BA75" s="383"/>
      <c r="BB75" s="383"/>
      <c r="BC75" s="383"/>
      <c r="BD75" s="383"/>
      <c r="BE75" s="383"/>
      <c r="BF75" s="383"/>
      <c r="BG75" s="383"/>
      <c r="BH75" s="383"/>
      <c r="BI75" s="383"/>
      <c r="BJ75" s="383"/>
    </row>
    <row r="76" spans="2:62" ht="12" outlineLevel="1">
      <c r="B76" s="376">
        <v>9</v>
      </c>
      <c r="C76" s="377"/>
      <c r="D76" s="398" t="s">
        <v>2127</v>
      </c>
      <c r="E76" s="398" t="s">
        <v>2128</v>
      </c>
      <c r="F76" s="399" t="s">
        <v>2057</v>
      </c>
      <c r="G76" s="400">
        <v>2</v>
      </c>
      <c r="H76" s="648">
        <v>0</v>
      </c>
      <c r="I76" s="401">
        <f t="shared" si="2"/>
        <v>0</v>
      </c>
      <c r="J76" s="382"/>
      <c r="K76" s="382"/>
      <c r="L76" s="382"/>
      <c r="M76" s="382"/>
      <c r="N76" s="382"/>
      <c r="O76" s="382"/>
      <c r="P76" s="382"/>
      <c r="Q76" s="382"/>
      <c r="R76" s="382"/>
      <c r="S76" s="382"/>
      <c r="T76" s="382"/>
      <c r="U76" s="382"/>
      <c r="V76" s="382"/>
      <c r="W76" s="382"/>
      <c r="X76" s="382"/>
      <c r="Y76" s="382"/>
      <c r="Z76" s="383"/>
      <c r="AA76" s="383"/>
      <c r="AB76" s="383"/>
      <c r="AC76" s="383"/>
      <c r="AD76" s="383"/>
      <c r="AE76" s="383"/>
      <c r="AF76" s="383"/>
      <c r="AG76" s="383"/>
      <c r="AH76" s="383"/>
      <c r="AI76" s="383"/>
      <c r="AJ76" s="383"/>
      <c r="AK76" s="383"/>
      <c r="AL76" s="383"/>
      <c r="AM76" s="383"/>
      <c r="AN76" s="383"/>
      <c r="AO76" s="383"/>
      <c r="AP76" s="383"/>
      <c r="AQ76" s="383"/>
      <c r="AR76" s="383"/>
      <c r="AS76" s="383"/>
      <c r="AT76" s="383"/>
      <c r="AU76" s="383"/>
      <c r="AV76" s="383"/>
      <c r="AW76" s="383"/>
      <c r="AX76" s="383"/>
      <c r="AY76" s="383"/>
      <c r="AZ76" s="383"/>
      <c r="BA76" s="383"/>
      <c r="BB76" s="383"/>
      <c r="BC76" s="383"/>
      <c r="BD76" s="383"/>
      <c r="BE76" s="383"/>
      <c r="BF76" s="383"/>
      <c r="BG76" s="383"/>
      <c r="BH76" s="383"/>
      <c r="BI76" s="383"/>
      <c r="BJ76" s="383"/>
    </row>
    <row r="77" spans="2:62" ht="12" outlineLevel="1">
      <c r="B77" s="376">
        <v>10</v>
      </c>
      <c r="C77" s="377"/>
      <c r="D77" s="398" t="s">
        <v>2129</v>
      </c>
      <c r="E77" s="398" t="s">
        <v>2130</v>
      </c>
      <c r="F77" s="399" t="s">
        <v>2057</v>
      </c>
      <c r="G77" s="400">
        <v>4</v>
      </c>
      <c r="H77" s="648">
        <v>0</v>
      </c>
      <c r="I77" s="401">
        <f t="shared" si="2"/>
        <v>0</v>
      </c>
      <c r="J77" s="382"/>
      <c r="K77" s="382"/>
      <c r="L77" s="382"/>
      <c r="M77" s="382"/>
      <c r="N77" s="382"/>
      <c r="O77" s="382"/>
      <c r="P77" s="382"/>
      <c r="Q77" s="382"/>
      <c r="R77" s="382"/>
      <c r="S77" s="382"/>
      <c r="T77" s="382"/>
      <c r="U77" s="382"/>
      <c r="V77" s="382"/>
      <c r="W77" s="382"/>
      <c r="X77" s="382"/>
      <c r="Y77" s="382"/>
      <c r="Z77" s="383"/>
      <c r="AA77" s="383"/>
      <c r="AB77" s="383"/>
      <c r="AC77" s="383"/>
      <c r="AD77" s="383"/>
      <c r="AE77" s="383"/>
      <c r="AF77" s="383"/>
      <c r="AG77" s="383"/>
      <c r="AH77" s="383"/>
      <c r="AI77" s="383"/>
      <c r="AJ77" s="383"/>
      <c r="AK77" s="383"/>
      <c r="AL77" s="383"/>
      <c r="AM77" s="383"/>
      <c r="AN77" s="383"/>
      <c r="AO77" s="383"/>
      <c r="AP77" s="383"/>
      <c r="AQ77" s="383"/>
      <c r="AR77" s="383"/>
      <c r="AS77" s="383"/>
      <c r="AT77" s="383"/>
      <c r="AU77" s="383"/>
      <c r="AV77" s="383"/>
      <c r="AW77" s="383"/>
      <c r="AX77" s="383"/>
      <c r="AY77" s="383"/>
      <c r="AZ77" s="383"/>
      <c r="BA77" s="383"/>
      <c r="BB77" s="383"/>
      <c r="BC77" s="383"/>
      <c r="BD77" s="383"/>
      <c r="BE77" s="383"/>
      <c r="BF77" s="383"/>
      <c r="BG77" s="383"/>
      <c r="BH77" s="383"/>
      <c r="BI77" s="383"/>
      <c r="BJ77" s="383"/>
    </row>
    <row r="78" spans="2:62" ht="12" outlineLevel="1">
      <c r="B78" s="376">
        <v>11</v>
      </c>
      <c r="C78" s="377"/>
      <c r="D78" s="398" t="s">
        <v>2131</v>
      </c>
      <c r="E78" s="398"/>
      <c r="F78" s="399" t="s">
        <v>2057</v>
      </c>
      <c r="G78" s="400">
        <v>9</v>
      </c>
      <c r="H78" s="648">
        <v>0</v>
      </c>
      <c r="I78" s="401">
        <f t="shared" si="2"/>
        <v>0</v>
      </c>
      <c r="J78" s="382"/>
      <c r="K78" s="382"/>
      <c r="L78" s="382"/>
      <c r="M78" s="382"/>
      <c r="N78" s="382"/>
      <c r="O78" s="382"/>
      <c r="P78" s="382"/>
      <c r="Q78" s="382"/>
      <c r="R78" s="382"/>
      <c r="S78" s="382"/>
      <c r="T78" s="382"/>
      <c r="U78" s="382"/>
      <c r="V78" s="382"/>
      <c r="W78" s="382"/>
      <c r="X78" s="382"/>
      <c r="Y78" s="382"/>
      <c r="Z78" s="383"/>
      <c r="AA78" s="383"/>
      <c r="AB78" s="383"/>
      <c r="AC78" s="383"/>
      <c r="AD78" s="383"/>
      <c r="AE78" s="383"/>
      <c r="AF78" s="383"/>
      <c r="AG78" s="383"/>
      <c r="AH78" s="383"/>
      <c r="AI78" s="383"/>
      <c r="AJ78" s="383"/>
      <c r="AK78" s="383"/>
      <c r="AL78" s="383"/>
      <c r="AM78" s="383"/>
      <c r="AN78" s="383"/>
      <c r="AO78" s="383"/>
      <c r="AP78" s="383"/>
      <c r="AQ78" s="383"/>
      <c r="AR78" s="383"/>
      <c r="AS78" s="383"/>
      <c r="AT78" s="383"/>
      <c r="AU78" s="383"/>
      <c r="AV78" s="383"/>
      <c r="AW78" s="383"/>
      <c r="AX78" s="383"/>
      <c r="AY78" s="383"/>
      <c r="AZ78" s="383"/>
      <c r="BA78" s="383"/>
      <c r="BB78" s="383"/>
      <c r="BC78" s="383"/>
      <c r="BD78" s="383"/>
      <c r="BE78" s="383"/>
      <c r="BF78" s="383"/>
      <c r="BG78" s="383"/>
      <c r="BH78" s="383"/>
      <c r="BI78" s="383"/>
      <c r="BJ78" s="383"/>
    </row>
    <row r="79" spans="2:62" ht="12" outlineLevel="1">
      <c r="B79" s="376">
        <v>12</v>
      </c>
      <c r="C79" s="377"/>
      <c r="D79" s="398" t="s">
        <v>2132</v>
      </c>
      <c r="E79" s="398"/>
      <c r="F79" s="399" t="s">
        <v>2057</v>
      </c>
      <c r="G79" s="400">
        <v>19</v>
      </c>
      <c r="H79" s="648">
        <v>0</v>
      </c>
      <c r="I79" s="401">
        <f t="shared" si="2"/>
        <v>0</v>
      </c>
      <c r="J79" s="382"/>
      <c r="K79" s="382"/>
      <c r="L79" s="382"/>
      <c r="M79" s="382"/>
      <c r="N79" s="382"/>
      <c r="O79" s="382"/>
      <c r="P79" s="382"/>
      <c r="Q79" s="382"/>
      <c r="R79" s="382"/>
      <c r="S79" s="382"/>
      <c r="T79" s="382"/>
      <c r="U79" s="382"/>
      <c r="V79" s="382"/>
      <c r="W79" s="382"/>
      <c r="X79" s="382"/>
      <c r="Y79" s="382"/>
      <c r="Z79" s="383"/>
      <c r="AA79" s="383"/>
      <c r="AB79" s="383"/>
      <c r="AC79" s="383"/>
      <c r="AD79" s="383"/>
      <c r="AE79" s="383"/>
      <c r="AF79" s="383"/>
      <c r="AG79" s="383"/>
      <c r="AH79" s="383"/>
      <c r="AI79" s="383"/>
      <c r="AJ79" s="383"/>
      <c r="AK79" s="383"/>
      <c r="AL79" s="383"/>
      <c r="AM79" s="383"/>
      <c r="AN79" s="383"/>
      <c r="AO79" s="383"/>
      <c r="AP79" s="383"/>
      <c r="AQ79" s="383"/>
      <c r="AR79" s="383"/>
      <c r="AS79" s="383"/>
      <c r="AT79" s="383"/>
      <c r="AU79" s="383"/>
      <c r="AV79" s="383"/>
      <c r="AW79" s="383"/>
      <c r="AX79" s="383"/>
      <c r="AY79" s="383"/>
      <c r="AZ79" s="383"/>
      <c r="BA79" s="383"/>
      <c r="BB79" s="383"/>
      <c r="BC79" s="383"/>
      <c r="BD79" s="383"/>
      <c r="BE79" s="383"/>
      <c r="BF79" s="383"/>
      <c r="BG79" s="383"/>
      <c r="BH79" s="383"/>
      <c r="BI79" s="383"/>
      <c r="BJ79" s="383"/>
    </row>
    <row r="80" spans="2:62" ht="12" outlineLevel="1">
      <c r="B80" s="388"/>
      <c r="C80" s="389"/>
      <c r="D80" s="390"/>
      <c r="E80" s="390"/>
      <c r="F80" s="391"/>
      <c r="G80" s="392"/>
      <c r="H80" s="646"/>
      <c r="I80" s="393"/>
      <c r="J80" s="382"/>
      <c r="K80" s="382"/>
      <c r="L80" s="382"/>
      <c r="M80" s="382"/>
      <c r="N80" s="382"/>
      <c r="O80" s="382"/>
      <c r="P80" s="382"/>
      <c r="Q80" s="382"/>
      <c r="R80" s="382"/>
      <c r="S80" s="382"/>
      <c r="T80" s="382"/>
      <c r="U80" s="382"/>
      <c r="V80" s="382"/>
      <c r="W80" s="382"/>
      <c r="X80" s="382"/>
      <c r="Y80" s="382"/>
      <c r="Z80" s="383"/>
      <c r="AA80" s="383"/>
      <c r="AB80" s="383"/>
      <c r="AC80" s="383"/>
      <c r="AD80" s="383"/>
      <c r="AE80" s="383"/>
      <c r="AF80" s="383"/>
      <c r="AG80" s="383"/>
      <c r="AH80" s="383"/>
      <c r="AI80" s="383"/>
      <c r="AJ80" s="383"/>
      <c r="AK80" s="383"/>
      <c r="AL80" s="383"/>
      <c r="AM80" s="383"/>
      <c r="AN80" s="383"/>
      <c r="AO80" s="383"/>
      <c r="AP80" s="383"/>
      <c r="AQ80" s="383"/>
      <c r="AR80" s="383"/>
      <c r="AS80" s="383"/>
      <c r="AT80" s="383"/>
      <c r="AU80" s="383"/>
      <c r="AV80" s="383"/>
      <c r="AW80" s="383"/>
      <c r="AX80" s="383"/>
      <c r="AY80" s="383"/>
      <c r="AZ80" s="383"/>
      <c r="BA80" s="383"/>
      <c r="BB80" s="383"/>
      <c r="BC80" s="383"/>
      <c r="BD80" s="383"/>
      <c r="BE80" s="383"/>
      <c r="BF80" s="383"/>
      <c r="BG80" s="383"/>
      <c r="BH80" s="383"/>
      <c r="BI80" s="383"/>
      <c r="BJ80" s="383"/>
    </row>
    <row r="81" spans="2:35" ht="12">
      <c r="B81" s="367" t="s">
        <v>2048</v>
      </c>
      <c r="C81" s="368"/>
      <c r="D81" s="394" t="s">
        <v>2133</v>
      </c>
      <c r="E81" s="394"/>
      <c r="F81" s="395"/>
      <c r="G81" s="396"/>
      <c r="H81" s="647"/>
      <c r="I81" s="397">
        <f>SUM(I82:I90)</f>
        <v>0</v>
      </c>
      <c r="J81" s="374"/>
      <c r="K81" s="374">
        <f>SUM(K82:K100)</f>
        <v>0</v>
      </c>
      <c r="L81" s="374"/>
      <c r="M81" s="374">
        <f>SUM(M82:M100)</f>
        <v>0</v>
      </c>
      <c r="N81" s="374"/>
      <c r="O81" s="374">
        <f>SUM(O82:O100)</f>
        <v>0</v>
      </c>
      <c r="P81" s="374"/>
      <c r="Q81" s="374">
        <f>SUM(Q82:Q100)</f>
        <v>0</v>
      </c>
      <c r="R81" s="374"/>
      <c r="S81" s="374">
        <f>SUM(S82:S100)</f>
        <v>0</v>
      </c>
      <c r="T81" s="374"/>
      <c r="U81" s="374"/>
      <c r="V81" s="374"/>
      <c r="W81" s="374"/>
      <c r="X81" s="374">
        <f>SUM(X82:X100)</f>
        <v>0</v>
      </c>
      <c r="Y81" s="374"/>
      <c r="AI81" s="348" t="s">
        <v>2050</v>
      </c>
    </row>
    <row r="82" spans="2:62" ht="39" customHeight="1" outlineLevel="1">
      <c r="B82" s="402">
        <v>1</v>
      </c>
      <c r="C82" s="403"/>
      <c r="D82" s="404" t="s">
        <v>2134</v>
      </c>
      <c r="E82" s="404" t="s">
        <v>2135</v>
      </c>
      <c r="F82" s="423" t="s">
        <v>729</v>
      </c>
      <c r="G82" s="424">
        <v>30</v>
      </c>
      <c r="H82" s="649">
        <v>0</v>
      </c>
      <c r="I82" s="425">
        <f>G82*H82</f>
        <v>0</v>
      </c>
      <c r="J82" s="382">
        <v>0</v>
      </c>
      <c r="K82" s="382">
        <f>ROUND(G82*J82,2)</f>
        <v>0</v>
      </c>
      <c r="L82" s="382">
        <v>0</v>
      </c>
      <c r="M82" s="382">
        <f>ROUND(G82*L82,2)</f>
        <v>0</v>
      </c>
      <c r="N82" s="382">
        <v>21</v>
      </c>
      <c r="O82" s="382">
        <f>I82*(1+N82/100)</f>
        <v>0</v>
      </c>
      <c r="P82" s="382">
        <v>0</v>
      </c>
      <c r="Q82" s="382">
        <f>ROUND(G82*P82,2)</f>
        <v>0</v>
      </c>
      <c r="R82" s="382">
        <v>0</v>
      </c>
      <c r="S82" s="382">
        <f>ROUND(G82*R82,2)</f>
        <v>0</v>
      </c>
      <c r="T82" s="382"/>
      <c r="U82" s="382" t="s">
        <v>2136</v>
      </c>
      <c r="V82" s="382" t="s">
        <v>2137</v>
      </c>
      <c r="W82" s="382">
        <v>0</v>
      </c>
      <c r="X82" s="382">
        <f>ROUND(G82*W82,2)</f>
        <v>0</v>
      </c>
      <c r="Y82" s="382"/>
      <c r="Z82" s="383"/>
      <c r="AA82" s="383"/>
      <c r="AB82" s="383"/>
      <c r="AC82" s="383"/>
      <c r="AD82" s="383"/>
      <c r="AE82" s="383"/>
      <c r="AF82" s="383"/>
      <c r="AG82" s="383"/>
      <c r="AH82" s="383"/>
      <c r="AI82" s="383" t="s">
        <v>2138</v>
      </c>
      <c r="AJ82" s="383"/>
      <c r="AK82" s="383"/>
      <c r="AL82" s="383"/>
      <c r="AM82" s="383"/>
      <c r="AN82" s="383"/>
      <c r="AO82" s="383"/>
      <c r="AP82" s="383"/>
      <c r="AQ82" s="383"/>
      <c r="AR82" s="383"/>
      <c r="AS82" s="383"/>
      <c r="AT82" s="383"/>
      <c r="AU82" s="383"/>
      <c r="AV82" s="383"/>
      <c r="AW82" s="383"/>
      <c r="AX82" s="383"/>
      <c r="AY82" s="383"/>
      <c r="AZ82" s="383"/>
      <c r="BA82" s="383"/>
      <c r="BB82" s="383"/>
      <c r="BC82" s="383"/>
      <c r="BD82" s="383"/>
      <c r="BE82" s="383"/>
      <c r="BF82" s="383"/>
      <c r="BG82" s="383"/>
      <c r="BH82" s="383"/>
      <c r="BI82" s="383"/>
      <c r="BJ82" s="383"/>
    </row>
    <row r="83" spans="2:62" ht="12" outlineLevel="1">
      <c r="B83" s="402">
        <v>2</v>
      </c>
      <c r="C83" s="403"/>
      <c r="D83" s="404" t="s">
        <v>2139</v>
      </c>
      <c r="E83" s="404"/>
      <c r="F83" s="423" t="s">
        <v>2057</v>
      </c>
      <c r="G83" s="424">
        <v>1</v>
      </c>
      <c r="H83" s="649">
        <v>0</v>
      </c>
      <c r="I83" s="425">
        <f aca="true" t="shared" si="3" ref="I83:I90">G83*H83</f>
        <v>0</v>
      </c>
      <c r="J83" s="382">
        <v>0</v>
      </c>
      <c r="K83" s="382">
        <f>ROUND(G84*J83,2)</f>
        <v>0</v>
      </c>
      <c r="L83" s="382">
        <v>0</v>
      </c>
      <c r="M83" s="382">
        <f>ROUND(G84*L83,2)</f>
        <v>0</v>
      </c>
      <c r="N83" s="382">
        <v>21</v>
      </c>
      <c r="O83" s="382">
        <f>I84*(1+N83/100)</f>
        <v>0</v>
      </c>
      <c r="P83" s="382">
        <v>0</v>
      </c>
      <c r="Q83" s="382">
        <f>ROUND(G84*P83,2)</f>
        <v>0</v>
      </c>
      <c r="R83" s="382">
        <v>0</v>
      </c>
      <c r="S83" s="382">
        <f>ROUND(G84*R83,2)</f>
        <v>0</v>
      </c>
      <c r="T83" s="382"/>
      <c r="U83" s="382" t="s">
        <v>2136</v>
      </c>
      <c r="V83" s="382" t="s">
        <v>2137</v>
      </c>
      <c r="W83" s="382">
        <v>0</v>
      </c>
      <c r="X83" s="382">
        <f>ROUND(G84*W83,2)</f>
        <v>0</v>
      </c>
      <c r="Y83" s="382"/>
      <c r="Z83" s="383"/>
      <c r="AA83" s="383"/>
      <c r="AB83" s="383"/>
      <c r="AC83" s="383"/>
      <c r="AD83" s="383"/>
      <c r="AE83" s="383"/>
      <c r="AF83" s="383"/>
      <c r="AG83" s="383"/>
      <c r="AH83" s="383"/>
      <c r="AI83" s="383" t="s">
        <v>2138</v>
      </c>
      <c r="AJ83" s="383"/>
      <c r="AK83" s="383"/>
      <c r="AL83" s="383"/>
      <c r="AM83" s="383"/>
      <c r="AN83" s="383"/>
      <c r="AO83" s="383"/>
      <c r="AP83" s="383"/>
      <c r="AQ83" s="383"/>
      <c r="AR83" s="383"/>
      <c r="AS83" s="383"/>
      <c r="AT83" s="383"/>
      <c r="AU83" s="383"/>
      <c r="AV83" s="383"/>
      <c r="AW83" s="383"/>
      <c r="AX83" s="383"/>
      <c r="AY83" s="383"/>
      <c r="AZ83" s="383"/>
      <c r="BA83" s="383"/>
      <c r="BB83" s="383"/>
      <c r="BC83" s="383"/>
      <c r="BD83" s="383"/>
      <c r="BE83" s="383"/>
      <c r="BF83" s="383"/>
      <c r="BG83" s="383"/>
      <c r="BH83" s="383"/>
      <c r="BI83" s="383"/>
      <c r="BJ83" s="383"/>
    </row>
    <row r="84" spans="2:62" ht="22.5" outlineLevel="1">
      <c r="B84" s="402">
        <v>3</v>
      </c>
      <c r="C84" s="403"/>
      <c r="D84" s="404" t="s">
        <v>2140</v>
      </c>
      <c r="E84" s="404" t="s">
        <v>2141</v>
      </c>
      <c r="F84" s="423" t="s">
        <v>729</v>
      </c>
      <c r="G84" s="424">
        <v>20</v>
      </c>
      <c r="H84" s="649">
        <v>0</v>
      </c>
      <c r="I84" s="425">
        <f t="shared" si="3"/>
        <v>0</v>
      </c>
      <c r="J84" s="382"/>
      <c r="K84" s="382"/>
      <c r="L84" s="382"/>
      <c r="M84" s="382"/>
      <c r="N84" s="382"/>
      <c r="O84" s="382"/>
      <c r="P84" s="382"/>
      <c r="Q84" s="382"/>
      <c r="R84" s="382"/>
      <c r="S84" s="382"/>
      <c r="T84" s="382"/>
      <c r="U84" s="382"/>
      <c r="V84" s="382"/>
      <c r="W84" s="382"/>
      <c r="X84" s="382"/>
      <c r="Y84" s="382"/>
      <c r="Z84" s="383"/>
      <c r="AA84" s="383"/>
      <c r="AB84" s="383"/>
      <c r="AC84" s="383"/>
      <c r="AD84" s="383"/>
      <c r="AE84" s="383"/>
      <c r="AF84" s="383"/>
      <c r="AG84" s="383"/>
      <c r="AH84" s="383"/>
      <c r="AI84" s="383"/>
      <c r="AJ84" s="383"/>
      <c r="AK84" s="383"/>
      <c r="AL84" s="383"/>
      <c r="AM84" s="383"/>
      <c r="AN84" s="383"/>
      <c r="AO84" s="383"/>
      <c r="AP84" s="383"/>
      <c r="AQ84" s="383"/>
      <c r="AR84" s="383"/>
      <c r="AS84" s="383"/>
      <c r="AT84" s="383"/>
      <c r="AU84" s="383"/>
      <c r="AV84" s="383"/>
      <c r="AW84" s="383"/>
      <c r="AX84" s="383"/>
      <c r="AY84" s="383"/>
      <c r="AZ84" s="383"/>
      <c r="BA84" s="383"/>
      <c r="BB84" s="383"/>
      <c r="BC84" s="383"/>
      <c r="BD84" s="383"/>
      <c r="BE84" s="383"/>
      <c r="BF84" s="383"/>
      <c r="BG84" s="383"/>
      <c r="BH84" s="383"/>
      <c r="BI84" s="383"/>
      <c r="BJ84" s="383"/>
    </row>
    <row r="85" spans="2:62" ht="12" outlineLevel="1">
      <c r="B85" s="402">
        <v>4</v>
      </c>
      <c r="C85" s="403"/>
      <c r="D85" s="404" t="s">
        <v>2142</v>
      </c>
      <c r="E85" s="404"/>
      <c r="F85" s="423" t="s">
        <v>1437</v>
      </c>
      <c r="G85" s="424">
        <v>1</v>
      </c>
      <c r="H85" s="649">
        <v>0</v>
      </c>
      <c r="I85" s="425">
        <f t="shared" si="3"/>
        <v>0</v>
      </c>
      <c r="J85" s="382"/>
      <c r="K85" s="382"/>
      <c r="L85" s="382"/>
      <c r="M85" s="382"/>
      <c r="N85" s="382"/>
      <c r="O85" s="382"/>
      <c r="P85" s="382"/>
      <c r="Q85" s="382"/>
      <c r="R85" s="382"/>
      <c r="S85" s="382"/>
      <c r="T85" s="382"/>
      <c r="U85" s="382"/>
      <c r="V85" s="382"/>
      <c r="W85" s="382"/>
      <c r="X85" s="382"/>
      <c r="Y85" s="382"/>
      <c r="Z85" s="383"/>
      <c r="AA85" s="383"/>
      <c r="AB85" s="383"/>
      <c r="AC85" s="383"/>
      <c r="AD85" s="383"/>
      <c r="AE85" s="383"/>
      <c r="AF85" s="383"/>
      <c r="AG85" s="383"/>
      <c r="AH85" s="383"/>
      <c r="AI85" s="383"/>
      <c r="AJ85" s="383"/>
      <c r="AK85" s="383"/>
      <c r="AL85" s="383"/>
      <c r="AM85" s="383"/>
      <c r="AN85" s="383"/>
      <c r="AO85" s="383"/>
      <c r="AP85" s="383"/>
      <c r="AQ85" s="383"/>
      <c r="AR85" s="383"/>
      <c r="AS85" s="383"/>
      <c r="AT85" s="383"/>
      <c r="AU85" s="383"/>
      <c r="AV85" s="383"/>
      <c r="AW85" s="383"/>
      <c r="AX85" s="383"/>
      <c r="AY85" s="383"/>
      <c r="AZ85" s="383"/>
      <c r="BA85" s="383"/>
      <c r="BB85" s="383"/>
      <c r="BC85" s="383"/>
      <c r="BD85" s="383"/>
      <c r="BE85" s="383"/>
      <c r="BF85" s="383"/>
      <c r="BG85" s="383"/>
      <c r="BH85" s="383"/>
      <c r="BI85" s="383"/>
      <c r="BJ85" s="383"/>
    </row>
    <row r="86" spans="2:62" ht="22.5" outlineLevel="1">
      <c r="B86" s="402">
        <v>5</v>
      </c>
      <c r="C86" s="403"/>
      <c r="D86" s="404" t="s">
        <v>2143</v>
      </c>
      <c r="E86" s="404"/>
      <c r="F86" s="423" t="s">
        <v>1437</v>
      </c>
      <c r="G86" s="424">
        <v>1</v>
      </c>
      <c r="H86" s="649">
        <v>0</v>
      </c>
      <c r="I86" s="425">
        <f t="shared" si="3"/>
        <v>0</v>
      </c>
      <c r="J86" s="382"/>
      <c r="K86" s="382"/>
      <c r="L86" s="382"/>
      <c r="M86" s="382"/>
      <c r="N86" s="382"/>
      <c r="O86" s="382"/>
      <c r="P86" s="382"/>
      <c r="Q86" s="382"/>
      <c r="R86" s="382"/>
      <c r="S86" s="382"/>
      <c r="T86" s="382"/>
      <c r="U86" s="382"/>
      <c r="V86" s="382"/>
      <c r="W86" s="382"/>
      <c r="X86" s="382"/>
      <c r="Y86" s="382"/>
      <c r="Z86" s="383"/>
      <c r="AA86" s="383"/>
      <c r="AB86" s="383"/>
      <c r="AC86" s="383"/>
      <c r="AD86" s="383"/>
      <c r="AE86" s="383"/>
      <c r="AF86" s="383"/>
      <c r="AG86" s="383"/>
      <c r="AH86" s="383"/>
      <c r="AI86" s="383"/>
      <c r="AJ86" s="383"/>
      <c r="AK86" s="383"/>
      <c r="AL86" s="383"/>
      <c r="AM86" s="383"/>
      <c r="AN86" s="383"/>
      <c r="AO86" s="383"/>
      <c r="AP86" s="383"/>
      <c r="AQ86" s="383"/>
      <c r="AR86" s="383"/>
      <c r="AS86" s="383"/>
      <c r="AT86" s="383"/>
      <c r="AU86" s="383"/>
      <c r="AV86" s="383"/>
      <c r="AW86" s="383"/>
      <c r="AX86" s="383"/>
      <c r="AY86" s="383"/>
      <c r="AZ86" s="383"/>
      <c r="BA86" s="383"/>
      <c r="BB86" s="383"/>
      <c r="BC86" s="383"/>
      <c r="BD86" s="383"/>
      <c r="BE86" s="383"/>
      <c r="BF86" s="383"/>
      <c r="BG86" s="383"/>
      <c r="BH86" s="383"/>
      <c r="BI86" s="383"/>
      <c r="BJ86" s="383"/>
    </row>
    <row r="87" spans="2:62" ht="22.5" outlineLevel="1">
      <c r="B87" s="402">
        <v>6</v>
      </c>
      <c r="C87" s="403"/>
      <c r="D87" s="404" t="s">
        <v>2144</v>
      </c>
      <c r="E87" s="404"/>
      <c r="F87" s="423" t="s">
        <v>1437</v>
      </c>
      <c r="G87" s="424">
        <v>1</v>
      </c>
      <c r="H87" s="649">
        <v>0</v>
      </c>
      <c r="I87" s="425">
        <f t="shared" si="3"/>
        <v>0</v>
      </c>
      <c r="J87" s="382"/>
      <c r="K87" s="382"/>
      <c r="L87" s="382"/>
      <c r="M87" s="382"/>
      <c r="N87" s="382"/>
      <c r="O87" s="382"/>
      <c r="P87" s="382"/>
      <c r="Q87" s="382"/>
      <c r="R87" s="382"/>
      <c r="S87" s="382"/>
      <c r="T87" s="382"/>
      <c r="U87" s="382"/>
      <c r="V87" s="382"/>
      <c r="W87" s="382"/>
      <c r="X87" s="382"/>
      <c r="Y87" s="382"/>
      <c r="Z87" s="383"/>
      <c r="AA87" s="383"/>
      <c r="AB87" s="383"/>
      <c r="AC87" s="383"/>
      <c r="AD87" s="383"/>
      <c r="AE87" s="383"/>
      <c r="AF87" s="383"/>
      <c r="AG87" s="383"/>
      <c r="AH87" s="383"/>
      <c r="AI87" s="383"/>
      <c r="AJ87" s="383"/>
      <c r="AK87" s="383"/>
      <c r="AL87" s="383"/>
      <c r="AM87" s="383"/>
      <c r="AN87" s="383"/>
      <c r="AO87" s="383"/>
      <c r="AP87" s="383"/>
      <c r="AQ87" s="383"/>
      <c r="AR87" s="383"/>
      <c r="AS87" s="383"/>
      <c r="AT87" s="383"/>
      <c r="AU87" s="383"/>
      <c r="AV87" s="383"/>
      <c r="AW87" s="383"/>
      <c r="AX87" s="383"/>
      <c r="AY87" s="383"/>
      <c r="AZ87" s="383"/>
      <c r="BA87" s="383"/>
      <c r="BB87" s="383"/>
      <c r="BC87" s="383"/>
      <c r="BD87" s="383"/>
      <c r="BE87" s="383"/>
      <c r="BF87" s="383"/>
      <c r="BG87" s="383"/>
      <c r="BH87" s="383"/>
      <c r="BI87" s="383"/>
      <c r="BJ87" s="383"/>
    </row>
    <row r="88" spans="2:62" ht="12" outlineLevel="1">
      <c r="B88" s="402">
        <v>7</v>
      </c>
      <c r="C88" s="403"/>
      <c r="D88" s="404" t="s">
        <v>2145</v>
      </c>
      <c r="E88" s="404" t="s">
        <v>2146</v>
      </c>
      <c r="F88" s="423" t="s">
        <v>1437</v>
      </c>
      <c r="G88" s="424">
        <v>1</v>
      </c>
      <c r="H88" s="649">
        <v>0</v>
      </c>
      <c r="I88" s="425">
        <f t="shared" si="3"/>
        <v>0</v>
      </c>
      <c r="J88" s="382"/>
      <c r="K88" s="382"/>
      <c r="L88" s="382"/>
      <c r="M88" s="382"/>
      <c r="N88" s="382"/>
      <c r="O88" s="382"/>
      <c r="P88" s="382"/>
      <c r="Q88" s="382"/>
      <c r="R88" s="382"/>
      <c r="S88" s="382"/>
      <c r="T88" s="382"/>
      <c r="U88" s="382"/>
      <c r="V88" s="382"/>
      <c r="W88" s="382"/>
      <c r="X88" s="382"/>
      <c r="Y88" s="382"/>
      <c r="Z88" s="383"/>
      <c r="AA88" s="383"/>
      <c r="AB88" s="383"/>
      <c r="AC88" s="383"/>
      <c r="AD88" s="383"/>
      <c r="AE88" s="383"/>
      <c r="AF88" s="383"/>
      <c r="AG88" s="383"/>
      <c r="AH88" s="383"/>
      <c r="AI88" s="383"/>
      <c r="AJ88" s="383"/>
      <c r="AK88" s="383"/>
      <c r="AL88" s="383"/>
      <c r="AM88" s="383"/>
      <c r="AN88" s="383"/>
      <c r="AO88" s="383"/>
      <c r="AP88" s="383"/>
      <c r="AQ88" s="383"/>
      <c r="AR88" s="383"/>
      <c r="AS88" s="383"/>
      <c r="AT88" s="383"/>
      <c r="AU88" s="383"/>
      <c r="AV88" s="383"/>
      <c r="AW88" s="383"/>
      <c r="AX88" s="383"/>
      <c r="AY88" s="383"/>
      <c r="AZ88" s="383"/>
      <c r="BA88" s="383"/>
      <c r="BB88" s="383"/>
      <c r="BC88" s="383"/>
      <c r="BD88" s="383"/>
      <c r="BE88" s="383"/>
      <c r="BF88" s="383"/>
      <c r="BG88" s="383"/>
      <c r="BH88" s="383"/>
      <c r="BI88" s="383"/>
      <c r="BJ88" s="383"/>
    </row>
    <row r="89" spans="2:62" ht="12" outlineLevel="1">
      <c r="B89" s="402">
        <v>8</v>
      </c>
      <c r="C89" s="403"/>
      <c r="D89" s="404" t="s">
        <v>2147</v>
      </c>
      <c r="E89" s="404"/>
      <c r="F89" s="423" t="s">
        <v>1437</v>
      </c>
      <c r="G89" s="424">
        <v>1</v>
      </c>
      <c r="H89" s="649">
        <v>0</v>
      </c>
      <c r="I89" s="425">
        <f t="shared" si="3"/>
        <v>0</v>
      </c>
      <c r="J89" s="382"/>
      <c r="K89" s="382"/>
      <c r="L89" s="382"/>
      <c r="M89" s="382"/>
      <c r="N89" s="382"/>
      <c r="O89" s="382"/>
      <c r="P89" s="382"/>
      <c r="Q89" s="382"/>
      <c r="R89" s="382"/>
      <c r="S89" s="382"/>
      <c r="T89" s="382"/>
      <c r="U89" s="382"/>
      <c r="V89" s="382"/>
      <c r="W89" s="382"/>
      <c r="X89" s="382"/>
      <c r="Y89" s="382"/>
      <c r="Z89" s="383"/>
      <c r="AA89" s="383"/>
      <c r="AB89" s="383"/>
      <c r="AC89" s="383"/>
      <c r="AD89" s="383"/>
      <c r="AE89" s="383"/>
      <c r="AF89" s="383"/>
      <c r="AG89" s="383"/>
      <c r="AH89" s="383"/>
      <c r="AI89" s="383"/>
      <c r="AJ89" s="383"/>
      <c r="AK89" s="383"/>
      <c r="AL89" s="383"/>
      <c r="AM89" s="383"/>
      <c r="AN89" s="383"/>
      <c r="AO89" s="383"/>
      <c r="AP89" s="383"/>
      <c r="AQ89" s="383"/>
      <c r="AR89" s="383"/>
      <c r="AS89" s="383"/>
      <c r="AT89" s="383"/>
      <c r="AU89" s="383"/>
      <c r="AV89" s="383"/>
      <c r="AW89" s="383"/>
      <c r="AX89" s="383"/>
      <c r="AY89" s="383"/>
      <c r="AZ89" s="383"/>
      <c r="BA89" s="383"/>
      <c r="BB89" s="383"/>
      <c r="BC89" s="383"/>
      <c r="BD89" s="383"/>
      <c r="BE89" s="383"/>
      <c r="BF89" s="383"/>
      <c r="BG89" s="383"/>
      <c r="BH89" s="383"/>
      <c r="BI89" s="383"/>
      <c r="BJ89" s="383"/>
    </row>
    <row r="90" spans="2:62" ht="12" outlineLevel="1">
      <c r="B90" s="402">
        <v>9</v>
      </c>
      <c r="C90" s="403"/>
      <c r="D90" s="404" t="s">
        <v>2148</v>
      </c>
      <c r="E90" s="404"/>
      <c r="F90" s="423" t="s">
        <v>729</v>
      </c>
      <c r="G90" s="424">
        <v>16</v>
      </c>
      <c r="H90" s="649">
        <v>0</v>
      </c>
      <c r="I90" s="425">
        <f t="shared" si="3"/>
        <v>0</v>
      </c>
      <c r="J90" s="382"/>
      <c r="K90" s="382"/>
      <c r="L90" s="382"/>
      <c r="M90" s="382"/>
      <c r="N90" s="382"/>
      <c r="O90" s="382"/>
      <c r="P90" s="382"/>
      <c r="Q90" s="382"/>
      <c r="R90" s="382"/>
      <c r="S90" s="382"/>
      <c r="T90" s="382"/>
      <c r="U90" s="382"/>
      <c r="V90" s="382"/>
      <c r="W90" s="382"/>
      <c r="X90" s="382"/>
      <c r="Y90" s="382"/>
      <c r="Z90" s="383"/>
      <c r="AA90" s="383"/>
      <c r="AB90" s="383"/>
      <c r="AC90" s="383"/>
      <c r="AD90" s="383"/>
      <c r="AE90" s="383"/>
      <c r="AF90" s="383"/>
      <c r="AG90" s="383"/>
      <c r="AH90" s="383"/>
      <c r="AI90" s="383"/>
      <c r="AJ90" s="383"/>
      <c r="AK90" s="383"/>
      <c r="AL90" s="383"/>
      <c r="AM90" s="383"/>
      <c r="AN90" s="383"/>
      <c r="AO90" s="383"/>
      <c r="AP90" s="383"/>
      <c r="AQ90" s="383"/>
      <c r="AR90" s="383"/>
      <c r="AS90" s="383"/>
      <c r="AT90" s="383"/>
      <c r="AU90" s="383"/>
      <c r="AV90" s="383"/>
      <c r="AW90" s="383"/>
      <c r="AX90" s="383"/>
      <c r="AY90" s="383"/>
      <c r="AZ90" s="383"/>
      <c r="BA90" s="383"/>
      <c r="BB90" s="383"/>
      <c r="BC90" s="383"/>
      <c r="BD90" s="383"/>
      <c r="BE90" s="383"/>
      <c r="BF90" s="383"/>
      <c r="BG90" s="383"/>
      <c r="BH90" s="383"/>
      <c r="BI90" s="383"/>
      <c r="BJ90" s="383"/>
    </row>
    <row r="91" spans="10:62" ht="12" outlineLevel="1">
      <c r="J91" s="382"/>
      <c r="K91" s="382"/>
      <c r="L91" s="382"/>
      <c r="M91" s="382"/>
      <c r="N91" s="382"/>
      <c r="O91" s="382"/>
      <c r="P91" s="382"/>
      <c r="Q91" s="382"/>
      <c r="R91" s="382"/>
      <c r="S91" s="382"/>
      <c r="T91" s="382"/>
      <c r="U91" s="382"/>
      <c r="V91" s="382"/>
      <c r="W91" s="382"/>
      <c r="X91" s="382"/>
      <c r="Y91" s="382"/>
      <c r="Z91" s="383"/>
      <c r="AA91" s="383"/>
      <c r="AB91" s="383"/>
      <c r="AC91" s="383"/>
      <c r="AD91" s="383"/>
      <c r="AE91" s="383"/>
      <c r="AF91" s="383"/>
      <c r="AG91" s="383"/>
      <c r="AH91" s="383"/>
      <c r="AI91" s="383"/>
      <c r="AJ91" s="383"/>
      <c r="AK91" s="383"/>
      <c r="AL91" s="383"/>
      <c r="AM91" s="383"/>
      <c r="AN91" s="383"/>
      <c r="AO91" s="383"/>
      <c r="AP91" s="383"/>
      <c r="AQ91" s="383"/>
      <c r="AR91" s="383"/>
      <c r="AS91" s="383"/>
      <c r="AT91" s="383"/>
      <c r="AU91" s="383"/>
      <c r="AV91" s="383"/>
      <c r="AW91" s="383"/>
      <c r="AX91" s="383"/>
      <c r="AY91" s="383"/>
      <c r="AZ91" s="383"/>
      <c r="BA91" s="383"/>
      <c r="BB91" s="383"/>
      <c r="BC91" s="383"/>
      <c r="BD91" s="383"/>
      <c r="BE91" s="383"/>
      <c r="BF91" s="383"/>
      <c r="BG91" s="383"/>
      <c r="BH91" s="383"/>
      <c r="BI91" s="383"/>
      <c r="BJ91" s="383"/>
    </row>
    <row r="92" spans="10:62" ht="13.5" outlineLevel="1" thickBot="1">
      <c r="J92" s="382"/>
      <c r="K92" s="382"/>
      <c r="L92" s="382"/>
      <c r="M92" s="382"/>
      <c r="N92" s="382"/>
      <c r="O92" s="382"/>
      <c r="P92" s="382"/>
      <c r="Q92" s="382"/>
      <c r="R92" s="382"/>
      <c r="S92" s="382"/>
      <c r="T92" s="382"/>
      <c r="U92" s="382"/>
      <c r="V92" s="382"/>
      <c r="W92" s="382"/>
      <c r="X92" s="382"/>
      <c r="Y92" s="382"/>
      <c r="Z92" s="383"/>
      <c r="AA92" s="383"/>
      <c r="AB92" s="383"/>
      <c r="AC92" s="383"/>
      <c r="AD92" s="383"/>
      <c r="AE92" s="383"/>
      <c r="AF92" s="383"/>
      <c r="AG92" s="383"/>
      <c r="AH92" s="383"/>
      <c r="AI92" s="383"/>
      <c r="AJ92" s="383"/>
      <c r="AK92" s="383"/>
      <c r="AL92" s="383"/>
      <c r="AM92" s="383"/>
      <c r="AN92" s="383"/>
      <c r="AO92" s="383"/>
      <c r="AP92" s="383"/>
      <c r="AQ92" s="383"/>
      <c r="AR92" s="383"/>
      <c r="AS92" s="383"/>
      <c r="AT92" s="383"/>
      <c r="AU92" s="383"/>
      <c r="AV92" s="383"/>
      <c r="AW92" s="383"/>
      <c r="AX92" s="383"/>
      <c r="AY92" s="383"/>
      <c r="AZ92" s="383"/>
      <c r="BA92" s="383"/>
      <c r="BB92" s="383"/>
      <c r="BC92" s="383"/>
      <c r="BD92" s="383"/>
      <c r="BE92" s="383"/>
      <c r="BF92" s="383"/>
      <c r="BG92" s="383"/>
      <c r="BH92" s="383"/>
      <c r="BI92" s="383"/>
      <c r="BJ92" s="383"/>
    </row>
    <row r="93" spans="2:62" ht="18.75" outlineLevel="1" thickBot="1">
      <c r="B93" s="418"/>
      <c r="C93" s="419"/>
      <c r="D93" s="420" t="s">
        <v>2151</v>
      </c>
      <c r="E93" s="421"/>
      <c r="F93" s="734">
        <f>I81+I67+I19+I9</f>
        <v>0</v>
      </c>
      <c r="G93" s="734"/>
      <c r="H93" s="734"/>
      <c r="I93" s="735"/>
      <c r="J93" s="382"/>
      <c r="K93" s="382"/>
      <c r="L93" s="382"/>
      <c r="M93" s="382"/>
      <c r="N93" s="382"/>
      <c r="O93" s="382"/>
      <c r="P93" s="382"/>
      <c r="Q93" s="382"/>
      <c r="R93" s="382"/>
      <c r="S93" s="382"/>
      <c r="T93" s="382"/>
      <c r="U93" s="382"/>
      <c r="V93" s="382"/>
      <c r="W93" s="382"/>
      <c r="X93" s="382"/>
      <c r="Y93" s="382"/>
      <c r="Z93" s="383"/>
      <c r="AA93" s="383"/>
      <c r="AB93" s="383"/>
      <c r="AC93" s="383"/>
      <c r="AD93" s="383"/>
      <c r="AE93" s="383"/>
      <c r="AF93" s="383"/>
      <c r="AG93" s="383"/>
      <c r="AH93" s="383"/>
      <c r="AI93" s="383"/>
      <c r="AJ93" s="383"/>
      <c r="AK93" s="383"/>
      <c r="AL93" s="383"/>
      <c r="AM93" s="383"/>
      <c r="AN93" s="383"/>
      <c r="AO93" s="383"/>
      <c r="AP93" s="383"/>
      <c r="AQ93" s="383"/>
      <c r="AR93" s="383"/>
      <c r="AS93" s="383"/>
      <c r="AT93" s="383"/>
      <c r="AU93" s="383"/>
      <c r="AV93" s="383"/>
      <c r="AW93" s="383"/>
      <c r="AX93" s="383"/>
      <c r="AY93" s="383"/>
      <c r="AZ93" s="383"/>
      <c r="BA93" s="383"/>
      <c r="BB93" s="383"/>
      <c r="BC93" s="383"/>
      <c r="BD93" s="383"/>
      <c r="BE93" s="383"/>
      <c r="BF93" s="383"/>
      <c r="BG93" s="383"/>
      <c r="BH93" s="383"/>
      <c r="BI93" s="383"/>
      <c r="BJ93" s="383"/>
    </row>
    <row r="94" spans="10:62" ht="12" outlineLevel="1">
      <c r="J94" s="382">
        <v>0</v>
      </c>
      <c r="K94" s="382">
        <f>ROUND(G89*J94,2)</f>
        <v>0</v>
      </c>
      <c r="L94" s="382">
        <v>0</v>
      </c>
      <c r="M94" s="382">
        <f>ROUND(G89*L94,2)</f>
        <v>0</v>
      </c>
      <c r="N94" s="382">
        <v>21</v>
      </c>
      <c r="O94" s="382">
        <f>I89*(1+N94/100)</f>
        <v>0</v>
      </c>
      <c r="P94" s="382">
        <v>0</v>
      </c>
      <c r="Q94" s="382">
        <f>ROUND(G89*P94,2)</f>
        <v>0</v>
      </c>
      <c r="R94" s="382">
        <v>0</v>
      </c>
      <c r="S94" s="382">
        <f>ROUND(G89*R94,2)</f>
        <v>0</v>
      </c>
      <c r="T94" s="382"/>
      <c r="U94" s="382" t="s">
        <v>2136</v>
      </c>
      <c r="V94" s="382" t="s">
        <v>2137</v>
      </c>
      <c r="W94" s="382">
        <v>0</v>
      </c>
      <c r="X94" s="382">
        <f>ROUND(G89*W94,2)</f>
        <v>0</v>
      </c>
      <c r="Y94" s="382"/>
      <c r="Z94" s="383"/>
      <c r="AA94" s="383"/>
      <c r="AB94" s="383"/>
      <c r="AC94" s="383"/>
      <c r="AD94" s="383"/>
      <c r="AE94" s="383"/>
      <c r="AF94" s="383"/>
      <c r="AG94" s="383"/>
      <c r="AH94" s="383"/>
      <c r="AI94" s="383" t="s">
        <v>2138</v>
      </c>
      <c r="AJ94" s="383"/>
      <c r="AK94" s="383"/>
      <c r="AL94" s="383"/>
      <c r="AM94" s="383"/>
      <c r="AN94" s="383"/>
      <c r="AO94" s="383"/>
      <c r="AP94" s="383"/>
      <c r="AQ94" s="383"/>
      <c r="AR94" s="383"/>
      <c r="AS94" s="383"/>
      <c r="AT94" s="383"/>
      <c r="AU94" s="383"/>
      <c r="AV94" s="383"/>
      <c r="AW94" s="383"/>
      <c r="AX94" s="383"/>
      <c r="AY94" s="383"/>
      <c r="AZ94" s="383"/>
      <c r="BA94" s="383"/>
      <c r="BB94" s="383"/>
      <c r="BC94" s="383"/>
      <c r="BD94" s="383"/>
      <c r="BE94" s="383"/>
      <c r="BF94" s="383"/>
      <c r="BG94" s="383"/>
      <c r="BH94" s="383"/>
      <c r="BI94" s="383"/>
      <c r="BJ94" s="383"/>
    </row>
    <row r="95" spans="10:62" ht="12" outlineLevel="1">
      <c r="J95" s="382">
        <v>0</v>
      </c>
      <c r="K95" s="382">
        <f>ROUND(G90*J95,2)</f>
        <v>0</v>
      </c>
      <c r="L95" s="382">
        <v>0</v>
      </c>
      <c r="M95" s="382">
        <f>ROUND(G90*L95,2)</f>
        <v>0</v>
      </c>
      <c r="N95" s="382">
        <v>21</v>
      </c>
      <c r="O95" s="382">
        <f>I90*(1+N95/100)</f>
        <v>0</v>
      </c>
      <c r="P95" s="382">
        <v>0</v>
      </c>
      <c r="Q95" s="382">
        <f>ROUND(G90*P95,2)</f>
        <v>0</v>
      </c>
      <c r="R95" s="382">
        <v>0</v>
      </c>
      <c r="S95" s="382">
        <f>ROUND(G90*R95,2)</f>
        <v>0</v>
      </c>
      <c r="T95" s="382"/>
      <c r="U95" s="382" t="s">
        <v>2136</v>
      </c>
      <c r="V95" s="382" t="s">
        <v>2137</v>
      </c>
      <c r="W95" s="382">
        <v>0</v>
      </c>
      <c r="X95" s="382">
        <f>ROUND(G90*W95,2)</f>
        <v>0</v>
      </c>
      <c r="Y95" s="382"/>
      <c r="Z95" s="383"/>
      <c r="AA95" s="383"/>
      <c r="AB95" s="383"/>
      <c r="AC95" s="383"/>
      <c r="AD95" s="383"/>
      <c r="AE95" s="383"/>
      <c r="AF95" s="383"/>
      <c r="AG95" s="383"/>
      <c r="AH95" s="383"/>
      <c r="AI95" s="383" t="s">
        <v>2138</v>
      </c>
      <c r="AJ95" s="383"/>
      <c r="AK95" s="383"/>
      <c r="AL95" s="383"/>
      <c r="AM95" s="383"/>
      <c r="AN95" s="383"/>
      <c r="AO95" s="383"/>
      <c r="AP95" s="383"/>
      <c r="AQ95" s="383"/>
      <c r="AR95" s="383"/>
      <c r="AS95" s="383"/>
      <c r="AT95" s="383"/>
      <c r="AU95" s="383"/>
      <c r="AV95" s="383"/>
      <c r="AW95" s="383"/>
      <c r="AX95" s="383"/>
      <c r="AY95" s="383"/>
      <c r="AZ95" s="383"/>
      <c r="BA95" s="383"/>
      <c r="BB95" s="383"/>
      <c r="BC95" s="383"/>
      <c r="BD95" s="383"/>
      <c r="BE95" s="383"/>
      <c r="BF95" s="383"/>
      <c r="BG95" s="383"/>
      <c r="BH95" s="383"/>
      <c r="BI95" s="383"/>
      <c r="BJ95" s="383"/>
    </row>
    <row r="96" spans="2:62" ht="12" outlineLevel="1">
      <c r="B96" s="405"/>
      <c r="C96" s="406"/>
      <c r="D96" s="407"/>
      <c r="E96" s="407"/>
      <c r="F96" s="408"/>
      <c r="G96" s="409"/>
      <c r="H96" s="382"/>
      <c r="I96" s="382"/>
      <c r="J96" s="382"/>
      <c r="K96" s="382"/>
      <c r="L96" s="382"/>
      <c r="M96" s="382"/>
      <c r="N96" s="382"/>
      <c r="O96" s="382"/>
      <c r="P96" s="382"/>
      <c r="Q96" s="382"/>
      <c r="R96" s="382"/>
      <c r="S96" s="382"/>
      <c r="T96" s="382"/>
      <c r="U96" s="382"/>
      <c r="V96" s="382"/>
      <c r="W96" s="382"/>
      <c r="X96" s="382"/>
      <c r="Y96" s="382"/>
      <c r="Z96" s="383"/>
      <c r="AA96" s="383"/>
      <c r="AB96" s="383"/>
      <c r="AC96" s="383"/>
      <c r="AD96" s="383"/>
      <c r="AE96" s="383"/>
      <c r="AF96" s="383"/>
      <c r="AG96" s="383"/>
      <c r="AH96" s="383"/>
      <c r="AI96" s="383"/>
      <c r="AJ96" s="383"/>
      <c r="AK96" s="383"/>
      <c r="AL96" s="383"/>
      <c r="AM96" s="383"/>
      <c r="AN96" s="383"/>
      <c r="AO96" s="383"/>
      <c r="AP96" s="383"/>
      <c r="AQ96" s="383"/>
      <c r="AR96" s="383"/>
      <c r="AS96" s="383"/>
      <c r="AT96" s="383"/>
      <c r="AU96" s="383"/>
      <c r="AV96" s="383"/>
      <c r="AW96" s="383"/>
      <c r="AX96" s="383"/>
      <c r="AY96" s="383"/>
      <c r="AZ96" s="383"/>
      <c r="BA96" s="383"/>
      <c r="BB96" s="383"/>
      <c r="BC96" s="383"/>
      <c r="BD96" s="383"/>
      <c r="BE96" s="383"/>
      <c r="BF96" s="383"/>
      <c r="BG96" s="383"/>
      <c r="BH96" s="383"/>
      <c r="BI96" s="383"/>
      <c r="BJ96" s="383"/>
    </row>
    <row r="97" spans="2:62" ht="12" outlineLevel="1">
      <c r="B97" s="405"/>
      <c r="C97" s="406"/>
      <c r="D97" s="407"/>
      <c r="E97" s="407"/>
      <c r="F97" s="408"/>
      <c r="G97" s="409"/>
      <c r="H97" s="382"/>
      <c r="I97" s="382"/>
      <c r="J97" s="382"/>
      <c r="K97" s="382"/>
      <c r="L97" s="382"/>
      <c r="M97" s="382"/>
      <c r="N97" s="382"/>
      <c r="O97" s="382"/>
      <c r="P97" s="382"/>
      <c r="Q97" s="382"/>
      <c r="R97" s="382"/>
      <c r="S97" s="382"/>
      <c r="T97" s="382"/>
      <c r="U97" s="382"/>
      <c r="V97" s="382"/>
      <c r="W97" s="382"/>
      <c r="X97" s="382"/>
      <c r="Y97" s="382"/>
      <c r="Z97" s="383"/>
      <c r="AA97" s="383"/>
      <c r="AB97" s="383"/>
      <c r="AC97" s="383"/>
      <c r="AD97" s="383"/>
      <c r="AE97" s="383"/>
      <c r="AF97" s="383"/>
      <c r="AG97" s="383"/>
      <c r="AH97" s="383"/>
      <c r="AI97" s="383"/>
      <c r="AJ97" s="383"/>
      <c r="AK97" s="383"/>
      <c r="AL97" s="383"/>
      <c r="AM97" s="383"/>
      <c r="AN97" s="383"/>
      <c r="AO97" s="383"/>
      <c r="AP97" s="383"/>
      <c r="AQ97" s="383"/>
      <c r="AR97" s="383"/>
      <c r="AS97" s="383"/>
      <c r="AT97" s="383"/>
      <c r="AU97" s="383"/>
      <c r="AV97" s="383"/>
      <c r="AW97" s="383"/>
      <c r="AX97" s="383"/>
      <c r="AY97" s="383"/>
      <c r="AZ97" s="383"/>
      <c r="BA97" s="383"/>
      <c r="BB97" s="383"/>
      <c r="BC97" s="383"/>
      <c r="BD97" s="383"/>
      <c r="BE97" s="383"/>
      <c r="BF97" s="383"/>
      <c r="BG97" s="383"/>
      <c r="BH97" s="383"/>
      <c r="BI97" s="383"/>
      <c r="BJ97" s="383"/>
    </row>
    <row r="98" spans="2:62" ht="12" outlineLevel="1">
      <c r="B98" s="405"/>
      <c r="C98" s="406"/>
      <c r="D98" s="407"/>
      <c r="E98" s="407"/>
      <c r="F98" s="408"/>
      <c r="G98" s="409"/>
      <c r="H98" s="382"/>
      <c r="I98" s="382"/>
      <c r="J98" s="382"/>
      <c r="K98" s="382"/>
      <c r="L98" s="382"/>
      <c r="M98" s="382"/>
      <c r="N98" s="382"/>
      <c r="O98" s="382"/>
      <c r="P98" s="382"/>
      <c r="Q98" s="382"/>
      <c r="R98" s="382"/>
      <c r="S98" s="382"/>
      <c r="T98" s="382"/>
      <c r="U98" s="382"/>
      <c r="V98" s="382"/>
      <c r="W98" s="382"/>
      <c r="X98" s="382"/>
      <c r="Y98" s="382"/>
      <c r="Z98" s="383"/>
      <c r="AA98" s="383"/>
      <c r="AB98" s="383"/>
      <c r="AC98" s="383"/>
      <c r="AD98" s="383"/>
      <c r="AE98" s="383"/>
      <c r="AF98" s="383"/>
      <c r="AG98" s="383"/>
      <c r="AH98" s="383"/>
      <c r="AI98" s="383"/>
      <c r="AJ98" s="383"/>
      <c r="AK98" s="383"/>
      <c r="AL98" s="383"/>
      <c r="AM98" s="383"/>
      <c r="AN98" s="383"/>
      <c r="AO98" s="383"/>
      <c r="AP98" s="383"/>
      <c r="AQ98" s="383"/>
      <c r="AR98" s="383"/>
      <c r="AS98" s="383"/>
      <c r="AT98" s="383"/>
      <c r="AU98" s="383"/>
      <c r="AV98" s="383"/>
      <c r="AW98" s="383"/>
      <c r="AX98" s="383"/>
      <c r="AY98" s="383"/>
      <c r="AZ98" s="383"/>
      <c r="BA98" s="383"/>
      <c r="BB98" s="383"/>
      <c r="BC98" s="383"/>
      <c r="BD98" s="383"/>
      <c r="BE98" s="383"/>
      <c r="BF98" s="383"/>
      <c r="BG98" s="383"/>
      <c r="BH98" s="383"/>
      <c r="BI98" s="383"/>
      <c r="BJ98" s="383"/>
    </row>
    <row r="99" spans="2:62" ht="12" outlineLevel="1">
      <c r="B99" s="405"/>
      <c r="C99" s="406"/>
      <c r="D99" s="407"/>
      <c r="E99" s="407"/>
      <c r="F99" s="408"/>
      <c r="G99" s="409"/>
      <c r="H99" s="382"/>
      <c r="I99" s="382"/>
      <c r="J99" s="382"/>
      <c r="K99" s="382"/>
      <c r="L99" s="382"/>
      <c r="M99" s="382"/>
      <c r="N99" s="382"/>
      <c r="O99" s="382"/>
      <c r="P99" s="382"/>
      <c r="Q99" s="382"/>
      <c r="R99" s="382"/>
      <c r="S99" s="382"/>
      <c r="T99" s="382"/>
      <c r="U99" s="382"/>
      <c r="V99" s="382"/>
      <c r="W99" s="382"/>
      <c r="X99" s="382"/>
      <c r="Y99" s="382"/>
      <c r="Z99" s="383"/>
      <c r="AA99" s="383"/>
      <c r="AB99" s="383"/>
      <c r="AC99" s="383"/>
      <c r="AD99" s="383"/>
      <c r="AE99" s="383"/>
      <c r="AF99" s="383"/>
      <c r="AG99" s="383"/>
      <c r="AH99" s="383"/>
      <c r="AI99" s="383"/>
      <c r="AJ99" s="383"/>
      <c r="AK99" s="383"/>
      <c r="AL99" s="383"/>
      <c r="AM99" s="383"/>
      <c r="AN99" s="383"/>
      <c r="AO99" s="383"/>
      <c r="AP99" s="383"/>
      <c r="AQ99" s="383"/>
      <c r="AR99" s="383"/>
      <c r="AS99" s="383"/>
      <c r="AT99" s="383"/>
      <c r="AU99" s="383"/>
      <c r="AV99" s="383"/>
      <c r="AW99" s="383"/>
      <c r="AX99" s="383"/>
      <c r="AY99" s="383"/>
      <c r="AZ99" s="383"/>
      <c r="BA99" s="383"/>
      <c r="BB99" s="383"/>
      <c r="BC99" s="383"/>
      <c r="BD99" s="383"/>
      <c r="BE99" s="383"/>
      <c r="BF99" s="383"/>
      <c r="BG99" s="383"/>
      <c r="BH99" s="383"/>
      <c r="BI99" s="383"/>
      <c r="BJ99" s="383"/>
    </row>
    <row r="100" spans="2:62" ht="12" outlineLevel="1">
      <c r="B100" s="405"/>
      <c r="C100" s="406"/>
      <c r="D100" s="744"/>
      <c r="E100" s="744"/>
      <c r="F100" s="745"/>
      <c r="G100" s="745"/>
      <c r="H100" s="745"/>
      <c r="I100" s="745"/>
      <c r="J100" s="382"/>
      <c r="K100" s="382"/>
      <c r="L100" s="382"/>
      <c r="M100" s="382"/>
      <c r="N100" s="382"/>
      <c r="O100" s="382"/>
      <c r="P100" s="382"/>
      <c r="Q100" s="382"/>
      <c r="R100" s="382"/>
      <c r="S100" s="382"/>
      <c r="T100" s="382"/>
      <c r="U100" s="382"/>
      <c r="V100" s="382"/>
      <c r="W100" s="382"/>
      <c r="X100" s="382"/>
      <c r="Y100" s="382"/>
      <c r="Z100" s="383"/>
      <c r="AA100" s="383"/>
      <c r="AB100" s="383"/>
      <c r="AC100" s="383"/>
      <c r="AD100" s="383"/>
      <c r="AE100" s="383"/>
      <c r="AF100" s="383"/>
      <c r="AG100" s="383"/>
      <c r="AH100" s="383"/>
      <c r="AI100" s="383" t="s">
        <v>2149</v>
      </c>
      <c r="AJ100" s="383"/>
      <c r="AK100" s="383"/>
      <c r="AL100" s="383"/>
      <c r="AM100" s="383"/>
      <c r="AN100" s="383"/>
      <c r="AO100" s="383"/>
      <c r="AP100" s="383"/>
      <c r="AQ100" s="383"/>
      <c r="AR100" s="383"/>
      <c r="AS100" s="383"/>
      <c r="AT100" s="383"/>
      <c r="AU100" s="383"/>
      <c r="AV100" s="383"/>
      <c r="AW100" s="383"/>
      <c r="AX100" s="383"/>
      <c r="AY100" s="383"/>
      <c r="AZ100" s="383"/>
      <c r="BA100" s="383"/>
      <c r="BB100" s="383"/>
      <c r="BC100" s="410">
        <f>D100</f>
        <v>0</v>
      </c>
      <c r="BD100" s="383"/>
      <c r="BE100" s="383"/>
      <c r="BF100" s="383"/>
      <c r="BG100" s="383"/>
      <c r="BH100" s="383"/>
      <c r="BI100" s="383"/>
      <c r="BJ100" s="383"/>
    </row>
    <row r="101" spans="2:34" ht="23.25" customHeight="1">
      <c r="B101" s="411"/>
      <c r="C101" s="412"/>
      <c r="D101" s="412"/>
      <c r="E101" s="413"/>
      <c r="F101" s="411"/>
      <c r="G101" s="414"/>
      <c r="H101" s="411"/>
      <c r="I101" s="411"/>
      <c r="J101" s="362"/>
      <c r="K101" s="362"/>
      <c r="L101" s="362"/>
      <c r="M101" s="362"/>
      <c r="N101" s="362"/>
      <c r="O101" s="362"/>
      <c r="P101" s="362"/>
      <c r="Q101" s="362"/>
      <c r="R101" s="362"/>
      <c r="S101" s="362"/>
      <c r="T101" s="362"/>
      <c r="U101" s="362"/>
      <c r="V101" s="362"/>
      <c r="W101" s="362"/>
      <c r="X101" s="362"/>
      <c r="Y101" s="362"/>
      <c r="AG101" s="348">
        <v>15</v>
      </c>
      <c r="AH101" s="348">
        <v>21</v>
      </c>
    </row>
    <row r="102" spans="2:35" ht="17.25" customHeight="1">
      <c r="B102" s="411"/>
      <c r="C102" s="412"/>
      <c r="D102" s="415"/>
      <c r="E102" s="413"/>
      <c r="F102" s="411"/>
      <c r="G102" s="414"/>
      <c r="H102" s="411"/>
      <c r="I102" s="411"/>
      <c r="AI102" s="348" t="s">
        <v>2150</v>
      </c>
    </row>
    <row r="103" spans="2:9" ht="12">
      <c r="B103" s="411"/>
      <c r="C103" s="412"/>
      <c r="D103" s="415"/>
      <c r="E103" s="413"/>
      <c r="F103" s="411"/>
      <c r="G103" s="414"/>
      <c r="H103" s="411"/>
      <c r="I103" s="411"/>
    </row>
    <row r="104" spans="2:9" ht="27.75" customHeight="1">
      <c r="B104" s="411"/>
      <c r="C104" s="412"/>
      <c r="D104" s="412"/>
      <c r="E104" s="413"/>
      <c r="F104" s="411"/>
      <c r="G104" s="414"/>
      <c r="H104" s="411"/>
      <c r="I104" s="411"/>
    </row>
    <row r="105" spans="2:9" ht="21.75" customHeight="1">
      <c r="B105" s="411"/>
      <c r="C105" s="411"/>
      <c r="D105" s="416"/>
      <c r="E105" s="412"/>
      <c r="F105" s="411"/>
      <c r="G105" s="414"/>
      <c r="H105" s="411"/>
      <c r="I105" s="411"/>
    </row>
    <row r="106" spans="2:9" ht="46.5" customHeight="1">
      <c r="B106" s="411"/>
      <c r="C106" s="412"/>
      <c r="D106" s="733"/>
      <c r="E106" s="733"/>
      <c r="F106" s="733"/>
      <c r="G106" s="733"/>
      <c r="H106" s="733"/>
      <c r="I106" s="733"/>
    </row>
    <row r="107" spans="2:9" ht="39.75" customHeight="1">
      <c r="B107" s="411"/>
      <c r="C107" s="411"/>
      <c r="D107" s="416"/>
      <c r="E107" s="412"/>
      <c r="F107" s="411"/>
      <c r="G107" s="414"/>
      <c r="H107" s="411"/>
      <c r="I107" s="411"/>
    </row>
    <row r="108" spans="2:9" ht="12">
      <c r="B108" s="411"/>
      <c r="C108" s="411"/>
      <c r="D108" s="411"/>
      <c r="E108" s="412"/>
      <c r="F108" s="411"/>
      <c r="G108" s="414"/>
      <c r="H108" s="411"/>
      <c r="I108" s="411"/>
    </row>
    <row r="109" spans="2:9" ht="12">
      <c r="B109" s="411"/>
      <c r="C109" s="411"/>
      <c r="D109" s="411"/>
      <c r="E109" s="412"/>
      <c r="F109" s="411"/>
      <c r="G109" s="414"/>
      <c r="H109" s="411"/>
      <c r="I109" s="411"/>
    </row>
    <row r="110" spans="2:9" ht="12">
      <c r="B110" s="411"/>
      <c r="C110" s="412"/>
      <c r="D110" s="412"/>
      <c r="E110" s="412"/>
      <c r="F110" s="411"/>
      <c r="G110" s="414"/>
      <c r="H110" s="411"/>
      <c r="I110" s="411"/>
    </row>
    <row r="111" spans="2:9" ht="12">
      <c r="B111" s="411"/>
      <c r="C111" s="412"/>
      <c r="D111" s="415"/>
      <c r="E111" s="412"/>
      <c r="F111" s="411"/>
      <c r="G111" s="414"/>
      <c r="H111" s="411"/>
      <c r="I111" s="411"/>
    </row>
    <row r="112" ht="12">
      <c r="F112" s="354"/>
    </row>
    <row r="113" spans="2:6" ht="18.75">
      <c r="B113" s="417"/>
      <c r="F113" s="354"/>
    </row>
    <row r="114" ht="12">
      <c r="F114" s="354"/>
    </row>
    <row r="115" ht="12">
      <c r="F115" s="354"/>
    </row>
    <row r="116" ht="12">
      <c r="F116" s="354"/>
    </row>
    <row r="117" ht="12">
      <c r="F117" s="354"/>
    </row>
    <row r="118" ht="12">
      <c r="F118" s="354"/>
    </row>
    <row r="119" ht="12">
      <c r="F119" s="354"/>
    </row>
    <row r="120" ht="12">
      <c r="F120" s="354"/>
    </row>
    <row r="121" ht="12">
      <c r="F121" s="354"/>
    </row>
    <row r="122" ht="12">
      <c r="F122" s="354"/>
    </row>
    <row r="123" ht="12">
      <c r="F123" s="354"/>
    </row>
    <row r="124" ht="12">
      <c r="F124" s="354"/>
    </row>
    <row r="125" ht="12">
      <c r="F125" s="354"/>
    </row>
    <row r="126" ht="12">
      <c r="F126" s="354"/>
    </row>
    <row r="127" ht="12">
      <c r="F127" s="354"/>
    </row>
    <row r="128" ht="12">
      <c r="F128" s="354"/>
    </row>
    <row r="129" ht="12">
      <c r="F129" s="354"/>
    </row>
    <row r="130" ht="12">
      <c r="F130" s="354"/>
    </row>
    <row r="131" ht="12">
      <c r="F131" s="354"/>
    </row>
    <row r="132" ht="12">
      <c r="F132" s="354"/>
    </row>
    <row r="133" ht="12">
      <c r="F133" s="354"/>
    </row>
    <row r="134" ht="12">
      <c r="F134" s="354"/>
    </row>
    <row r="135" ht="12">
      <c r="F135" s="354"/>
    </row>
    <row r="136" ht="12">
      <c r="F136" s="354"/>
    </row>
    <row r="137" ht="12">
      <c r="F137" s="354"/>
    </row>
    <row r="138" ht="12">
      <c r="F138" s="354"/>
    </row>
    <row r="139" ht="12">
      <c r="F139" s="354"/>
    </row>
    <row r="140" ht="12">
      <c r="F140" s="354"/>
    </row>
    <row r="141" ht="12">
      <c r="F141" s="354"/>
    </row>
    <row r="142" ht="12">
      <c r="F142" s="354"/>
    </row>
    <row r="143" ht="12">
      <c r="F143" s="354"/>
    </row>
    <row r="144" ht="12">
      <c r="F144" s="354"/>
    </row>
    <row r="145" ht="12">
      <c r="F145" s="354"/>
    </row>
    <row r="146" ht="12">
      <c r="F146" s="354"/>
    </row>
    <row r="147" ht="12">
      <c r="F147" s="354"/>
    </row>
    <row r="148" ht="12">
      <c r="F148" s="354"/>
    </row>
    <row r="149" ht="12">
      <c r="F149" s="354"/>
    </row>
    <row r="150" ht="12">
      <c r="F150" s="354"/>
    </row>
    <row r="151" ht="12">
      <c r="F151" s="354"/>
    </row>
    <row r="152" ht="12">
      <c r="F152" s="354"/>
    </row>
    <row r="153" ht="12">
      <c r="F153" s="354"/>
    </row>
    <row r="154" ht="12">
      <c r="F154" s="354"/>
    </row>
    <row r="155" ht="12">
      <c r="F155" s="354"/>
    </row>
    <row r="156" ht="12">
      <c r="F156" s="354"/>
    </row>
    <row r="157" ht="12">
      <c r="F157" s="354"/>
    </row>
    <row r="158" ht="12">
      <c r="F158" s="354"/>
    </row>
    <row r="159" ht="12">
      <c r="F159" s="354"/>
    </row>
    <row r="160" ht="12">
      <c r="F160" s="354"/>
    </row>
    <row r="161" ht="12">
      <c r="F161" s="354"/>
    </row>
    <row r="162" ht="12">
      <c r="F162" s="354"/>
    </row>
    <row r="163" ht="12">
      <c r="F163" s="354"/>
    </row>
    <row r="164" ht="12">
      <c r="F164" s="354"/>
    </row>
    <row r="165" ht="12">
      <c r="F165" s="354"/>
    </row>
    <row r="166" ht="12">
      <c r="F166" s="354"/>
    </row>
    <row r="167" ht="12">
      <c r="F167" s="354"/>
    </row>
    <row r="168" ht="12">
      <c r="F168" s="354"/>
    </row>
    <row r="169" ht="12">
      <c r="F169" s="354"/>
    </row>
    <row r="170" ht="12">
      <c r="F170" s="354"/>
    </row>
    <row r="171" ht="12">
      <c r="F171" s="354"/>
    </row>
    <row r="172" ht="12">
      <c r="F172" s="354"/>
    </row>
    <row r="173" ht="12">
      <c r="F173" s="354"/>
    </row>
    <row r="174" ht="12">
      <c r="F174" s="354"/>
    </row>
    <row r="175" ht="12">
      <c r="F175" s="354"/>
    </row>
    <row r="176" ht="12">
      <c r="F176" s="354"/>
    </row>
    <row r="177" ht="12">
      <c r="F177" s="354"/>
    </row>
    <row r="178" ht="12">
      <c r="F178" s="354"/>
    </row>
    <row r="179" ht="12">
      <c r="F179" s="354"/>
    </row>
    <row r="180" ht="12">
      <c r="F180" s="354"/>
    </row>
    <row r="181" ht="12">
      <c r="F181" s="354"/>
    </row>
    <row r="182" ht="12">
      <c r="F182" s="354"/>
    </row>
    <row r="183" ht="12">
      <c r="F183" s="354"/>
    </row>
    <row r="184" ht="12">
      <c r="F184" s="354"/>
    </row>
    <row r="185" ht="12">
      <c r="F185" s="354"/>
    </row>
    <row r="186" ht="12">
      <c r="F186" s="354"/>
    </row>
    <row r="187" ht="12">
      <c r="F187" s="354"/>
    </row>
    <row r="188" ht="12">
      <c r="F188" s="354"/>
    </row>
    <row r="189" ht="12">
      <c r="F189" s="354"/>
    </row>
    <row r="190" ht="12">
      <c r="F190" s="354"/>
    </row>
    <row r="191" ht="12">
      <c r="F191" s="354"/>
    </row>
    <row r="192" ht="12">
      <c r="F192" s="354"/>
    </row>
    <row r="193" ht="12">
      <c r="F193" s="354"/>
    </row>
    <row r="194" ht="12">
      <c r="F194" s="354"/>
    </row>
    <row r="195" ht="12">
      <c r="F195" s="354"/>
    </row>
    <row r="196" ht="12">
      <c r="F196" s="354"/>
    </row>
    <row r="197" ht="12">
      <c r="F197" s="354"/>
    </row>
    <row r="198" ht="12">
      <c r="F198" s="354"/>
    </row>
    <row r="199" ht="12">
      <c r="F199" s="354"/>
    </row>
    <row r="200" ht="12">
      <c r="F200" s="354"/>
    </row>
    <row r="201" ht="12">
      <c r="F201" s="354"/>
    </row>
    <row r="202" ht="12">
      <c r="F202" s="354"/>
    </row>
    <row r="203" ht="12">
      <c r="F203" s="354"/>
    </row>
    <row r="204" ht="12">
      <c r="F204" s="354"/>
    </row>
    <row r="205" ht="12">
      <c r="F205" s="354"/>
    </row>
    <row r="206" ht="12">
      <c r="F206" s="354"/>
    </row>
    <row r="207" ht="12">
      <c r="F207" s="354"/>
    </row>
    <row r="208" ht="12">
      <c r="F208" s="354"/>
    </row>
    <row r="209" ht="12">
      <c r="F209" s="354"/>
    </row>
    <row r="210" ht="12">
      <c r="F210" s="354"/>
    </row>
    <row r="211" ht="12">
      <c r="F211" s="354"/>
    </row>
    <row r="212" ht="12">
      <c r="F212" s="354"/>
    </row>
    <row r="213" ht="12">
      <c r="F213" s="354"/>
    </row>
    <row r="214" ht="12">
      <c r="F214" s="354"/>
    </row>
    <row r="215" ht="12">
      <c r="F215" s="354"/>
    </row>
    <row r="216" ht="12">
      <c r="F216" s="354"/>
    </row>
    <row r="217" ht="12">
      <c r="F217" s="354"/>
    </row>
    <row r="218" ht="12">
      <c r="F218" s="354"/>
    </row>
    <row r="219" ht="12">
      <c r="F219" s="354"/>
    </row>
    <row r="220" ht="12">
      <c r="F220" s="354"/>
    </row>
    <row r="221" ht="12">
      <c r="F221" s="354"/>
    </row>
    <row r="222" ht="12">
      <c r="F222" s="354"/>
    </row>
    <row r="223" ht="12">
      <c r="F223" s="354"/>
    </row>
    <row r="224" ht="12">
      <c r="F224" s="354"/>
    </row>
    <row r="225" ht="12">
      <c r="F225" s="354"/>
    </row>
    <row r="226" ht="12">
      <c r="F226" s="354"/>
    </row>
    <row r="227" ht="12">
      <c r="F227" s="354"/>
    </row>
    <row r="228" ht="12">
      <c r="F228" s="354"/>
    </row>
    <row r="229" ht="12">
      <c r="F229" s="354"/>
    </row>
    <row r="230" ht="12">
      <c r="F230" s="354"/>
    </row>
    <row r="231" ht="12">
      <c r="F231" s="354"/>
    </row>
    <row r="232" ht="12">
      <c r="F232" s="354"/>
    </row>
    <row r="233" ht="12">
      <c r="F233" s="354"/>
    </row>
    <row r="234" ht="12">
      <c r="F234" s="354"/>
    </row>
    <row r="235" ht="12">
      <c r="F235" s="354"/>
    </row>
    <row r="236" ht="12">
      <c r="F236" s="354"/>
    </row>
    <row r="237" ht="12">
      <c r="F237" s="354"/>
    </row>
    <row r="238" ht="12">
      <c r="F238" s="354"/>
    </row>
    <row r="239" ht="12">
      <c r="F239" s="354"/>
    </row>
    <row r="240" ht="12">
      <c r="F240" s="354"/>
    </row>
    <row r="241" ht="12">
      <c r="F241" s="354"/>
    </row>
    <row r="242" ht="12">
      <c r="F242" s="354"/>
    </row>
    <row r="243" ht="12">
      <c r="F243" s="354"/>
    </row>
    <row r="244" ht="12">
      <c r="F244" s="354"/>
    </row>
    <row r="245" ht="12">
      <c r="F245" s="354"/>
    </row>
    <row r="246" ht="12">
      <c r="F246" s="354"/>
    </row>
    <row r="247" ht="12">
      <c r="F247" s="354"/>
    </row>
    <row r="248" ht="12">
      <c r="F248" s="354"/>
    </row>
    <row r="249" ht="12">
      <c r="F249" s="354"/>
    </row>
    <row r="250" ht="12">
      <c r="F250" s="354"/>
    </row>
    <row r="251" ht="12">
      <c r="F251" s="354"/>
    </row>
    <row r="252" ht="12">
      <c r="F252" s="354"/>
    </row>
    <row r="253" ht="12">
      <c r="F253" s="354"/>
    </row>
    <row r="254" ht="12">
      <c r="F254" s="354"/>
    </row>
    <row r="255" ht="12">
      <c r="F255" s="354"/>
    </row>
    <row r="256" ht="12">
      <c r="F256" s="354"/>
    </row>
    <row r="257" ht="12">
      <c r="F257" s="354"/>
    </row>
    <row r="258" ht="12">
      <c r="F258" s="354"/>
    </row>
    <row r="259" ht="12">
      <c r="F259" s="354"/>
    </row>
    <row r="260" ht="12">
      <c r="F260" s="354"/>
    </row>
    <row r="261" ht="12">
      <c r="F261" s="354"/>
    </row>
    <row r="262" ht="12">
      <c r="F262" s="354"/>
    </row>
    <row r="263" ht="12">
      <c r="F263" s="354"/>
    </row>
    <row r="264" ht="12">
      <c r="F264" s="354"/>
    </row>
    <row r="265" ht="12">
      <c r="F265" s="354"/>
    </row>
    <row r="266" ht="12">
      <c r="F266" s="354"/>
    </row>
    <row r="267" ht="12">
      <c r="F267" s="354"/>
    </row>
    <row r="268" ht="12">
      <c r="F268" s="354"/>
    </row>
    <row r="269" ht="12">
      <c r="F269" s="354"/>
    </row>
    <row r="270" ht="12">
      <c r="F270" s="354"/>
    </row>
    <row r="271" ht="12">
      <c r="F271" s="354"/>
    </row>
    <row r="272" ht="12">
      <c r="F272" s="354"/>
    </row>
    <row r="273" ht="12">
      <c r="F273" s="354"/>
    </row>
    <row r="274" ht="12">
      <c r="F274" s="354"/>
    </row>
    <row r="275" ht="12">
      <c r="F275" s="354"/>
    </row>
    <row r="276" ht="12">
      <c r="F276" s="354"/>
    </row>
    <row r="277" ht="12">
      <c r="F277" s="354"/>
    </row>
    <row r="278" ht="12">
      <c r="F278" s="354"/>
    </row>
    <row r="279" ht="12">
      <c r="F279" s="354"/>
    </row>
    <row r="280" ht="12">
      <c r="F280" s="354"/>
    </row>
    <row r="281" ht="12">
      <c r="F281" s="354"/>
    </row>
    <row r="282" ht="12">
      <c r="F282" s="354"/>
    </row>
    <row r="283" ht="12">
      <c r="F283" s="354"/>
    </row>
    <row r="284" ht="12">
      <c r="F284" s="354"/>
    </row>
    <row r="285" ht="12">
      <c r="F285" s="354"/>
    </row>
    <row r="286" ht="12">
      <c r="F286" s="354"/>
    </row>
    <row r="287" ht="12">
      <c r="F287" s="354"/>
    </row>
    <row r="288" ht="12">
      <c r="F288" s="354"/>
    </row>
    <row r="289" ht="12">
      <c r="F289" s="354"/>
    </row>
    <row r="290" ht="12">
      <c r="F290" s="354"/>
    </row>
    <row r="291" ht="12">
      <c r="F291" s="354"/>
    </row>
    <row r="292" ht="12">
      <c r="F292" s="354"/>
    </row>
    <row r="293" ht="12">
      <c r="F293" s="354"/>
    </row>
    <row r="294" ht="12">
      <c r="F294" s="354"/>
    </row>
    <row r="295" ht="12">
      <c r="F295" s="354"/>
    </row>
    <row r="296" ht="12">
      <c r="F296" s="354"/>
    </row>
    <row r="297" ht="12">
      <c r="F297" s="354"/>
    </row>
    <row r="298" ht="12">
      <c r="F298" s="354"/>
    </row>
    <row r="299" ht="12">
      <c r="F299" s="354"/>
    </row>
    <row r="300" ht="12">
      <c r="F300" s="354"/>
    </row>
    <row r="301" ht="12">
      <c r="F301" s="354"/>
    </row>
    <row r="302" ht="12">
      <c r="F302" s="354"/>
    </row>
    <row r="303" ht="12">
      <c r="F303" s="354"/>
    </row>
    <row r="304" ht="12">
      <c r="F304" s="354"/>
    </row>
    <row r="305" ht="12">
      <c r="F305" s="354"/>
    </row>
    <row r="306" ht="12">
      <c r="F306" s="354"/>
    </row>
    <row r="307" ht="12">
      <c r="F307" s="354"/>
    </row>
    <row r="308" ht="12">
      <c r="F308" s="354"/>
    </row>
    <row r="309" ht="12">
      <c r="F309" s="354"/>
    </row>
    <row r="310" ht="12">
      <c r="F310" s="354"/>
    </row>
    <row r="311" ht="12">
      <c r="F311" s="354"/>
    </row>
    <row r="312" ht="12">
      <c r="F312" s="354"/>
    </row>
    <row r="313" ht="12">
      <c r="F313" s="354"/>
    </row>
    <row r="314" ht="12">
      <c r="F314" s="354"/>
    </row>
    <row r="315" ht="12">
      <c r="F315" s="354"/>
    </row>
    <row r="316" ht="12">
      <c r="F316" s="354"/>
    </row>
    <row r="317" ht="12">
      <c r="F317" s="354"/>
    </row>
    <row r="318" ht="12">
      <c r="F318" s="354"/>
    </row>
    <row r="319" ht="12">
      <c r="F319" s="354"/>
    </row>
    <row r="320" ht="12">
      <c r="F320" s="354"/>
    </row>
    <row r="321" ht="12">
      <c r="F321" s="354"/>
    </row>
    <row r="322" ht="12">
      <c r="F322" s="354"/>
    </row>
    <row r="323" ht="12">
      <c r="F323" s="354"/>
    </row>
    <row r="324" ht="12">
      <c r="F324" s="354"/>
    </row>
    <row r="325" ht="12">
      <c r="F325" s="354"/>
    </row>
    <row r="326" ht="12">
      <c r="F326" s="354"/>
    </row>
    <row r="327" ht="12">
      <c r="F327" s="354"/>
    </row>
    <row r="328" ht="12">
      <c r="F328" s="354"/>
    </row>
    <row r="329" ht="12">
      <c r="F329" s="354"/>
    </row>
    <row r="330" ht="12">
      <c r="F330" s="354"/>
    </row>
    <row r="331" ht="12">
      <c r="F331" s="354"/>
    </row>
    <row r="332" ht="12">
      <c r="F332" s="354"/>
    </row>
    <row r="333" ht="12">
      <c r="F333" s="354"/>
    </row>
    <row r="334" ht="12">
      <c r="F334" s="354"/>
    </row>
    <row r="335" ht="12">
      <c r="F335" s="354"/>
    </row>
    <row r="336" ht="12">
      <c r="F336" s="354"/>
    </row>
    <row r="337" ht="12">
      <c r="F337" s="354"/>
    </row>
    <row r="338" ht="12">
      <c r="F338" s="354"/>
    </row>
    <row r="339" ht="12">
      <c r="F339" s="354"/>
    </row>
    <row r="340" ht="12">
      <c r="F340" s="354"/>
    </row>
    <row r="341" ht="12">
      <c r="F341" s="354"/>
    </row>
    <row r="342" ht="12">
      <c r="F342" s="354"/>
    </row>
    <row r="343" ht="12">
      <c r="F343" s="354"/>
    </row>
    <row r="344" ht="12">
      <c r="F344" s="354"/>
    </row>
    <row r="345" ht="12">
      <c r="F345" s="354"/>
    </row>
    <row r="346" ht="12">
      <c r="F346" s="354"/>
    </row>
    <row r="347" ht="12">
      <c r="F347" s="354"/>
    </row>
    <row r="348" ht="12">
      <c r="F348" s="354"/>
    </row>
    <row r="349" ht="12">
      <c r="F349" s="354"/>
    </row>
    <row r="350" ht="12">
      <c r="F350" s="354"/>
    </row>
    <row r="351" ht="12">
      <c r="F351" s="354"/>
    </row>
    <row r="352" ht="12">
      <c r="F352" s="354"/>
    </row>
    <row r="353" ht="12">
      <c r="F353" s="354"/>
    </row>
    <row r="354" ht="12">
      <c r="F354" s="354"/>
    </row>
    <row r="355" ht="12">
      <c r="F355" s="354"/>
    </row>
    <row r="356" ht="12">
      <c r="F356" s="354"/>
    </row>
    <row r="357" ht="12">
      <c r="F357" s="354"/>
    </row>
    <row r="358" ht="12">
      <c r="F358" s="354"/>
    </row>
    <row r="359" ht="12">
      <c r="F359" s="354"/>
    </row>
    <row r="360" ht="12">
      <c r="F360" s="354"/>
    </row>
    <row r="361" ht="12">
      <c r="F361" s="354"/>
    </row>
    <row r="362" ht="12">
      <c r="F362" s="354"/>
    </row>
    <row r="363" ht="12">
      <c r="F363" s="354"/>
    </row>
    <row r="364" ht="12">
      <c r="F364" s="354"/>
    </row>
    <row r="365" ht="12">
      <c r="F365" s="354"/>
    </row>
    <row r="366" ht="12">
      <c r="F366" s="354"/>
    </row>
    <row r="367" ht="12">
      <c r="F367" s="354"/>
    </row>
    <row r="368" ht="12">
      <c r="F368" s="354"/>
    </row>
    <row r="369" ht="12">
      <c r="F369" s="354"/>
    </row>
    <row r="370" ht="12">
      <c r="F370" s="354"/>
    </row>
    <row r="371" ht="12">
      <c r="F371" s="354"/>
    </row>
    <row r="372" ht="12">
      <c r="F372" s="354"/>
    </row>
    <row r="373" ht="12">
      <c r="F373" s="354"/>
    </row>
    <row r="374" ht="12">
      <c r="F374" s="354"/>
    </row>
    <row r="375" ht="12">
      <c r="F375" s="354"/>
    </row>
    <row r="376" ht="12">
      <c r="F376" s="354"/>
    </row>
    <row r="377" ht="12">
      <c r="F377" s="354"/>
    </row>
    <row r="378" ht="12">
      <c r="F378" s="354"/>
    </row>
    <row r="379" ht="12">
      <c r="F379" s="354"/>
    </row>
    <row r="380" ht="12">
      <c r="F380" s="354"/>
    </row>
    <row r="381" ht="12">
      <c r="F381" s="354"/>
    </row>
    <row r="382" ht="12">
      <c r="F382" s="354"/>
    </row>
    <row r="383" ht="12">
      <c r="F383" s="354"/>
    </row>
    <row r="384" ht="12">
      <c r="F384" s="354"/>
    </row>
    <row r="385" ht="12">
      <c r="F385" s="354"/>
    </row>
    <row r="386" ht="12">
      <c r="F386" s="354"/>
    </row>
    <row r="387" ht="12">
      <c r="F387" s="354"/>
    </row>
    <row r="388" ht="12">
      <c r="F388" s="354"/>
    </row>
    <row r="389" ht="12">
      <c r="F389" s="354"/>
    </row>
    <row r="390" ht="12">
      <c r="F390" s="354"/>
    </row>
    <row r="391" ht="12">
      <c r="F391" s="354"/>
    </row>
    <row r="392" ht="12">
      <c r="F392" s="354"/>
    </row>
    <row r="393" ht="12">
      <c r="F393" s="354"/>
    </row>
    <row r="394" ht="12">
      <c r="F394" s="354"/>
    </row>
    <row r="395" ht="12">
      <c r="F395" s="354"/>
    </row>
    <row r="396" ht="12">
      <c r="F396" s="354"/>
    </row>
    <row r="397" ht="12">
      <c r="F397" s="354"/>
    </row>
    <row r="398" ht="12">
      <c r="F398" s="354"/>
    </row>
    <row r="399" ht="12">
      <c r="F399" s="354"/>
    </row>
    <row r="400" ht="12">
      <c r="F400" s="354"/>
    </row>
    <row r="401" ht="12">
      <c r="F401" s="354"/>
    </row>
    <row r="402" ht="12">
      <c r="F402" s="354"/>
    </row>
    <row r="403" ht="12">
      <c r="F403" s="354"/>
    </row>
    <row r="404" ht="12">
      <c r="F404" s="354"/>
    </row>
    <row r="405" ht="12">
      <c r="F405" s="354"/>
    </row>
    <row r="406" ht="12">
      <c r="F406" s="354"/>
    </row>
    <row r="407" ht="12">
      <c r="F407" s="354"/>
    </row>
    <row r="408" ht="12">
      <c r="F408" s="354"/>
    </row>
    <row r="409" ht="12">
      <c r="F409" s="354"/>
    </row>
    <row r="410" ht="12">
      <c r="F410" s="354"/>
    </row>
    <row r="411" ht="12">
      <c r="F411" s="354"/>
    </row>
    <row r="412" ht="12">
      <c r="F412" s="354"/>
    </row>
    <row r="413" ht="12">
      <c r="F413" s="354"/>
    </row>
    <row r="414" ht="12">
      <c r="F414" s="354"/>
    </row>
    <row r="415" ht="12">
      <c r="F415" s="354"/>
    </row>
    <row r="416" ht="12">
      <c r="F416" s="354"/>
    </row>
    <row r="417" ht="12">
      <c r="F417" s="354"/>
    </row>
    <row r="418" ht="12">
      <c r="F418" s="354"/>
    </row>
    <row r="419" ht="12">
      <c r="F419" s="354"/>
    </row>
    <row r="420" ht="12">
      <c r="F420" s="354"/>
    </row>
    <row r="421" ht="12">
      <c r="F421" s="354"/>
    </row>
    <row r="422" ht="12">
      <c r="F422" s="354"/>
    </row>
    <row r="423" ht="12">
      <c r="F423" s="354"/>
    </row>
    <row r="424" ht="12">
      <c r="F424" s="354"/>
    </row>
    <row r="425" ht="12">
      <c r="F425" s="354"/>
    </row>
    <row r="426" ht="12">
      <c r="F426" s="354"/>
    </row>
    <row r="427" ht="12">
      <c r="F427" s="354"/>
    </row>
    <row r="428" ht="12">
      <c r="F428" s="354"/>
    </row>
    <row r="429" ht="12">
      <c r="F429" s="354"/>
    </row>
    <row r="430" ht="12">
      <c r="F430" s="354"/>
    </row>
    <row r="431" ht="12">
      <c r="F431" s="354"/>
    </row>
    <row r="432" ht="12">
      <c r="F432" s="354"/>
    </row>
    <row r="433" ht="12">
      <c r="F433" s="354"/>
    </row>
    <row r="434" ht="12">
      <c r="F434" s="354"/>
    </row>
    <row r="435" ht="12">
      <c r="F435" s="354"/>
    </row>
    <row r="436" ht="12">
      <c r="F436" s="354"/>
    </row>
    <row r="437" ht="12">
      <c r="F437" s="354"/>
    </row>
    <row r="438" ht="12">
      <c r="F438" s="354"/>
    </row>
    <row r="439" ht="12">
      <c r="F439" s="354"/>
    </row>
    <row r="440" ht="12">
      <c r="F440" s="354"/>
    </row>
    <row r="441" ht="12">
      <c r="F441" s="354"/>
    </row>
    <row r="442" ht="12">
      <c r="F442" s="354"/>
    </row>
    <row r="443" ht="12">
      <c r="F443" s="354"/>
    </row>
    <row r="444" ht="12">
      <c r="F444" s="354"/>
    </row>
    <row r="445" ht="12">
      <c r="F445" s="354"/>
    </row>
    <row r="446" ht="12">
      <c r="F446" s="354"/>
    </row>
    <row r="447" ht="12">
      <c r="F447" s="354"/>
    </row>
    <row r="448" ht="12">
      <c r="F448" s="354"/>
    </row>
    <row r="449" ht="12">
      <c r="F449" s="354"/>
    </row>
    <row r="450" ht="12">
      <c r="F450" s="354"/>
    </row>
    <row r="451" ht="12">
      <c r="F451" s="354"/>
    </row>
    <row r="452" ht="12">
      <c r="F452" s="354"/>
    </row>
    <row r="453" ht="12">
      <c r="F453" s="354"/>
    </row>
    <row r="454" ht="12">
      <c r="F454" s="354"/>
    </row>
    <row r="455" ht="12">
      <c r="F455" s="354"/>
    </row>
    <row r="456" ht="12">
      <c r="F456" s="354"/>
    </row>
    <row r="457" ht="12">
      <c r="F457" s="354"/>
    </row>
    <row r="458" ht="12">
      <c r="F458" s="354"/>
    </row>
    <row r="459" ht="12">
      <c r="F459" s="354"/>
    </row>
    <row r="460" ht="12">
      <c r="F460" s="354"/>
    </row>
    <row r="461" ht="12">
      <c r="F461" s="354"/>
    </row>
    <row r="462" ht="12">
      <c r="F462" s="354"/>
    </row>
    <row r="463" ht="12">
      <c r="F463" s="354"/>
    </row>
    <row r="464" ht="12">
      <c r="F464" s="354"/>
    </row>
    <row r="465" ht="12">
      <c r="F465" s="354"/>
    </row>
    <row r="466" ht="12">
      <c r="F466" s="354"/>
    </row>
    <row r="467" ht="12">
      <c r="F467" s="354"/>
    </row>
    <row r="468" ht="12">
      <c r="F468" s="354"/>
    </row>
    <row r="469" ht="12">
      <c r="F469" s="354"/>
    </row>
    <row r="470" ht="12">
      <c r="F470" s="354"/>
    </row>
    <row r="471" ht="12">
      <c r="F471" s="354"/>
    </row>
    <row r="472" ht="12">
      <c r="F472" s="354"/>
    </row>
    <row r="473" ht="12">
      <c r="F473" s="354"/>
    </row>
    <row r="474" ht="12">
      <c r="F474" s="354"/>
    </row>
    <row r="475" ht="12">
      <c r="F475" s="354"/>
    </row>
    <row r="476" ht="12">
      <c r="F476" s="354"/>
    </row>
    <row r="477" ht="12">
      <c r="F477" s="354"/>
    </row>
    <row r="478" ht="12">
      <c r="F478" s="354"/>
    </row>
    <row r="479" ht="12">
      <c r="F479" s="354"/>
    </row>
    <row r="480" ht="12">
      <c r="F480" s="354"/>
    </row>
    <row r="481" ht="12">
      <c r="F481" s="354"/>
    </row>
    <row r="482" ht="12">
      <c r="F482" s="354"/>
    </row>
    <row r="483" ht="12">
      <c r="F483" s="354"/>
    </row>
    <row r="484" ht="12">
      <c r="F484" s="354"/>
    </row>
    <row r="485" ht="12">
      <c r="F485" s="354"/>
    </row>
    <row r="486" ht="12">
      <c r="F486" s="354"/>
    </row>
    <row r="487" ht="12">
      <c r="F487" s="354"/>
    </row>
    <row r="488" ht="12">
      <c r="F488" s="354"/>
    </row>
    <row r="489" ht="12">
      <c r="F489" s="354"/>
    </row>
    <row r="490" ht="12">
      <c r="F490" s="354"/>
    </row>
    <row r="491" ht="12">
      <c r="F491" s="354"/>
    </row>
    <row r="492" ht="12">
      <c r="F492" s="354"/>
    </row>
    <row r="493" ht="12">
      <c r="F493" s="354"/>
    </row>
    <row r="494" ht="12">
      <c r="F494" s="354"/>
    </row>
    <row r="495" ht="12">
      <c r="F495" s="354"/>
    </row>
    <row r="496" ht="12">
      <c r="F496" s="354"/>
    </row>
    <row r="497" ht="12">
      <c r="F497" s="354"/>
    </row>
    <row r="498" ht="12">
      <c r="F498" s="354"/>
    </row>
    <row r="499" ht="12">
      <c r="F499" s="354"/>
    </row>
    <row r="500" ht="12">
      <c r="F500" s="354"/>
    </row>
    <row r="501" ht="12">
      <c r="F501" s="354"/>
    </row>
    <row r="502" ht="12">
      <c r="F502" s="354"/>
    </row>
    <row r="503" ht="12">
      <c r="F503" s="354"/>
    </row>
    <row r="504" ht="12">
      <c r="F504" s="354"/>
    </row>
    <row r="505" ht="12">
      <c r="F505" s="354"/>
    </row>
    <row r="506" ht="12">
      <c r="F506" s="354"/>
    </row>
    <row r="507" ht="12">
      <c r="F507" s="354"/>
    </row>
    <row r="508" ht="12">
      <c r="F508" s="354"/>
    </row>
    <row r="509" ht="12">
      <c r="F509" s="354"/>
    </row>
    <row r="510" ht="12">
      <c r="F510" s="354"/>
    </row>
    <row r="511" ht="12">
      <c r="F511" s="354"/>
    </row>
    <row r="512" ht="12">
      <c r="F512" s="354"/>
    </row>
    <row r="513" ht="12">
      <c r="F513" s="354"/>
    </row>
    <row r="514" ht="12">
      <c r="F514" s="354"/>
    </row>
    <row r="515" ht="12">
      <c r="F515" s="354"/>
    </row>
    <row r="516" ht="12">
      <c r="F516" s="354"/>
    </row>
    <row r="517" ht="12">
      <c r="F517" s="354"/>
    </row>
    <row r="518" ht="12">
      <c r="F518" s="354"/>
    </row>
    <row r="519" ht="12">
      <c r="F519" s="354"/>
    </row>
    <row r="520" ht="12">
      <c r="F520" s="354"/>
    </row>
    <row r="521" ht="12">
      <c r="F521" s="354"/>
    </row>
    <row r="522" ht="12">
      <c r="F522" s="354"/>
    </row>
    <row r="523" ht="12">
      <c r="F523" s="354"/>
    </row>
    <row r="524" ht="12">
      <c r="F524" s="354"/>
    </row>
    <row r="525" ht="12">
      <c r="F525" s="354"/>
    </row>
    <row r="526" ht="12">
      <c r="F526" s="354"/>
    </row>
    <row r="527" ht="12">
      <c r="F527" s="354"/>
    </row>
    <row r="528" ht="12">
      <c r="F528" s="354"/>
    </row>
    <row r="529" ht="12">
      <c r="F529" s="354"/>
    </row>
    <row r="530" ht="12">
      <c r="F530" s="354"/>
    </row>
    <row r="531" ht="12">
      <c r="F531" s="354"/>
    </row>
    <row r="532" ht="12">
      <c r="F532" s="354"/>
    </row>
    <row r="533" ht="12">
      <c r="F533" s="354"/>
    </row>
    <row r="534" ht="12">
      <c r="F534" s="354"/>
    </row>
    <row r="535" ht="12">
      <c r="F535" s="354"/>
    </row>
    <row r="536" ht="12">
      <c r="F536" s="354"/>
    </row>
    <row r="537" ht="12">
      <c r="F537" s="354"/>
    </row>
    <row r="538" ht="12">
      <c r="F538" s="354"/>
    </row>
    <row r="539" ht="12">
      <c r="F539" s="354"/>
    </row>
    <row r="540" ht="12">
      <c r="F540" s="354"/>
    </row>
    <row r="541" ht="12">
      <c r="F541" s="354"/>
    </row>
    <row r="542" ht="12">
      <c r="F542" s="354"/>
    </row>
    <row r="543" ht="12">
      <c r="F543" s="354"/>
    </row>
    <row r="544" ht="12">
      <c r="F544" s="354"/>
    </row>
    <row r="545" ht="12">
      <c r="F545" s="354"/>
    </row>
    <row r="546" ht="12">
      <c r="F546" s="354"/>
    </row>
    <row r="547" ht="12">
      <c r="F547" s="354"/>
    </row>
    <row r="548" ht="12">
      <c r="F548" s="354"/>
    </row>
    <row r="549" ht="12">
      <c r="F549" s="354"/>
    </row>
    <row r="550" ht="12">
      <c r="F550" s="354"/>
    </row>
    <row r="551" ht="12">
      <c r="F551" s="354"/>
    </row>
    <row r="552" ht="12">
      <c r="F552" s="354"/>
    </row>
    <row r="553" ht="12">
      <c r="F553" s="354"/>
    </row>
    <row r="554" ht="12">
      <c r="F554" s="354"/>
    </row>
    <row r="555" ht="12">
      <c r="F555" s="354"/>
    </row>
    <row r="556" ht="12">
      <c r="F556" s="354"/>
    </row>
    <row r="557" ht="12">
      <c r="F557" s="354"/>
    </row>
    <row r="558" ht="12">
      <c r="F558" s="354"/>
    </row>
    <row r="559" ht="12">
      <c r="F559" s="354"/>
    </row>
    <row r="560" ht="12">
      <c r="F560" s="354"/>
    </row>
    <row r="561" ht="12">
      <c r="F561" s="354"/>
    </row>
    <row r="562" ht="12">
      <c r="F562" s="354"/>
    </row>
    <row r="563" ht="12">
      <c r="F563" s="354"/>
    </row>
    <row r="564" ht="12">
      <c r="F564" s="354"/>
    </row>
    <row r="565" ht="12">
      <c r="F565" s="354"/>
    </row>
    <row r="566" ht="12">
      <c r="F566" s="354"/>
    </row>
    <row r="567" ht="12">
      <c r="F567" s="354"/>
    </row>
    <row r="568" ht="12">
      <c r="F568" s="354"/>
    </row>
    <row r="569" ht="12">
      <c r="F569" s="354"/>
    </row>
    <row r="570" ht="12">
      <c r="F570" s="354"/>
    </row>
    <row r="571" ht="12">
      <c r="F571" s="354"/>
    </row>
    <row r="572" ht="12">
      <c r="F572" s="354"/>
    </row>
    <row r="573" ht="12">
      <c r="F573" s="354"/>
    </row>
    <row r="574" ht="12">
      <c r="F574" s="354"/>
    </row>
    <row r="575" ht="12">
      <c r="F575" s="354"/>
    </row>
    <row r="576" ht="12">
      <c r="F576" s="354"/>
    </row>
    <row r="577" ht="12">
      <c r="F577" s="354"/>
    </row>
    <row r="578" ht="12">
      <c r="F578" s="354"/>
    </row>
    <row r="579" ht="12">
      <c r="F579" s="354"/>
    </row>
    <row r="580" ht="12">
      <c r="F580" s="354"/>
    </row>
    <row r="581" ht="12">
      <c r="F581" s="354"/>
    </row>
    <row r="582" ht="12">
      <c r="F582" s="354"/>
    </row>
    <row r="583" ht="12">
      <c r="F583" s="354"/>
    </row>
    <row r="584" ht="12">
      <c r="F584" s="354"/>
    </row>
    <row r="585" ht="12">
      <c r="F585" s="354"/>
    </row>
    <row r="586" ht="12">
      <c r="F586" s="354"/>
    </row>
    <row r="587" ht="12">
      <c r="F587" s="354"/>
    </row>
    <row r="588" ht="12">
      <c r="F588" s="354"/>
    </row>
    <row r="589" ht="12">
      <c r="F589" s="354"/>
    </row>
    <row r="590" ht="12">
      <c r="F590" s="354"/>
    </row>
    <row r="591" ht="12">
      <c r="F591" s="354"/>
    </row>
    <row r="592" ht="12">
      <c r="F592" s="354"/>
    </row>
    <row r="593" ht="12">
      <c r="F593" s="354"/>
    </row>
    <row r="594" ht="12">
      <c r="F594" s="354"/>
    </row>
    <row r="595" ht="12">
      <c r="F595" s="354"/>
    </row>
    <row r="596" ht="12">
      <c r="F596" s="354"/>
    </row>
    <row r="597" ht="12">
      <c r="F597" s="354"/>
    </row>
    <row r="598" ht="12">
      <c r="F598" s="354"/>
    </row>
    <row r="599" ht="12">
      <c r="F599" s="354"/>
    </row>
    <row r="600" ht="12">
      <c r="F600" s="354"/>
    </row>
    <row r="601" ht="12">
      <c r="F601" s="354"/>
    </row>
    <row r="602" ht="12">
      <c r="F602" s="354"/>
    </row>
    <row r="603" ht="12">
      <c r="F603" s="354"/>
    </row>
    <row r="604" ht="12">
      <c r="F604" s="354"/>
    </row>
    <row r="605" ht="12">
      <c r="F605" s="354"/>
    </row>
    <row r="606" ht="12">
      <c r="F606" s="354"/>
    </row>
    <row r="607" ht="12">
      <c r="F607" s="354"/>
    </row>
    <row r="608" ht="12">
      <c r="F608" s="354"/>
    </row>
    <row r="609" ht="12">
      <c r="F609" s="354"/>
    </row>
    <row r="610" ht="12">
      <c r="F610" s="354"/>
    </row>
    <row r="611" ht="12">
      <c r="F611" s="354"/>
    </row>
    <row r="612" ht="12">
      <c r="F612" s="354"/>
    </row>
    <row r="613" ht="12">
      <c r="F613" s="354"/>
    </row>
    <row r="614" ht="12">
      <c r="F614" s="354"/>
    </row>
    <row r="615" ht="12">
      <c r="F615" s="354"/>
    </row>
    <row r="616" ht="12">
      <c r="F616" s="354"/>
    </row>
    <row r="617" ht="12">
      <c r="F617" s="354"/>
    </row>
    <row r="618" ht="12">
      <c r="F618" s="354"/>
    </row>
    <row r="619" ht="12">
      <c r="F619" s="354"/>
    </row>
    <row r="620" ht="12">
      <c r="F620" s="354"/>
    </row>
    <row r="621" ht="12">
      <c r="F621" s="354"/>
    </row>
    <row r="622" ht="12">
      <c r="F622" s="354"/>
    </row>
    <row r="623" ht="12">
      <c r="F623" s="354"/>
    </row>
    <row r="624" ht="12">
      <c r="F624" s="354"/>
    </row>
    <row r="625" ht="12">
      <c r="F625" s="354"/>
    </row>
    <row r="626" ht="12">
      <c r="F626" s="354"/>
    </row>
    <row r="627" ht="12">
      <c r="F627" s="354"/>
    </row>
    <row r="628" ht="12">
      <c r="F628" s="354"/>
    </row>
    <row r="629" ht="12">
      <c r="F629" s="354"/>
    </row>
    <row r="630" ht="12">
      <c r="F630" s="354"/>
    </row>
    <row r="631" ht="12">
      <c r="F631" s="354"/>
    </row>
    <row r="632" ht="12">
      <c r="F632" s="354"/>
    </row>
    <row r="633" ht="12">
      <c r="F633" s="354"/>
    </row>
    <row r="634" ht="12">
      <c r="F634" s="354"/>
    </row>
    <row r="635" ht="12">
      <c r="F635" s="354"/>
    </row>
    <row r="636" ht="12">
      <c r="F636" s="354"/>
    </row>
    <row r="637" ht="12">
      <c r="F637" s="354"/>
    </row>
    <row r="638" ht="12">
      <c r="F638" s="354"/>
    </row>
    <row r="639" ht="12">
      <c r="F639" s="354"/>
    </row>
    <row r="640" ht="12">
      <c r="F640" s="354"/>
    </row>
    <row r="641" ht="12">
      <c r="F641" s="354"/>
    </row>
    <row r="642" ht="12">
      <c r="F642" s="354"/>
    </row>
    <row r="643" ht="12">
      <c r="F643" s="354"/>
    </row>
    <row r="644" ht="12">
      <c r="F644" s="354"/>
    </row>
    <row r="645" ht="12">
      <c r="F645" s="354"/>
    </row>
    <row r="646" ht="12">
      <c r="F646" s="354"/>
    </row>
    <row r="647" ht="12">
      <c r="F647" s="354"/>
    </row>
    <row r="648" ht="12">
      <c r="F648" s="354"/>
    </row>
    <row r="649" ht="12">
      <c r="F649" s="354"/>
    </row>
    <row r="650" ht="12">
      <c r="F650" s="354"/>
    </row>
    <row r="651" ht="12">
      <c r="F651" s="354"/>
    </row>
    <row r="652" ht="12">
      <c r="F652" s="354"/>
    </row>
    <row r="653" ht="12">
      <c r="F653" s="354"/>
    </row>
    <row r="654" ht="12">
      <c r="F654" s="354"/>
    </row>
    <row r="655" ht="12">
      <c r="F655" s="354"/>
    </row>
    <row r="656" ht="12">
      <c r="F656" s="354"/>
    </row>
    <row r="657" ht="12">
      <c r="F657" s="354"/>
    </row>
    <row r="658" ht="12">
      <c r="F658" s="354"/>
    </row>
    <row r="659" ht="12">
      <c r="F659" s="354"/>
    </row>
    <row r="660" ht="12">
      <c r="F660" s="354"/>
    </row>
    <row r="661" ht="12">
      <c r="F661" s="354"/>
    </row>
    <row r="662" ht="12">
      <c r="F662" s="354"/>
    </row>
    <row r="663" ht="12">
      <c r="F663" s="354"/>
    </row>
    <row r="664" ht="12">
      <c r="F664" s="354"/>
    </row>
    <row r="665" ht="12">
      <c r="F665" s="354"/>
    </row>
    <row r="666" ht="12">
      <c r="F666" s="354"/>
    </row>
    <row r="667" ht="12">
      <c r="F667" s="354"/>
    </row>
    <row r="668" ht="12">
      <c r="F668" s="354"/>
    </row>
    <row r="669" ht="12">
      <c r="F669" s="354"/>
    </row>
    <row r="670" ht="12">
      <c r="F670" s="354"/>
    </row>
    <row r="671" ht="12">
      <c r="F671" s="354"/>
    </row>
    <row r="672" ht="12">
      <c r="F672" s="354"/>
    </row>
    <row r="673" ht="12">
      <c r="F673" s="354"/>
    </row>
    <row r="674" ht="12">
      <c r="F674" s="354"/>
    </row>
    <row r="675" ht="12">
      <c r="F675" s="354"/>
    </row>
    <row r="676" ht="12">
      <c r="F676" s="354"/>
    </row>
    <row r="677" ht="12">
      <c r="F677" s="354"/>
    </row>
    <row r="678" ht="12">
      <c r="F678" s="354"/>
    </row>
    <row r="679" ht="12">
      <c r="F679" s="354"/>
    </row>
    <row r="680" ht="12">
      <c r="F680" s="354"/>
    </row>
    <row r="681" ht="12">
      <c r="F681" s="354"/>
    </row>
    <row r="682" ht="12">
      <c r="F682" s="354"/>
    </row>
    <row r="683" ht="12">
      <c r="F683" s="354"/>
    </row>
    <row r="684" ht="12">
      <c r="F684" s="354"/>
    </row>
    <row r="685" ht="12">
      <c r="F685" s="354"/>
    </row>
    <row r="686" ht="12">
      <c r="F686" s="354"/>
    </row>
    <row r="687" ht="12">
      <c r="F687" s="354"/>
    </row>
    <row r="688" ht="12">
      <c r="F688" s="354"/>
    </row>
    <row r="689" ht="12">
      <c r="F689" s="354"/>
    </row>
    <row r="690" ht="12">
      <c r="F690" s="354"/>
    </row>
    <row r="691" ht="12">
      <c r="F691" s="354"/>
    </row>
    <row r="692" ht="12">
      <c r="F692" s="354"/>
    </row>
    <row r="693" ht="12">
      <c r="F693" s="354"/>
    </row>
    <row r="694" ht="12">
      <c r="F694" s="354"/>
    </row>
    <row r="695" ht="12">
      <c r="F695" s="354"/>
    </row>
    <row r="696" ht="12">
      <c r="F696" s="354"/>
    </row>
    <row r="697" ht="12">
      <c r="F697" s="354"/>
    </row>
    <row r="698" ht="12">
      <c r="F698" s="354"/>
    </row>
    <row r="699" ht="12">
      <c r="F699" s="354"/>
    </row>
    <row r="700" ht="12">
      <c r="F700" s="354"/>
    </row>
    <row r="701" ht="12">
      <c r="F701" s="354"/>
    </row>
    <row r="702" ht="12">
      <c r="F702" s="354"/>
    </row>
    <row r="703" ht="12">
      <c r="F703" s="354"/>
    </row>
    <row r="704" ht="12">
      <c r="F704" s="354"/>
    </row>
    <row r="705" ht="12">
      <c r="F705" s="354"/>
    </row>
    <row r="706" ht="12">
      <c r="F706" s="354"/>
    </row>
    <row r="707" ht="12">
      <c r="F707" s="354"/>
    </row>
    <row r="708" ht="12">
      <c r="F708" s="354"/>
    </row>
    <row r="709" ht="12">
      <c r="F709" s="354"/>
    </row>
    <row r="710" ht="12">
      <c r="F710" s="354"/>
    </row>
    <row r="711" ht="12">
      <c r="F711" s="354"/>
    </row>
    <row r="712" ht="12">
      <c r="F712" s="354"/>
    </row>
    <row r="713" ht="12">
      <c r="F713" s="354"/>
    </row>
    <row r="714" ht="12">
      <c r="F714" s="354"/>
    </row>
    <row r="715" ht="12">
      <c r="F715" s="354"/>
    </row>
    <row r="716" ht="12">
      <c r="F716" s="354"/>
    </row>
    <row r="717" ht="12">
      <c r="F717" s="354"/>
    </row>
    <row r="718" ht="12">
      <c r="F718" s="354"/>
    </row>
    <row r="719" ht="12">
      <c r="F719" s="354"/>
    </row>
    <row r="720" ht="12">
      <c r="F720" s="354"/>
    </row>
    <row r="721" ht="12">
      <c r="F721" s="354"/>
    </row>
    <row r="722" ht="12">
      <c r="F722" s="354"/>
    </row>
    <row r="723" ht="12">
      <c r="F723" s="354"/>
    </row>
    <row r="724" ht="12">
      <c r="F724" s="354"/>
    </row>
    <row r="725" ht="12">
      <c r="F725" s="354"/>
    </row>
    <row r="726" ht="12">
      <c r="F726" s="354"/>
    </row>
    <row r="727" ht="12">
      <c r="F727" s="354"/>
    </row>
    <row r="728" ht="12">
      <c r="F728" s="354"/>
    </row>
    <row r="729" ht="12">
      <c r="F729" s="354"/>
    </row>
    <row r="730" ht="12">
      <c r="F730" s="354"/>
    </row>
    <row r="731" ht="12">
      <c r="F731" s="354"/>
    </row>
    <row r="732" ht="12">
      <c r="F732" s="354"/>
    </row>
    <row r="733" ht="12">
      <c r="F733" s="354"/>
    </row>
    <row r="734" ht="12">
      <c r="F734" s="354"/>
    </row>
    <row r="735" ht="12">
      <c r="F735" s="354"/>
    </row>
    <row r="736" ht="12">
      <c r="F736" s="354"/>
    </row>
    <row r="737" ht="12">
      <c r="F737" s="354"/>
    </row>
    <row r="738" ht="12">
      <c r="F738" s="354"/>
    </row>
    <row r="739" ht="12">
      <c r="F739" s="354"/>
    </row>
    <row r="740" ht="12">
      <c r="F740" s="354"/>
    </row>
    <row r="741" ht="12">
      <c r="F741" s="354"/>
    </row>
    <row r="742" ht="12">
      <c r="F742" s="354"/>
    </row>
    <row r="743" ht="12">
      <c r="F743" s="354"/>
    </row>
    <row r="744" ht="12">
      <c r="F744" s="354"/>
    </row>
    <row r="745" ht="12">
      <c r="F745" s="354"/>
    </row>
    <row r="746" ht="12">
      <c r="F746" s="354"/>
    </row>
    <row r="747" ht="12">
      <c r="F747" s="354"/>
    </row>
    <row r="748" ht="12">
      <c r="F748" s="354"/>
    </row>
    <row r="749" ht="12">
      <c r="F749" s="354"/>
    </row>
    <row r="750" ht="12">
      <c r="F750" s="354"/>
    </row>
    <row r="751" ht="12">
      <c r="F751" s="354"/>
    </row>
    <row r="752" ht="12">
      <c r="F752" s="354"/>
    </row>
    <row r="753" ht="12">
      <c r="F753" s="354"/>
    </row>
    <row r="754" ht="12">
      <c r="F754" s="354"/>
    </row>
    <row r="755" ht="12">
      <c r="F755" s="354"/>
    </row>
    <row r="756" ht="12">
      <c r="F756" s="354"/>
    </row>
    <row r="757" ht="12">
      <c r="F757" s="354"/>
    </row>
    <row r="758" ht="12">
      <c r="F758" s="354"/>
    </row>
    <row r="759" ht="12">
      <c r="F759" s="354"/>
    </row>
    <row r="760" ht="12">
      <c r="F760" s="354"/>
    </row>
    <row r="761" ht="12">
      <c r="F761" s="354"/>
    </row>
    <row r="762" ht="12">
      <c r="F762" s="354"/>
    </row>
    <row r="763" ht="12">
      <c r="F763" s="354"/>
    </row>
    <row r="764" ht="12">
      <c r="F764" s="354"/>
    </row>
    <row r="765" ht="12">
      <c r="F765" s="354"/>
    </row>
    <row r="766" ht="12">
      <c r="F766" s="354"/>
    </row>
    <row r="767" ht="12">
      <c r="F767" s="354"/>
    </row>
    <row r="768" ht="12">
      <c r="F768" s="354"/>
    </row>
    <row r="769" ht="12">
      <c r="F769" s="354"/>
    </row>
    <row r="770" ht="12">
      <c r="F770" s="354"/>
    </row>
    <row r="771" ht="12">
      <c r="F771" s="354"/>
    </row>
    <row r="772" ht="12">
      <c r="F772" s="354"/>
    </row>
    <row r="773" ht="12">
      <c r="F773" s="354"/>
    </row>
    <row r="774" ht="12">
      <c r="F774" s="354"/>
    </row>
    <row r="775" ht="12">
      <c r="F775" s="354"/>
    </row>
    <row r="776" ht="12">
      <c r="F776" s="354"/>
    </row>
    <row r="777" ht="12">
      <c r="F777" s="354"/>
    </row>
    <row r="778" ht="12">
      <c r="F778" s="354"/>
    </row>
    <row r="779" ht="12">
      <c r="F779" s="354"/>
    </row>
    <row r="780" ht="12">
      <c r="F780" s="354"/>
    </row>
    <row r="781" ht="12">
      <c r="F781" s="354"/>
    </row>
    <row r="782" ht="12">
      <c r="F782" s="354"/>
    </row>
    <row r="783" ht="12">
      <c r="F783" s="354"/>
    </row>
    <row r="784" ht="12">
      <c r="F784" s="354"/>
    </row>
    <row r="785" ht="12">
      <c r="F785" s="354"/>
    </row>
    <row r="786" ht="12">
      <c r="F786" s="354"/>
    </row>
    <row r="787" ht="12">
      <c r="F787" s="354"/>
    </row>
    <row r="788" ht="12">
      <c r="F788" s="354"/>
    </row>
    <row r="789" ht="12">
      <c r="F789" s="354"/>
    </row>
    <row r="790" ht="12">
      <c r="F790" s="354"/>
    </row>
    <row r="791" ht="12">
      <c r="F791" s="354"/>
    </row>
    <row r="792" ht="12">
      <c r="F792" s="354"/>
    </row>
    <row r="793" ht="12">
      <c r="F793" s="354"/>
    </row>
    <row r="794" ht="12">
      <c r="F794" s="354"/>
    </row>
    <row r="795" ht="12">
      <c r="F795" s="354"/>
    </row>
    <row r="796" ht="12">
      <c r="F796" s="354"/>
    </row>
    <row r="797" ht="12">
      <c r="F797" s="354"/>
    </row>
    <row r="798" ht="12">
      <c r="F798" s="354"/>
    </row>
    <row r="799" ht="12">
      <c r="F799" s="354"/>
    </row>
    <row r="800" ht="12">
      <c r="F800" s="354"/>
    </row>
    <row r="801" ht="12">
      <c r="F801" s="354"/>
    </row>
    <row r="802" ht="12">
      <c r="F802" s="354"/>
    </row>
    <row r="803" ht="12">
      <c r="F803" s="354"/>
    </row>
    <row r="804" ht="12">
      <c r="F804" s="354"/>
    </row>
    <row r="805" ht="12">
      <c r="F805" s="354"/>
    </row>
    <row r="806" ht="12">
      <c r="F806" s="354"/>
    </row>
    <row r="807" ht="12">
      <c r="F807" s="354"/>
    </row>
    <row r="808" ht="12">
      <c r="F808" s="354"/>
    </row>
    <row r="809" ht="12">
      <c r="F809" s="354"/>
    </row>
    <row r="810" ht="12">
      <c r="F810" s="354"/>
    </row>
    <row r="811" ht="12">
      <c r="F811" s="354"/>
    </row>
    <row r="812" ht="12">
      <c r="F812" s="354"/>
    </row>
    <row r="813" ht="12">
      <c r="F813" s="354"/>
    </row>
    <row r="814" ht="12">
      <c r="F814" s="354"/>
    </row>
    <row r="815" ht="12">
      <c r="F815" s="354"/>
    </row>
    <row r="816" ht="12">
      <c r="F816" s="354"/>
    </row>
    <row r="817" ht="12">
      <c r="F817" s="354"/>
    </row>
    <row r="818" ht="12">
      <c r="F818" s="354"/>
    </row>
    <row r="819" ht="12">
      <c r="F819" s="354"/>
    </row>
    <row r="820" ht="12">
      <c r="F820" s="354"/>
    </row>
    <row r="821" ht="12">
      <c r="F821" s="354"/>
    </row>
    <row r="822" ht="12">
      <c r="F822" s="354"/>
    </row>
    <row r="823" ht="12">
      <c r="F823" s="354"/>
    </row>
    <row r="824" ht="12">
      <c r="F824" s="354"/>
    </row>
    <row r="825" ht="12">
      <c r="F825" s="354"/>
    </row>
    <row r="826" ht="12">
      <c r="F826" s="354"/>
    </row>
    <row r="827" ht="12">
      <c r="F827" s="354"/>
    </row>
    <row r="828" ht="12">
      <c r="F828" s="354"/>
    </row>
    <row r="829" ht="12">
      <c r="F829" s="354"/>
    </row>
    <row r="830" ht="12">
      <c r="F830" s="354"/>
    </row>
    <row r="831" ht="12">
      <c r="F831" s="354"/>
    </row>
    <row r="832" ht="12">
      <c r="F832" s="354"/>
    </row>
    <row r="833" ht="12">
      <c r="F833" s="354"/>
    </row>
    <row r="834" ht="12">
      <c r="F834" s="354"/>
    </row>
    <row r="835" ht="12">
      <c r="F835" s="354"/>
    </row>
    <row r="836" ht="12">
      <c r="F836" s="354"/>
    </row>
    <row r="837" ht="12">
      <c r="F837" s="354"/>
    </row>
    <row r="838" ht="12">
      <c r="F838" s="354"/>
    </row>
    <row r="839" ht="12">
      <c r="F839" s="354"/>
    </row>
    <row r="840" ht="12">
      <c r="F840" s="354"/>
    </row>
    <row r="841" ht="12">
      <c r="F841" s="354"/>
    </row>
    <row r="842" ht="12">
      <c r="F842" s="354"/>
    </row>
    <row r="843" ht="12">
      <c r="F843" s="354"/>
    </row>
    <row r="844" ht="12">
      <c r="F844" s="354"/>
    </row>
    <row r="845" ht="12">
      <c r="F845" s="354"/>
    </row>
    <row r="846" ht="12">
      <c r="F846" s="354"/>
    </row>
    <row r="847" ht="12">
      <c r="F847" s="354"/>
    </row>
    <row r="848" ht="12">
      <c r="F848" s="354"/>
    </row>
    <row r="849" ht="12">
      <c r="F849" s="354"/>
    </row>
    <row r="850" ht="12">
      <c r="F850" s="354"/>
    </row>
    <row r="851" ht="12">
      <c r="F851" s="354"/>
    </row>
    <row r="852" ht="12">
      <c r="F852" s="354"/>
    </row>
    <row r="853" ht="12">
      <c r="F853" s="354"/>
    </row>
    <row r="854" ht="12">
      <c r="F854" s="354"/>
    </row>
    <row r="855" ht="12">
      <c r="F855" s="354"/>
    </row>
    <row r="856" ht="12">
      <c r="F856" s="354"/>
    </row>
    <row r="857" ht="12">
      <c r="F857" s="354"/>
    </row>
    <row r="858" ht="12">
      <c r="F858" s="354"/>
    </row>
    <row r="859" ht="12">
      <c r="F859" s="354"/>
    </row>
    <row r="860" ht="12">
      <c r="F860" s="354"/>
    </row>
    <row r="861" ht="12">
      <c r="F861" s="354"/>
    </row>
    <row r="862" ht="12">
      <c r="F862" s="354"/>
    </row>
    <row r="863" ht="12">
      <c r="F863" s="354"/>
    </row>
    <row r="864" ht="12">
      <c r="F864" s="354"/>
    </row>
    <row r="865" ht="12">
      <c r="F865" s="354"/>
    </row>
    <row r="866" ht="12">
      <c r="F866" s="354"/>
    </row>
    <row r="867" ht="12">
      <c r="F867" s="354"/>
    </row>
    <row r="868" ht="12">
      <c r="F868" s="354"/>
    </row>
    <row r="869" ht="12">
      <c r="F869" s="354"/>
    </row>
    <row r="870" ht="12">
      <c r="F870" s="354"/>
    </row>
    <row r="871" ht="12">
      <c r="F871" s="354"/>
    </row>
    <row r="872" ht="12">
      <c r="F872" s="354"/>
    </row>
    <row r="873" ht="12">
      <c r="F873" s="354"/>
    </row>
    <row r="874" ht="12">
      <c r="F874" s="354"/>
    </row>
    <row r="875" ht="12">
      <c r="F875" s="354"/>
    </row>
    <row r="876" ht="12">
      <c r="F876" s="354"/>
    </row>
    <row r="877" ht="12">
      <c r="F877" s="354"/>
    </row>
    <row r="878" ht="12">
      <c r="F878" s="354"/>
    </row>
    <row r="879" ht="12">
      <c r="F879" s="354"/>
    </row>
    <row r="880" ht="12">
      <c r="F880" s="354"/>
    </row>
    <row r="881" ht="12">
      <c r="F881" s="354"/>
    </row>
    <row r="882" ht="12">
      <c r="F882" s="354"/>
    </row>
    <row r="883" ht="12">
      <c r="F883" s="354"/>
    </row>
    <row r="884" ht="12">
      <c r="F884" s="354"/>
    </row>
    <row r="885" ht="12">
      <c r="F885" s="354"/>
    </row>
    <row r="886" ht="12">
      <c r="F886" s="354"/>
    </row>
    <row r="887" ht="12">
      <c r="F887" s="354"/>
    </row>
    <row r="888" ht="12">
      <c r="F888" s="354"/>
    </row>
    <row r="889" ht="12">
      <c r="F889" s="354"/>
    </row>
    <row r="890" ht="12">
      <c r="F890" s="354"/>
    </row>
    <row r="891" ht="12">
      <c r="F891" s="354"/>
    </row>
    <row r="892" ht="12">
      <c r="F892" s="354"/>
    </row>
    <row r="893" ht="12">
      <c r="F893" s="354"/>
    </row>
    <row r="894" ht="12">
      <c r="F894" s="354"/>
    </row>
    <row r="895" ht="12">
      <c r="F895" s="354"/>
    </row>
    <row r="896" ht="12">
      <c r="F896" s="354"/>
    </row>
    <row r="897" ht="12">
      <c r="F897" s="354"/>
    </row>
    <row r="898" ht="12">
      <c r="F898" s="354"/>
    </row>
    <row r="899" ht="12">
      <c r="F899" s="354"/>
    </row>
    <row r="900" ht="12">
      <c r="F900" s="354"/>
    </row>
    <row r="901" ht="12">
      <c r="F901" s="354"/>
    </row>
    <row r="902" ht="12">
      <c r="F902" s="354"/>
    </row>
    <row r="903" ht="12">
      <c r="F903" s="354"/>
    </row>
    <row r="904" ht="12">
      <c r="F904" s="354"/>
    </row>
    <row r="905" ht="12">
      <c r="F905" s="354"/>
    </row>
    <row r="906" ht="12">
      <c r="F906" s="354"/>
    </row>
    <row r="907" ht="12">
      <c r="F907" s="354"/>
    </row>
    <row r="908" ht="12">
      <c r="F908" s="354"/>
    </row>
    <row r="909" ht="12">
      <c r="F909" s="354"/>
    </row>
    <row r="910" ht="12">
      <c r="F910" s="354"/>
    </row>
    <row r="911" ht="12">
      <c r="F911" s="354"/>
    </row>
    <row r="912" ht="12">
      <c r="F912" s="354"/>
    </row>
    <row r="913" ht="12">
      <c r="F913" s="354"/>
    </row>
    <row r="914" ht="12">
      <c r="F914" s="354"/>
    </row>
    <row r="915" ht="12">
      <c r="F915" s="354"/>
    </row>
    <row r="916" ht="12">
      <c r="F916" s="354"/>
    </row>
    <row r="917" ht="12">
      <c r="F917" s="354"/>
    </row>
    <row r="918" ht="12">
      <c r="F918" s="354"/>
    </row>
    <row r="919" ht="12">
      <c r="F919" s="354"/>
    </row>
    <row r="920" ht="12">
      <c r="F920" s="354"/>
    </row>
    <row r="921" ht="12">
      <c r="F921" s="354"/>
    </row>
    <row r="922" ht="12">
      <c r="F922" s="354"/>
    </row>
    <row r="923" ht="12">
      <c r="F923" s="354"/>
    </row>
    <row r="924" ht="12">
      <c r="F924" s="354"/>
    </row>
    <row r="925" ht="12">
      <c r="F925" s="354"/>
    </row>
    <row r="926" ht="12">
      <c r="F926" s="354"/>
    </row>
    <row r="927" ht="12">
      <c r="F927" s="354"/>
    </row>
    <row r="928" ht="12">
      <c r="F928" s="354"/>
    </row>
    <row r="929" ht="12">
      <c r="F929" s="354"/>
    </row>
    <row r="930" ht="12">
      <c r="F930" s="354"/>
    </row>
    <row r="931" ht="12">
      <c r="F931" s="354"/>
    </row>
    <row r="932" ht="12">
      <c r="F932" s="354"/>
    </row>
    <row r="933" ht="12">
      <c r="F933" s="354"/>
    </row>
    <row r="934" ht="12">
      <c r="F934" s="354"/>
    </row>
    <row r="935" ht="12">
      <c r="F935" s="354"/>
    </row>
    <row r="936" ht="12">
      <c r="F936" s="354"/>
    </row>
    <row r="937" ht="12">
      <c r="F937" s="354"/>
    </row>
    <row r="938" ht="12">
      <c r="F938" s="354"/>
    </row>
    <row r="939" ht="12">
      <c r="F939" s="354"/>
    </row>
    <row r="940" ht="12">
      <c r="F940" s="354"/>
    </row>
    <row r="941" ht="12">
      <c r="F941" s="354"/>
    </row>
    <row r="942" ht="12">
      <c r="F942" s="354"/>
    </row>
    <row r="943" ht="12">
      <c r="F943" s="354"/>
    </row>
    <row r="944" ht="12">
      <c r="F944" s="354"/>
    </row>
    <row r="945" ht="12">
      <c r="F945" s="354"/>
    </row>
    <row r="946" ht="12">
      <c r="F946" s="354"/>
    </row>
    <row r="947" ht="12">
      <c r="F947" s="354"/>
    </row>
    <row r="948" ht="12">
      <c r="F948" s="354"/>
    </row>
    <row r="949" ht="12">
      <c r="F949" s="354"/>
    </row>
    <row r="950" ht="12">
      <c r="F950" s="354"/>
    </row>
    <row r="951" ht="12">
      <c r="F951" s="354"/>
    </row>
    <row r="952" ht="12">
      <c r="F952" s="354"/>
    </row>
    <row r="953" ht="12">
      <c r="F953" s="354"/>
    </row>
    <row r="954" ht="12">
      <c r="F954" s="354"/>
    </row>
    <row r="955" ht="12">
      <c r="F955" s="354"/>
    </row>
    <row r="956" ht="12">
      <c r="F956" s="354"/>
    </row>
    <row r="957" ht="12">
      <c r="F957" s="354"/>
    </row>
    <row r="958" ht="12">
      <c r="F958" s="354"/>
    </row>
    <row r="959" ht="12">
      <c r="F959" s="354"/>
    </row>
    <row r="960" ht="12">
      <c r="F960" s="354"/>
    </row>
    <row r="961" ht="12">
      <c r="F961" s="354"/>
    </row>
    <row r="962" ht="12">
      <c r="F962" s="354"/>
    </row>
    <row r="963" ht="12">
      <c r="F963" s="354"/>
    </row>
    <row r="964" ht="12">
      <c r="F964" s="354"/>
    </row>
    <row r="965" ht="12">
      <c r="F965" s="354"/>
    </row>
    <row r="966" ht="12">
      <c r="F966" s="354"/>
    </row>
    <row r="967" ht="12">
      <c r="F967" s="354"/>
    </row>
    <row r="968" ht="12">
      <c r="F968" s="354"/>
    </row>
    <row r="969" ht="12">
      <c r="F969" s="354"/>
    </row>
    <row r="970" ht="12">
      <c r="F970" s="354"/>
    </row>
    <row r="971" ht="12">
      <c r="F971" s="354"/>
    </row>
    <row r="972" ht="12">
      <c r="F972" s="354"/>
    </row>
    <row r="973" ht="12">
      <c r="F973" s="354"/>
    </row>
    <row r="974" ht="12">
      <c r="F974" s="354"/>
    </row>
    <row r="975" ht="12">
      <c r="F975" s="354"/>
    </row>
    <row r="976" ht="12">
      <c r="F976" s="354"/>
    </row>
    <row r="977" ht="12">
      <c r="F977" s="354"/>
    </row>
    <row r="978" ht="12">
      <c r="F978" s="354"/>
    </row>
    <row r="979" ht="12">
      <c r="F979" s="354"/>
    </row>
    <row r="980" ht="12">
      <c r="F980" s="354"/>
    </row>
    <row r="981" ht="12">
      <c r="F981" s="354"/>
    </row>
    <row r="982" ht="12">
      <c r="F982" s="354"/>
    </row>
    <row r="983" ht="12">
      <c r="F983" s="354"/>
    </row>
    <row r="984" ht="12">
      <c r="F984" s="354"/>
    </row>
    <row r="985" ht="12">
      <c r="F985" s="354"/>
    </row>
    <row r="986" ht="12">
      <c r="F986" s="354"/>
    </row>
    <row r="987" ht="12">
      <c r="F987" s="354"/>
    </row>
    <row r="988" ht="12">
      <c r="F988" s="354"/>
    </row>
    <row r="989" ht="12">
      <c r="F989" s="354"/>
    </row>
    <row r="990" ht="12">
      <c r="F990" s="354"/>
    </row>
    <row r="991" ht="12">
      <c r="F991" s="354"/>
    </row>
    <row r="992" ht="12">
      <c r="F992" s="354"/>
    </row>
    <row r="993" ht="12">
      <c r="F993" s="354"/>
    </row>
    <row r="994" ht="12">
      <c r="F994" s="354"/>
    </row>
    <row r="995" ht="12">
      <c r="F995" s="354"/>
    </row>
    <row r="996" ht="12">
      <c r="F996" s="354"/>
    </row>
    <row r="997" ht="12">
      <c r="F997" s="354"/>
    </row>
    <row r="998" ht="12">
      <c r="F998" s="354"/>
    </row>
    <row r="999" ht="12">
      <c r="F999" s="354"/>
    </row>
    <row r="1000" ht="12">
      <c r="F1000" s="354"/>
    </row>
    <row r="1001" ht="12">
      <c r="F1001" s="354"/>
    </row>
    <row r="1002" ht="12">
      <c r="F1002" s="354"/>
    </row>
    <row r="1003" ht="12">
      <c r="F1003" s="354"/>
    </row>
    <row r="1004" ht="12">
      <c r="F1004" s="354"/>
    </row>
    <row r="1005" ht="12">
      <c r="F1005" s="354"/>
    </row>
    <row r="1006" ht="12">
      <c r="F1006" s="354"/>
    </row>
    <row r="1007" ht="12">
      <c r="F1007" s="354"/>
    </row>
    <row r="1008" ht="12">
      <c r="F1008" s="354"/>
    </row>
    <row r="1009" ht="12">
      <c r="F1009" s="354"/>
    </row>
    <row r="1010" ht="12">
      <c r="F1010" s="354"/>
    </row>
    <row r="1011" ht="12">
      <c r="F1011" s="354"/>
    </row>
    <row r="1012" ht="12">
      <c r="F1012" s="354"/>
    </row>
    <row r="1013" ht="12">
      <c r="F1013" s="354"/>
    </row>
    <row r="1014" ht="12">
      <c r="F1014" s="354"/>
    </row>
    <row r="1015" ht="12">
      <c r="F1015" s="354"/>
    </row>
    <row r="1016" ht="12">
      <c r="F1016" s="354"/>
    </row>
    <row r="1017" ht="12">
      <c r="F1017" s="354"/>
    </row>
    <row r="1018" ht="12">
      <c r="F1018" s="354"/>
    </row>
    <row r="1019" ht="12">
      <c r="F1019" s="354"/>
    </row>
    <row r="1020" ht="12">
      <c r="F1020" s="354"/>
    </row>
    <row r="1021" ht="12">
      <c r="F1021" s="354"/>
    </row>
    <row r="1022" ht="12">
      <c r="F1022" s="354"/>
    </row>
    <row r="1023" ht="12">
      <c r="F1023" s="354"/>
    </row>
    <row r="1024" ht="12">
      <c r="F1024" s="354"/>
    </row>
    <row r="1025" ht="12">
      <c r="F1025" s="354"/>
    </row>
    <row r="1026" ht="12">
      <c r="F1026" s="354"/>
    </row>
    <row r="1027" ht="12">
      <c r="F1027" s="354"/>
    </row>
    <row r="1028" ht="12">
      <c r="F1028" s="354"/>
    </row>
    <row r="1029" ht="12">
      <c r="F1029" s="354"/>
    </row>
    <row r="1030" ht="12">
      <c r="F1030" s="354"/>
    </row>
    <row r="1031" ht="12">
      <c r="F1031" s="354"/>
    </row>
    <row r="1032" ht="12">
      <c r="F1032" s="354"/>
    </row>
    <row r="1033" ht="12">
      <c r="F1033" s="354"/>
    </row>
    <row r="1034" ht="12">
      <c r="F1034" s="354"/>
    </row>
    <row r="1035" ht="12">
      <c r="F1035" s="354"/>
    </row>
    <row r="1036" ht="12">
      <c r="F1036" s="354"/>
    </row>
    <row r="1037" ht="12">
      <c r="F1037" s="354"/>
    </row>
    <row r="1038" ht="12">
      <c r="F1038" s="354"/>
    </row>
    <row r="1039" ht="12">
      <c r="F1039" s="354"/>
    </row>
    <row r="1040" ht="12">
      <c r="F1040" s="354"/>
    </row>
    <row r="1041" ht="12">
      <c r="F1041" s="354"/>
    </row>
    <row r="1042" ht="12">
      <c r="F1042" s="354"/>
    </row>
    <row r="1043" ht="12">
      <c r="F1043" s="354"/>
    </row>
    <row r="1044" ht="12">
      <c r="F1044" s="354"/>
    </row>
    <row r="1045" ht="12">
      <c r="F1045" s="354"/>
    </row>
    <row r="1046" ht="12">
      <c r="F1046" s="354"/>
    </row>
    <row r="1047" ht="12">
      <c r="F1047" s="354"/>
    </row>
    <row r="1048" ht="12">
      <c r="F1048" s="354"/>
    </row>
    <row r="1049" ht="12">
      <c r="F1049" s="354"/>
    </row>
    <row r="1050" ht="12">
      <c r="F1050" s="354"/>
    </row>
    <row r="1051" ht="12">
      <c r="F1051" s="354"/>
    </row>
    <row r="1052" ht="12">
      <c r="F1052" s="354"/>
    </row>
    <row r="1053" ht="12">
      <c r="F1053" s="354"/>
    </row>
    <row r="1054" ht="12">
      <c r="F1054" s="354"/>
    </row>
    <row r="1055" ht="12">
      <c r="F1055" s="354"/>
    </row>
    <row r="1056" ht="12">
      <c r="F1056" s="354"/>
    </row>
    <row r="1057" ht="12">
      <c r="F1057" s="354"/>
    </row>
    <row r="1058" ht="12">
      <c r="F1058" s="354"/>
    </row>
    <row r="1059" ht="12">
      <c r="F1059" s="354"/>
    </row>
    <row r="1060" ht="12">
      <c r="F1060" s="354"/>
    </row>
    <row r="1061" ht="12">
      <c r="F1061" s="354"/>
    </row>
    <row r="1062" ht="12">
      <c r="F1062" s="354"/>
    </row>
    <row r="1063" ht="12">
      <c r="F1063" s="354"/>
    </row>
    <row r="1064" ht="12">
      <c r="F1064" s="354"/>
    </row>
    <row r="1065" ht="12">
      <c r="F1065" s="354"/>
    </row>
    <row r="1066" ht="12">
      <c r="F1066" s="354"/>
    </row>
    <row r="1067" ht="12">
      <c r="F1067" s="354"/>
    </row>
    <row r="1068" ht="12">
      <c r="F1068" s="354"/>
    </row>
    <row r="1069" ht="12">
      <c r="F1069" s="354"/>
    </row>
    <row r="1070" ht="12">
      <c r="F1070" s="354"/>
    </row>
    <row r="1071" ht="12">
      <c r="F1071" s="354"/>
    </row>
    <row r="1072" ht="12">
      <c r="F1072" s="354"/>
    </row>
    <row r="1073" ht="12">
      <c r="F1073" s="354"/>
    </row>
    <row r="1074" ht="12">
      <c r="F1074" s="354"/>
    </row>
    <row r="1075" ht="12">
      <c r="F1075" s="354"/>
    </row>
    <row r="1076" ht="12">
      <c r="F1076" s="354"/>
    </row>
    <row r="1077" ht="12">
      <c r="F1077" s="354"/>
    </row>
    <row r="1078" ht="12">
      <c r="F1078" s="354"/>
    </row>
    <row r="1079" ht="12">
      <c r="F1079" s="354"/>
    </row>
    <row r="1080" ht="12">
      <c r="F1080" s="354"/>
    </row>
    <row r="1081" ht="12">
      <c r="F1081" s="354"/>
    </row>
    <row r="1082" ht="12">
      <c r="F1082" s="354"/>
    </row>
    <row r="1083" ht="12">
      <c r="F1083" s="354"/>
    </row>
    <row r="1084" ht="12">
      <c r="F1084" s="354"/>
    </row>
    <row r="1085" ht="12">
      <c r="F1085" s="354"/>
    </row>
    <row r="1086" ht="12">
      <c r="F1086" s="354"/>
    </row>
    <row r="1087" ht="12">
      <c r="F1087" s="354"/>
    </row>
    <row r="1088" ht="12">
      <c r="F1088" s="354"/>
    </row>
    <row r="1089" ht="12">
      <c r="F1089" s="354"/>
    </row>
    <row r="1090" ht="12">
      <c r="F1090" s="354"/>
    </row>
    <row r="1091" ht="12">
      <c r="F1091" s="354"/>
    </row>
    <row r="1092" ht="12">
      <c r="F1092" s="354"/>
    </row>
    <row r="1093" ht="12">
      <c r="F1093" s="354"/>
    </row>
    <row r="1094" ht="12">
      <c r="F1094" s="354"/>
    </row>
    <row r="1095" ht="12">
      <c r="F1095" s="354"/>
    </row>
    <row r="1096" ht="12">
      <c r="F1096" s="354"/>
    </row>
    <row r="1097" ht="12">
      <c r="F1097" s="354"/>
    </row>
    <row r="1098" ht="12">
      <c r="F1098" s="354"/>
    </row>
    <row r="1099" ht="12">
      <c r="F1099" s="354"/>
    </row>
    <row r="1100" ht="12">
      <c r="F1100" s="354"/>
    </row>
    <row r="1101" ht="12">
      <c r="F1101" s="354"/>
    </row>
    <row r="1102" ht="12">
      <c r="F1102" s="354"/>
    </row>
    <row r="1103" ht="12">
      <c r="F1103" s="354"/>
    </row>
    <row r="1104" ht="12">
      <c r="F1104" s="354"/>
    </row>
    <row r="1105" ht="12">
      <c r="F1105" s="354"/>
    </row>
    <row r="1106" ht="12">
      <c r="F1106" s="354"/>
    </row>
    <row r="1107" ht="12">
      <c r="F1107" s="354"/>
    </row>
    <row r="1108" ht="12">
      <c r="F1108" s="354"/>
    </row>
    <row r="1109" ht="12">
      <c r="F1109" s="354"/>
    </row>
    <row r="1110" ht="12">
      <c r="F1110" s="354"/>
    </row>
    <row r="1111" ht="12">
      <c r="F1111" s="354"/>
    </row>
    <row r="1112" ht="12">
      <c r="F1112" s="354"/>
    </row>
    <row r="1113" ht="12">
      <c r="F1113" s="354"/>
    </row>
    <row r="1114" ht="12">
      <c r="F1114" s="354"/>
    </row>
    <row r="1115" ht="12">
      <c r="F1115" s="354"/>
    </row>
    <row r="1116" ht="12">
      <c r="F1116" s="354"/>
    </row>
    <row r="1117" ht="12">
      <c r="F1117" s="354"/>
    </row>
    <row r="1118" ht="12">
      <c r="F1118" s="354"/>
    </row>
    <row r="1119" ht="12">
      <c r="F1119" s="354"/>
    </row>
    <row r="1120" ht="12">
      <c r="F1120" s="354"/>
    </row>
    <row r="1121" ht="12">
      <c r="F1121" s="354"/>
    </row>
    <row r="1122" ht="12">
      <c r="F1122" s="354"/>
    </row>
    <row r="1123" ht="12">
      <c r="F1123" s="354"/>
    </row>
    <row r="1124" ht="12">
      <c r="F1124" s="354"/>
    </row>
    <row r="1125" ht="12">
      <c r="F1125" s="354"/>
    </row>
    <row r="1126" ht="12">
      <c r="F1126" s="354"/>
    </row>
    <row r="1127" ht="12">
      <c r="F1127" s="354"/>
    </row>
    <row r="1128" ht="12">
      <c r="F1128" s="354"/>
    </row>
    <row r="1129" ht="12">
      <c r="F1129" s="354"/>
    </row>
    <row r="1130" ht="12">
      <c r="F1130" s="354"/>
    </row>
    <row r="1131" ht="12">
      <c r="F1131" s="354"/>
    </row>
    <row r="1132" ht="12">
      <c r="F1132" s="354"/>
    </row>
    <row r="1133" ht="12">
      <c r="F1133" s="354"/>
    </row>
    <row r="1134" ht="12">
      <c r="F1134" s="354"/>
    </row>
    <row r="1135" ht="12">
      <c r="F1135" s="354"/>
    </row>
    <row r="1136" ht="12">
      <c r="F1136" s="354"/>
    </row>
    <row r="1137" ht="12">
      <c r="F1137" s="354"/>
    </row>
    <row r="1138" ht="12">
      <c r="F1138" s="354"/>
    </row>
    <row r="1139" ht="12">
      <c r="F1139" s="354"/>
    </row>
    <row r="1140" ht="12">
      <c r="F1140" s="354"/>
    </row>
    <row r="1141" ht="12">
      <c r="F1141" s="354"/>
    </row>
    <row r="1142" ht="12">
      <c r="F1142" s="354"/>
    </row>
    <row r="1143" ht="12">
      <c r="F1143" s="354"/>
    </row>
    <row r="1144" ht="12">
      <c r="F1144" s="354"/>
    </row>
    <row r="1145" ht="12">
      <c r="F1145" s="354"/>
    </row>
    <row r="1146" ht="12">
      <c r="F1146" s="354"/>
    </row>
    <row r="1147" ht="12">
      <c r="F1147" s="354"/>
    </row>
    <row r="1148" ht="12">
      <c r="F1148" s="354"/>
    </row>
    <row r="1149" ht="12">
      <c r="F1149" s="354"/>
    </row>
    <row r="1150" ht="12">
      <c r="F1150" s="354"/>
    </row>
    <row r="1151" ht="12">
      <c r="F1151" s="354"/>
    </row>
    <row r="1152" ht="12">
      <c r="F1152" s="354"/>
    </row>
    <row r="1153" ht="12">
      <c r="F1153" s="354"/>
    </row>
    <row r="1154" ht="12">
      <c r="F1154" s="354"/>
    </row>
    <row r="1155" ht="12">
      <c r="F1155" s="354"/>
    </row>
    <row r="1156" ht="12">
      <c r="F1156" s="354"/>
    </row>
    <row r="1157" ht="12">
      <c r="F1157" s="354"/>
    </row>
    <row r="1158" ht="12">
      <c r="F1158" s="354"/>
    </row>
    <row r="1159" ht="12">
      <c r="F1159" s="354"/>
    </row>
    <row r="1160" ht="12">
      <c r="F1160" s="354"/>
    </row>
    <row r="1161" ht="12">
      <c r="F1161" s="354"/>
    </row>
    <row r="1162" ht="12">
      <c r="F1162" s="354"/>
    </row>
    <row r="1163" ht="12">
      <c r="F1163" s="354"/>
    </row>
    <row r="1164" ht="12">
      <c r="F1164" s="354"/>
    </row>
    <row r="1165" ht="12">
      <c r="F1165" s="354"/>
    </row>
    <row r="1166" ht="12">
      <c r="F1166" s="354"/>
    </row>
    <row r="1167" ht="12">
      <c r="F1167" s="354"/>
    </row>
    <row r="1168" ht="12">
      <c r="F1168" s="354"/>
    </row>
    <row r="1169" ht="12">
      <c r="F1169" s="354"/>
    </row>
    <row r="1170" ht="12">
      <c r="F1170" s="354"/>
    </row>
    <row r="1171" ht="12">
      <c r="F1171" s="354"/>
    </row>
    <row r="1172" ht="12">
      <c r="F1172" s="354"/>
    </row>
    <row r="1173" ht="12">
      <c r="F1173" s="354"/>
    </row>
    <row r="1174" ht="12">
      <c r="F1174" s="354"/>
    </row>
    <row r="1175" ht="12">
      <c r="F1175" s="354"/>
    </row>
    <row r="1176" ht="12">
      <c r="F1176" s="354"/>
    </row>
    <row r="1177" ht="12">
      <c r="F1177" s="354"/>
    </row>
    <row r="1178" ht="12">
      <c r="F1178" s="354"/>
    </row>
    <row r="1179" ht="12">
      <c r="F1179" s="354"/>
    </row>
    <row r="1180" ht="12">
      <c r="F1180" s="354"/>
    </row>
    <row r="1181" ht="12">
      <c r="F1181" s="354"/>
    </row>
    <row r="1182" ht="12">
      <c r="F1182" s="354"/>
    </row>
    <row r="1183" ht="12">
      <c r="F1183" s="354"/>
    </row>
    <row r="1184" ht="12">
      <c r="F1184" s="354"/>
    </row>
    <row r="1185" ht="12">
      <c r="F1185" s="354"/>
    </row>
    <row r="1186" ht="12">
      <c r="F1186" s="354"/>
    </row>
    <row r="1187" ht="12">
      <c r="F1187" s="354"/>
    </row>
    <row r="1188" ht="12">
      <c r="F1188" s="354"/>
    </row>
    <row r="1189" ht="12">
      <c r="F1189" s="354"/>
    </row>
    <row r="1190" ht="12">
      <c r="F1190" s="354"/>
    </row>
    <row r="1191" ht="12">
      <c r="F1191" s="354"/>
    </row>
    <row r="1192" ht="12">
      <c r="F1192" s="354"/>
    </row>
    <row r="1193" ht="12">
      <c r="F1193" s="354"/>
    </row>
    <row r="1194" ht="12">
      <c r="F1194" s="354"/>
    </row>
    <row r="1195" ht="12">
      <c r="F1195" s="354"/>
    </row>
    <row r="1196" ht="12">
      <c r="F1196" s="354"/>
    </row>
    <row r="1197" ht="12">
      <c r="F1197" s="354"/>
    </row>
    <row r="1198" ht="12">
      <c r="F1198" s="354"/>
    </row>
    <row r="1199" ht="12">
      <c r="F1199" s="354"/>
    </row>
    <row r="1200" ht="12">
      <c r="F1200" s="354"/>
    </row>
    <row r="1201" ht="12">
      <c r="F1201" s="354"/>
    </row>
    <row r="1202" ht="12">
      <c r="F1202" s="354"/>
    </row>
    <row r="1203" ht="12">
      <c r="F1203" s="354"/>
    </row>
    <row r="1204" ht="12">
      <c r="F1204" s="354"/>
    </row>
    <row r="1205" ht="12">
      <c r="F1205" s="354"/>
    </row>
    <row r="1206" ht="12">
      <c r="F1206" s="354"/>
    </row>
    <row r="1207" ht="12">
      <c r="F1207" s="354"/>
    </row>
    <row r="1208" ht="12">
      <c r="F1208" s="354"/>
    </row>
    <row r="1209" ht="12">
      <c r="F1209" s="354"/>
    </row>
    <row r="1210" ht="12">
      <c r="F1210" s="354"/>
    </row>
    <row r="1211" ht="12">
      <c r="F1211" s="354"/>
    </row>
    <row r="1212" ht="12">
      <c r="F1212" s="354"/>
    </row>
    <row r="1213" ht="12">
      <c r="F1213" s="354"/>
    </row>
    <row r="1214" ht="12">
      <c r="F1214" s="354"/>
    </row>
    <row r="1215" ht="12">
      <c r="F1215" s="354"/>
    </row>
    <row r="1216" ht="12">
      <c r="F1216" s="354"/>
    </row>
    <row r="1217" ht="12">
      <c r="F1217" s="354"/>
    </row>
    <row r="1218" ht="12">
      <c r="F1218" s="354"/>
    </row>
    <row r="1219" ht="12">
      <c r="F1219" s="354"/>
    </row>
    <row r="1220" ht="12">
      <c r="F1220" s="354"/>
    </row>
    <row r="1221" ht="12">
      <c r="F1221" s="354"/>
    </row>
    <row r="1222" ht="12">
      <c r="F1222" s="354"/>
    </row>
    <row r="1223" ht="12">
      <c r="F1223" s="354"/>
    </row>
    <row r="1224" ht="12">
      <c r="F1224" s="354"/>
    </row>
    <row r="1225" ht="12">
      <c r="F1225" s="354"/>
    </row>
    <row r="1226" ht="12">
      <c r="F1226" s="354"/>
    </row>
    <row r="1227" ht="12">
      <c r="F1227" s="354"/>
    </row>
    <row r="1228" ht="12">
      <c r="F1228" s="354"/>
    </row>
    <row r="1229" ht="12">
      <c r="F1229" s="354"/>
    </row>
    <row r="1230" ht="12">
      <c r="F1230" s="354"/>
    </row>
    <row r="1231" ht="12">
      <c r="F1231" s="354"/>
    </row>
    <row r="1232" ht="12">
      <c r="F1232" s="354"/>
    </row>
    <row r="1233" ht="12">
      <c r="F1233" s="354"/>
    </row>
    <row r="1234" ht="12">
      <c r="F1234" s="354"/>
    </row>
    <row r="1235" ht="12">
      <c r="F1235" s="354"/>
    </row>
    <row r="1236" ht="12">
      <c r="F1236" s="354"/>
    </row>
    <row r="1237" ht="12">
      <c r="F1237" s="354"/>
    </row>
    <row r="1238" ht="12">
      <c r="F1238" s="354"/>
    </row>
    <row r="1239" ht="12">
      <c r="F1239" s="354"/>
    </row>
    <row r="1240" ht="12">
      <c r="F1240" s="354"/>
    </row>
    <row r="1241" ht="12">
      <c r="F1241" s="354"/>
    </row>
    <row r="1242" ht="12">
      <c r="F1242" s="354"/>
    </row>
    <row r="1243" ht="12">
      <c r="F1243" s="354"/>
    </row>
    <row r="1244" ht="12">
      <c r="F1244" s="354"/>
    </row>
    <row r="1245" ht="12">
      <c r="F1245" s="354"/>
    </row>
    <row r="1246" ht="12">
      <c r="F1246" s="354"/>
    </row>
    <row r="1247" ht="12">
      <c r="F1247" s="354"/>
    </row>
    <row r="1248" ht="12">
      <c r="F1248" s="354"/>
    </row>
    <row r="1249" ht="12">
      <c r="F1249" s="354"/>
    </row>
    <row r="1250" ht="12">
      <c r="F1250" s="354"/>
    </row>
    <row r="1251" ht="12">
      <c r="F1251" s="354"/>
    </row>
    <row r="1252" ht="12">
      <c r="F1252" s="354"/>
    </row>
    <row r="1253" ht="12">
      <c r="F1253" s="354"/>
    </row>
    <row r="1254" ht="12">
      <c r="F1254" s="354"/>
    </row>
    <row r="1255" ht="12">
      <c r="F1255" s="354"/>
    </row>
    <row r="1256" ht="12">
      <c r="F1256" s="354"/>
    </row>
    <row r="1257" ht="12">
      <c r="F1257" s="354"/>
    </row>
    <row r="1258" ht="12">
      <c r="F1258" s="354"/>
    </row>
    <row r="1259" ht="12">
      <c r="F1259" s="354"/>
    </row>
    <row r="1260" ht="12">
      <c r="F1260" s="354"/>
    </row>
    <row r="1261" ht="12">
      <c r="F1261" s="354"/>
    </row>
    <row r="1262" ht="12">
      <c r="F1262" s="354"/>
    </row>
    <row r="1263" ht="12">
      <c r="F1263" s="354"/>
    </row>
    <row r="1264" ht="12">
      <c r="F1264" s="354"/>
    </row>
    <row r="1265" ht="12">
      <c r="F1265" s="354"/>
    </row>
    <row r="1266" ht="12">
      <c r="F1266" s="354"/>
    </row>
    <row r="1267" ht="12">
      <c r="F1267" s="354"/>
    </row>
    <row r="1268" ht="12">
      <c r="F1268" s="354"/>
    </row>
    <row r="1269" ht="12">
      <c r="F1269" s="354"/>
    </row>
    <row r="1270" ht="12">
      <c r="F1270" s="354"/>
    </row>
    <row r="1271" ht="12">
      <c r="F1271" s="354"/>
    </row>
    <row r="1272" ht="12">
      <c r="F1272" s="354"/>
    </row>
    <row r="1273" ht="12">
      <c r="F1273" s="354"/>
    </row>
    <row r="1274" ht="12">
      <c r="F1274" s="354"/>
    </row>
    <row r="1275" ht="12">
      <c r="F1275" s="354"/>
    </row>
    <row r="1276" ht="12">
      <c r="F1276" s="354"/>
    </row>
    <row r="1277" ht="12">
      <c r="F1277" s="354"/>
    </row>
    <row r="1278" ht="12">
      <c r="F1278" s="354"/>
    </row>
    <row r="1279" ht="12">
      <c r="F1279" s="354"/>
    </row>
    <row r="1280" ht="12">
      <c r="F1280" s="354"/>
    </row>
    <row r="1281" ht="12">
      <c r="F1281" s="354"/>
    </row>
    <row r="1282" ht="12">
      <c r="F1282" s="354"/>
    </row>
    <row r="1283" ht="12">
      <c r="F1283" s="354"/>
    </row>
    <row r="1284" ht="12">
      <c r="F1284" s="354"/>
    </row>
    <row r="1285" ht="12">
      <c r="F1285" s="354"/>
    </row>
    <row r="1286" ht="12">
      <c r="F1286" s="354"/>
    </row>
    <row r="1287" ht="12">
      <c r="F1287" s="354"/>
    </row>
    <row r="1288" ht="12">
      <c r="F1288" s="354"/>
    </row>
    <row r="1289" ht="12">
      <c r="F1289" s="354"/>
    </row>
    <row r="1290" ht="12">
      <c r="F1290" s="354"/>
    </row>
    <row r="1291" ht="12">
      <c r="F1291" s="354"/>
    </row>
    <row r="1292" ht="12">
      <c r="F1292" s="354"/>
    </row>
    <row r="1293" ht="12">
      <c r="F1293" s="354"/>
    </row>
    <row r="1294" ht="12">
      <c r="F1294" s="354"/>
    </row>
    <row r="1295" ht="12">
      <c r="F1295" s="354"/>
    </row>
    <row r="1296" ht="12">
      <c r="F1296" s="354"/>
    </row>
    <row r="1297" ht="12">
      <c r="F1297" s="354"/>
    </row>
    <row r="1298" ht="12">
      <c r="F1298" s="354"/>
    </row>
    <row r="1299" ht="12">
      <c r="F1299" s="354"/>
    </row>
    <row r="1300" ht="12">
      <c r="F1300" s="354"/>
    </row>
    <row r="1301" ht="12">
      <c r="F1301" s="354"/>
    </row>
    <row r="1302" ht="12">
      <c r="F1302" s="354"/>
    </row>
    <row r="1303" ht="12">
      <c r="F1303" s="354"/>
    </row>
    <row r="1304" ht="12">
      <c r="F1304" s="354"/>
    </row>
    <row r="1305" ht="12">
      <c r="F1305" s="354"/>
    </row>
    <row r="1306" ht="12">
      <c r="F1306" s="354"/>
    </row>
    <row r="1307" ht="12">
      <c r="F1307" s="354"/>
    </row>
    <row r="1308" ht="12">
      <c r="F1308" s="354"/>
    </row>
    <row r="1309" ht="12">
      <c r="F1309" s="354"/>
    </row>
    <row r="1310" ht="12">
      <c r="F1310" s="354"/>
    </row>
    <row r="1311" ht="12">
      <c r="F1311" s="354"/>
    </row>
    <row r="1312" ht="12">
      <c r="F1312" s="354"/>
    </row>
    <row r="1313" ht="12">
      <c r="F1313" s="354"/>
    </row>
    <row r="1314" ht="12">
      <c r="F1314" s="354"/>
    </row>
    <row r="1315" ht="12">
      <c r="F1315" s="354"/>
    </row>
    <row r="1316" ht="12">
      <c r="F1316" s="354"/>
    </row>
    <row r="1317" ht="12">
      <c r="F1317" s="354"/>
    </row>
    <row r="1318" ht="12">
      <c r="F1318" s="354"/>
    </row>
    <row r="1319" ht="12">
      <c r="F1319" s="354"/>
    </row>
    <row r="1320" ht="12">
      <c r="F1320" s="354"/>
    </row>
    <row r="1321" ht="12">
      <c r="F1321" s="354"/>
    </row>
    <row r="1322" ht="12">
      <c r="F1322" s="354"/>
    </row>
    <row r="1323" ht="12">
      <c r="F1323" s="354"/>
    </row>
    <row r="1324" ht="12">
      <c r="F1324" s="354"/>
    </row>
    <row r="1325" ht="12">
      <c r="F1325" s="354"/>
    </row>
    <row r="1326" ht="12">
      <c r="F1326" s="354"/>
    </row>
    <row r="1327" ht="12">
      <c r="F1327" s="354"/>
    </row>
    <row r="1328" ht="12">
      <c r="F1328" s="354"/>
    </row>
    <row r="1329" ht="12">
      <c r="F1329" s="354"/>
    </row>
    <row r="1330" ht="12">
      <c r="F1330" s="354"/>
    </row>
    <row r="1331" ht="12">
      <c r="F1331" s="354"/>
    </row>
    <row r="1332" ht="12">
      <c r="F1332" s="354"/>
    </row>
    <row r="1333" ht="12">
      <c r="F1333" s="354"/>
    </row>
    <row r="1334" ht="12">
      <c r="F1334" s="354"/>
    </row>
    <row r="1335" ht="12">
      <c r="F1335" s="354"/>
    </row>
    <row r="1336" ht="12">
      <c r="F1336" s="354"/>
    </row>
    <row r="1337" ht="12">
      <c r="F1337" s="354"/>
    </row>
    <row r="1338" ht="12">
      <c r="F1338" s="354"/>
    </row>
    <row r="1339" ht="12">
      <c r="F1339" s="354"/>
    </row>
    <row r="1340" ht="12">
      <c r="F1340" s="354"/>
    </row>
    <row r="1341" ht="12">
      <c r="F1341" s="354"/>
    </row>
    <row r="1342" ht="12">
      <c r="F1342" s="354"/>
    </row>
    <row r="1343" ht="12">
      <c r="F1343" s="354"/>
    </row>
    <row r="1344" ht="12">
      <c r="F1344" s="354"/>
    </row>
    <row r="1345" ht="12">
      <c r="F1345" s="354"/>
    </row>
    <row r="1346" ht="12">
      <c r="F1346" s="354"/>
    </row>
    <row r="1347" ht="12">
      <c r="F1347" s="354"/>
    </row>
    <row r="1348" ht="12">
      <c r="F1348" s="354"/>
    </row>
    <row r="1349" ht="12">
      <c r="F1349" s="354"/>
    </row>
    <row r="1350" ht="12">
      <c r="F1350" s="354"/>
    </row>
    <row r="1351" ht="12">
      <c r="F1351" s="354"/>
    </row>
    <row r="1352" ht="12">
      <c r="F1352" s="354"/>
    </row>
    <row r="1353" ht="12">
      <c r="F1353" s="354"/>
    </row>
    <row r="1354" ht="12">
      <c r="F1354" s="354"/>
    </row>
    <row r="1355" ht="12">
      <c r="F1355" s="354"/>
    </row>
    <row r="1356" ht="12">
      <c r="F1356" s="354"/>
    </row>
    <row r="1357" ht="12">
      <c r="F1357" s="354"/>
    </row>
    <row r="1358" ht="12">
      <c r="F1358" s="354"/>
    </row>
    <row r="1359" ht="12">
      <c r="F1359" s="354"/>
    </row>
    <row r="1360" ht="12">
      <c r="F1360" s="354"/>
    </row>
    <row r="1361" ht="12">
      <c r="F1361" s="354"/>
    </row>
    <row r="1362" ht="12">
      <c r="F1362" s="354"/>
    </row>
    <row r="1363" ht="12">
      <c r="F1363" s="354"/>
    </row>
    <row r="1364" ht="12">
      <c r="F1364" s="354"/>
    </row>
    <row r="1365" ht="12">
      <c r="F1365" s="354"/>
    </row>
    <row r="1366" ht="12">
      <c r="F1366" s="354"/>
    </row>
    <row r="1367" ht="12">
      <c r="F1367" s="354"/>
    </row>
    <row r="1368" ht="12">
      <c r="F1368" s="354"/>
    </row>
    <row r="1369" ht="12">
      <c r="F1369" s="354"/>
    </row>
    <row r="1370" ht="12">
      <c r="F1370" s="354"/>
    </row>
    <row r="1371" ht="12">
      <c r="F1371" s="354"/>
    </row>
    <row r="1372" ht="12">
      <c r="F1372" s="354"/>
    </row>
    <row r="1373" ht="12">
      <c r="F1373" s="354"/>
    </row>
    <row r="1374" ht="12">
      <c r="F1374" s="354"/>
    </row>
    <row r="1375" ht="12">
      <c r="F1375" s="354"/>
    </row>
    <row r="1376" ht="12">
      <c r="F1376" s="354"/>
    </row>
    <row r="1377" ht="12">
      <c r="F1377" s="354"/>
    </row>
    <row r="1378" ht="12">
      <c r="F1378" s="354"/>
    </row>
    <row r="1379" ht="12">
      <c r="F1379" s="354"/>
    </row>
    <row r="1380" ht="12">
      <c r="F1380" s="354"/>
    </row>
    <row r="1381" ht="12">
      <c r="F1381" s="354"/>
    </row>
    <row r="1382" ht="12">
      <c r="F1382" s="354"/>
    </row>
    <row r="1383" ht="12">
      <c r="F1383" s="354"/>
    </row>
    <row r="1384" ht="12">
      <c r="F1384" s="354"/>
    </row>
    <row r="1385" ht="12">
      <c r="F1385" s="354"/>
    </row>
    <row r="1386" ht="12">
      <c r="F1386" s="354"/>
    </row>
    <row r="1387" ht="12">
      <c r="F1387" s="354"/>
    </row>
    <row r="1388" ht="12">
      <c r="F1388" s="354"/>
    </row>
    <row r="1389" ht="12">
      <c r="F1389" s="354"/>
    </row>
    <row r="1390" ht="12">
      <c r="F1390" s="354"/>
    </row>
    <row r="1391" ht="12">
      <c r="F1391" s="354"/>
    </row>
    <row r="1392" ht="12">
      <c r="F1392" s="354"/>
    </row>
    <row r="1393" ht="12">
      <c r="F1393" s="354"/>
    </row>
    <row r="1394" ht="12">
      <c r="F1394" s="354"/>
    </row>
    <row r="1395" ht="12">
      <c r="F1395" s="354"/>
    </row>
    <row r="1396" ht="12">
      <c r="F1396" s="354"/>
    </row>
    <row r="1397" ht="12">
      <c r="F1397" s="354"/>
    </row>
    <row r="1398" ht="12">
      <c r="F1398" s="354"/>
    </row>
    <row r="1399" ht="12">
      <c r="F1399" s="354"/>
    </row>
    <row r="1400" ht="12">
      <c r="F1400" s="354"/>
    </row>
    <row r="1401" ht="12">
      <c r="F1401" s="354"/>
    </row>
    <row r="1402" ht="12">
      <c r="F1402" s="354"/>
    </row>
    <row r="1403" ht="12">
      <c r="F1403" s="354"/>
    </row>
    <row r="1404" ht="12">
      <c r="F1404" s="354"/>
    </row>
    <row r="1405" ht="12">
      <c r="F1405" s="354"/>
    </row>
    <row r="1406" ht="12">
      <c r="F1406" s="354"/>
    </row>
    <row r="1407" ht="12">
      <c r="F1407" s="354"/>
    </row>
    <row r="1408" ht="12">
      <c r="F1408" s="354"/>
    </row>
    <row r="1409" ht="12">
      <c r="F1409" s="354"/>
    </row>
    <row r="1410" ht="12">
      <c r="F1410" s="354"/>
    </row>
    <row r="1411" ht="12">
      <c r="F1411" s="354"/>
    </row>
    <row r="1412" ht="12">
      <c r="F1412" s="354"/>
    </row>
    <row r="1413" ht="12">
      <c r="F1413" s="354"/>
    </row>
    <row r="1414" ht="12">
      <c r="F1414" s="354"/>
    </row>
    <row r="1415" ht="12">
      <c r="F1415" s="354"/>
    </row>
    <row r="1416" ht="12">
      <c r="F1416" s="354"/>
    </row>
    <row r="1417" ht="12">
      <c r="F1417" s="354"/>
    </row>
    <row r="1418" ht="12">
      <c r="F1418" s="354"/>
    </row>
    <row r="1419" ht="12">
      <c r="F1419" s="354"/>
    </row>
    <row r="1420" ht="12">
      <c r="F1420" s="354"/>
    </row>
    <row r="1421" ht="12">
      <c r="F1421" s="354"/>
    </row>
    <row r="1422" ht="12">
      <c r="F1422" s="354"/>
    </row>
    <row r="1423" ht="12">
      <c r="F1423" s="354"/>
    </row>
    <row r="1424" ht="12">
      <c r="F1424" s="354"/>
    </row>
    <row r="1425" ht="12">
      <c r="F1425" s="354"/>
    </row>
    <row r="1426" ht="12">
      <c r="F1426" s="354"/>
    </row>
    <row r="1427" ht="12">
      <c r="F1427" s="354"/>
    </row>
    <row r="1428" ht="12">
      <c r="F1428" s="354"/>
    </row>
    <row r="1429" ht="12">
      <c r="F1429" s="354"/>
    </row>
    <row r="1430" ht="12">
      <c r="F1430" s="354"/>
    </row>
    <row r="1431" ht="12">
      <c r="F1431" s="354"/>
    </row>
    <row r="1432" ht="12">
      <c r="F1432" s="354"/>
    </row>
    <row r="1433" ht="12">
      <c r="F1433" s="354"/>
    </row>
    <row r="1434" ht="12">
      <c r="F1434" s="354"/>
    </row>
    <row r="1435" ht="12">
      <c r="F1435" s="354"/>
    </row>
    <row r="1436" ht="12">
      <c r="F1436" s="354"/>
    </row>
    <row r="1437" ht="12">
      <c r="F1437" s="354"/>
    </row>
    <row r="1438" ht="12">
      <c r="F1438" s="354"/>
    </row>
    <row r="1439" ht="12">
      <c r="F1439" s="354"/>
    </row>
    <row r="1440" ht="12">
      <c r="F1440" s="354"/>
    </row>
    <row r="1441" ht="12">
      <c r="F1441" s="354"/>
    </row>
    <row r="1442" ht="12">
      <c r="F1442" s="354"/>
    </row>
    <row r="1443" ht="12">
      <c r="F1443" s="354"/>
    </row>
    <row r="1444" ht="12">
      <c r="F1444" s="354"/>
    </row>
    <row r="1445" ht="12">
      <c r="F1445" s="354"/>
    </row>
    <row r="1446" ht="12">
      <c r="F1446" s="354"/>
    </row>
    <row r="1447" ht="12">
      <c r="F1447" s="354"/>
    </row>
    <row r="1448" ht="12">
      <c r="F1448" s="354"/>
    </row>
    <row r="1449" ht="12">
      <c r="F1449" s="354"/>
    </row>
    <row r="1450" ht="12">
      <c r="F1450" s="354"/>
    </row>
    <row r="1451" ht="12">
      <c r="F1451" s="354"/>
    </row>
    <row r="1452" ht="12">
      <c r="F1452" s="354"/>
    </row>
    <row r="1453" ht="12">
      <c r="F1453" s="354"/>
    </row>
    <row r="1454" ht="12">
      <c r="F1454" s="354"/>
    </row>
    <row r="1455" ht="12">
      <c r="F1455" s="354"/>
    </row>
    <row r="1456" ht="12">
      <c r="F1456" s="354"/>
    </row>
    <row r="1457" ht="12">
      <c r="F1457" s="354"/>
    </row>
    <row r="1458" ht="12">
      <c r="F1458" s="354"/>
    </row>
    <row r="1459" ht="12">
      <c r="F1459" s="354"/>
    </row>
    <row r="1460" ht="12">
      <c r="F1460" s="354"/>
    </row>
    <row r="1461" ht="12">
      <c r="F1461" s="354"/>
    </row>
    <row r="1462" ht="12">
      <c r="F1462" s="354"/>
    </row>
    <row r="1463" ht="12">
      <c r="F1463" s="354"/>
    </row>
    <row r="1464" ht="12">
      <c r="F1464" s="354"/>
    </row>
    <row r="1465" ht="12">
      <c r="F1465" s="354"/>
    </row>
    <row r="1466" ht="12">
      <c r="F1466" s="354"/>
    </row>
    <row r="1467" ht="12">
      <c r="F1467" s="354"/>
    </row>
    <row r="1468" ht="12">
      <c r="F1468" s="354"/>
    </row>
    <row r="1469" ht="12">
      <c r="F1469" s="354"/>
    </row>
    <row r="1470" ht="12">
      <c r="F1470" s="354"/>
    </row>
    <row r="1471" ht="12">
      <c r="F1471" s="354"/>
    </row>
    <row r="1472" ht="12">
      <c r="F1472" s="354"/>
    </row>
    <row r="1473" ht="12">
      <c r="F1473" s="354"/>
    </row>
    <row r="1474" ht="12">
      <c r="F1474" s="354"/>
    </row>
    <row r="1475" ht="12">
      <c r="F1475" s="354"/>
    </row>
    <row r="1476" ht="12">
      <c r="F1476" s="354"/>
    </row>
    <row r="1477" ht="12">
      <c r="F1477" s="354"/>
    </row>
    <row r="1478" ht="12">
      <c r="F1478" s="354"/>
    </row>
    <row r="1479" ht="12">
      <c r="F1479" s="354"/>
    </row>
    <row r="1480" ht="12">
      <c r="F1480" s="354"/>
    </row>
    <row r="1481" ht="12">
      <c r="F1481" s="354"/>
    </row>
    <row r="1482" ht="12">
      <c r="F1482" s="354"/>
    </row>
    <row r="1483" ht="12">
      <c r="F1483" s="354"/>
    </row>
    <row r="1484" ht="12">
      <c r="F1484" s="354"/>
    </row>
    <row r="1485" ht="12">
      <c r="F1485" s="354"/>
    </row>
    <row r="1486" ht="12">
      <c r="F1486" s="354"/>
    </row>
    <row r="1487" ht="12">
      <c r="F1487" s="354"/>
    </row>
    <row r="1488" ht="12">
      <c r="F1488" s="354"/>
    </row>
    <row r="1489" ht="12">
      <c r="F1489" s="354"/>
    </row>
    <row r="1490" ht="12">
      <c r="F1490" s="354"/>
    </row>
    <row r="1491" ht="12">
      <c r="F1491" s="354"/>
    </row>
    <row r="1492" ht="12">
      <c r="F1492" s="354"/>
    </row>
    <row r="1493" ht="12">
      <c r="F1493" s="354"/>
    </row>
    <row r="1494" ht="12">
      <c r="F1494" s="354"/>
    </row>
    <row r="1495" ht="12">
      <c r="F1495" s="354"/>
    </row>
    <row r="1496" ht="12">
      <c r="F1496" s="354"/>
    </row>
    <row r="1497" ht="12">
      <c r="F1497" s="354"/>
    </row>
    <row r="1498" ht="12">
      <c r="F1498" s="354"/>
    </row>
    <row r="1499" ht="12">
      <c r="F1499" s="354"/>
    </row>
    <row r="1500" ht="12">
      <c r="F1500" s="354"/>
    </row>
    <row r="1501" ht="12">
      <c r="F1501" s="354"/>
    </row>
    <row r="1502" ht="12">
      <c r="F1502" s="354"/>
    </row>
    <row r="1503" ht="12">
      <c r="F1503" s="354"/>
    </row>
    <row r="1504" ht="12">
      <c r="F1504" s="354"/>
    </row>
    <row r="1505" ht="12">
      <c r="F1505" s="354"/>
    </row>
    <row r="1506" ht="12">
      <c r="F1506" s="354"/>
    </row>
    <row r="1507" ht="12">
      <c r="F1507" s="354"/>
    </row>
    <row r="1508" ht="12">
      <c r="F1508" s="354"/>
    </row>
    <row r="1509" ht="12">
      <c r="F1509" s="354"/>
    </row>
    <row r="1510" ht="12">
      <c r="F1510" s="354"/>
    </row>
    <row r="1511" ht="12">
      <c r="F1511" s="354"/>
    </row>
    <row r="1512" ht="12">
      <c r="F1512" s="354"/>
    </row>
    <row r="1513" ht="12">
      <c r="F1513" s="354"/>
    </row>
    <row r="1514" ht="12">
      <c r="F1514" s="354"/>
    </row>
    <row r="1515" ht="12">
      <c r="F1515" s="354"/>
    </row>
    <row r="1516" ht="12">
      <c r="F1516" s="354"/>
    </row>
    <row r="1517" ht="12">
      <c r="F1517" s="354"/>
    </row>
    <row r="1518" ht="12">
      <c r="F1518" s="354"/>
    </row>
    <row r="1519" ht="12">
      <c r="F1519" s="354"/>
    </row>
    <row r="1520" ht="12">
      <c r="F1520" s="354"/>
    </row>
    <row r="1521" ht="12">
      <c r="F1521" s="354"/>
    </row>
    <row r="1522" ht="12">
      <c r="F1522" s="354"/>
    </row>
    <row r="1523" ht="12">
      <c r="F1523" s="354"/>
    </row>
    <row r="1524" ht="12">
      <c r="F1524" s="354"/>
    </row>
    <row r="1525" ht="12">
      <c r="F1525" s="354"/>
    </row>
    <row r="1526" ht="12">
      <c r="F1526" s="354"/>
    </row>
    <row r="1527" ht="12">
      <c r="F1527" s="354"/>
    </row>
    <row r="1528" ht="12">
      <c r="F1528" s="354"/>
    </row>
    <row r="1529" ht="12">
      <c r="F1529" s="354"/>
    </row>
    <row r="1530" ht="12">
      <c r="F1530" s="354"/>
    </row>
    <row r="1531" ht="12">
      <c r="F1531" s="354"/>
    </row>
    <row r="1532" ht="12">
      <c r="F1532" s="354"/>
    </row>
    <row r="1533" ht="12">
      <c r="F1533" s="354"/>
    </row>
    <row r="1534" ht="12">
      <c r="F1534" s="354"/>
    </row>
    <row r="1535" ht="12">
      <c r="F1535" s="354"/>
    </row>
    <row r="1536" ht="12">
      <c r="F1536" s="354"/>
    </row>
    <row r="1537" ht="12">
      <c r="F1537" s="354"/>
    </row>
    <row r="1538" ht="12">
      <c r="F1538" s="354"/>
    </row>
    <row r="1539" ht="12">
      <c r="F1539" s="354"/>
    </row>
    <row r="1540" ht="12">
      <c r="F1540" s="354"/>
    </row>
    <row r="1541" ht="12">
      <c r="F1541" s="354"/>
    </row>
    <row r="1542" ht="12">
      <c r="F1542" s="354"/>
    </row>
    <row r="1543" ht="12">
      <c r="F1543" s="354"/>
    </row>
    <row r="1544" ht="12">
      <c r="F1544" s="354"/>
    </row>
    <row r="1545" ht="12">
      <c r="F1545" s="354"/>
    </row>
    <row r="1546" ht="12">
      <c r="F1546" s="354"/>
    </row>
    <row r="1547" ht="12">
      <c r="F1547" s="354"/>
    </row>
    <row r="1548" ht="12">
      <c r="F1548" s="354"/>
    </row>
    <row r="1549" ht="12">
      <c r="F1549" s="354"/>
    </row>
    <row r="1550" ht="12">
      <c r="F1550" s="354"/>
    </row>
    <row r="1551" ht="12">
      <c r="F1551" s="354"/>
    </row>
    <row r="1552" ht="12">
      <c r="F1552" s="354"/>
    </row>
    <row r="1553" ht="12">
      <c r="F1553" s="354"/>
    </row>
    <row r="1554" ht="12">
      <c r="F1554" s="354"/>
    </row>
    <row r="1555" ht="12">
      <c r="F1555" s="354"/>
    </row>
    <row r="1556" ht="12">
      <c r="F1556" s="354"/>
    </row>
    <row r="1557" ht="12">
      <c r="F1557" s="354"/>
    </row>
    <row r="1558" ht="12">
      <c r="F1558" s="354"/>
    </row>
    <row r="1559" ht="12">
      <c r="F1559" s="354"/>
    </row>
    <row r="1560" ht="12">
      <c r="F1560" s="354"/>
    </row>
    <row r="1561" ht="12">
      <c r="F1561" s="354"/>
    </row>
    <row r="1562" ht="12">
      <c r="F1562" s="354"/>
    </row>
    <row r="1563" ht="12">
      <c r="F1563" s="354"/>
    </row>
    <row r="1564" ht="12">
      <c r="F1564" s="354"/>
    </row>
    <row r="1565" ht="12">
      <c r="F1565" s="354"/>
    </row>
    <row r="1566" ht="12">
      <c r="F1566" s="354"/>
    </row>
    <row r="1567" ht="12">
      <c r="F1567" s="354"/>
    </row>
    <row r="1568" ht="12">
      <c r="F1568" s="354"/>
    </row>
    <row r="1569" ht="12">
      <c r="F1569" s="354"/>
    </row>
    <row r="1570" ht="12">
      <c r="F1570" s="354"/>
    </row>
    <row r="1571" ht="12">
      <c r="F1571" s="354"/>
    </row>
    <row r="1572" ht="12">
      <c r="F1572" s="354"/>
    </row>
    <row r="1573" ht="12">
      <c r="F1573" s="354"/>
    </row>
    <row r="1574" ht="12">
      <c r="F1574" s="354"/>
    </row>
    <row r="1575" ht="12">
      <c r="F1575" s="354"/>
    </row>
    <row r="1576" ht="12">
      <c r="F1576" s="354"/>
    </row>
    <row r="1577" ht="12">
      <c r="F1577" s="354"/>
    </row>
    <row r="1578" ht="12">
      <c r="F1578" s="354"/>
    </row>
    <row r="1579" ht="12">
      <c r="F1579" s="354"/>
    </row>
    <row r="1580" ht="12">
      <c r="F1580" s="354"/>
    </row>
    <row r="1581" ht="12">
      <c r="F1581" s="354"/>
    </row>
    <row r="1582" ht="12">
      <c r="F1582" s="354"/>
    </row>
    <row r="1583" ht="12">
      <c r="F1583" s="354"/>
    </row>
    <row r="1584" ht="12">
      <c r="F1584" s="354"/>
    </row>
    <row r="1585" ht="12">
      <c r="F1585" s="354"/>
    </row>
    <row r="1586" ht="12">
      <c r="F1586" s="354"/>
    </row>
    <row r="1587" ht="12">
      <c r="F1587" s="354"/>
    </row>
    <row r="1588" ht="12">
      <c r="F1588" s="354"/>
    </row>
    <row r="1589" ht="12">
      <c r="F1589" s="354"/>
    </row>
    <row r="1590" ht="12">
      <c r="F1590" s="354"/>
    </row>
    <row r="1591" ht="12">
      <c r="F1591" s="354"/>
    </row>
    <row r="1592" ht="12">
      <c r="F1592" s="354"/>
    </row>
    <row r="1593" ht="12">
      <c r="F1593" s="354"/>
    </row>
    <row r="1594" ht="12">
      <c r="F1594" s="354"/>
    </row>
    <row r="1595" ht="12">
      <c r="F1595" s="354"/>
    </row>
    <row r="1596" ht="12">
      <c r="F1596" s="354"/>
    </row>
    <row r="1597" ht="12">
      <c r="F1597" s="354"/>
    </row>
    <row r="1598" ht="12">
      <c r="F1598" s="354"/>
    </row>
    <row r="1599" ht="12">
      <c r="F1599" s="354"/>
    </row>
    <row r="1600" ht="12">
      <c r="F1600" s="354"/>
    </row>
    <row r="1601" ht="12">
      <c r="F1601" s="354"/>
    </row>
    <row r="1602" ht="12">
      <c r="F1602" s="354"/>
    </row>
    <row r="1603" ht="12">
      <c r="F1603" s="354"/>
    </row>
    <row r="1604" ht="12">
      <c r="F1604" s="354"/>
    </row>
    <row r="1605" ht="12">
      <c r="F1605" s="354"/>
    </row>
    <row r="1606" ht="12">
      <c r="F1606" s="354"/>
    </row>
    <row r="1607" ht="12">
      <c r="F1607" s="354"/>
    </row>
    <row r="1608" ht="12">
      <c r="F1608" s="354"/>
    </row>
    <row r="1609" ht="12">
      <c r="F1609" s="354"/>
    </row>
    <row r="1610" ht="12">
      <c r="F1610" s="354"/>
    </row>
    <row r="1611" ht="12">
      <c r="F1611" s="354"/>
    </row>
    <row r="1612" ht="12">
      <c r="F1612" s="354"/>
    </row>
    <row r="1613" ht="12">
      <c r="F1613" s="354"/>
    </row>
    <row r="1614" ht="12">
      <c r="F1614" s="354"/>
    </row>
    <row r="1615" ht="12">
      <c r="F1615" s="354"/>
    </row>
    <row r="1616" ht="12">
      <c r="F1616" s="354"/>
    </row>
    <row r="1617" ht="12">
      <c r="F1617" s="354"/>
    </row>
    <row r="1618" ht="12">
      <c r="F1618" s="354"/>
    </row>
    <row r="1619" ht="12">
      <c r="F1619" s="354"/>
    </row>
    <row r="1620" ht="12">
      <c r="F1620" s="354"/>
    </row>
    <row r="1621" ht="12">
      <c r="F1621" s="354"/>
    </row>
    <row r="1622" ht="12">
      <c r="F1622" s="354"/>
    </row>
    <row r="1623" ht="12">
      <c r="F1623" s="354"/>
    </row>
    <row r="1624" ht="12">
      <c r="F1624" s="354"/>
    </row>
    <row r="1625" ht="12">
      <c r="F1625" s="354"/>
    </row>
    <row r="1626" ht="12">
      <c r="F1626" s="354"/>
    </row>
    <row r="1627" ht="12">
      <c r="F1627" s="354"/>
    </row>
    <row r="1628" ht="12">
      <c r="F1628" s="354"/>
    </row>
    <row r="1629" ht="12">
      <c r="F1629" s="354"/>
    </row>
    <row r="1630" ht="12">
      <c r="F1630" s="354"/>
    </row>
    <row r="1631" ht="12">
      <c r="F1631" s="354"/>
    </row>
    <row r="1632" ht="12">
      <c r="F1632" s="354"/>
    </row>
    <row r="1633" ht="12">
      <c r="F1633" s="354"/>
    </row>
    <row r="1634" ht="12">
      <c r="F1634" s="354"/>
    </row>
    <row r="1635" ht="12">
      <c r="F1635" s="354"/>
    </row>
    <row r="1636" ht="12">
      <c r="F1636" s="354"/>
    </row>
    <row r="1637" ht="12">
      <c r="F1637" s="354"/>
    </row>
    <row r="1638" ht="12">
      <c r="F1638" s="354"/>
    </row>
    <row r="1639" ht="12">
      <c r="F1639" s="354"/>
    </row>
    <row r="1640" ht="12">
      <c r="F1640" s="354"/>
    </row>
    <row r="1641" ht="12">
      <c r="F1641" s="354"/>
    </row>
    <row r="1642" ht="12">
      <c r="F1642" s="354"/>
    </row>
    <row r="1643" ht="12">
      <c r="F1643" s="354"/>
    </row>
    <row r="1644" ht="12">
      <c r="F1644" s="354"/>
    </row>
    <row r="1645" ht="12">
      <c r="F1645" s="354"/>
    </row>
    <row r="1646" ht="12">
      <c r="F1646" s="354"/>
    </row>
    <row r="1647" ht="12">
      <c r="F1647" s="354"/>
    </row>
    <row r="1648" ht="12">
      <c r="F1648" s="354"/>
    </row>
    <row r="1649" ht="12">
      <c r="F1649" s="354"/>
    </row>
    <row r="1650" ht="12">
      <c r="F1650" s="354"/>
    </row>
    <row r="1651" ht="12">
      <c r="F1651" s="354"/>
    </row>
    <row r="1652" ht="12">
      <c r="F1652" s="354"/>
    </row>
    <row r="1653" ht="12">
      <c r="F1653" s="354"/>
    </row>
    <row r="1654" ht="12">
      <c r="F1654" s="354"/>
    </row>
    <row r="1655" ht="12">
      <c r="F1655" s="354"/>
    </row>
    <row r="1656" ht="12">
      <c r="F1656" s="354"/>
    </row>
    <row r="1657" ht="12">
      <c r="F1657" s="354"/>
    </row>
    <row r="1658" ht="12">
      <c r="F1658" s="354"/>
    </row>
    <row r="1659" ht="12">
      <c r="F1659" s="354"/>
    </row>
    <row r="1660" ht="12">
      <c r="F1660" s="354"/>
    </row>
    <row r="1661" ht="12">
      <c r="F1661" s="354"/>
    </row>
    <row r="1662" ht="12">
      <c r="F1662" s="354"/>
    </row>
    <row r="1663" ht="12">
      <c r="F1663" s="354"/>
    </row>
    <row r="1664" ht="12">
      <c r="F1664" s="354"/>
    </row>
    <row r="1665" ht="12">
      <c r="F1665" s="354"/>
    </row>
    <row r="1666" ht="12">
      <c r="F1666" s="354"/>
    </row>
    <row r="1667" ht="12">
      <c r="F1667" s="354"/>
    </row>
    <row r="1668" ht="12">
      <c r="F1668" s="354"/>
    </row>
    <row r="1669" ht="12">
      <c r="F1669" s="354"/>
    </row>
    <row r="1670" ht="12">
      <c r="F1670" s="354"/>
    </row>
    <row r="1671" ht="12">
      <c r="F1671" s="354"/>
    </row>
    <row r="1672" ht="12">
      <c r="F1672" s="354"/>
    </row>
    <row r="1673" ht="12">
      <c r="F1673" s="354"/>
    </row>
    <row r="1674" ht="12">
      <c r="F1674" s="354"/>
    </row>
    <row r="1675" ht="12">
      <c r="F1675" s="354"/>
    </row>
    <row r="1676" ht="12">
      <c r="F1676" s="354"/>
    </row>
    <row r="1677" ht="12">
      <c r="F1677" s="354"/>
    </row>
    <row r="1678" ht="12">
      <c r="F1678" s="354"/>
    </row>
    <row r="1679" ht="12">
      <c r="F1679" s="354"/>
    </row>
    <row r="1680" ht="12">
      <c r="F1680" s="354"/>
    </row>
    <row r="1681" ht="12">
      <c r="F1681" s="354"/>
    </row>
    <row r="1682" ht="12">
      <c r="F1682" s="354"/>
    </row>
    <row r="1683" ht="12">
      <c r="F1683" s="354"/>
    </row>
    <row r="1684" ht="12">
      <c r="F1684" s="354"/>
    </row>
    <row r="1685" ht="12">
      <c r="F1685" s="354"/>
    </row>
    <row r="1686" ht="12">
      <c r="F1686" s="354"/>
    </row>
    <row r="1687" ht="12">
      <c r="F1687" s="354"/>
    </row>
    <row r="1688" ht="12">
      <c r="F1688" s="354"/>
    </row>
    <row r="1689" ht="12">
      <c r="F1689" s="354"/>
    </row>
    <row r="1690" ht="12">
      <c r="F1690" s="354"/>
    </row>
    <row r="1691" ht="12">
      <c r="F1691" s="354"/>
    </row>
    <row r="1692" ht="12">
      <c r="F1692" s="354"/>
    </row>
    <row r="1693" ht="12">
      <c r="F1693" s="354"/>
    </row>
    <row r="1694" ht="12">
      <c r="F1694" s="354"/>
    </row>
    <row r="1695" ht="12">
      <c r="F1695" s="354"/>
    </row>
    <row r="1696" ht="12">
      <c r="F1696" s="354"/>
    </row>
    <row r="1697" ht="12">
      <c r="F1697" s="354"/>
    </row>
    <row r="1698" ht="12">
      <c r="F1698" s="354"/>
    </row>
    <row r="1699" ht="12">
      <c r="F1699" s="354"/>
    </row>
    <row r="1700" ht="12">
      <c r="F1700" s="354"/>
    </row>
    <row r="1701" ht="12">
      <c r="F1701" s="354"/>
    </row>
    <row r="1702" ht="12">
      <c r="F1702" s="354"/>
    </row>
    <row r="1703" ht="12">
      <c r="F1703" s="354"/>
    </row>
    <row r="1704" ht="12">
      <c r="F1704" s="354"/>
    </row>
    <row r="1705" ht="12">
      <c r="F1705" s="354"/>
    </row>
    <row r="1706" ht="12">
      <c r="F1706" s="354"/>
    </row>
    <row r="1707" ht="12">
      <c r="F1707" s="354"/>
    </row>
    <row r="1708" ht="12">
      <c r="F1708" s="354"/>
    </row>
    <row r="1709" ht="12">
      <c r="F1709" s="354"/>
    </row>
    <row r="1710" ht="12">
      <c r="F1710" s="354"/>
    </row>
    <row r="1711" ht="12">
      <c r="F1711" s="354"/>
    </row>
    <row r="1712" ht="12">
      <c r="F1712" s="354"/>
    </row>
    <row r="1713" ht="12">
      <c r="F1713" s="354"/>
    </row>
    <row r="1714" ht="12">
      <c r="F1714" s="354"/>
    </row>
    <row r="1715" ht="12">
      <c r="F1715" s="354"/>
    </row>
    <row r="1716" ht="12">
      <c r="F1716" s="354"/>
    </row>
    <row r="1717" ht="12">
      <c r="F1717" s="354"/>
    </row>
    <row r="1718" ht="12">
      <c r="F1718" s="354"/>
    </row>
    <row r="1719" ht="12">
      <c r="F1719" s="354"/>
    </row>
    <row r="1720" ht="12">
      <c r="F1720" s="354"/>
    </row>
    <row r="1721" ht="12">
      <c r="F1721" s="354"/>
    </row>
    <row r="1722" ht="12">
      <c r="F1722" s="354"/>
    </row>
    <row r="1723" ht="12">
      <c r="F1723" s="354"/>
    </row>
    <row r="1724" ht="12">
      <c r="F1724" s="354"/>
    </row>
    <row r="1725" ht="12">
      <c r="F1725" s="354"/>
    </row>
    <row r="1726" ht="12">
      <c r="F1726" s="354"/>
    </row>
    <row r="1727" ht="12">
      <c r="F1727" s="354"/>
    </row>
    <row r="1728" ht="12">
      <c r="F1728" s="354"/>
    </row>
    <row r="1729" ht="12">
      <c r="F1729" s="354"/>
    </row>
    <row r="1730" ht="12">
      <c r="F1730" s="354"/>
    </row>
    <row r="1731" ht="12">
      <c r="F1731" s="354"/>
    </row>
    <row r="1732" ht="12">
      <c r="F1732" s="354"/>
    </row>
    <row r="1733" ht="12">
      <c r="F1733" s="354"/>
    </row>
    <row r="1734" ht="12">
      <c r="F1734" s="354"/>
    </row>
    <row r="1735" ht="12">
      <c r="F1735" s="354"/>
    </row>
    <row r="1736" ht="12">
      <c r="F1736" s="354"/>
    </row>
    <row r="1737" ht="12">
      <c r="F1737" s="354"/>
    </row>
    <row r="1738" ht="12">
      <c r="F1738" s="354"/>
    </row>
    <row r="1739" ht="12">
      <c r="F1739" s="354"/>
    </row>
    <row r="1740" ht="12">
      <c r="F1740" s="354"/>
    </row>
    <row r="1741" ht="12">
      <c r="F1741" s="354"/>
    </row>
    <row r="1742" ht="12">
      <c r="F1742" s="354"/>
    </row>
    <row r="1743" ht="12">
      <c r="F1743" s="354"/>
    </row>
    <row r="1744" ht="12">
      <c r="F1744" s="354"/>
    </row>
    <row r="1745" ht="12">
      <c r="F1745" s="354"/>
    </row>
    <row r="1746" ht="12">
      <c r="F1746" s="354"/>
    </row>
    <row r="1747" ht="12">
      <c r="F1747" s="354"/>
    </row>
    <row r="1748" ht="12">
      <c r="F1748" s="354"/>
    </row>
    <row r="1749" ht="12">
      <c r="F1749" s="354"/>
    </row>
    <row r="1750" ht="12">
      <c r="F1750" s="354"/>
    </row>
    <row r="1751" ht="12">
      <c r="F1751" s="354"/>
    </row>
    <row r="1752" ht="12">
      <c r="F1752" s="354"/>
    </row>
    <row r="1753" ht="12">
      <c r="F1753" s="354"/>
    </row>
    <row r="1754" ht="12">
      <c r="F1754" s="354"/>
    </row>
    <row r="1755" ht="12">
      <c r="F1755" s="354"/>
    </row>
    <row r="1756" ht="12">
      <c r="F1756" s="354"/>
    </row>
    <row r="1757" ht="12">
      <c r="F1757" s="354"/>
    </row>
    <row r="1758" ht="12">
      <c r="F1758" s="354"/>
    </row>
    <row r="1759" ht="12">
      <c r="F1759" s="354"/>
    </row>
    <row r="1760" ht="12">
      <c r="F1760" s="354"/>
    </row>
    <row r="1761" ht="12">
      <c r="F1761" s="354"/>
    </row>
    <row r="1762" ht="12">
      <c r="F1762" s="354"/>
    </row>
    <row r="1763" ht="12">
      <c r="F1763" s="354"/>
    </row>
    <row r="1764" ht="12">
      <c r="F1764" s="354"/>
    </row>
    <row r="1765" ht="12">
      <c r="F1765" s="354"/>
    </row>
    <row r="1766" ht="12">
      <c r="F1766" s="354"/>
    </row>
    <row r="1767" ht="12">
      <c r="F1767" s="354"/>
    </row>
    <row r="1768" ht="12">
      <c r="F1768" s="354"/>
    </row>
    <row r="1769" ht="12">
      <c r="F1769" s="354"/>
    </row>
    <row r="1770" ht="12">
      <c r="F1770" s="354"/>
    </row>
    <row r="1771" ht="12">
      <c r="F1771" s="354"/>
    </row>
    <row r="1772" ht="12">
      <c r="F1772" s="354"/>
    </row>
    <row r="1773" ht="12">
      <c r="F1773" s="354"/>
    </row>
    <row r="1774" ht="12">
      <c r="F1774" s="354"/>
    </row>
    <row r="1775" ht="12">
      <c r="F1775" s="354"/>
    </row>
    <row r="1776" ht="12">
      <c r="F1776" s="354"/>
    </row>
    <row r="1777" ht="12">
      <c r="F1777" s="354"/>
    </row>
    <row r="1778" ht="12">
      <c r="F1778" s="354"/>
    </row>
    <row r="1779" ht="12">
      <c r="F1779" s="354"/>
    </row>
    <row r="1780" ht="12">
      <c r="F1780" s="354"/>
    </row>
    <row r="1781" ht="12">
      <c r="F1781" s="354"/>
    </row>
    <row r="1782" ht="12">
      <c r="F1782" s="354"/>
    </row>
    <row r="1783" ht="12">
      <c r="F1783" s="354"/>
    </row>
    <row r="1784" ht="12">
      <c r="F1784" s="354"/>
    </row>
    <row r="1785" ht="12">
      <c r="F1785" s="354"/>
    </row>
    <row r="1786" ht="12">
      <c r="F1786" s="354"/>
    </row>
    <row r="1787" ht="12">
      <c r="F1787" s="354"/>
    </row>
    <row r="1788" ht="12">
      <c r="F1788" s="354"/>
    </row>
    <row r="1789" ht="12">
      <c r="F1789" s="354"/>
    </row>
    <row r="1790" ht="12">
      <c r="F1790" s="354"/>
    </row>
    <row r="1791" ht="12">
      <c r="F1791" s="354"/>
    </row>
    <row r="1792" ht="12">
      <c r="F1792" s="354"/>
    </row>
    <row r="1793" ht="12">
      <c r="F1793" s="354"/>
    </row>
    <row r="1794" ht="12">
      <c r="F1794" s="354"/>
    </row>
    <row r="1795" ht="12">
      <c r="F1795" s="354"/>
    </row>
    <row r="1796" ht="12">
      <c r="F1796" s="354"/>
    </row>
    <row r="1797" ht="12">
      <c r="F1797" s="354"/>
    </row>
    <row r="1798" ht="12">
      <c r="F1798" s="354"/>
    </row>
    <row r="1799" ht="12">
      <c r="F1799" s="354"/>
    </row>
    <row r="1800" ht="12">
      <c r="F1800" s="354"/>
    </row>
    <row r="1801" ht="12">
      <c r="F1801" s="354"/>
    </row>
    <row r="1802" ht="12">
      <c r="F1802" s="354"/>
    </row>
    <row r="1803" ht="12">
      <c r="F1803" s="354"/>
    </row>
    <row r="1804" ht="12">
      <c r="F1804" s="354"/>
    </row>
    <row r="1805" ht="12">
      <c r="F1805" s="354"/>
    </row>
    <row r="1806" ht="12">
      <c r="F1806" s="354"/>
    </row>
    <row r="1807" ht="12">
      <c r="F1807" s="354"/>
    </row>
    <row r="1808" ht="12">
      <c r="F1808" s="354"/>
    </row>
    <row r="1809" ht="12">
      <c r="F1809" s="354"/>
    </row>
    <row r="1810" ht="12">
      <c r="F1810" s="354"/>
    </row>
    <row r="1811" ht="12">
      <c r="F1811" s="354"/>
    </row>
    <row r="1812" ht="12">
      <c r="F1812" s="354"/>
    </row>
    <row r="1813" ht="12">
      <c r="F1813" s="354"/>
    </row>
    <row r="1814" ht="12">
      <c r="F1814" s="354"/>
    </row>
    <row r="1815" ht="12">
      <c r="F1815" s="354"/>
    </row>
    <row r="1816" ht="12">
      <c r="F1816" s="354"/>
    </row>
    <row r="1817" ht="12">
      <c r="F1817" s="354"/>
    </row>
    <row r="1818" ht="12">
      <c r="F1818" s="354"/>
    </row>
    <row r="1819" ht="12">
      <c r="F1819" s="354"/>
    </row>
    <row r="1820" ht="12">
      <c r="F1820" s="354"/>
    </row>
    <row r="1821" ht="12">
      <c r="F1821" s="354"/>
    </row>
    <row r="1822" ht="12">
      <c r="F1822" s="354"/>
    </row>
    <row r="1823" ht="12">
      <c r="F1823" s="354"/>
    </row>
    <row r="1824" ht="12">
      <c r="F1824" s="354"/>
    </row>
    <row r="1825" ht="12">
      <c r="F1825" s="354"/>
    </row>
    <row r="1826" ht="12">
      <c r="F1826" s="354"/>
    </row>
    <row r="1827" ht="12">
      <c r="F1827" s="354"/>
    </row>
    <row r="1828" ht="12">
      <c r="F1828" s="354"/>
    </row>
    <row r="1829" ht="12">
      <c r="F1829" s="354"/>
    </row>
    <row r="1830" ht="12">
      <c r="F1830" s="354"/>
    </row>
    <row r="1831" ht="12">
      <c r="F1831" s="354"/>
    </row>
    <row r="1832" ht="12">
      <c r="F1832" s="354"/>
    </row>
    <row r="1833" ht="12">
      <c r="F1833" s="354"/>
    </row>
    <row r="1834" ht="12">
      <c r="F1834" s="354"/>
    </row>
    <row r="1835" ht="12">
      <c r="F1835" s="354"/>
    </row>
    <row r="1836" ht="12">
      <c r="F1836" s="354"/>
    </row>
    <row r="1837" ht="12">
      <c r="F1837" s="354"/>
    </row>
    <row r="1838" ht="12">
      <c r="F1838" s="354"/>
    </row>
    <row r="1839" ht="12">
      <c r="F1839" s="354"/>
    </row>
    <row r="1840" ht="12">
      <c r="F1840" s="354"/>
    </row>
    <row r="1841" ht="12">
      <c r="F1841" s="354"/>
    </row>
    <row r="1842" ht="12">
      <c r="F1842" s="354"/>
    </row>
    <row r="1843" ht="12">
      <c r="F1843" s="354"/>
    </row>
    <row r="1844" ht="12">
      <c r="F1844" s="354"/>
    </row>
    <row r="1845" ht="12">
      <c r="F1845" s="354"/>
    </row>
    <row r="1846" ht="12">
      <c r="F1846" s="354"/>
    </row>
    <row r="1847" ht="12">
      <c r="F1847" s="354"/>
    </row>
    <row r="1848" ht="12">
      <c r="F1848" s="354"/>
    </row>
    <row r="1849" ht="12">
      <c r="F1849" s="354"/>
    </row>
    <row r="1850" ht="12">
      <c r="F1850" s="354"/>
    </row>
    <row r="1851" ht="12">
      <c r="F1851" s="354"/>
    </row>
    <row r="1852" ht="12">
      <c r="F1852" s="354"/>
    </row>
    <row r="1853" ht="12">
      <c r="F1853" s="354"/>
    </row>
    <row r="1854" ht="12">
      <c r="F1854" s="354"/>
    </row>
    <row r="1855" ht="12">
      <c r="F1855" s="354"/>
    </row>
    <row r="1856" ht="12">
      <c r="F1856" s="354"/>
    </row>
    <row r="1857" ht="12">
      <c r="F1857" s="354"/>
    </row>
    <row r="1858" ht="12">
      <c r="F1858" s="354"/>
    </row>
    <row r="1859" ht="12">
      <c r="F1859" s="354"/>
    </row>
    <row r="1860" ht="12">
      <c r="F1860" s="354"/>
    </row>
    <row r="1861" ht="12">
      <c r="F1861" s="354"/>
    </row>
    <row r="1862" ht="12">
      <c r="F1862" s="354"/>
    </row>
    <row r="1863" ht="12">
      <c r="F1863" s="354"/>
    </row>
    <row r="1864" ht="12">
      <c r="F1864" s="354"/>
    </row>
    <row r="1865" ht="12">
      <c r="F1865" s="354"/>
    </row>
    <row r="1866" ht="12">
      <c r="F1866" s="354"/>
    </row>
    <row r="1867" ht="12">
      <c r="F1867" s="354"/>
    </row>
    <row r="1868" ht="12">
      <c r="F1868" s="354"/>
    </row>
    <row r="1869" ht="12">
      <c r="F1869" s="354"/>
    </row>
    <row r="1870" ht="12">
      <c r="F1870" s="354"/>
    </row>
    <row r="1871" ht="12">
      <c r="F1871" s="354"/>
    </row>
    <row r="1872" ht="12">
      <c r="F1872" s="354"/>
    </row>
    <row r="1873" ht="12">
      <c r="F1873" s="354"/>
    </row>
    <row r="1874" ht="12">
      <c r="F1874" s="354"/>
    </row>
    <row r="1875" ht="12">
      <c r="F1875" s="354"/>
    </row>
    <row r="1876" ht="12">
      <c r="F1876" s="354"/>
    </row>
    <row r="1877" ht="12">
      <c r="F1877" s="354"/>
    </row>
    <row r="1878" ht="12">
      <c r="F1878" s="354"/>
    </row>
    <row r="1879" ht="12">
      <c r="F1879" s="354"/>
    </row>
    <row r="1880" ht="12">
      <c r="F1880" s="354"/>
    </row>
    <row r="1881" ht="12">
      <c r="F1881" s="354"/>
    </row>
    <row r="1882" ht="12">
      <c r="F1882" s="354"/>
    </row>
    <row r="1883" ht="12">
      <c r="F1883" s="354"/>
    </row>
    <row r="1884" ht="12">
      <c r="F1884" s="354"/>
    </row>
    <row r="1885" ht="12">
      <c r="F1885" s="354"/>
    </row>
    <row r="1886" ht="12">
      <c r="F1886" s="354"/>
    </row>
    <row r="1887" ht="12">
      <c r="F1887" s="354"/>
    </row>
    <row r="1888" ht="12">
      <c r="F1888" s="354"/>
    </row>
    <row r="1889" ht="12">
      <c r="F1889" s="354"/>
    </row>
    <row r="1890" ht="12">
      <c r="F1890" s="354"/>
    </row>
    <row r="1891" ht="12">
      <c r="F1891" s="354"/>
    </row>
    <row r="1892" ht="12">
      <c r="F1892" s="354"/>
    </row>
    <row r="1893" ht="12">
      <c r="F1893" s="354"/>
    </row>
    <row r="1894" ht="12">
      <c r="F1894" s="354"/>
    </row>
    <row r="1895" ht="12">
      <c r="F1895" s="354"/>
    </row>
    <row r="1896" ht="12">
      <c r="F1896" s="354"/>
    </row>
    <row r="1897" ht="12">
      <c r="F1897" s="354"/>
    </row>
    <row r="1898" ht="12">
      <c r="F1898" s="354"/>
    </row>
    <row r="1899" ht="12">
      <c r="F1899" s="354"/>
    </row>
    <row r="1900" ht="12">
      <c r="F1900" s="354"/>
    </row>
    <row r="1901" ht="12">
      <c r="F1901" s="354"/>
    </row>
    <row r="1902" ht="12">
      <c r="F1902" s="354"/>
    </row>
    <row r="1903" ht="12">
      <c r="F1903" s="354"/>
    </row>
    <row r="1904" ht="12">
      <c r="F1904" s="354"/>
    </row>
    <row r="1905" ht="12">
      <c r="F1905" s="354"/>
    </row>
    <row r="1906" ht="12">
      <c r="F1906" s="354"/>
    </row>
    <row r="1907" ht="12">
      <c r="F1907" s="354"/>
    </row>
    <row r="1908" ht="12">
      <c r="F1908" s="354"/>
    </row>
    <row r="1909" ht="12">
      <c r="F1909" s="354"/>
    </row>
    <row r="1910" ht="12">
      <c r="F1910" s="354"/>
    </row>
    <row r="1911" ht="12">
      <c r="F1911" s="354"/>
    </row>
    <row r="1912" ht="12">
      <c r="F1912" s="354"/>
    </row>
    <row r="1913" ht="12">
      <c r="F1913" s="354"/>
    </row>
    <row r="1914" ht="12">
      <c r="F1914" s="354"/>
    </row>
    <row r="1915" ht="12">
      <c r="F1915" s="354"/>
    </row>
    <row r="1916" ht="12">
      <c r="F1916" s="354"/>
    </row>
    <row r="1917" ht="12">
      <c r="F1917" s="354"/>
    </row>
    <row r="1918" ht="12">
      <c r="F1918" s="354"/>
    </row>
    <row r="1919" ht="12">
      <c r="F1919" s="354"/>
    </row>
    <row r="1920" ht="12">
      <c r="F1920" s="354"/>
    </row>
    <row r="1921" ht="12">
      <c r="F1921" s="354"/>
    </row>
    <row r="1922" ht="12">
      <c r="F1922" s="354"/>
    </row>
    <row r="1923" ht="12">
      <c r="F1923" s="354"/>
    </row>
    <row r="1924" ht="12">
      <c r="F1924" s="354"/>
    </row>
    <row r="1925" ht="12">
      <c r="F1925" s="354"/>
    </row>
    <row r="1926" ht="12">
      <c r="F1926" s="354"/>
    </row>
    <row r="1927" ht="12">
      <c r="F1927" s="354"/>
    </row>
    <row r="1928" ht="12">
      <c r="F1928" s="354"/>
    </row>
    <row r="1929" ht="12">
      <c r="F1929" s="354"/>
    </row>
    <row r="1930" ht="12">
      <c r="F1930" s="354"/>
    </row>
    <row r="1931" ht="12">
      <c r="F1931" s="354"/>
    </row>
    <row r="1932" ht="12">
      <c r="F1932" s="354"/>
    </row>
    <row r="1933" ht="12">
      <c r="F1933" s="354"/>
    </row>
    <row r="1934" ht="12">
      <c r="F1934" s="354"/>
    </row>
    <row r="1935" ht="12">
      <c r="F1935" s="354"/>
    </row>
    <row r="1936" ht="12">
      <c r="F1936" s="354"/>
    </row>
    <row r="1937" ht="12">
      <c r="F1937" s="354"/>
    </row>
    <row r="1938" ht="12">
      <c r="F1938" s="354"/>
    </row>
    <row r="1939" ht="12">
      <c r="F1939" s="354"/>
    </row>
    <row r="1940" ht="12">
      <c r="F1940" s="354"/>
    </row>
    <row r="1941" ht="12">
      <c r="F1941" s="354"/>
    </row>
    <row r="1942" ht="12">
      <c r="F1942" s="354"/>
    </row>
    <row r="1943" ht="12">
      <c r="F1943" s="354"/>
    </row>
    <row r="1944" ht="12">
      <c r="F1944" s="354"/>
    </row>
    <row r="1945" ht="12">
      <c r="F1945" s="354"/>
    </row>
    <row r="1946" ht="12">
      <c r="F1946" s="354"/>
    </row>
    <row r="1947" ht="12">
      <c r="F1947" s="354"/>
    </row>
    <row r="1948" ht="12">
      <c r="F1948" s="354"/>
    </row>
    <row r="1949" ht="12">
      <c r="F1949" s="354"/>
    </row>
    <row r="1950" ht="12">
      <c r="F1950" s="354"/>
    </row>
    <row r="1951" ht="12">
      <c r="F1951" s="354"/>
    </row>
    <row r="1952" ht="12">
      <c r="F1952" s="354"/>
    </row>
    <row r="1953" ht="12">
      <c r="F1953" s="354"/>
    </row>
    <row r="1954" ht="12">
      <c r="F1954" s="354"/>
    </row>
    <row r="1955" ht="12">
      <c r="F1955" s="354"/>
    </row>
    <row r="1956" ht="12">
      <c r="F1956" s="354"/>
    </row>
    <row r="1957" ht="12">
      <c r="F1957" s="354"/>
    </row>
    <row r="1958" ht="12">
      <c r="F1958" s="354"/>
    </row>
    <row r="1959" ht="12">
      <c r="F1959" s="354"/>
    </row>
    <row r="1960" ht="12">
      <c r="F1960" s="354"/>
    </row>
    <row r="1961" ht="12">
      <c r="F1961" s="354"/>
    </row>
    <row r="1962" ht="12">
      <c r="F1962" s="354"/>
    </row>
    <row r="1963" ht="12">
      <c r="F1963" s="354"/>
    </row>
    <row r="1964" ht="12">
      <c r="F1964" s="354"/>
    </row>
    <row r="1965" ht="12">
      <c r="F1965" s="354"/>
    </row>
    <row r="1966" ht="12">
      <c r="F1966" s="354"/>
    </row>
    <row r="1967" ht="12">
      <c r="F1967" s="354"/>
    </row>
    <row r="1968" ht="12">
      <c r="F1968" s="354"/>
    </row>
    <row r="1969" ht="12">
      <c r="F1969" s="354"/>
    </row>
    <row r="1970" ht="12">
      <c r="F1970" s="354"/>
    </row>
    <row r="1971" ht="12">
      <c r="F1971" s="354"/>
    </row>
    <row r="1972" ht="12">
      <c r="F1972" s="354"/>
    </row>
    <row r="1973" ht="12">
      <c r="F1973" s="354"/>
    </row>
    <row r="1974" ht="12">
      <c r="F1974" s="354"/>
    </row>
    <row r="1975" ht="12">
      <c r="F1975" s="354"/>
    </row>
    <row r="1976" ht="12">
      <c r="F1976" s="354"/>
    </row>
    <row r="1977" ht="12">
      <c r="F1977" s="354"/>
    </row>
    <row r="1978" ht="12">
      <c r="F1978" s="354"/>
    </row>
    <row r="1979" ht="12">
      <c r="F1979" s="354"/>
    </row>
    <row r="1980" ht="12">
      <c r="F1980" s="354"/>
    </row>
    <row r="1981" ht="12">
      <c r="F1981" s="354"/>
    </row>
    <row r="1982" ht="12">
      <c r="F1982" s="354"/>
    </row>
    <row r="1983" ht="12">
      <c r="F1983" s="354"/>
    </row>
    <row r="1984" ht="12">
      <c r="F1984" s="354"/>
    </row>
    <row r="1985" ht="12">
      <c r="F1985" s="354"/>
    </row>
    <row r="1986" ht="12">
      <c r="F1986" s="354"/>
    </row>
    <row r="1987" ht="12">
      <c r="F1987" s="354"/>
    </row>
    <row r="1988" ht="12">
      <c r="F1988" s="354"/>
    </row>
    <row r="1989" ht="12">
      <c r="F1989" s="354"/>
    </row>
    <row r="1990" ht="12">
      <c r="F1990" s="354"/>
    </row>
    <row r="1991" ht="12">
      <c r="F1991" s="354"/>
    </row>
    <row r="1992" ht="12">
      <c r="F1992" s="354"/>
    </row>
    <row r="1993" ht="12">
      <c r="F1993" s="354"/>
    </row>
    <row r="1994" ht="12">
      <c r="F1994" s="354"/>
    </row>
    <row r="1995" ht="12">
      <c r="F1995" s="354"/>
    </row>
    <row r="1996" ht="12">
      <c r="F1996" s="354"/>
    </row>
    <row r="1997" ht="12">
      <c r="F1997" s="354"/>
    </row>
    <row r="1998" ht="12">
      <c r="F1998" s="354"/>
    </row>
    <row r="1999" ht="12">
      <c r="F1999" s="354"/>
    </row>
    <row r="2000" ht="12">
      <c r="F2000" s="354"/>
    </row>
    <row r="2001" ht="12">
      <c r="F2001" s="354"/>
    </row>
    <row r="2002" ht="12">
      <c r="F2002" s="354"/>
    </row>
    <row r="2003" ht="12">
      <c r="F2003" s="354"/>
    </row>
    <row r="2004" ht="12">
      <c r="F2004" s="354"/>
    </row>
    <row r="2005" ht="12">
      <c r="F2005" s="354"/>
    </row>
    <row r="2006" ht="12">
      <c r="F2006" s="354"/>
    </row>
    <row r="2007" ht="12">
      <c r="F2007" s="354"/>
    </row>
    <row r="2008" ht="12">
      <c r="F2008" s="354"/>
    </row>
    <row r="2009" ht="12">
      <c r="F2009" s="354"/>
    </row>
    <row r="2010" ht="12">
      <c r="F2010" s="354"/>
    </row>
    <row r="2011" ht="12">
      <c r="F2011" s="354"/>
    </row>
    <row r="2012" ht="12">
      <c r="F2012" s="354"/>
    </row>
    <row r="2013" ht="12">
      <c r="F2013" s="354"/>
    </row>
    <row r="2014" ht="12">
      <c r="F2014" s="354"/>
    </row>
    <row r="2015" ht="12">
      <c r="F2015" s="354"/>
    </row>
    <row r="2016" ht="12">
      <c r="F2016" s="354"/>
    </row>
    <row r="2017" ht="12">
      <c r="F2017" s="354"/>
    </row>
    <row r="2018" ht="12">
      <c r="F2018" s="354"/>
    </row>
    <row r="2019" ht="12">
      <c r="F2019" s="354"/>
    </row>
    <row r="2020" ht="12">
      <c r="F2020" s="354"/>
    </row>
    <row r="2021" ht="12">
      <c r="F2021" s="354"/>
    </row>
    <row r="2022" ht="12">
      <c r="F2022" s="354"/>
    </row>
    <row r="2023" ht="12">
      <c r="F2023" s="354"/>
    </row>
    <row r="2024" ht="12">
      <c r="F2024" s="354"/>
    </row>
    <row r="2025" ht="12">
      <c r="F2025" s="354"/>
    </row>
    <row r="2026" ht="12">
      <c r="F2026" s="354"/>
    </row>
    <row r="2027" ht="12">
      <c r="F2027" s="354"/>
    </row>
    <row r="2028" ht="12">
      <c r="F2028" s="354"/>
    </row>
    <row r="2029" ht="12">
      <c r="F2029" s="354"/>
    </row>
    <row r="2030" ht="12">
      <c r="F2030" s="354"/>
    </row>
    <row r="2031" ht="12">
      <c r="F2031" s="354"/>
    </row>
    <row r="2032" ht="12">
      <c r="F2032" s="354"/>
    </row>
    <row r="2033" ht="12">
      <c r="F2033" s="354"/>
    </row>
    <row r="2034" ht="12">
      <c r="F2034" s="354"/>
    </row>
    <row r="2035" ht="12">
      <c r="F2035" s="354"/>
    </row>
    <row r="2036" ht="12">
      <c r="F2036" s="354"/>
    </row>
    <row r="2037" ht="12">
      <c r="F2037" s="354"/>
    </row>
    <row r="2038" ht="12">
      <c r="F2038" s="354"/>
    </row>
    <row r="2039" ht="12">
      <c r="F2039" s="354"/>
    </row>
    <row r="2040" ht="12">
      <c r="F2040" s="354"/>
    </row>
    <row r="2041" ht="12">
      <c r="F2041" s="354"/>
    </row>
    <row r="2042" ht="12">
      <c r="F2042" s="354"/>
    </row>
    <row r="2043" ht="12">
      <c r="F2043" s="354"/>
    </row>
    <row r="2044" ht="12">
      <c r="F2044" s="354"/>
    </row>
    <row r="2045" ht="12">
      <c r="F2045" s="354"/>
    </row>
    <row r="2046" ht="12">
      <c r="F2046" s="354"/>
    </row>
    <row r="2047" ht="12">
      <c r="F2047" s="354"/>
    </row>
    <row r="2048" ht="12">
      <c r="F2048" s="354"/>
    </row>
    <row r="2049" ht="12">
      <c r="F2049" s="354"/>
    </row>
    <row r="2050" ht="12">
      <c r="F2050" s="354"/>
    </row>
    <row r="2051" ht="12">
      <c r="F2051" s="354"/>
    </row>
    <row r="2052" ht="12">
      <c r="F2052" s="354"/>
    </row>
    <row r="2053" ht="12">
      <c r="F2053" s="354"/>
    </row>
    <row r="2054" ht="12">
      <c r="F2054" s="354"/>
    </row>
    <row r="2055" ht="12">
      <c r="F2055" s="354"/>
    </row>
    <row r="2056" ht="12">
      <c r="F2056" s="354"/>
    </row>
    <row r="2057" ht="12">
      <c r="F2057" s="354"/>
    </row>
    <row r="2058" ht="12">
      <c r="F2058" s="354"/>
    </row>
    <row r="2059" ht="12">
      <c r="F2059" s="354"/>
    </row>
    <row r="2060" ht="12">
      <c r="F2060" s="354"/>
    </row>
    <row r="2061" ht="12">
      <c r="F2061" s="354"/>
    </row>
    <row r="2062" ht="12">
      <c r="F2062" s="354"/>
    </row>
    <row r="2063" ht="12">
      <c r="F2063" s="354"/>
    </row>
    <row r="2064" ht="12">
      <c r="F2064" s="354"/>
    </row>
    <row r="2065" ht="12">
      <c r="F2065" s="354"/>
    </row>
    <row r="2066" ht="12">
      <c r="F2066" s="354"/>
    </row>
    <row r="2067" ht="12">
      <c r="F2067" s="354"/>
    </row>
    <row r="2068" ht="12">
      <c r="F2068" s="354"/>
    </row>
    <row r="2069" ht="12">
      <c r="F2069" s="354"/>
    </row>
    <row r="2070" ht="12">
      <c r="F2070" s="354"/>
    </row>
    <row r="2071" ht="12">
      <c r="F2071" s="354"/>
    </row>
    <row r="2072" ht="12">
      <c r="F2072" s="354"/>
    </row>
    <row r="2073" ht="12">
      <c r="F2073" s="354"/>
    </row>
    <row r="2074" ht="12">
      <c r="F2074" s="354"/>
    </row>
    <row r="2075" ht="12">
      <c r="F2075" s="354"/>
    </row>
    <row r="2076" ht="12">
      <c r="F2076" s="354"/>
    </row>
    <row r="2077" ht="12">
      <c r="F2077" s="354"/>
    </row>
    <row r="2078" ht="12">
      <c r="F2078" s="354"/>
    </row>
    <row r="2079" ht="12">
      <c r="F2079" s="354"/>
    </row>
    <row r="2080" ht="12">
      <c r="F2080" s="354"/>
    </row>
    <row r="2081" ht="12">
      <c r="F2081" s="354"/>
    </row>
    <row r="2082" ht="12">
      <c r="F2082" s="354"/>
    </row>
    <row r="2083" ht="12">
      <c r="F2083" s="354"/>
    </row>
    <row r="2084" ht="12">
      <c r="F2084" s="354"/>
    </row>
    <row r="2085" ht="12">
      <c r="F2085" s="354"/>
    </row>
    <row r="2086" ht="12">
      <c r="F2086" s="354"/>
    </row>
    <row r="2087" ht="12">
      <c r="F2087" s="354"/>
    </row>
    <row r="2088" ht="12">
      <c r="F2088" s="354"/>
    </row>
    <row r="2089" ht="12">
      <c r="F2089" s="354"/>
    </row>
    <row r="2090" ht="12">
      <c r="F2090" s="354"/>
    </row>
    <row r="2091" ht="12">
      <c r="F2091" s="354"/>
    </row>
    <row r="2092" ht="12">
      <c r="F2092" s="354"/>
    </row>
    <row r="2093" ht="12">
      <c r="F2093" s="354"/>
    </row>
    <row r="2094" ht="12">
      <c r="F2094" s="354"/>
    </row>
    <row r="2095" ht="12">
      <c r="F2095" s="354"/>
    </row>
    <row r="2096" ht="12">
      <c r="F2096" s="354"/>
    </row>
    <row r="2097" ht="12">
      <c r="F2097" s="354"/>
    </row>
    <row r="2098" ht="12">
      <c r="F2098" s="354"/>
    </row>
    <row r="2099" ht="12">
      <c r="F2099" s="354"/>
    </row>
    <row r="2100" ht="12">
      <c r="F2100" s="354"/>
    </row>
    <row r="2101" ht="12">
      <c r="F2101" s="354"/>
    </row>
    <row r="2102" ht="12">
      <c r="F2102" s="354"/>
    </row>
    <row r="2103" ht="12">
      <c r="F2103" s="354"/>
    </row>
    <row r="2104" ht="12">
      <c r="F2104" s="354"/>
    </row>
    <row r="2105" ht="12">
      <c r="F2105" s="354"/>
    </row>
    <row r="2106" ht="12">
      <c r="F2106" s="354"/>
    </row>
    <row r="2107" ht="12">
      <c r="F2107" s="354"/>
    </row>
    <row r="2108" ht="12">
      <c r="F2108" s="354"/>
    </row>
    <row r="2109" ht="12">
      <c r="F2109" s="354"/>
    </row>
    <row r="2110" ht="12">
      <c r="F2110" s="354"/>
    </row>
    <row r="2111" ht="12">
      <c r="F2111" s="354"/>
    </row>
    <row r="2112" ht="12">
      <c r="F2112" s="354"/>
    </row>
    <row r="2113" ht="12">
      <c r="F2113" s="354"/>
    </row>
    <row r="2114" ht="12">
      <c r="F2114" s="354"/>
    </row>
    <row r="2115" ht="12">
      <c r="F2115" s="354"/>
    </row>
    <row r="2116" ht="12">
      <c r="F2116" s="354"/>
    </row>
    <row r="2117" ht="12">
      <c r="F2117" s="354"/>
    </row>
    <row r="2118" ht="12">
      <c r="F2118" s="354"/>
    </row>
    <row r="2119" ht="12">
      <c r="F2119" s="354"/>
    </row>
    <row r="2120" ht="12">
      <c r="F2120" s="354"/>
    </row>
    <row r="2121" ht="12">
      <c r="F2121" s="354"/>
    </row>
    <row r="2122" ht="12">
      <c r="F2122" s="354"/>
    </row>
    <row r="2123" ht="12">
      <c r="F2123" s="354"/>
    </row>
    <row r="2124" ht="12">
      <c r="F2124" s="354"/>
    </row>
    <row r="2125" ht="12">
      <c r="F2125" s="354"/>
    </row>
    <row r="2126" ht="12">
      <c r="F2126" s="354"/>
    </row>
    <row r="2127" ht="12">
      <c r="F2127" s="354"/>
    </row>
    <row r="2128" ht="12">
      <c r="F2128" s="354"/>
    </row>
    <row r="2129" ht="12">
      <c r="F2129" s="354"/>
    </row>
    <row r="2130" ht="12">
      <c r="F2130" s="354"/>
    </row>
    <row r="2131" ht="12">
      <c r="F2131" s="354"/>
    </row>
    <row r="2132" ht="12">
      <c r="F2132" s="354"/>
    </row>
    <row r="2133" ht="12">
      <c r="F2133" s="354"/>
    </row>
    <row r="2134" ht="12">
      <c r="F2134" s="354"/>
    </row>
    <row r="2135" ht="12">
      <c r="F2135" s="354"/>
    </row>
    <row r="2136" ht="12">
      <c r="F2136" s="354"/>
    </row>
    <row r="2137" ht="12">
      <c r="F2137" s="354"/>
    </row>
    <row r="2138" ht="12">
      <c r="F2138" s="354"/>
    </row>
    <row r="2139" ht="12">
      <c r="F2139" s="354"/>
    </row>
    <row r="2140" ht="12">
      <c r="F2140" s="354"/>
    </row>
    <row r="2141" ht="12">
      <c r="F2141" s="354"/>
    </row>
    <row r="2142" ht="12">
      <c r="F2142" s="354"/>
    </row>
    <row r="2143" ht="12">
      <c r="F2143" s="354"/>
    </row>
    <row r="2144" ht="12">
      <c r="F2144" s="354"/>
    </row>
    <row r="2145" ht="12">
      <c r="F2145" s="354"/>
    </row>
    <row r="2146" ht="12">
      <c r="F2146" s="354"/>
    </row>
    <row r="2147" ht="12">
      <c r="F2147" s="354"/>
    </row>
    <row r="2148" ht="12">
      <c r="F2148" s="354"/>
    </row>
    <row r="2149" ht="12">
      <c r="F2149" s="354"/>
    </row>
    <row r="2150" ht="12">
      <c r="F2150" s="354"/>
    </row>
    <row r="2151" ht="12">
      <c r="F2151" s="354"/>
    </row>
    <row r="2152" ht="12">
      <c r="F2152" s="354"/>
    </row>
    <row r="2153" ht="12">
      <c r="F2153" s="354"/>
    </row>
    <row r="2154" ht="12">
      <c r="F2154" s="354"/>
    </row>
    <row r="2155" ht="12">
      <c r="F2155" s="354"/>
    </row>
    <row r="2156" ht="12">
      <c r="F2156" s="354"/>
    </row>
    <row r="2157" ht="12">
      <c r="F2157" s="354"/>
    </row>
    <row r="2158" ht="12">
      <c r="F2158" s="354"/>
    </row>
    <row r="2159" ht="12">
      <c r="F2159" s="354"/>
    </row>
    <row r="2160" ht="12">
      <c r="F2160" s="354"/>
    </row>
    <row r="2161" ht="12">
      <c r="F2161" s="354"/>
    </row>
    <row r="2162" ht="12">
      <c r="F2162" s="354"/>
    </row>
    <row r="2163" ht="12">
      <c r="F2163" s="354"/>
    </row>
    <row r="2164" ht="12">
      <c r="F2164" s="354"/>
    </row>
    <row r="2165" ht="12">
      <c r="F2165" s="354"/>
    </row>
    <row r="2166" ht="12">
      <c r="F2166" s="354"/>
    </row>
    <row r="2167" ht="12">
      <c r="F2167" s="354"/>
    </row>
    <row r="2168" ht="12">
      <c r="F2168" s="354"/>
    </row>
    <row r="2169" ht="12">
      <c r="F2169" s="354"/>
    </row>
    <row r="2170" ht="12">
      <c r="F2170" s="354"/>
    </row>
    <row r="2171" ht="12">
      <c r="F2171" s="354"/>
    </row>
    <row r="2172" ht="12">
      <c r="F2172" s="354"/>
    </row>
    <row r="2173" ht="12">
      <c r="F2173" s="354"/>
    </row>
    <row r="2174" ht="12">
      <c r="F2174" s="354"/>
    </row>
    <row r="2175" ht="12">
      <c r="F2175" s="354"/>
    </row>
    <row r="2176" ht="12">
      <c r="F2176" s="354"/>
    </row>
    <row r="2177" ht="12">
      <c r="F2177" s="354"/>
    </row>
    <row r="2178" ht="12">
      <c r="F2178" s="354"/>
    </row>
    <row r="2179" ht="12">
      <c r="F2179" s="354"/>
    </row>
    <row r="2180" ht="12">
      <c r="F2180" s="354"/>
    </row>
    <row r="2181" ht="12">
      <c r="F2181" s="354"/>
    </row>
    <row r="2182" ht="12">
      <c r="F2182" s="354"/>
    </row>
    <row r="2183" ht="12">
      <c r="F2183" s="354"/>
    </row>
    <row r="2184" ht="12">
      <c r="F2184" s="354"/>
    </row>
    <row r="2185" ht="12">
      <c r="F2185" s="354"/>
    </row>
    <row r="2186" ht="12">
      <c r="F2186" s="354"/>
    </row>
    <row r="2187" ht="12">
      <c r="F2187" s="354"/>
    </row>
    <row r="2188" ht="12">
      <c r="F2188" s="354"/>
    </row>
    <row r="2189" ht="12">
      <c r="F2189" s="354"/>
    </row>
    <row r="2190" ht="12">
      <c r="F2190" s="354"/>
    </row>
    <row r="2191" ht="12">
      <c r="F2191" s="354"/>
    </row>
    <row r="2192" ht="12">
      <c r="F2192" s="354"/>
    </row>
    <row r="2193" ht="12">
      <c r="F2193" s="354"/>
    </row>
    <row r="2194" ht="12">
      <c r="F2194" s="354"/>
    </row>
    <row r="2195" ht="12">
      <c r="F2195" s="354"/>
    </row>
    <row r="2196" ht="12">
      <c r="F2196" s="354"/>
    </row>
    <row r="2197" ht="12">
      <c r="F2197" s="354"/>
    </row>
    <row r="2198" ht="12">
      <c r="F2198" s="354"/>
    </row>
    <row r="2199" ht="12">
      <c r="F2199" s="354"/>
    </row>
    <row r="2200" ht="12">
      <c r="F2200" s="354"/>
    </row>
    <row r="2201" ht="12">
      <c r="F2201" s="354"/>
    </row>
    <row r="2202" ht="12">
      <c r="F2202" s="354"/>
    </row>
    <row r="2203" ht="12">
      <c r="F2203" s="354"/>
    </row>
    <row r="2204" ht="12">
      <c r="F2204" s="354"/>
    </row>
    <row r="2205" ht="12">
      <c r="F2205" s="354"/>
    </row>
    <row r="2206" ht="12">
      <c r="F2206" s="354"/>
    </row>
    <row r="2207" ht="12">
      <c r="F2207" s="354"/>
    </row>
    <row r="2208" ht="12">
      <c r="F2208" s="354"/>
    </row>
    <row r="2209" ht="12">
      <c r="F2209" s="354"/>
    </row>
    <row r="2210" ht="12">
      <c r="F2210" s="354"/>
    </row>
    <row r="2211" ht="12">
      <c r="F2211" s="354"/>
    </row>
    <row r="2212" ht="12">
      <c r="F2212" s="354"/>
    </row>
    <row r="2213" ht="12">
      <c r="F2213" s="354"/>
    </row>
    <row r="2214" ht="12">
      <c r="F2214" s="354"/>
    </row>
    <row r="2215" ht="12">
      <c r="F2215" s="354"/>
    </row>
    <row r="2216" ht="12">
      <c r="F2216" s="354"/>
    </row>
    <row r="2217" ht="12">
      <c r="F2217" s="354"/>
    </row>
    <row r="2218" ht="12">
      <c r="F2218" s="354"/>
    </row>
    <row r="2219" ht="12">
      <c r="F2219" s="354"/>
    </row>
    <row r="2220" ht="12">
      <c r="F2220" s="354"/>
    </row>
    <row r="2221" ht="12">
      <c r="F2221" s="354"/>
    </row>
    <row r="2222" ht="12">
      <c r="F2222" s="354"/>
    </row>
    <row r="2223" ht="12">
      <c r="F2223" s="354"/>
    </row>
    <row r="2224" ht="12">
      <c r="F2224" s="354"/>
    </row>
    <row r="2225" ht="12">
      <c r="F2225" s="354"/>
    </row>
    <row r="2226" ht="12">
      <c r="F2226" s="354"/>
    </row>
    <row r="2227" ht="12">
      <c r="F2227" s="354"/>
    </row>
    <row r="2228" ht="12">
      <c r="F2228" s="354"/>
    </row>
    <row r="2229" ht="12">
      <c r="F2229" s="354"/>
    </row>
    <row r="2230" ht="12">
      <c r="F2230" s="354"/>
    </row>
    <row r="2231" ht="12">
      <c r="F2231" s="354"/>
    </row>
    <row r="2232" ht="12">
      <c r="F2232" s="354"/>
    </row>
    <row r="2233" ht="12">
      <c r="F2233" s="354"/>
    </row>
    <row r="2234" ht="12">
      <c r="F2234" s="354"/>
    </row>
    <row r="2235" ht="12">
      <c r="F2235" s="354"/>
    </row>
    <row r="2236" ht="12">
      <c r="F2236" s="354"/>
    </row>
    <row r="2237" ht="12">
      <c r="F2237" s="354"/>
    </row>
    <row r="2238" ht="12">
      <c r="F2238" s="354"/>
    </row>
    <row r="2239" ht="12">
      <c r="F2239" s="354"/>
    </row>
    <row r="2240" ht="12">
      <c r="F2240" s="354"/>
    </row>
    <row r="2241" ht="12">
      <c r="F2241" s="354"/>
    </row>
    <row r="2242" ht="12">
      <c r="F2242" s="354"/>
    </row>
    <row r="2243" ht="12">
      <c r="F2243" s="354"/>
    </row>
    <row r="2244" ht="12">
      <c r="F2244" s="354"/>
    </row>
    <row r="2245" ht="12">
      <c r="F2245" s="354"/>
    </row>
    <row r="2246" ht="12">
      <c r="F2246" s="354"/>
    </row>
    <row r="2247" ht="12">
      <c r="F2247" s="354"/>
    </row>
    <row r="2248" ht="12">
      <c r="F2248" s="354"/>
    </row>
    <row r="2249" ht="12">
      <c r="F2249" s="354"/>
    </row>
    <row r="2250" ht="12">
      <c r="F2250" s="354"/>
    </row>
    <row r="2251" ht="12">
      <c r="F2251" s="354"/>
    </row>
    <row r="2252" ht="12">
      <c r="F2252" s="354"/>
    </row>
    <row r="2253" ht="12">
      <c r="F2253" s="354"/>
    </row>
    <row r="2254" ht="12">
      <c r="F2254" s="354"/>
    </row>
    <row r="2255" ht="12">
      <c r="F2255" s="354"/>
    </row>
    <row r="2256" ht="12">
      <c r="F2256" s="354"/>
    </row>
    <row r="2257" ht="12">
      <c r="F2257" s="354"/>
    </row>
    <row r="2258" ht="12">
      <c r="F2258" s="354"/>
    </row>
    <row r="2259" ht="12">
      <c r="F2259" s="354"/>
    </row>
    <row r="2260" ht="12">
      <c r="F2260" s="354"/>
    </row>
    <row r="2261" ht="12">
      <c r="F2261" s="354"/>
    </row>
    <row r="2262" ht="12">
      <c r="F2262" s="354"/>
    </row>
    <row r="2263" ht="12">
      <c r="F2263" s="354"/>
    </row>
    <row r="2264" ht="12">
      <c r="F2264" s="354"/>
    </row>
    <row r="2265" ht="12">
      <c r="F2265" s="354"/>
    </row>
    <row r="2266" ht="12">
      <c r="F2266" s="354"/>
    </row>
    <row r="2267" ht="12">
      <c r="F2267" s="354"/>
    </row>
    <row r="2268" ht="12">
      <c r="F2268" s="354"/>
    </row>
    <row r="2269" ht="12">
      <c r="F2269" s="354"/>
    </row>
    <row r="2270" ht="12">
      <c r="F2270" s="354"/>
    </row>
    <row r="2271" ht="12">
      <c r="F2271" s="354"/>
    </row>
    <row r="2272" ht="12">
      <c r="F2272" s="354"/>
    </row>
    <row r="2273" ht="12">
      <c r="F2273" s="354"/>
    </row>
    <row r="2274" ht="12">
      <c r="F2274" s="354"/>
    </row>
    <row r="2275" ht="12">
      <c r="F2275" s="354"/>
    </row>
    <row r="2276" ht="12">
      <c r="F2276" s="354"/>
    </row>
    <row r="2277" ht="12">
      <c r="F2277" s="354"/>
    </row>
    <row r="2278" ht="12">
      <c r="F2278" s="354"/>
    </row>
    <row r="2279" ht="12">
      <c r="F2279" s="354"/>
    </row>
    <row r="2280" ht="12">
      <c r="F2280" s="354"/>
    </row>
    <row r="2281" ht="12">
      <c r="F2281" s="354"/>
    </row>
    <row r="2282" ht="12">
      <c r="F2282" s="354"/>
    </row>
    <row r="2283" ht="12">
      <c r="F2283" s="354"/>
    </row>
    <row r="2284" ht="12">
      <c r="F2284" s="354"/>
    </row>
    <row r="2285" ht="12">
      <c r="F2285" s="354"/>
    </row>
    <row r="2286" ht="12">
      <c r="F2286" s="354"/>
    </row>
    <row r="2287" ht="12">
      <c r="F2287" s="354"/>
    </row>
    <row r="2288" ht="12">
      <c r="F2288" s="354"/>
    </row>
    <row r="2289" ht="12">
      <c r="F2289" s="354"/>
    </row>
    <row r="2290" ht="12">
      <c r="F2290" s="354"/>
    </row>
    <row r="2291" ht="12">
      <c r="F2291" s="354"/>
    </row>
    <row r="2292" ht="12">
      <c r="F2292" s="354"/>
    </row>
    <row r="2293" ht="12">
      <c r="F2293" s="354"/>
    </row>
    <row r="2294" ht="12">
      <c r="F2294" s="354"/>
    </row>
    <row r="2295" ht="12">
      <c r="F2295" s="354"/>
    </row>
    <row r="2296" ht="12">
      <c r="F2296" s="354"/>
    </row>
    <row r="2297" ht="12">
      <c r="F2297" s="354"/>
    </row>
    <row r="2298" ht="12">
      <c r="F2298" s="354"/>
    </row>
    <row r="2299" ht="12">
      <c r="F2299" s="354"/>
    </row>
    <row r="2300" ht="12">
      <c r="F2300" s="354"/>
    </row>
    <row r="2301" ht="12">
      <c r="F2301" s="354"/>
    </row>
    <row r="2302" ht="12">
      <c r="F2302" s="354"/>
    </row>
    <row r="2303" ht="12">
      <c r="F2303" s="354"/>
    </row>
    <row r="2304" ht="12">
      <c r="F2304" s="354"/>
    </row>
    <row r="2305" ht="12">
      <c r="F2305" s="354"/>
    </row>
    <row r="2306" ht="12">
      <c r="F2306" s="354"/>
    </row>
    <row r="2307" ht="12">
      <c r="F2307" s="354"/>
    </row>
    <row r="2308" ht="12">
      <c r="F2308" s="354"/>
    </row>
    <row r="2309" ht="12">
      <c r="F2309" s="354"/>
    </row>
    <row r="2310" ht="12">
      <c r="F2310" s="354"/>
    </row>
    <row r="2311" ht="12">
      <c r="F2311" s="354"/>
    </row>
    <row r="2312" ht="12">
      <c r="F2312" s="354"/>
    </row>
    <row r="2313" ht="12">
      <c r="F2313" s="354"/>
    </row>
    <row r="2314" ht="12">
      <c r="F2314" s="354"/>
    </row>
    <row r="2315" ht="12">
      <c r="F2315" s="354"/>
    </row>
    <row r="2316" ht="12">
      <c r="F2316" s="354"/>
    </row>
    <row r="2317" ht="12">
      <c r="F2317" s="354"/>
    </row>
    <row r="2318" ht="12">
      <c r="F2318" s="354"/>
    </row>
    <row r="2319" ht="12">
      <c r="F2319" s="354"/>
    </row>
    <row r="2320" ht="12">
      <c r="F2320" s="354"/>
    </row>
    <row r="2321" ht="12">
      <c r="F2321" s="354"/>
    </row>
    <row r="2322" ht="12">
      <c r="F2322" s="354"/>
    </row>
    <row r="2323" ht="12">
      <c r="F2323" s="354"/>
    </row>
    <row r="2324" ht="12">
      <c r="F2324" s="354"/>
    </row>
    <row r="2325" ht="12">
      <c r="F2325" s="354"/>
    </row>
    <row r="2326" ht="12">
      <c r="F2326" s="354"/>
    </row>
    <row r="2327" ht="12">
      <c r="F2327" s="354"/>
    </row>
    <row r="2328" ht="12">
      <c r="F2328" s="354"/>
    </row>
    <row r="2329" ht="12">
      <c r="F2329" s="354"/>
    </row>
    <row r="2330" ht="12">
      <c r="F2330" s="354"/>
    </row>
    <row r="2331" ht="12">
      <c r="F2331" s="354"/>
    </row>
    <row r="2332" ht="12">
      <c r="F2332" s="354"/>
    </row>
    <row r="2333" ht="12">
      <c r="F2333" s="354"/>
    </row>
    <row r="2334" ht="12">
      <c r="F2334" s="354"/>
    </row>
    <row r="2335" ht="12">
      <c r="F2335" s="354"/>
    </row>
    <row r="2336" ht="12">
      <c r="F2336" s="354"/>
    </row>
    <row r="2337" ht="12">
      <c r="F2337" s="354"/>
    </row>
    <row r="2338" ht="12">
      <c r="F2338" s="354"/>
    </row>
    <row r="2339" ht="12">
      <c r="F2339" s="354"/>
    </row>
    <row r="2340" ht="12">
      <c r="F2340" s="354"/>
    </row>
    <row r="2341" ht="12">
      <c r="F2341" s="354"/>
    </row>
    <row r="2342" ht="12">
      <c r="F2342" s="354"/>
    </row>
    <row r="2343" ht="12">
      <c r="F2343" s="354"/>
    </row>
    <row r="2344" ht="12">
      <c r="F2344" s="354"/>
    </row>
    <row r="2345" ht="12">
      <c r="F2345" s="354"/>
    </row>
    <row r="2346" ht="12">
      <c r="F2346" s="354"/>
    </row>
    <row r="2347" ht="12">
      <c r="F2347" s="354"/>
    </row>
    <row r="2348" ht="12">
      <c r="F2348" s="354"/>
    </row>
    <row r="2349" ht="12">
      <c r="F2349" s="354"/>
    </row>
    <row r="2350" ht="12">
      <c r="F2350" s="354"/>
    </row>
    <row r="2351" ht="12">
      <c r="F2351" s="354"/>
    </row>
    <row r="2352" ht="12">
      <c r="F2352" s="354"/>
    </row>
    <row r="2353" ht="12">
      <c r="F2353" s="354"/>
    </row>
    <row r="2354" ht="12">
      <c r="F2354" s="354"/>
    </row>
    <row r="2355" ht="12">
      <c r="F2355" s="354"/>
    </row>
    <row r="2356" ht="12">
      <c r="F2356" s="354"/>
    </row>
    <row r="2357" ht="12">
      <c r="F2357" s="354"/>
    </row>
    <row r="2358" ht="12">
      <c r="F2358" s="354"/>
    </row>
    <row r="2359" ht="12">
      <c r="F2359" s="354"/>
    </row>
    <row r="2360" ht="12">
      <c r="F2360" s="354"/>
    </row>
    <row r="2361" ht="12">
      <c r="F2361" s="354"/>
    </row>
    <row r="2362" ht="12">
      <c r="F2362" s="354"/>
    </row>
    <row r="2363" ht="12">
      <c r="F2363" s="354"/>
    </row>
    <row r="2364" ht="12">
      <c r="F2364" s="354"/>
    </row>
    <row r="2365" ht="12">
      <c r="F2365" s="354"/>
    </row>
    <row r="2366" ht="12">
      <c r="F2366" s="354"/>
    </row>
    <row r="2367" ht="12">
      <c r="F2367" s="354"/>
    </row>
    <row r="2368" ht="12">
      <c r="F2368" s="354"/>
    </row>
    <row r="2369" ht="12">
      <c r="F2369" s="354"/>
    </row>
    <row r="2370" ht="12">
      <c r="F2370" s="354"/>
    </row>
    <row r="2371" ht="12">
      <c r="F2371" s="354"/>
    </row>
    <row r="2372" ht="12">
      <c r="F2372" s="354"/>
    </row>
    <row r="2373" ht="12">
      <c r="F2373" s="354"/>
    </row>
    <row r="2374" ht="12">
      <c r="F2374" s="354"/>
    </row>
    <row r="2375" ht="12">
      <c r="F2375" s="354"/>
    </row>
    <row r="2376" ht="12">
      <c r="F2376" s="354"/>
    </row>
    <row r="2377" ht="12">
      <c r="F2377" s="354"/>
    </row>
    <row r="2378" ht="12">
      <c r="F2378" s="354"/>
    </row>
    <row r="2379" ht="12">
      <c r="F2379" s="354"/>
    </row>
    <row r="2380" ht="12">
      <c r="F2380" s="354"/>
    </row>
    <row r="2381" ht="12">
      <c r="F2381" s="354"/>
    </row>
    <row r="2382" ht="12">
      <c r="F2382" s="354"/>
    </row>
    <row r="2383" ht="12">
      <c r="F2383" s="354"/>
    </row>
    <row r="2384" ht="12">
      <c r="F2384" s="354"/>
    </row>
    <row r="2385" ht="12">
      <c r="F2385" s="354"/>
    </row>
    <row r="2386" ht="12">
      <c r="F2386" s="354"/>
    </row>
    <row r="2387" ht="12">
      <c r="F2387" s="354"/>
    </row>
    <row r="2388" ht="12">
      <c r="F2388" s="354"/>
    </row>
    <row r="2389" ht="12">
      <c r="F2389" s="354"/>
    </row>
    <row r="2390" ht="12">
      <c r="F2390" s="354"/>
    </row>
    <row r="2391" ht="12">
      <c r="F2391" s="354"/>
    </row>
    <row r="2392" ht="12">
      <c r="F2392" s="354"/>
    </row>
    <row r="2393" ht="12">
      <c r="F2393" s="354"/>
    </row>
    <row r="2394" ht="12">
      <c r="F2394" s="354"/>
    </row>
    <row r="2395" ht="12">
      <c r="F2395" s="354"/>
    </row>
    <row r="2396" ht="12">
      <c r="F2396" s="354"/>
    </row>
    <row r="2397" ht="12">
      <c r="F2397" s="354"/>
    </row>
    <row r="2398" ht="12">
      <c r="F2398" s="354"/>
    </row>
    <row r="2399" ht="12">
      <c r="F2399" s="354"/>
    </row>
    <row r="2400" ht="12">
      <c r="F2400" s="354"/>
    </row>
    <row r="2401" ht="12">
      <c r="F2401" s="354"/>
    </row>
    <row r="2402" ht="12">
      <c r="F2402" s="354"/>
    </row>
    <row r="2403" ht="12">
      <c r="F2403" s="354"/>
    </row>
    <row r="2404" ht="12">
      <c r="F2404" s="354"/>
    </row>
    <row r="2405" ht="12">
      <c r="F2405" s="354"/>
    </row>
    <row r="2406" ht="12">
      <c r="F2406" s="354"/>
    </row>
    <row r="2407" ht="12">
      <c r="F2407" s="354"/>
    </row>
    <row r="2408" ht="12">
      <c r="F2408" s="354"/>
    </row>
    <row r="2409" ht="12">
      <c r="F2409" s="354"/>
    </row>
    <row r="2410" ht="12">
      <c r="F2410" s="354"/>
    </row>
    <row r="2411" ht="12">
      <c r="F2411" s="354"/>
    </row>
    <row r="2412" ht="12">
      <c r="F2412" s="354"/>
    </row>
    <row r="2413" ht="12">
      <c r="F2413" s="354"/>
    </row>
    <row r="2414" ht="12">
      <c r="F2414" s="354"/>
    </row>
    <row r="2415" ht="12">
      <c r="F2415" s="354"/>
    </row>
    <row r="2416" ht="12">
      <c r="F2416" s="354"/>
    </row>
    <row r="2417" ht="12">
      <c r="F2417" s="354"/>
    </row>
    <row r="2418" ht="12">
      <c r="F2418" s="354"/>
    </row>
    <row r="2419" ht="12">
      <c r="F2419" s="354"/>
    </row>
    <row r="2420" ht="12">
      <c r="F2420" s="354"/>
    </row>
    <row r="2421" ht="12">
      <c r="F2421" s="354"/>
    </row>
    <row r="2422" ht="12">
      <c r="F2422" s="354"/>
    </row>
    <row r="2423" ht="12">
      <c r="F2423" s="354"/>
    </row>
    <row r="2424" ht="12">
      <c r="F2424" s="354"/>
    </row>
    <row r="2425" ht="12">
      <c r="F2425" s="354"/>
    </row>
    <row r="2426" ht="12">
      <c r="F2426" s="354"/>
    </row>
    <row r="2427" ht="12">
      <c r="F2427" s="354"/>
    </row>
    <row r="2428" ht="12">
      <c r="F2428" s="354"/>
    </row>
    <row r="2429" ht="12">
      <c r="F2429" s="354"/>
    </row>
    <row r="2430" ht="12">
      <c r="F2430" s="354"/>
    </row>
    <row r="2431" ht="12">
      <c r="F2431" s="354"/>
    </row>
    <row r="2432" ht="12">
      <c r="F2432" s="354"/>
    </row>
    <row r="2433" ht="12">
      <c r="F2433" s="354"/>
    </row>
    <row r="2434" ht="12">
      <c r="F2434" s="354"/>
    </row>
    <row r="2435" ht="12">
      <c r="F2435" s="354"/>
    </row>
    <row r="2436" ht="12">
      <c r="F2436" s="354"/>
    </row>
    <row r="2437" ht="12">
      <c r="F2437" s="354"/>
    </row>
    <row r="2438" ht="12">
      <c r="F2438" s="354"/>
    </row>
    <row r="2439" ht="12">
      <c r="F2439" s="354"/>
    </row>
    <row r="2440" ht="12">
      <c r="F2440" s="354"/>
    </row>
    <row r="2441" ht="12">
      <c r="F2441" s="354"/>
    </row>
    <row r="2442" ht="12">
      <c r="F2442" s="354"/>
    </row>
    <row r="2443" ht="12">
      <c r="F2443" s="354"/>
    </row>
    <row r="2444" ht="12">
      <c r="F2444" s="354"/>
    </row>
    <row r="2445" ht="12">
      <c r="F2445" s="354"/>
    </row>
    <row r="2446" ht="12">
      <c r="F2446" s="354"/>
    </row>
    <row r="2447" ht="12">
      <c r="F2447" s="354"/>
    </row>
    <row r="2448" ht="12">
      <c r="F2448" s="354"/>
    </row>
    <row r="2449" ht="12">
      <c r="F2449" s="354"/>
    </row>
    <row r="2450" ht="12">
      <c r="F2450" s="354"/>
    </row>
    <row r="2451" ht="12">
      <c r="F2451" s="354"/>
    </row>
    <row r="2452" ht="12">
      <c r="F2452" s="354"/>
    </row>
    <row r="2453" ht="12">
      <c r="F2453" s="354"/>
    </row>
    <row r="2454" ht="12">
      <c r="F2454" s="354"/>
    </row>
    <row r="2455" ht="12">
      <c r="F2455" s="354"/>
    </row>
    <row r="2456" ht="12">
      <c r="F2456" s="354"/>
    </row>
    <row r="2457" ht="12">
      <c r="F2457" s="354"/>
    </row>
    <row r="2458" ht="12">
      <c r="F2458" s="354"/>
    </row>
    <row r="2459" ht="12">
      <c r="F2459" s="354"/>
    </row>
    <row r="2460" ht="12">
      <c r="F2460" s="354"/>
    </row>
    <row r="2461" ht="12">
      <c r="F2461" s="354"/>
    </row>
    <row r="2462" ht="12">
      <c r="F2462" s="354"/>
    </row>
    <row r="2463" ht="12">
      <c r="F2463" s="354"/>
    </row>
    <row r="2464" ht="12">
      <c r="F2464" s="354"/>
    </row>
    <row r="2465" ht="12">
      <c r="F2465" s="354"/>
    </row>
    <row r="2466" ht="12">
      <c r="F2466" s="354"/>
    </row>
    <row r="2467" ht="12">
      <c r="F2467" s="354"/>
    </row>
    <row r="2468" ht="12">
      <c r="F2468" s="354"/>
    </row>
    <row r="2469" ht="12">
      <c r="F2469" s="354"/>
    </row>
    <row r="2470" ht="12">
      <c r="F2470" s="354"/>
    </row>
    <row r="2471" ht="12">
      <c r="F2471" s="354"/>
    </row>
    <row r="2472" ht="12">
      <c r="F2472" s="354"/>
    </row>
    <row r="2473" ht="12">
      <c r="F2473" s="354"/>
    </row>
    <row r="2474" ht="12">
      <c r="F2474" s="354"/>
    </row>
    <row r="2475" ht="12">
      <c r="F2475" s="354"/>
    </row>
    <row r="2476" ht="12">
      <c r="F2476" s="354"/>
    </row>
    <row r="2477" ht="12">
      <c r="F2477" s="354"/>
    </row>
    <row r="2478" ht="12">
      <c r="F2478" s="354"/>
    </row>
    <row r="2479" ht="12">
      <c r="F2479" s="354"/>
    </row>
    <row r="2480" ht="12">
      <c r="F2480" s="354"/>
    </row>
    <row r="2481" ht="12">
      <c r="F2481" s="354"/>
    </row>
    <row r="2482" ht="12">
      <c r="F2482" s="354"/>
    </row>
    <row r="2483" ht="12">
      <c r="F2483" s="354"/>
    </row>
    <row r="2484" ht="12">
      <c r="F2484" s="354"/>
    </row>
    <row r="2485" ht="12">
      <c r="F2485" s="354"/>
    </row>
    <row r="2486" ht="12">
      <c r="F2486" s="354"/>
    </row>
    <row r="2487" ht="12">
      <c r="F2487" s="354"/>
    </row>
    <row r="2488" ht="12">
      <c r="F2488" s="354"/>
    </row>
    <row r="2489" ht="12">
      <c r="F2489" s="354"/>
    </row>
    <row r="2490" ht="12">
      <c r="F2490" s="354"/>
    </row>
    <row r="2491" ht="12">
      <c r="F2491" s="354"/>
    </row>
    <row r="2492" ht="12">
      <c r="F2492" s="354"/>
    </row>
    <row r="2493" ht="12">
      <c r="F2493" s="354"/>
    </row>
    <row r="2494" ht="12">
      <c r="F2494" s="354"/>
    </row>
    <row r="2495" ht="12">
      <c r="F2495" s="354"/>
    </row>
    <row r="2496" ht="12">
      <c r="F2496" s="354"/>
    </row>
    <row r="2497" ht="12">
      <c r="F2497" s="354"/>
    </row>
    <row r="2498" ht="12">
      <c r="F2498" s="354"/>
    </row>
    <row r="2499" ht="12">
      <c r="F2499" s="354"/>
    </row>
    <row r="2500" ht="12">
      <c r="F2500" s="354"/>
    </row>
    <row r="2501" ht="12">
      <c r="F2501" s="354"/>
    </row>
    <row r="2502" ht="12">
      <c r="F2502" s="354"/>
    </row>
    <row r="2503" ht="12">
      <c r="F2503" s="354"/>
    </row>
    <row r="2504" ht="12">
      <c r="F2504" s="354"/>
    </row>
    <row r="2505" ht="12">
      <c r="F2505" s="354"/>
    </row>
    <row r="2506" ht="12">
      <c r="F2506" s="354"/>
    </row>
    <row r="2507" ht="12">
      <c r="F2507" s="354"/>
    </row>
    <row r="2508" ht="12">
      <c r="F2508" s="354"/>
    </row>
    <row r="2509" ht="12">
      <c r="F2509" s="354"/>
    </row>
    <row r="2510" ht="12">
      <c r="F2510" s="354"/>
    </row>
    <row r="2511" ht="12">
      <c r="F2511" s="354"/>
    </row>
    <row r="2512" ht="12">
      <c r="F2512" s="354"/>
    </row>
    <row r="2513" ht="12">
      <c r="F2513" s="354"/>
    </row>
    <row r="2514" ht="12">
      <c r="F2514" s="354"/>
    </row>
    <row r="2515" ht="12">
      <c r="F2515" s="354"/>
    </row>
    <row r="2516" ht="12">
      <c r="F2516" s="354"/>
    </row>
    <row r="2517" ht="12">
      <c r="F2517" s="354"/>
    </row>
    <row r="2518" ht="12">
      <c r="F2518" s="354"/>
    </row>
    <row r="2519" ht="12">
      <c r="F2519" s="354"/>
    </row>
    <row r="2520" ht="12">
      <c r="F2520" s="354"/>
    </row>
    <row r="2521" ht="12">
      <c r="F2521" s="354"/>
    </row>
    <row r="2522" ht="12">
      <c r="F2522" s="354"/>
    </row>
    <row r="2523" ht="12">
      <c r="F2523" s="354"/>
    </row>
    <row r="2524" ht="12">
      <c r="F2524" s="354"/>
    </row>
    <row r="2525" ht="12">
      <c r="F2525" s="354"/>
    </row>
    <row r="2526" ht="12">
      <c r="F2526" s="354"/>
    </row>
    <row r="2527" ht="12">
      <c r="F2527" s="354"/>
    </row>
    <row r="2528" ht="12">
      <c r="F2528" s="354"/>
    </row>
    <row r="2529" ht="12">
      <c r="F2529" s="354"/>
    </row>
    <row r="2530" ht="12">
      <c r="F2530" s="354"/>
    </row>
    <row r="2531" ht="12">
      <c r="F2531" s="354"/>
    </row>
    <row r="2532" ht="12">
      <c r="F2532" s="354"/>
    </row>
    <row r="2533" ht="12">
      <c r="F2533" s="354"/>
    </row>
    <row r="2534" ht="12">
      <c r="F2534" s="354"/>
    </row>
    <row r="2535" ht="12">
      <c r="F2535" s="354"/>
    </row>
    <row r="2536" ht="12">
      <c r="F2536" s="354"/>
    </row>
    <row r="2537" ht="12">
      <c r="F2537" s="354"/>
    </row>
    <row r="2538" ht="12">
      <c r="F2538" s="354"/>
    </row>
    <row r="2539" ht="12">
      <c r="F2539" s="354"/>
    </row>
    <row r="2540" ht="12">
      <c r="F2540" s="354"/>
    </row>
    <row r="2541" ht="12">
      <c r="F2541" s="354"/>
    </row>
    <row r="2542" ht="12">
      <c r="F2542" s="354"/>
    </row>
    <row r="2543" ht="12">
      <c r="F2543" s="354"/>
    </row>
    <row r="2544" ht="12">
      <c r="F2544" s="354"/>
    </row>
    <row r="2545" ht="12">
      <c r="F2545" s="354"/>
    </row>
    <row r="2546" ht="12">
      <c r="F2546" s="354"/>
    </row>
    <row r="2547" ht="12">
      <c r="F2547" s="354"/>
    </row>
    <row r="2548" ht="12">
      <c r="F2548" s="354"/>
    </row>
    <row r="2549" ht="12">
      <c r="F2549" s="354"/>
    </row>
    <row r="2550" ht="12">
      <c r="F2550" s="354"/>
    </row>
    <row r="2551" ht="12">
      <c r="F2551" s="354"/>
    </row>
    <row r="2552" ht="12">
      <c r="F2552" s="354"/>
    </row>
    <row r="2553" ht="12">
      <c r="F2553" s="354"/>
    </row>
    <row r="2554" ht="12">
      <c r="F2554" s="354"/>
    </row>
    <row r="2555" ht="12">
      <c r="F2555" s="354"/>
    </row>
    <row r="2556" ht="12">
      <c r="F2556" s="354"/>
    </row>
    <row r="2557" ht="12">
      <c r="F2557" s="354"/>
    </row>
    <row r="2558" ht="12">
      <c r="F2558" s="354"/>
    </row>
    <row r="2559" ht="12">
      <c r="F2559" s="354"/>
    </row>
    <row r="2560" ht="12">
      <c r="F2560" s="354"/>
    </row>
    <row r="2561" ht="12">
      <c r="F2561" s="354"/>
    </row>
    <row r="2562" ht="12">
      <c r="F2562" s="354"/>
    </row>
    <row r="2563" ht="12">
      <c r="F2563" s="354"/>
    </row>
    <row r="2564" ht="12">
      <c r="F2564" s="354"/>
    </row>
    <row r="2565" ht="12">
      <c r="F2565" s="354"/>
    </row>
    <row r="2566" ht="12">
      <c r="F2566" s="354"/>
    </row>
    <row r="2567" ht="12">
      <c r="F2567" s="354"/>
    </row>
    <row r="2568" ht="12">
      <c r="F2568" s="354"/>
    </row>
    <row r="2569" ht="12">
      <c r="F2569" s="354"/>
    </row>
    <row r="2570" ht="12">
      <c r="F2570" s="354"/>
    </row>
    <row r="2571" ht="12">
      <c r="F2571" s="354"/>
    </row>
    <row r="2572" ht="12">
      <c r="F2572" s="354"/>
    </row>
    <row r="2573" ht="12">
      <c r="F2573" s="354"/>
    </row>
    <row r="2574" ht="12">
      <c r="F2574" s="354"/>
    </row>
    <row r="2575" ht="12">
      <c r="F2575" s="354"/>
    </row>
    <row r="2576" ht="12">
      <c r="F2576" s="354"/>
    </row>
    <row r="2577" ht="12">
      <c r="F2577" s="354"/>
    </row>
    <row r="2578" ht="12">
      <c r="F2578" s="354"/>
    </row>
    <row r="2579" ht="12">
      <c r="F2579" s="354"/>
    </row>
    <row r="2580" ht="12">
      <c r="F2580" s="354"/>
    </row>
    <row r="2581" ht="12">
      <c r="F2581" s="354"/>
    </row>
    <row r="2582" ht="12">
      <c r="F2582" s="354"/>
    </row>
    <row r="2583" ht="12">
      <c r="F2583" s="354"/>
    </row>
    <row r="2584" ht="12">
      <c r="F2584" s="354"/>
    </row>
    <row r="2585" ht="12">
      <c r="F2585" s="354"/>
    </row>
    <row r="2586" ht="12">
      <c r="F2586" s="354"/>
    </row>
    <row r="2587" ht="12">
      <c r="F2587" s="354"/>
    </row>
    <row r="2588" ht="12">
      <c r="F2588" s="354"/>
    </row>
    <row r="2589" ht="12">
      <c r="F2589" s="354"/>
    </row>
    <row r="2590" ht="12">
      <c r="F2590" s="354"/>
    </row>
    <row r="2591" ht="12">
      <c r="F2591" s="354"/>
    </row>
    <row r="2592" ht="12">
      <c r="F2592" s="354"/>
    </row>
    <row r="2593" ht="12">
      <c r="F2593" s="354"/>
    </row>
    <row r="2594" ht="12">
      <c r="F2594" s="354"/>
    </row>
    <row r="2595" ht="12">
      <c r="F2595" s="354"/>
    </row>
    <row r="2596" ht="12">
      <c r="F2596" s="354"/>
    </row>
    <row r="2597" ht="12">
      <c r="F2597" s="354"/>
    </row>
    <row r="2598" ht="12">
      <c r="F2598" s="354"/>
    </row>
    <row r="2599" ht="12">
      <c r="F2599" s="354"/>
    </row>
    <row r="2600" ht="12">
      <c r="F2600" s="354"/>
    </row>
    <row r="2601" ht="12">
      <c r="F2601" s="354"/>
    </row>
    <row r="2602" ht="12">
      <c r="F2602" s="354"/>
    </row>
    <row r="2603" ht="12">
      <c r="F2603" s="354"/>
    </row>
    <row r="2604" ht="12">
      <c r="F2604" s="354"/>
    </row>
    <row r="2605" ht="12">
      <c r="F2605" s="354"/>
    </row>
    <row r="2606" ht="12">
      <c r="F2606" s="354"/>
    </row>
    <row r="2607" ht="12">
      <c r="F2607" s="354"/>
    </row>
    <row r="2608" ht="12">
      <c r="F2608" s="354"/>
    </row>
    <row r="2609" ht="12">
      <c r="F2609" s="354"/>
    </row>
    <row r="2610" ht="12">
      <c r="F2610" s="354"/>
    </row>
    <row r="2611" ht="12">
      <c r="F2611" s="354"/>
    </row>
    <row r="2612" ht="12">
      <c r="F2612" s="354"/>
    </row>
    <row r="2613" ht="12">
      <c r="F2613" s="354"/>
    </row>
    <row r="2614" ht="12">
      <c r="F2614" s="354"/>
    </row>
    <row r="2615" ht="12">
      <c r="F2615" s="354"/>
    </row>
    <row r="2616" ht="12">
      <c r="F2616" s="354"/>
    </row>
    <row r="2617" ht="12">
      <c r="F2617" s="354"/>
    </row>
    <row r="2618" ht="12">
      <c r="F2618" s="354"/>
    </row>
    <row r="2619" ht="12">
      <c r="F2619" s="354"/>
    </row>
    <row r="2620" ht="12">
      <c r="F2620" s="354"/>
    </row>
    <row r="2621" ht="12">
      <c r="F2621" s="354"/>
    </row>
    <row r="2622" ht="12">
      <c r="F2622" s="354"/>
    </row>
    <row r="2623" ht="12">
      <c r="F2623" s="354"/>
    </row>
    <row r="2624" ht="12">
      <c r="F2624" s="354"/>
    </row>
    <row r="2625" ht="12">
      <c r="F2625" s="354"/>
    </row>
    <row r="2626" ht="12">
      <c r="F2626" s="354"/>
    </row>
    <row r="2627" ht="12">
      <c r="F2627" s="354"/>
    </row>
    <row r="2628" ht="12">
      <c r="F2628" s="354"/>
    </row>
    <row r="2629" ht="12">
      <c r="F2629" s="354"/>
    </row>
    <row r="2630" ht="12">
      <c r="F2630" s="354"/>
    </row>
    <row r="2631" ht="12">
      <c r="F2631" s="354"/>
    </row>
    <row r="2632" ht="12">
      <c r="F2632" s="354"/>
    </row>
    <row r="2633" ht="12">
      <c r="F2633" s="354"/>
    </row>
    <row r="2634" ht="12">
      <c r="F2634" s="354"/>
    </row>
    <row r="2635" ht="12">
      <c r="F2635" s="354"/>
    </row>
    <row r="2636" ht="12">
      <c r="F2636" s="354"/>
    </row>
    <row r="2637" ht="12">
      <c r="F2637" s="354"/>
    </row>
    <row r="2638" ht="12">
      <c r="F2638" s="354"/>
    </row>
    <row r="2639" ht="12">
      <c r="F2639" s="354"/>
    </row>
    <row r="2640" ht="12">
      <c r="F2640" s="354"/>
    </row>
    <row r="2641" ht="12">
      <c r="F2641" s="354"/>
    </row>
    <row r="2642" ht="12">
      <c r="F2642" s="354"/>
    </row>
    <row r="2643" ht="12">
      <c r="F2643" s="354"/>
    </row>
    <row r="2644" ht="12">
      <c r="F2644" s="354"/>
    </row>
    <row r="2645" ht="12">
      <c r="F2645" s="354"/>
    </row>
    <row r="2646" ht="12">
      <c r="F2646" s="354"/>
    </row>
    <row r="2647" ht="12">
      <c r="F2647" s="354"/>
    </row>
    <row r="2648" ht="12">
      <c r="F2648" s="354"/>
    </row>
    <row r="2649" ht="12">
      <c r="F2649" s="354"/>
    </row>
    <row r="2650" ht="12">
      <c r="F2650" s="354"/>
    </row>
    <row r="2651" ht="12">
      <c r="F2651" s="354"/>
    </row>
    <row r="2652" ht="12">
      <c r="F2652" s="354"/>
    </row>
    <row r="2653" ht="12">
      <c r="F2653" s="354"/>
    </row>
    <row r="2654" ht="12">
      <c r="F2654" s="354"/>
    </row>
    <row r="2655" ht="12">
      <c r="F2655" s="354"/>
    </row>
    <row r="2656" ht="12">
      <c r="F2656" s="354"/>
    </row>
    <row r="2657" ht="12">
      <c r="F2657" s="354"/>
    </row>
    <row r="2658" ht="12">
      <c r="F2658" s="354"/>
    </row>
    <row r="2659" ht="12">
      <c r="F2659" s="354"/>
    </row>
    <row r="2660" ht="12">
      <c r="F2660" s="354"/>
    </row>
    <row r="2661" ht="12">
      <c r="F2661" s="354"/>
    </row>
    <row r="2662" ht="12">
      <c r="F2662" s="354"/>
    </row>
    <row r="2663" ht="12">
      <c r="F2663" s="354"/>
    </row>
    <row r="2664" ht="12">
      <c r="F2664" s="354"/>
    </row>
    <row r="2665" ht="12">
      <c r="F2665" s="354"/>
    </row>
    <row r="2666" ht="12">
      <c r="F2666" s="354"/>
    </row>
    <row r="2667" ht="12">
      <c r="F2667" s="354"/>
    </row>
    <row r="2668" ht="12">
      <c r="F2668" s="354"/>
    </row>
    <row r="2669" ht="12">
      <c r="F2669" s="354"/>
    </row>
    <row r="2670" ht="12">
      <c r="F2670" s="354"/>
    </row>
    <row r="2671" ht="12">
      <c r="F2671" s="354"/>
    </row>
    <row r="2672" ht="12">
      <c r="F2672" s="354"/>
    </row>
    <row r="2673" ht="12">
      <c r="F2673" s="354"/>
    </row>
    <row r="2674" ht="12">
      <c r="F2674" s="354"/>
    </row>
    <row r="2675" ht="12">
      <c r="F2675" s="354"/>
    </row>
    <row r="2676" ht="12">
      <c r="F2676" s="354"/>
    </row>
    <row r="2677" ht="12">
      <c r="F2677" s="354"/>
    </row>
    <row r="2678" ht="12">
      <c r="F2678" s="354"/>
    </row>
    <row r="2679" ht="12">
      <c r="F2679" s="354"/>
    </row>
    <row r="2680" ht="12">
      <c r="F2680" s="354"/>
    </row>
    <row r="2681" ht="12">
      <c r="F2681" s="354"/>
    </row>
    <row r="2682" ht="12">
      <c r="F2682" s="354"/>
    </row>
    <row r="2683" ht="12">
      <c r="F2683" s="354"/>
    </row>
    <row r="2684" ht="12">
      <c r="F2684" s="354"/>
    </row>
    <row r="2685" ht="12">
      <c r="F2685" s="354"/>
    </row>
    <row r="2686" ht="12">
      <c r="F2686" s="354"/>
    </row>
    <row r="2687" ht="12">
      <c r="F2687" s="354"/>
    </row>
    <row r="2688" ht="12">
      <c r="F2688" s="354"/>
    </row>
    <row r="2689" ht="12">
      <c r="F2689" s="354"/>
    </row>
    <row r="2690" ht="12">
      <c r="F2690" s="354"/>
    </row>
    <row r="2691" ht="12">
      <c r="F2691" s="354"/>
    </row>
    <row r="2692" ht="12">
      <c r="F2692" s="354"/>
    </row>
    <row r="2693" ht="12">
      <c r="F2693" s="354"/>
    </row>
    <row r="2694" ht="12">
      <c r="F2694" s="354"/>
    </row>
    <row r="2695" ht="12">
      <c r="F2695" s="354"/>
    </row>
    <row r="2696" ht="12">
      <c r="F2696" s="354"/>
    </row>
    <row r="2697" ht="12">
      <c r="F2697" s="354"/>
    </row>
    <row r="2698" ht="12">
      <c r="F2698" s="354"/>
    </row>
    <row r="2699" ht="12">
      <c r="F2699" s="354"/>
    </row>
    <row r="2700" ht="12">
      <c r="F2700" s="354"/>
    </row>
    <row r="2701" ht="12">
      <c r="F2701" s="354"/>
    </row>
    <row r="2702" ht="12">
      <c r="F2702" s="354"/>
    </row>
    <row r="2703" ht="12">
      <c r="F2703" s="354"/>
    </row>
    <row r="2704" ht="12">
      <c r="F2704" s="354"/>
    </row>
    <row r="2705" ht="12">
      <c r="F2705" s="354"/>
    </row>
    <row r="2706" ht="12">
      <c r="F2706" s="354"/>
    </row>
    <row r="2707" ht="12">
      <c r="F2707" s="354"/>
    </row>
    <row r="2708" ht="12">
      <c r="F2708" s="354"/>
    </row>
    <row r="2709" ht="12">
      <c r="F2709" s="354"/>
    </row>
    <row r="2710" ht="12">
      <c r="F2710" s="354"/>
    </row>
    <row r="2711" ht="12">
      <c r="F2711" s="354"/>
    </row>
    <row r="2712" ht="12">
      <c r="F2712" s="354"/>
    </row>
    <row r="2713" ht="12">
      <c r="F2713" s="354"/>
    </row>
    <row r="2714" ht="12">
      <c r="F2714" s="354"/>
    </row>
    <row r="2715" ht="12">
      <c r="F2715" s="354"/>
    </row>
    <row r="2716" ht="12">
      <c r="F2716" s="354"/>
    </row>
    <row r="2717" ht="12">
      <c r="F2717" s="354"/>
    </row>
    <row r="2718" ht="12">
      <c r="F2718" s="354"/>
    </row>
    <row r="2719" ht="12">
      <c r="F2719" s="354"/>
    </row>
    <row r="2720" ht="12">
      <c r="F2720" s="354"/>
    </row>
    <row r="2721" ht="12">
      <c r="F2721" s="354"/>
    </row>
    <row r="2722" ht="12">
      <c r="F2722" s="354"/>
    </row>
    <row r="2723" ht="12">
      <c r="F2723" s="354"/>
    </row>
    <row r="2724" ht="12">
      <c r="F2724" s="354"/>
    </row>
    <row r="2725" ht="12">
      <c r="F2725" s="354"/>
    </row>
    <row r="2726" ht="12">
      <c r="F2726" s="354"/>
    </row>
    <row r="2727" ht="12">
      <c r="F2727" s="354"/>
    </row>
    <row r="2728" ht="12">
      <c r="F2728" s="354"/>
    </row>
    <row r="2729" ht="12">
      <c r="F2729" s="354"/>
    </row>
    <row r="2730" ht="12">
      <c r="F2730" s="354"/>
    </row>
    <row r="2731" ht="12">
      <c r="F2731" s="354"/>
    </row>
    <row r="2732" ht="12">
      <c r="F2732" s="354"/>
    </row>
    <row r="2733" ht="12">
      <c r="F2733" s="354"/>
    </row>
    <row r="2734" ht="12">
      <c r="F2734" s="354"/>
    </row>
    <row r="2735" ht="12">
      <c r="F2735" s="354"/>
    </row>
    <row r="2736" ht="12">
      <c r="F2736" s="354"/>
    </row>
    <row r="2737" ht="12">
      <c r="F2737" s="354"/>
    </row>
    <row r="2738" ht="12">
      <c r="F2738" s="354"/>
    </row>
    <row r="2739" ht="12">
      <c r="F2739" s="354"/>
    </row>
    <row r="2740" ht="12">
      <c r="F2740" s="354"/>
    </row>
    <row r="2741" ht="12">
      <c r="F2741" s="354"/>
    </row>
    <row r="2742" ht="12">
      <c r="F2742" s="354"/>
    </row>
    <row r="2743" ht="12">
      <c r="F2743" s="354"/>
    </row>
    <row r="2744" ht="12">
      <c r="F2744" s="354"/>
    </row>
    <row r="2745" ht="12">
      <c r="F2745" s="354"/>
    </row>
    <row r="2746" ht="12">
      <c r="F2746" s="354"/>
    </row>
    <row r="2747" ht="12">
      <c r="F2747" s="354"/>
    </row>
    <row r="2748" ht="12">
      <c r="F2748" s="354"/>
    </row>
    <row r="2749" ht="12">
      <c r="F2749" s="354"/>
    </row>
    <row r="2750" ht="12">
      <c r="F2750" s="354"/>
    </row>
    <row r="2751" ht="12">
      <c r="F2751" s="354"/>
    </row>
    <row r="2752" ht="12">
      <c r="F2752" s="354"/>
    </row>
    <row r="2753" ht="12">
      <c r="F2753" s="354"/>
    </row>
    <row r="2754" ht="12">
      <c r="F2754" s="354"/>
    </row>
    <row r="2755" ht="12">
      <c r="F2755" s="354"/>
    </row>
    <row r="2756" ht="12">
      <c r="F2756" s="354"/>
    </row>
    <row r="2757" ht="12">
      <c r="F2757" s="354"/>
    </row>
    <row r="2758" ht="12">
      <c r="F2758" s="354"/>
    </row>
    <row r="2759" ht="12">
      <c r="F2759" s="354"/>
    </row>
    <row r="2760" ht="12">
      <c r="F2760" s="354"/>
    </row>
    <row r="2761" ht="12">
      <c r="F2761" s="354"/>
    </row>
    <row r="2762" ht="12">
      <c r="F2762" s="354"/>
    </row>
    <row r="2763" ht="12">
      <c r="F2763" s="354"/>
    </row>
    <row r="2764" ht="12">
      <c r="F2764" s="354"/>
    </row>
    <row r="2765" ht="12">
      <c r="F2765" s="354"/>
    </row>
    <row r="2766" ht="12">
      <c r="F2766" s="354"/>
    </row>
    <row r="2767" ht="12">
      <c r="F2767" s="354"/>
    </row>
    <row r="2768" ht="12">
      <c r="F2768" s="354"/>
    </row>
    <row r="2769" ht="12">
      <c r="F2769" s="354"/>
    </row>
    <row r="2770" ht="12">
      <c r="F2770" s="354"/>
    </row>
    <row r="2771" ht="12">
      <c r="F2771" s="354"/>
    </row>
    <row r="2772" ht="12">
      <c r="F2772" s="354"/>
    </row>
    <row r="2773" ht="12">
      <c r="F2773" s="354"/>
    </row>
    <row r="2774" ht="12">
      <c r="F2774" s="354"/>
    </row>
    <row r="2775" ht="12">
      <c r="F2775" s="354"/>
    </row>
    <row r="2776" ht="12">
      <c r="F2776" s="354"/>
    </row>
    <row r="2777" ht="12">
      <c r="F2777" s="354"/>
    </row>
    <row r="2778" ht="12">
      <c r="F2778" s="354"/>
    </row>
    <row r="2779" ht="12">
      <c r="F2779" s="354"/>
    </row>
    <row r="2780" ht="12">
      <c r="F2780" s="354"/>
    </row>
    <row r="2781" ht="12">
      <c r="F2781" s="354"/>
    </row>
    <row r="2782" ht="12">
      <c r="F2782" s="354"/>
    </row>
    <row r="2783" ht="12">
      <c r="F2783" s="354"/>
    </row>
    <row r="2784" ht="12">
      <c r="F2784" s="354"/>
    </row>
    <row r="2785" ht="12">
      <c r="F2785" s="354"/>
    </row>
    <row r="2786" ht="12">
      <c r="F2786" s="354"/>
    </row>
    <row r="2787" ht="12">
      <c r="F2787" s="354"/>
    </row>
    <row r="2788" ht="12">
      <c r="F2788" s="354"/>
    </row>
    <row r="2789" ht="12">
      <c r="F2789" s="354"/>
    </row>
    <row r="2790" ht="12">
      <c r="F2790" s="354"/>
    </row>
    <row r="2791" ht="12">
      <c r="F2791" s="354"/>
    </row>
    <row r="2792" ht="12">
      <c r="F2792" s="354"/>
    </row>
    <row r="2793" ht="12">
      <c r="F2793" s="354"/>
    </row>
    <row r="2794" ht="12">
      <c r="F2794" s="354"/>
    </row>
    <row r="2795" ht="12">
      <c r="F2795" s="354"/>
    </row>
    <row r="2796" ht="12">
      <c r="F2796" s="354"/>
    </row>
    <row r="2797" ht="12">
      <c r="F2797" s="354"/>
    </row>
    <row r="2798" ht="12">
      <c r="F2798" s="354"/>
    </row>
    <row r="2799" ht="12">
      <c r="F2799" s="354"/>
    </row>
    <row r="2800" ht="12">
      <c r="F2800" s="354"/>
    </row>
    <row r="2801" ht="12">
      <c r="F2801" s="354"/>
    </row>
    <row r="2802" ht="12">
      <c r="F2802" s="354"/>
    </row>
    <row r="2803" ht="12">
      <c r="F2803" s="354"/>
    </row>
    <row r="2804" ht="12">
      <c r="F2804" s="354"/>
    </row>
    <row r="2805" ht="12">
      <c r="F2805" s="354"/>
    </row>
    <row r="2806" ht="12">
      <c r="F2806" s="354"/>
    </row>
    <row r="2807" ht="12">
      <c r="F2807" s="354"/>
    </row>
    <row r="2808" ht="12">
      <c r="F2808" s="354"/>
    </row>
    <row r="2809" ht="12">
      <c r="F2809" s="354"/>
    </row>
    <row r="2810" ht="12">
      <c r="F2810" s="354"/>
    </row>
    <row r="2811" ht="12">
      <c r="F2811" s="354"/>
    </row>
    <row r="2812" ht="12">
      <c r="F2812" s="354"/>
    </row>
    <row r="2813" ht="12">
      <c r="F2813" s="354"/>
    </row>
    <row r="2814" ht="12">
      <c r="F2814" s="354"/>
    </row>
    <row r="2815" ht="12">
      <c r="F2815" s="354"/>
    </row>
    <row r="2816" ht="12">
      <c r="F2816" s="354"/>
    </row>
    <row r="2817" ht="12">
      <c r="F2817" s="354"/>
    </row>
    <row r="2818" ht="12">
      <c r="F2818" s="354"/>
    </row>
    <row r="2819" ht="12">
      <c r="F2819" s="354"/>
    </row>
    <row r="2820" ht="12">
      <c r="F2820" s="354"/>
    </row>
    <row r="2821" ht="12">
      <c r="F2821" s="354"/>
    </row>
    <row r="2822" ht="12">
      <c r="F2822" s="354"/>
    </row>
    <row r="2823" ht="12">
      <c r="F2823" s="354"/>
    </row>
    <row r="2824" ht="12">
      <c r="F2824" s="354"/>
    </row>
    <row r="2825" ht="12">
      <c r="F2825" s="354"/>
    </row>
    <row r="2826" ht="12">
      <c r="F2826" s="354"/>
    </row>
    <row r="2827" ht="12">
      <c r="F2827" s="354"/>
    </row>
    <row r="2828" ht="12">
      <c r="F2828" s="354"/>
    </row>
    <row r="2829" ht="12">
      <c r="F2829" s="354"/>
    </row>
    <row r="2830" ht="12">
      <c r="F2830" s="354"/>
    </row>
    <row r="2831" ht="12">
      <c r="F2831" s="354"/>
    </row>
    <row r="2832" ht="12">
      <c r="F2832" s="354"/>
    </row>
    <row r="2833" ht="12">
      <c r="F2833" s="354"/>
    </row>
    <row r="2834" ht="12">
      <c r="F2834" s="354"/>
    </row>
    <row r="2835" ht="12">
      <c r="F2835" s="354"/>
    </row>
    <row r="2836" ht="12">
      <c r="F2836" s="354"/>
    </row>
    <row r="2837" ht="12">
      <c r="F2837" s="354"/>
    </row>
    <row r="2838" ht="12">
      <c r="F2838" s="354"/>
    </row>
    <row r="2839" ht="12">
      <c r="F2839" s="354"/>
    </row>
    <row r="2840" ht="12">
      <c r="F2840" s="354"/>
    </row>
    <row r="2841" ht="12">
      <c r="F2841" s="354"/>
    </row>
    <row r="2842" ht="12">
      <c r="F2842" s="354"/>
    </row>
    <row r="2843" ht="12">
      <c r="F2843" s="354"/>
    </row>
    <row r="2844" ht="12">
      <c r="F2844" s="354"/>
    </row>
    <row r="2845" ht="12">
      <c r="F2845" s="354"/>
    </row>
    <row r="2846" ht="12">
      <c r="F2846" s="354"/>
    </row>
    <row r="2847" ht="12">
      <c r="F2847" s="354"/>
    </row>
    <row r="2848" ht="12">
      <c r="F2848" s="354"/>
    </row>
    <row r="2849" ht="12">
      <c r="F2849" s="354"/>
    </row>
    <row r="2850" ht="12">
      <c r="F2850" s="354"/>
    </row>
    <row r="2851" ht="12">
      <c r="F2851" s="354"/>
    </row>
    <row r="2852" ht="12">
      <c r="F2852" s="354"/>
    </row>
    <row r="2853" ht="12">
      <c r="F2853" s="354"/>
    </row>
    <row r="2854" ht="12">
      <c r="F2854" s="354"/>
    </row>
    <row r="2855" ht="12">
      <c r="F2855" s="354"/>
    </row>
    <row r="2856" ht="12">
      <c r="F2856" s="354"/>
    </row>
    <row r="2857" ht="12">
      <c r="F2857" s="354"/>
    </row>
    <row r="2858" ht="12">
      <c r="F2858" s="354"/>
    </row>
    <row r="2859" ht="12">
      <c r="F2859" s="354"/>
    </row>
    <row r="2860" ht="12">
      <c r="F2860" s="354"/>
    </row>
    <row r="2861" ht="12">
      <c r="F2861" s="354"/>
    </row>
    <row r="2862" ht="12">
      <c r="F2862" s="354"/>
    </row>
    <row r="2863" ht="12">
      <c r="F2863" s="354"/>
    </row>
    <row r="2864" ht="12">
      <c r="F2864" s="354"/>
    </row>
    <row r="2865" ht="12">
      <c r="F2865" s="354"/>
    </row>
    <row r="2866" ht="12">
      <c r="F2866" s="354"/>
    </row>
    <row r="2867" ht="12">
      <c r="F2867" s="354"/>
    </row>
    <row r="2868" ht="12">
      <c r="F2868" s="354"/>
    </row>
    <row r="2869" ht="12">
      <c r="F2869" s="354"/>
    </row>
    <row r="2870" ht="12">
      <c r="F2870" s="354"/>
    </row>
    <row r="2871" ht="12">
      <c r="F2871" s="354"/>
    </row>
    <row r="2872" ht="12">
      <c r="F2872" s="354"/>
    </row>
    <row r="2873" ht="12">
      <c r="F2873" s="354"/>
    </row>
    <row r="2874" ht="12">
      <c r="F2874" s="354"/>
    </row>
    <row r="2875" ht="12">
      <c r="F2875" s="354"/>
    </row>
    <row r="2876" ht="12">
      <c r="F2876" s="354"/>
    </row>
    <row r="2877" ht="12">
      <c r="F2877" s="354"/>
    </row>
    <row r="2878" ht="12">
      <c r="F2878" s="354"/>
    </row>
    <row r="2879" ht="12">
      <c r="F2879" s="354"/>
    </row>
    <row r="2880" ht="12">
      <c r="F2880" s="354"/>
    </row>
    <row r="2881" ht="12">
      <c r="F2881" s="354"/>
    </row>
    <row r="2882" ht="12">
      <c r="F2882" s="354"/>
    </row>
    <row r="2883" ht="12">
      <c r="F2883" s="354"/>
    </row>
    <row r="2884" ht="12">
      <c r="F2884" s="354"/>
    </row>
    <row r="2885" ht="12">
      <c r="F2885" s="354"/>
    </row>
    <row r="2886" ht="12">
      <c r="F2886" s="354"/>
    </row>
    <row r="2887" ht="12">
      <c r="F2887" s="354"/>
    </row>
    <row r="2888" ht="12">
      <c r="F2888" s="354"/>
    </row>
    <row r="2889" ht="12">
      <c r="F2889" s="354"/>
    </row>
    <row r="2890" ht="12">
      <c r="F2890" s="354"/>
    </row>
    <row r="2891" ht="12">
      <c r="F2891" s="354"/>
    </row>
    <row r="2892" ht="12">
      <c r="F2892" s="354"/>
    </row>
    <row r="2893" ht="12">
      <c r="F2893" s="354"/>
    </row>
    <row r="2894" ht="12">
      <c r="F2894" s="354"/>
    </row>
    <row r="2895" ht="12">
      <c r="F2895" s="354"/>
    </row>
    <row r="2896" ht="12">
      <c r="F2896" s="354"/>
    </row>
    <row r="2897" ht="12">
      <c r="F2897" s="354"/>
    </row>
    <row r="2898" ht="12">
      <c r="F2898" s="354"/>
    </row>
    <row r="2899" ht="12">
      <c r="F2899" s="354"/>
    </row>
    <row r="2900" ht="12">
      <c r="F2900" s="354"/>
    </row>
    <row r="2901" ht="12">
      <c r="F2901" s="354"/>
    </row>
    <row r="2902" ht="12">
      <c r="F2902" s="354"/>
    </row>
    <row r="2903" ht="12">
      <c r="F2903" s="354"/>
    </row>
    <row r="2904" ht="12">
      <c r="F2904" s="354"/>
    </row>
    <row r="2905" ht="12">
      <c r="F2905" s="354"/>
    </row>
    <row r="2906" ht="12">
      <c r="F2906" s="354"/>
    </row>
    <row r="2907" ht="12">
      <c r="F2907" s="354"/>
    </row>
    <row r="2908" ht="12">
      <c r="F2908" s="354"/>
    </row>
    <row r="2909" ht="12">
      <c r="F2909" s="354"/>
    </row>
    <row r="2910" ht="12">
      <c r="F2910" s="354"/>
    </row>
    <row r="2911" ht="12">
      <c r="F2911" s="354"/>
    </row>
    <row r="2912" ht="12">
      <c r="F2912" s="354"/>
    </row>
    <row r="2913" ht="12">
      <c r="F2913" s="354"/>
    </row>
    <row r="2914" ht="12">
      <c r="F2914" s="354"/>
    </row>
    <row r="2915" ht="12">
      <c r="F2915" s="354"/>
    </row>
    <row r="2916" ht="12">
      <c r="F2916" s="354"/>
    </row>
    <row r="2917" ht="12">
      <c r="F2917" s="354"/>
    </row>
    <row r="2918" ht="12">
      <c r="F2918" s="354"/>
    </row>
    <row r="2919" ht="12">
      <c r="F2919" s="354"/>
    </row>
    <row r="2920" ht="12">
      <c r="F2920" s="354"/>
    </row>
    <row r="2921" ht="12">
      <c r="F2921" s="354"/>
    </row>
    <row r="2922" ht="12">
      <c r="F2922" s="354"/>
    </row>
    <row r="2923" ht="12">
      <c r="F2923" s="354"/>
    </row>
    <row r="2924" ht="12">
      <c r="F2924" s="354"/>
    </row>
    <row r="2925" ht="12">
      <c r="F2925" s="354"/>
    </row>
    <row r="2926" ht="12">
      <c r="F2926" s="354"/>
    </row>
    <row r="2927" ht="12">
      <c r="F2927" s="354"/>
    </row>
    <row r="2928" ht="12">
      <c r="F2928" s="354"/>
    </row>
    <row r="2929" ht="12">
      <c r="F2929" s="354"/>
    </row>
    <row r="2930" ht="12">
      <c r="F2930" s="354"/>
    </row>
    <row r="2931" ht="12">
      <c r="F2931" s="354"/>
    </row>
    <row r="2932" ht="12">
      <c r="F2932" s="354"/>
    </row>
    <row r="2933" ht="12">
      <c r="F2933" s="354"/>
    </row>
    <row r="2934" ht="12">
      <c r="F2934" s="354"/>
    </row>
    <row r="2935" ht="12">
      <c r="F2935" s="354"/>
    </row>
    <row r="2936" ht="12">
      <c r="F2936" s="354"/>
    </row>
    <row r="2937" ht="12">
      <c r="F2937" s="354"/>
    </row>
    <row r="2938" ht="12">
      <c r="F2938" s="354"/>
    </row>
    <row r="2939" ht="12">
      <c r="F2939" s="354"/>
    </row>
    <row r="2940" ht="12">
      <c r="F2940" s="354"/>
    </row>
    <row r="2941" ht="12">
      <c r="F2941" s="354"/>
    </row>
    <row r="2942" ht="12">
      <c r="F2942" s="354"/>
    </row>
    <row r="2943" ht="12">
      <c r="F2943" s="354"/>
    </row>
    <row r="2944" ht="12">
      <c r="F2944" s="354"/>
    </row>
    <row r="2945" ht="12">
      <c r="F2945" s="354"/>
    </row>
    <row r="2946" ht="12">
      <c r="F2946" s="354"/>
    </row>
    <row r="2947" ht="12">
      <c r="F2947" s="354"/>
    </row>
    <row r="2948" ht="12">
      <c r="F2948" s="354"/>
    </row>
    <row r="2949" ht="12">
      <c r="F2949" s="354"/>
    </row>
    <row r="2950" ht="12">
      <c r="F2950" s="354"/>
    </row>
    <row r="2951" ht="12">
      <c r="F2951" s="354"/>
    </row>
    <row r="2952" ht="12">
      <c r="F2952" s="354"/>
    </row>
    <row r="2953" ht="12">
      <c r="F2953" s="354"/>
    </row>
    <row r="2954" ht="12">
      <c r="F2954" s="354"/>
    </row>
    <row r="2955" ht="12">
      <c r="F2955" s="354"/>
    </row>
    <row r="2956" ht="12">
      <c r="F2956" s="354"/>
    </row>
    <row r="2957" ht="12">
      <c r="F2957" s="354"/>
    </row>
    <row r="2958" ht="12">
      <c r="F2958" s="354"/>
    </row>
    <row r="2959" ht="12">
      <c r="F2959" s="354"/>
    </row>
    <row r="2960" ht="12">
      <c r="F2960" s="354"/>
    </row>
    <row r="2961" ht="12">
      <c r="F2961" s="354"/>
    </row>
    <row r="2962" ht="12">
      <c r="F2962" s="354"/>
    </row>
    <row r="2963" ht="12">
      <c r="F2963" s="354"/>
    </row>
    <row r="2964" ht="12">
      <c r="F2964" s="354"/>
    </row>
    <row r="2965" ht="12">
      <c r="F2965" s="354"/>
    </row>
    <row r="2966" ht="12">
      <c r="F2966" s="354"/>
    </row>
    <row r="2967" ht="12">
      <c r="F2967" s="354"/>
    </row>
    <row r="2968" ht="12">
      <c r="F2968" s="354"/>
    </row>
    <row r="2969" ht="12">
      <c r="F2969" s="354"/>
    </row>
    <row r="2970" ht="12">
      <c r="F2970" s="354"/>
    </row>
    <row r="2971" ht="12">
      <c r="F2971" s="354"/>
    </row>
    <row r="2972" ht="12">
      <c r="F2972" s="354"/>
    </row>
    <row r="2973" ht="12">
      <c r="F2973" s="354"/>
    </row>
    <row r="2974" ht="12">
      <c r="F2974" s="354"/>
    </row>
    <row r="2975" ht="12">
      <c r="F2975" s="354"/>
    </row>
    <row r="2976" ht="12">
      <c r="F2976" s="354"/>
    </row>
    <row r="2977" ht="12">
      <c r="F2977" s="354"/>
    </row>
    <row r="2978" ht="12">
      <c r="F2978" s="354"/>
    </row>
    <row r="2979" ht="12">
      <c r="F2979" s="354"/>
    </row>
    <row r="2980" ht="12">
      <c r="F2980" s="354"/>
    </row>
    <row r="2981" ht="12">
      <c r="F2981" s="354"/>
    </row>
    <row r="2982" ht="12">
      <c r="F2982" s="354"/>
    </row>
    <row r="2983" ht="12">
      <c r="F2983" s="354"/>
    </row>
    <row r="2984" ht="12">
      <c r="F2984" s="354"/>
    </row>
    <row r="2985" ht="12">
      <c r="F2985" s="354"/>
    </row>
    <row r="2986" ht="12">
      <c r="F2986" s="354"/>
    </row>
    <row r="2987" ht="12">
      <c r="F2987" s="354"/>
    </row>
    <row r="2988" ht="12">
      <c r="F2988" s="354"/>
    </row>
    <row r="2989" ht="12">
      <c r="F2989" s="354"/>
    </row>
    <row r="2990" ht="12">
      <c r="F2990" s="354"/>
    </row>
    <row r="2991" ht="12">
      <c r="F2991" s="354"/>
    </row>
    <row r="2992" ht="12">
      <c r="F2992" s="354"/>
    </row>
    <row r="2993" ht="12">
      <c r="F2993" s="354"/>
    </row>
    <row r="2994" ht="12">
      <c r="F2994" s="354"/>
    </row>
    <row r="2995" ht="12">
      <c r="F2995" s="354"/>
    </row>
    <row r="2996" ht="12">
      <c r="F2996" s="354"/>
    </row>
    <row r="2997" ht="12">
      <c r="F2997" s="354"/>
    </row>
    <row r="2998" ht="12">
      <c r="F2998" s="354"/>
    </row>
    <row r="2999" ht="12">
      <c r="F2999" s="354"/>
    </row>
    <row r="3000" ht="12">
      <c r="F3000" s="354"/>
    </row>
    <row r="3001" ht="12">
      <c r="F3001" s="354"/>
    </row>
    <row r="3002" ht="12">
      <c r="F3002" s="354"/>
    </row>
    <row r="3003" ht="12">
      <c r="F3003" s="354"/>
    </row>
    <row r="3004" ht="12">
      <c r="F3004" s="354"/>
    </row>
    <row r="3005" ht="12">
      <c r="F3005" s="354"/>
    </row>
    <row r="3006" ht="12">
      <c r="F3006" s="354"/>
    </row>
    <row r="3007" ht="12">
      <c r="F3007" s="354"/>
    </row>
    <row r="3008" ht="12">
      <c r="F3008" s="354"/>
    </row>
    <row r="3009" ht="12">
      <c r="F3009" s="354"/>
    </row>
    <row r="3010" ht="12">
      <c r="F3010" s="354"/>
    </row>
    <row r="3011" ht="12">
      <c r="F3011" s="354"/>
    </row>
    <row r="3012" ht="12">
      <c r="F3012" s="354"/>
    </row>
    <row r="3013" ht="12">
      <c r="F3013" s="354"/>
    </row>
    <row r="3014" ht="12">
      <c r="F3014" s="354"/>
    </row>
    <row r="3015" ht="12">
      <c r="F3015" s="354"/>
    </row>
    <row r="3016" ht="12">
      <c r="F3016" s="354"/>
    </row>
    <row r="3017" ht="12">
      <c r="F3017" s="354"/>
    </row>
    <row r="3018" ht="12">
      <c r="F3018" s="354"/>
    </row>
    <row r="3019" ht="12">
      <c r="F3019" s="354"/>
    </row>
    <row r="3020" ht="12">
      <c r="F3020" s="354"/>
    </row>
    <row r="3021" ht="12">
      <c r="F3021" s="354"/>
    </row>
    <row r="3022" ht="12">
      <c r="F3022" s="354"/>
    </row>
    <row r="3023" ht="12">
      <c r="F3023" s="354"/>
    </row>
    <row r="3024" ht="12">
      <c r="F3024" s="354"/>
    </row>
    <row r="3025" ht="12">
      <c r="F3025" s="354"/>
    </row>
    <row r="3026" ht="12">
      <c r="F3026" s="354"/>
    </row>
    <row r="3027" ht="12">
      <c r="F3027" s="354"/>
    </row>
    <row r="3028" ht="12">
      <c r="F3028" s="354"/>
    </row>
    <row r="3029" ht="12">
      <c r="F3029" s="354"/>
    </row>
    <row r="3030" ht="12">
      <c r="F3030" s="354"/>
    </row>
    <row r="3031" ht="12">
      <c r="F3031" s="354"/>
    </row>
    <row r="3032" ht="12">
      <c r="F3032" s="354"/>
    </row>
    <row r="3033" ht="12">
      <c r="F3033" s="354"/>
    </row>
    <row r="3034" ht="12">
      <c r="F3034" s="354"/>
    </row>
    <row r="3035" ht="12">
      <c r="F3035" s="354"/>
    </row>
    <row r="3036" ht="12">
      <c r="F3036" s="354"/>
    </row>
    <row r="3037" ht="12">
      <c r="F3037" s="354"/>
    </row>
    <row r="3038" ht="12">
      <c r="F3038" s="354"/>
    </row>
    <row r="3039" ht="12">
      <c r="F3039" s="354"/>
    </row>
    <row r="3040" ht="12">
      <c r="F3040" s="354"/>
    </row>
    <row r="3041" ht="12">
      <c r="F3041" s="354"/>
    </row>
    <row r="3042" ht="12">
      <c r="F3042" s="354"/>
    </row>
    <row r="3043" ht="12">
      <c r="F3043" s="354"/>
    </row>
    <row r="3044" ht="12">
      <c r="F3044" s="354"/>
    </row>
    <row r="3045" ht="12">
      <c r="F3045" s="354"/>
    </row>
    <row r="3046" ht="12">
      <c r="F3046" s="354"/>
    </row>
    <row r="3047" ht="12">
      <c r="F3047" s="354"/>
    </row>
    <row r="3048" ht="12">
      <c r="F3048" s="354"/>
    </row>
    <row r="3049" ht="12">
      <c r="F3049" s="354"/>
    </row>
    <row r="3050" ht="12">
      <c r="F3050" s="354"/>
    </row>
    <row r="3051" ht="12">
      <c r="F3051" s="354"/>
    </row>
    <row r="3052" ht="12">
      <c r="F3052" s="354"/>
    </row>
    <row r="3053" ht="12">
      <c r="F3053" s="354"/>
    </row>
    <row r="3054" ht="12">
      <c r="F3054" s="354"/>
    </row>
    <row r="3055" ht="12">
      <c r="F3055" s="354"/>
    </row>
    <row r="3056" ht="12">
      <c r="F3056" s="354"/>
    </row>
    <row r="3057" ht="12">
      <c r="F3057" s="354"/>
    </row>
    <row r="3058" ht="12">
      <c r="F3058" s="354"/>
    </row>
    <row r="3059" ht="12">
      <c r="F3059" s="354"/>
    </row>
    <row r="3060" ht="12">
      <c r="F3060" s="354"/>
    </row>
    <row r="3061" ht="12">
      <c r="F3061" s="354"/>
    </row>
    <row r="3062" ht="12">
      <c r="F3062" s="354"/>
    </row>
    <row r="3063" ht="12">
      <c r="F3063" s="354"/>
    </row>
    <row r="3064" ht="12">
      <c r="F3064" s="354"/>
    </row>
    <row r="3065" ht="12">
      <c r="F3065" s="354"/>
    </row>
    <row r="3066" ht="12">
      <c r="F3066" s="354"/>
    </row>
    <row r="3067" ht="12">
      <c r="F3067" s="354"/>
    </row>
    <row r="3068" ht="12">
      <c r="F3068" s="354"/>
    </row>
    <row r="3069" ht="12">
      <c r="F3069" s="354"/>
    </row>
    <row r="3070" ht="12">
      <c r="F3070" s="354"/>
    </row>
    <row r="3071" ht="12">
      <c r="F3071" s="354"/>
    </row>
    <row r="3072" ht="12">
      <c r="F3072" s="354"/>
    </row>
    <row r="3073" ht="12">
      <c r="F3073" s="354"/>
    </row>
    <row r="3074" ht="12">
      <c r="F3074" s="354"/>
    </row>
    <row r="3075" ht="12">
      <c r="F3075" s="354"/>
    </row>
    <row r="3076" ht="12">
      <c r="F3076" s="354"/>
    </row>
    <row r="3077" ht="12">
      <c r="F3077" s="354"/>
    </row>
    <row r="3078" ht="12">
      <c r="F3078" s="354"/>
    </row>
    <row r="3079" ht="12">
      <c r="F3079" s="354"/>
    </row>
    <row r="3080" ht="12">
      <c r="F3080" s="354"/>
    </row>
    <row r="3081" ht="12">
      <c r="F3081" s="354"/>
    </row>
    <row r="3082" ht="12">
      <c r="F3082" s="354"/>
    </row>
    <row r="3083" ht="12">
      <c r="F3083" s="354"/>
    </row>
    <row r="3084" ht="12">
      <c r="F3084" s="354"/>
    </row>
    <row r="3085" ht="12">
      <c r="F3085" s="354"/>
    </row>
    <row r="3086" ht="12">
      <c r="F3086" s="354"/>
    </row>
    <row r="3087" ht="12">
      <c r="F3087" s="354"/>
    </row>
    <row r="3088" ht="12">
      <c r="F3088" s="354"/>
    </row>
    <row r="3089" ht="12">
      <c r="F3089" s="354"/>
    </row>
    <row r="3090" ht="12">
      <c r="F3090" s="354"/>
    </row>
    <row r="3091" ht="12">
      <c r="F3091" s="354"/>
    </row>
    <row r="3092" ht="12">
      <c r="F3092" s="354"/>
    </row>
    <row r="3093" ht="12">
      <c r="F3093" s="354"/>
    </row>
    <row r="3094" ht="12">
      <c r="F3094" s="354"/>
    </row>
    <row r="3095" ht="12">
      <c r="F3095" s="354"/>
    </row>
    <row r="3096" ht="12">
      <c r="F3096" s="354"/>
    </row>
    <row r="3097" ht="12">
      <c r="F3097" s="354"/>
    </row>
    <row r="3098" ht="12">
      <c r="F3098" s="354"/>
    </row>
    <row r="3099" ht="12">
      <c r="F3099" s="354"/>
    </row>
    <row r="3100" ht="12">
      <c r="F3100" s="354"/>
    </row>
    <row r="3101" ht="12">
      <c r="F3101" s="354"/>
    </row>
    <row r="3102" ht="12">
      <c r="F3102" s="354"/>
    </row>
    <row r="3103" ht="12">
      <c r="F3103" s="354"/>
    </row>
    <row r="3104" ht="12">
      <c r="F3104" s="354"/>
    </row>
    <row r="3105" ht="12">
      <c r="F3105" s="354"/>
    </row>
    <row r="3106" ht="12">
      <c r="F3106" s="354"/>
    </row>
    <row r="3107" ht="12">
      <c r="F3107" s="354"/>
    </row>
    <row r="3108" ht="12">
      <c r="F3108" s="354"/>
    </row>
    <row r="3109" ht="12">
      <c r="F3109" s="354"/>
    </row>
    <row r="3110" ht="12">
      <c r="F3110" s="354"/>
    </row>
    <row r="3111" ht="12">
      <c r="F3111" s="354"/>
    </row>
    <row r="3112" ht="12">
      <c r="F3112" s="354"/>
    </row>
    <row r="3113" ht="12">
      <c r="F3113" s="354"/>
    </row>
    <row r="3114" ht="12">
      <c r="F3114" s="354"/>
    </row>
    <row r="3115" ht="12">
      <c r="F3115" s="354"/>
    </row>
    <row r="3116" ht="12">
      <c r="F3116" s="354"/>
    </row>
    <row r="3117" ht="12">
      <c r="F3117" s="354"/>
    </row>
    <row r="3118" ht="12">
      <c r="F3118" s="354"/>
    </row>
    <row r="3119" ht="12">
      <c r="F3119" s="354"/>
    </row>
    <row r="3120" ht="12">
      <c r="F3120" s="354"/>
    </row>
    <row r="3121" ht="12">
      <c r="F3121" s="354"/>
    </row>
    <row r="3122" ht="12">
      <c r="F3122" s="354"/>
    </row>
    <row r="3123" ht="12">
      <c r="F3123" s="354"/>
    </row>
    <row r="3124" ht="12">
      <c r="F3124" s="354"/>
    </row>
    <row r="3125" ht="12">
      <c r="F3125" s="354"/>
    </row>
    <row r="3126" ht="12">
      <c r="F3126" s="354"/>
    </row>
    <row r="3127" ht="12">
      <c r="F3127" s="354"/>
    </row>
    <row r="3128" ht="12">
      <c r="F3128" s="354"/>
    </row>
    <row r="3129" ht="12">
      <c r="F3129" s="354"/>
    </row>
    <row r="3130" ht="12">
      <c r="F3130" s="354"/>
    </row>
    <row r="3131" ht="12">
      <c r="F3131" s="354"/>
    </row>
    <row r="3132" ht="12">
      <c r="F3132" s="354"/>
    </row>
    <row r="3133" ht="12">
      <c r="F3133" s="354"/>
    </row>
    <row r="3134" ht="12">
      <c r="F3134" s="354"/>
    </row>
    <row r="3135" ht="12">
      <c r="F3135" s="354"/>
    </row>
    <row r="3136" ht="12">
      <c r="F3136" s="354"/>
    </row>
    <row r="3137" ht="12">
      <c r="F3137" s="354"/>
    </row>
    <row r="3138" ht="12">
      <c r="F3138" s="354"/>
    </row>
    <row r="3139" ht="12">
      <c r="F3139" s="354"/>
    </row>
    <row r="3140" ht="12">
      <c r="F3140" s="354"/>
    </row>
    <row r="3141" ht="12">
      <c r="F3141" s="354"/>
    </row>
    <row r="3142" ht="12">
      <c r="F3142" s="354"/>
    </row>
    <row r="3143" ht="12">
      <c r="F3143" s="354"/>
    </row>
    <row r="3144" ht="12">
      <c r="F3144" s="354"/>
    </row>
    <row r="3145" ht="12">
      <c r="F3145" s="354"/>
    </row>
    <row r="3146" ht="12">
      <c r="F3146" s="354"/>
    </row>
    <row r="3147" ht="12">
      <c r="F3147" s="354"/>
    </row>
    <row r="3148" ht="12">
      <c r="F3148" s="354"/>
    </row>
    <row r="3149" ht="12">
      <c r="F3149" s="354"/>
    </row>
    <row r="3150" ht="12">
      <c r="F3150" s="354"/>
    </row>
    <row r="3151" ht="12">
      <c r="F3151" s="354"/>
    </row>
    <row r="3152" ht="12">
      <c r="F3152" s="354"/>
    </row>
    <row r="3153" ht="12">
      <c r="F3153" s="354"/>
    </row>
    <row r="3154" ht="12">
      <c r="F3154" s="354"/>
    </row>
    <row r="3155" ht="12">
      <c r="F3155" s="354"/>
    </row>
    <row r="3156" ht="12">
      <c r="F3156" s="354"/>
    </row>
    <row r="3157" ht="12">
      <c r="F3157" s="354"/>
    </row>
    <row r="3158" ht="12">
      <c r="F3158" s="354"/>
    </row>
    <row r="3159" ht="12">
      <c r="F3159" s="354"/>
    </row>
    <row r="3160" ht="12">
      <c r="F3160" s="354"/>
    </row>
    <row r="3161" ht="12">
      <c r="F3161" s="354"/>
    </row>
    <row r="3162" ht="12">
      <c r="F3162" s="354"/>
    </row>
    <row r="3163" ht="12">
      <c r="F3163" s="354"/>
    </row>
    <row r="3164" ht="12">
      <c r="F3164" s="354"/>
    </row>
    <row r="3165" ht="12">
      <c r="F3165" s="354"/>
    </row>
    <row r="3166" ht="12">
      <c r="F3166" s="354"/>
    </row>
    <row r="3167" ht="12">
      <c r="F3167" s="354"/>
    </row>
    <row r="3168" ht="12">
      <c r="F3168" s="354"/>
    </row>
    <row r="3169" ht="12">
      <c r="F3169" s="354"/>
    </row>
    <row r="3170" ht="12">
      <c r="F3170" s="354"/>
    </row>
    <row r="3171" ht="12">
      <c r="F3171" s="354"/>
    </row>
    <row r="3172" ht="12">
      <c r="F3172" s="354"/>
    </row>
    <row r="3173" ht="12">
      <c r="F3173" s="354"/>
    </row>
    <row r="3174" ht="12">
      <c r="F3174" s="354"/>
    </row>
    <row r="3175" ht="12">
      <c r="F3175" s="354"/>
    </row>
    <row r="3176" ht="12">
      <c r="F3176" s="354"/>
    </row>
    <row r="3177" ht="12">
      <c r="F3177" s="354"/>
    </row>
    <row r="3178" ht="12">
      <c r="F3178" s="354"/>
    </row>
    <row r="3179" ht="12">
      <c r="F3179" s="354"/>
    </row>
    <row r="3180" ht="12">
      <c r="F3180" s="354"/>
    </row>
    <row r="3181" ht="12">
      <c r="F3181" s="354"/>
    </row>
    <row r="3182" ht="12">
      <c r="F3182" s="354"/>
    </row>
    <row r="3183" ht="12">
      <c r="F3183" s="354"/>
    </row>
    <row r="3184" ht="12">
      <c r="F3184" s="354"/>
    </row>
    <row r="3185" ht="12">
      <c r="F3185" s="354"/>
    </row>
    <row r="3186" ht="12">
      <c r="F3186" s="354"/>
    </row>
    <row r="3187" ht="12">
      <c r="F3187" s="354"/>
    </row>
    <row r="3188" ht="12">
      <c r="F3188" s="354"/>
    </row>
    <row r="3189" ht="12">
      <c r="F3189" s="354"/>
    </row>
    <row r="3190" ht="12">
      <c r="F3190" s="354"/>
    </row>
    <row r="3191" ht="12">
      <c r="F3191" s="354"/>
    </row>
    <row r="3192" ht="12">
      <c r="F3192" s="354"/>
    </row>
    <row r="3193" ht="12">
      <c r="F3193" s="354"/>
    </row>
    <row r="3194" ht="12">
      <c r="F3194" s="354"/>
    </row>
    <row r="3195" ht="12">
      <c r="F3195" s="354"/>
    </row>
    <row r="3196" ht="12">
      <c r="F3196" s="354"/>
    </row>
    <row r="3197" ht="12">
      <c r="F3197" s="354"/>
    </row>
    <row r="3198" ht="12">
      <c r="F3198" s="354"/>
    </row>
    <row r="3199" ht="12">
      <c r="F3199" s="354"/>
    </row>
    <row r="3200" ht="12">
      <c r="F3200" s="354"/>
    </row>
    <row r="3201" ht="12">
      <c r="F3201" s="354"/>
    </row>
    <row r="3202" ht="12">
      <c r="F3202" s="354"/>
    </row>
    <row r="3203" ht="12">
      <c r="F3203" s="354"/>
    </row>
    <row r="3204" ht="12">
      <c r="F3204" s="354"/>
    </row>
    <row r="3205" ht="12">
      <c r="F3205" s="354"/>
    </row>
    <row r="3206" ht="12">
      <c r="F3206" s="354"/>
    </row>
    <row r="3207" ht="12">
      <c r="F3207" s="354"/>
    </row>
    <row r="3208" ht="12">
      <c r="F3208" s="354"/>
    </row>
    <row r="3209" ht="12">
      <c r="F3209" s="354"/>
    </row>
    <row r="3210" ht="12">
      <c r="F3210" s="354"/>
    </row>
    <row r="3211" ht="12">
      <c r="F3211" s="354"/>
    </row>
    <row r="3212" ht="12">
      <c r="F3212" s="354"/>
    </row>
    <row r="3213" ht="12">
      <c r="F3213" s="354"/>
    </row>
    <row r="3214" ht="12">
      <c r="F3214" s="354"/>
    </row>
    <row r="3215" ht="12">
      <c r="F3215" s="354"/>
    </row>
    <row r="3216" ht="12">
      <c r="F3216" s="354"/>
    </row>
    <row r="3217" ht="12">
      <c r="F3217" s="354"/>
    </row>
    <row r="3218" ht="12">
      <c r="F3218" s="354"/>
    </row>
    <row r="3219" ht="12">
      <c r="F3219" s="354"/>
    </row>
    <row r="3220" ht="12">
      <c r="F3220" s="354"/>
    </row>
    <row r="3221" ht="12">
      <c r="F3221" s="354"/>
    </row>
    <row r="3222" ht="12">
      <c r="F3222" s="354"/>
    </row>
    <row r="3223" ht="12">
      <c r="F3223" s="354"/>
    </row>
    <row r="3224" ht="12">
      <c r="F3224" s="354"/>
    </row>
    <row r="3225" ht="12">
      <c r="F3225" s="354"/>
    </row>
    <row r="3226" ht="12">
      <c r="F3226" s="354"/>
    </row>
    <row r="3227" ht="12">
      <c r="F3227" s="354"/>
    </row>
    <row r="3228" ht="12">
      <c r="F3228" s="354"/>
    </row>
    <row r="3229" ht="12">
      <c r="F3229" s="354"/>
    </row>
    <row r="3230" ht="12">
      <c r="F3230" s="354"/>
    </row>
    <row r="3231" ht="12">
      <c r="F3231" s="354"/>
    </row>
    <row r="3232" ht="12">
      <c r="F3232" s="354"/>
    </row>
    <row r="3233" ht="12">
      <c r="F3233" s="354"/>
    </row>
    <row r="3234" ht="12">
      <c r="F3234" s="354"/>
    </row>
    <row r="3235" ht="12">
      <c r="F3235" s="354"/>
    </row>
    <row r="3236" ht="12">
      <c r="F3236" s="354"/>
    </row>
    <row r="3237" ht="12">
      <c r="F3237" s="354"/>
    </row>
    <row r="3238" ht="12">
      <c r="F3238" s="354"/>
    </row>
    <row r="3239" ht="12">
      <c r="F3239" s="354"/>
    </row>
    <row r="3240" ht="12">
      <c r="F3240" s="354"/>
    </row>
    <row r="3241" ht="12">
      <c r="F3241" s="354"/>
    </row>
    <row r="3242" ht="12">
      <c r="F3242" s="354"/>
    </row>
    <row r="3243" ht="12">
      <c r="F3243" s="354"/>
    </row>
    <row r="3244" ht="12">
      <c r="F3244" s="354"/>
    </row>
    <row r="3245" ht="12">
      <c r="F3245" s="354"/>
    </row>
    <row r="3246" ht="12">
      <c r="F3246" s="354"/>
    </row>
    <row r="3247" ht="12">
      <c r="F3247" s="354"/>
    </row>
    <row r="3248" ht="12">
      <c r="F3248" s="354"/>
    </row>
    <row r="3249" ht="12">
      <c r="F3249" s="354"/>
    </row>
    <row r="3250" ht="12">
      <c r="F3250" s="354"/>
    </row>
    <row r="3251" ht="12">
      <c r="F3251" s="354"/>
    </row>
    <row r="3252" ht="12">
      <c r="F3252" s="354"/>
    </row>
    <row r="3253" ht="12">
      <c r="F3253" s="354"/>
    </row>
    <row r="3254" ht="12">
      <c r="F3254" s="354"/>
    </row>
    <row r="3255" ht="12">
      <c r="F3255" s="354"/>
    </row>
    <row r="3256" ht="12">
      <c r="F3256" s="354"/>
    </row>
    <row r="3257" ht="12">
      <c r="F3257" s="354"/>
    </row>
    <row r="3258" ht="12">
      <c r="F3258" s="354"/>
    </row>
    <row r="3259" ht="12">
      <c r="F3259" s="354"/>
    </row>
    <row r="3260" ht="12">
      <c r="F3260" s="354"/>
    </row>
    <row r="3261" ht="12">
      <c r="F3261" s="354"/>
    </row>
    <row r="3262" ht="12">
      <c r="F3262" s="354"/>
    </row>
    <row r="3263" ht="12">
      <c r="F3263" s="354"/>
    </row>
    <row r="3264" ht="12">
      <c r="F3264" s="354"/>
    </row>
    <row r="3265" ht="12">
      <c r="F3265" s="354"/>
    </row>
    <row r="3266" ht="12">
      <c r="F3266" s="354"/>
    </row>
    <row r="3267" ht="12">
      <c r="F3267" s="354"/>
    </row>
    <row r="3268" ht="12">
      <c r="F3268" s="354"/>
    </row>
    <row r="3269" ht="12">
      <c r="F3269" s="354"/>
    </row>
    <row r="3270" ht="12">
      <c r="F3270" s="354"/>
    </row>
    <row r="3271" ht="12">
      <c r="F3271" s="354"/>
    </row>
    <row r="3272" ht="12">
      <c r="F3272" s="354"/>
    </row>
    <row r="3273" ht="12">
      <c r="F3273" s="354"/>
    </row>
    <row r="3274" ht="12">
      <c r="F3274" s="354"/>
    </row>
    <row r="3275" ht="12">
      <c r="F3275" s="354"/>
    </row>
    <row r="3276" ht="12">
      <c r="F3276" s="354"/>
    </row>
    <row r="3277" ht="12">
      <c r="F3277" s="354"/>
    </row>
    <row r="3278" ht="12">
      <c r="F3278" s="354"/>
    </row>
    <row r="3279" ht="12">
      <c r="F3279" s="354"/>
    </row>
    <row r="3280" ht="12">
      <c r="F3280" s="354"/>
    </row>
    <row r="3281" ht="12">
      <c r="F3281" s="354"/>
    </row>
    <row r="3282" ht="12">
      <c r="F3282" s="354"/>
    </row>
    <row r="3283" ht="12">
      <c r="F3283" s="354"/>
    </row>
    <row r="3284" ht="12">
      <c r="F3284" s="354"/>
    </row>
    <row r="3285" ht="12">
      <c r="F3285" s="354"/>
    </row>
    <row r="3286" ht="12">
      <c r="F3286" s="354"/>
    </row>
    <row r="3287" ht="12">
      <c r="F3287" s="354"/>
    </row>
    <row r="3288" ht="12">
      <c r="F3288" s="354"/>
    </row>
    <row r="3289" ht="12">
      <c r="F3289" s="354"/>
    </row>
    <row r="3290" ht="12">
      <c r="F3290" s="354"/>
    </row>
    <row r="3291" ht="12">
      <c r="F3291" s="354"/>
    </row>
    <row r="3292" ht="12">
      <c r="F3292" s="354"/>
    </row>
    <row r="3293" ht="12">
      <c r="F3293" s="354"/>
    </row>
    <row r="3294" ht="12">
      <c r="F3294" s="354"/>
    </row>
    <row r="3295" ht="12">
      <c r="F3295" s="354"/>
    </row>
    <row r="3296" ht="12">
      <c r="F3296" s="354"/>
    </row>
    <row r="3297" ht="12">
      <c r="F3297" s="354"/>
    </row>
    <row r="3298" ht="12">
      <c r="F3298" s="354"/>
    </row>
    <row r="3299" ht="12">
      <c r="F3299" s="354"/>
    </row>
    <row r="3300" ht="12">
      <c r="F3300" s="354"/>
    </row>
    <row r="3301" ht="12">
      <c r="F3301" s="354"/>
    </row>
    <row r="3302" ht="12">
      <c r="F3302" s="354"/>
    </row>
    <row r="3303" ht="12">
      <c r="F3303" s="354"/>
    </row>
    <row r="3304" ht="12">
      <c r="F3304" s="354"/>
    </row>
    <row r="3305" ht="12">
      <c r="F3305" s="354"/>
    </row>
    <row r="3306" ht="12">
      <c r="F3306" s="354"/>
    </row>
    <row r="3307" ht="12">
      <c r="F3307" s="354"/>
    </row>
    <row r="3308" ht="12">
      <c r="F3308" s="354"/>
    </row>
    <row r="3309" ht="12">
      <c r="F3309" s="354"/>
    </row>
    <row r="3310" ht="12">
      <c r="F3310" s="354"/>
    </row>
    <row r="3311" ht="12">
      <c r="F3311" s="354"/>
    </row>
    <row r="3312" ht="12">
      <c r="F3312" s="354"/>
    </row>
    <row r="3313" ht="12">
      <c r="F3313" s="354"/>
    </row>
    <row r="3314" ht="12">
      <c r="F3314" s="354"/>
    </row>
    <row r="3315" ht="12">
      <c r="F3315" s="354"/>
    </row>
    <row r="3316" ht="12">
      <c r="F3316" s="354"/>
    </row>
    <row r="3317" ht="12">
      <c r="F3317" s="354"/>
    </row>
    <row r="3318" ht="12">
      <c r="F3318" s="354"/>
    </row>
    <row r="3319" ht="12">
      <c r="F3319" s="354"/>
    </row>
    <row r="3320" ht="12">
      <c r="F3320" s="354"/>
    </row>
    <row r="3321" ht="12">
      <c r="F3321" s="354"/>
    </row>
    <row r="3322" ht="12">
      <c r="F3322" s="354"/>
    </row>
    <row r="3323" ht="12">
      <c r="F3323" s="354"/>
    </row>
    <row r="3324" ht="12">
      <c r="F3324" s="354"/>
    </row>
    <row r="3325" ht="12">
      <c r="F3325" s="354"/>
    </row>
    <row r="3326" ht="12">
      <c r="F3326" s="354"/>
    </row>
    <row r="3327" ht="12">
      <c r="F3327" s="354"/>
    </row>
    <row r="3328" ht="12">
      <c r="F3328" s="354"/>
    </row>
    <row r="3329" ht="12">
      <c r="F3329" s="354"/>
    </row>
    <row r="3330" ht="12">
      <c r="F3330" s="354"/>
    </row>
    <row r="3331" ht="12">
      <c r="F3331" s="354"/>
    </row>
    <row r="3332" ht="12">
      <c r="F3332" s="354"/>
    </row>
    <row r="3333" ht="12">
      <c r="F3333" s="354"/>
    </row>
    <row r="3334" ht="12">
      <c r="F3334" s="354"/>
    </row>
    <row r="3335" ht="12">
      <c r="F3335" s="354"/>
    </row>
    <row r="3336" ht="12">
      <c r="F3336" s="354"/>
    </row>
    <row r="3337" ht="12">
      <c r="F3337" s="354"/>
    </row>
    <row r="3338" ht="12">
      <c r="F3338" s="354"/>
    </row>
    <row r="3339" ht="12">
      <c r="F3339" s="354"/>
    </row>
    <row r="3340" ht="12">
      <c r="F3340" s="354"/>
    </row>
    <row r="3341" ht="12">
      <c r="F3341" s="354"/>
    </row>
    <row r="3342" ht="12">
      <c r="F3342" s="354"/>
    </row>
    <row r="3343" ht="12">
      <c r="F3343" s="354"/>
    </row>
    <row r="3344" ht="12">
      <c r="F3344" s="354"/>
    </row>
    <row r="3345" ht="12">
      <c r="F3345" s="354"/>
    </row>
    <row r="3346" ht="12">
      <c r="F3346" s="354"/>
    </row>
    <row r="3347" ht="12">
      <c r="F3347" s="354"/>
    </row>
    <row r="3348" ht="12">
      <c r="F3348" s="354"/>
    </row>
    <row r="3349" ht="12">
      <c r="F3349" s="354"/>
    </row>
    <row r="3350" ht="12">
      <c r="F3350" s="354"/>
    </row>
    <row r="3351" ht="12">
      <c r="F3351" s="354"/>
    </row>
    <row r="3352" ht="12">
      <c r="F3352" s="354"/>
    </row>
    <row r="3353" ht="12">
      <c r="F3353" s="354"/>
    </row>
    <row r="3354" ht="12">
      <c r="F3354" s="354"/>
    </row>
    <row r="3355" ht="12">
      <c r="F3355" s="354"/>
    </row>
    <row r="3356" ht="12">
      <c r="F3356" s="354"/>
    </row>
    <row r="3357" ht="12">
      <c r="F3357" s="354"/>
    </row>
    <row r="3358" ht="12">
      <c r="F3358" s="354"/>
    </row>
    <row r="3359" ht="12">
      <c r="F3359" s="354"/>
    </row>
    <row r="3360" ht="12">
      <c r="F3360" s="354"/>
    </row>
    <row r="3361" ht="12">
      <c r="F3361" s="354"/>
    </row>
    <row r="3362" ht="12">
      <c r="F3362" s="354"/>
    </row>
    <row r="3363" ht="12">
      <c r="F3363" s="354"/>
    </row>
    <row r="3364" ht="12">
      <c r="F3364" s="354"/>
    </row>
    <row r="3365" ht="12">
      <c r="F3365" s="354"/>
    </row>
    <row r="3366" ht="12">
      <c r="F3366" s="354"/>
    </row>
    <row r="3367" ht="12">
      <c r="F3367" s="354"/>
    </row>
    <row r="3368" ht="12">
      <c r="F3368" s="354"/>
    </row>
    <row r="3369" ht="12">
      <c r="F3369" s="354"/>
    </row>
    <row r="3370" ht="12">
      <c r="F3370" s="354"/>
    </row>
    <row r="3371" ht="12">
      <c r="F3371" s="354"/>
    </row>
    <row r="3372" ht="12">
      <c r="F3372" s="354"/>
    </row>
    <row r="3373" ht="12">
      <c r="F3373" s="354"/>
    </row>
    <row r="3374" ht="12">
      <c r="F3374" s="354"/>
    </row>
    <row r="3375" ht="12">
      <c r="F3375" s="354"/>
    </row>
    <row r="3376" ht="12">
      <c r="F3376" s="354"/>
    </row>
    <row r="3377" ht="12">
      <c r="F3377" s="354"/>
    </row>
    <row r="3378" ht="12">
      <c r="F3378" s="354"/>
    </row>
    <row r="3379" ht="12">
      <c r="F3379" s="354"/>
    </row>
    <row r="3380" ht="12">
      <c r="F3380" s="354"/>
    </row>
    <row r="3381" ht="12">
      <c r="F3381" s="354"/>
    </row>
    <row r="3382" ht="12">
      <c r="F3382" s="354"/>
    </row>
    <row r="3383" ht="12">
      <c r="F3383" s="354"/>
    </row>
    <row r="3384" ht="12">
      <c r="F3384" s="354"/>
    </row>
    <row r="3385" ht="12">
      <c r="F3385" s="354"/>
    </row>
    <row r="3386" ht="12">
      <c r="F3386" s="354"/>
    </row>
    <row r="3387" ht="12">
      <c r="F3387" s="354"/>
    </row>
    <row r="3388" ht="12">
      <c r="F3388" s="354"/>
    </row>
    <row r="3389" ht="12">
      <c r="F3389" s="354"/>
    </row>
    <row r="3390" ht="12">
      <c r="F3390" s="354"/>
    </row>
    <row r="3391" ht="12">
      <c r="F3391" s="354"/>
    </row>
    <row r="3392" ht="12">
      <c r="F3392" s="354"/>
    </row>
    <row r="3393" ht="12">
      <c r="F3393" s="354"/>
    </row>
    <row r="3394" ht="12">
      <c r="F3394" s="354"/>
    </row>
    <row r="3395" ht="12">
      <c r="F3395" s="354"/>
    </row>
    <row r="3396" ht="12">
      <c r="F3396" s="354"/>
    </row>
    <row r="3397" ht="12">
      <c r="F3397" s="354"/>
    </row>
    <row r="3398" ht="12">
      <c r="F3398" s="354"/>
    </row>
    <row r="3399" ht="12">
      <c r="F3399" s="354"/>
    </row>
    <row r="3400" ht="12">
      <c r="F3400" s="354"/>
    </row>
    <row r="3401" ht="12">
      <c r="F3401" s="354"/>
    </row>
    <row r="3402" ht="12">
      <c r="F3402" s="354"/>
    </row>
    <row r="3403" ht="12">
      <c r="F3403" s="354"/>
    </row>
    <row r="3404" ht="12">
      <c r="F3404" s="354"/>
    </row>
    <row r="3405" ht="12">
      <c r="F3405" s="354"/>
    </row>
    <row r="3406" ht="12">
      <c r="F3406" s="354"/>
    </row>
    <row r="3407" ht="12">
      <c r="F3407" s="354"/>
    </row>
    <row r="3408" ht="12">
      <c r="F3408" s="354"/>
    </row>
    <row r="3409" ht="12">
      <c r="F3409" s="354"/>
    </row>
    <row r="3410" ht="12">
      <c r="F3410" s="354"/>
    </row>
    <row r="3411" ht="12">
      <c r="F3411" s="354"/>
    </row>
    <row r="3412" ht="12">
      <c r="F3412" s="354"/>
    </row>
    <row r="3413" ht="12">
      <c r="F3413" s="354"/>
    </row>
    <row r="3414" ht="12">
      <c r="F3414" s="354"/>
    </row>
    <row r="3415" ht="12">
      <c r="F3415" s="354"/>
    </row>
    <row r="3416" ht="12">
      <c r="F3416" s="354"/>
    </row>
    <row r="3417" ht="12">
      <c r="F3417" s="354"/>
    </row>
    <row r="3418" ht="12">
      <c r="F3418" s="354"/>
    </row>
    <row r="3419" ht="12">
      <c r="F3419" s="354"/>
    </row>
    <row r="3420" ht="12">
      <c r="F3420" s="354"/>
    </row>
    <row r="3421" ht="12">
      <c r="F3421" s="354"/>
    </row>
    <row r="3422" ht="12">
      <c r="F3422" s="354"/>
    </row>
    <row r="3423" ht="12">
      <c r="F3423" s="354"/>
    </row>
    <row r="3424" ht="12">
      <c r="F3424" s="354"/>
    </row>
    <row r="3425" ht="12">
      <c r="F3425" s="354"/>
    </row>
    <row r="3426" ht="12">
      <c r="F3426" s="354"/>
    </row>
    <row r="3427" ht="12">
      <c r="F3427" s="354"/>
    </row>
    <row r="3428" ht="12">
      <c r="F3428" s="354"/>
    </row>
    <row r="3429" ht="12">
      <c r="F3429" s="354"/>
    </row>
    <row r="3430" ht="12">
      <c r="F3430" s="354"/>
    </row>
    <row r="3431" ht="12">
      <c r="F3431" s="354"/>
    </row>
    <row r="3432" ht="12">
      <c r="F3432" s="354"/>
    </row>
    <row r="3433" ht="12">
      <c r="F3433" s="354"/>
    </row>
    <row r="3434" ht="12">
      <c r="F3434" s="354"/>
    </row>
    <row r="3435" ht="12">
      <c r="F3435" s="354"/>
    </row>
    <row r="3436" ht="12">
      <c r="F3436" s="354"/>
    </row>
    <row r="3437" ht="12">
      <c r="F3437" s="354"/>
    </row>
    <row r="3438" ht="12">
      <c r="F3438" s="354"/>
    </row>
    <row r="3439" ht="12">
      <c r="F3439" s="354"/>
    </row>
    <row r="3440" ht="12">
      <c r="F3440" s="354"/>
    </row>
    <row r="3441" ht="12">
      <c r="F3441" s="354"/>
    </row>
    <row r="3442" ht="12">
      <c r="F3442" s="354"/>
    </row>
    <row r="3443" ht="12">
      <c r="F3443" s="354"/>
    </row>
    <row r="3444" ht="12">
      <c r="F3444" s="354"/>
    </row>
    <row r="3445" ht="12">
      <c r="F3445" s="354"/>
    </row>
    <row r="3446" ht="12">
      <c r="F3446" s="354"/>
    </row>
    <row r="3447" ht="12">
      <c r="F3447" s="354"/>
    </row>
    <row r="3448" ht="12">
      <c r="F3448" s="354"/>
    </row>
    <row r="3449" ht="12">
      <c r="F3449" s="354"/>
    </row>
    <row r="3450" ht="12">
      <c r="F3450" s="354"/>
    </row>
    <row r="3451" ht="12">
      <c r="F3451" s="354"/>
    </row>
    <row r="3452" ht="12">
      <c r="F3452" s="354"/>
    </row>
    <row r="3453" ht="12">
      <c r="F3453" s="354"/>
    </row>
    <row r="3454" ht="12">
      <c r="F3454" s="354"/>
    </row>
    <row r="3455" ht="12">
      <c r="F3455" s="354"/>
    </row>
    <row r="3456" ht="12">
      <c r="F3456" s="354"/>
    </row>
    <row r="3457" ht="12">
      <c r="F3457" s="354"/>
    </row>
    <row r="3458" ht="12">
      <c r="F3458" s="354"/>
    </row>
    <row r="3459" ht="12">
      <c r="F3459" s="354"/>
    </row>
    <row r="3460" ht="12">
      <c r="F3460" s="354"/>
    </row>
    <row r="3461" ht="12">
      <c r="F3461" s="354"/>
    </row>
    <row r="3462" ht="12">
      <c r="F3462" s="354"/>
    </row>
    <row r="3463" ht="12">
      <c r="F3463" s="354"/>
    </row>
    <row r="3464" ht="12">
      <c r="F3464" s="354"/>
    </row>
    <row r="3465" ht="12">
      <c r="F3465" s="354"/>
    </row>
    <row r="3466" ht="12">
      <c r="F3466" s="354"/>
    </row>
    <row r="3467" ht="12">
      <c r="F3467" s="354"/>
    </row>
    <row r="3468" ht="12">
      <c r="F3468" s="354"/>
    </row>
    <row r="3469" ht="12">
      <c r="F3469" s="354"/>
    </row>
    <row r="3470" ht="12">
      <c r="F3470" s="354"/>
    </row>
    <row r="3471" ht="12">
      <c r="F3471" s="354"/>
    </row>
    <row r="3472" ht="12">
      <c r="F3472" s="354"/>
    </row>
    <row r="3473" ht="12">
      <c r="F3473" s="354"/>
    </row>
    <row r="3474" ht="12">
      <c r="F3474" s="354"/>
    </row>
    <row r="3475" ht="12">
      <c r="F3475" s="354"/>
    </row>
    <row r="3476" ht="12">
      <c r="F3476" s="354"/>
    </row>
    <row r="3477" ht="12">
      <c r="F3477" s="354"/>
    </row>
    <row r="3478" ht="12">
      <c r="F3478" s="354"/>
    </row>
    <row r="3479" ht="12">
      <c r="F3479" s="354"/>
    </row>
    <row r="3480" ht="12">
      <c r="F3480" s="354"/>
    </row>
    <row r="3481" ht="12">
      <c r="F3481" s="354"/>
    </row>
    <row r="3482" ht="12">
      <c r="F3482" s="354"/>
    </row>
    <row r="3483" ht="12">
      <c r="F3483" s="354"/>
    </row>
    <row r="3484" ht="12">
      <c r="F3484" s="354"/>
    </row>
    <row r="3485" ht="12">
      <c r="F3485" s="354"/>
    </row>
    <row r="3486" ht="12">
      <c r="F3486" s="354"/>
    </row>
    <row r="3487" ht="12">
      <c r="F3487" s="354"/>
    </row>
    <row r="3488" ht="12">
      <c r="F3488" s="354"/>
    </row>
    <row r="3489" ht="12">
      <c r="F3489" s="354"/>
    </row>
    <row r="3490" ht="12">
      <c r="F3490" s="354"/>
    </row>
    <row r="3491" ht="12">
      <c r="F3491" s="354"/>
    </row>
    <row r="3492" ht="12">
      <c r="F3492" s="354"/>
    </row>
    <row r="3493" ht="12">
      <c r="F3493" s="354"/>
    </row>
    <row r="3494" ht="12">
      <c r="F3494" s="354"/>
    </row>
    <row r="3495" ht="12">
      <c r="F3495" s="354"/>
    </row>
    <row r="3496" ht="12">
      <c r="F3496" s="354"/>
    </row>
    <row r="3497" ht="12">
      <c r="F3497" s="354"/>
    </row>
    <row r="3498" ht="12">
      <c r="F3498" s="354"/>
    </row>
    <row r="3499" ht="12">
      <c r="F3499" s="354"/>
    </row>
    <row r="3500" ht="12">
      <c r="F3500" s="354"/>
    </row>
    <row r="3501" ht="12">
      <c r="F3501" s="354"/>
    </row>
    <row r="3502" ht="12">
      <c r="F3502" s="354"/>
    </row>
    <row r="3503" ht="12">
      <c r="F3503" s="354"/>
    </row>
    <row r="3504" ht="12">
      <c r="F3504" s="354"/>
    </row>
    <row r="3505" ht="12">
      <c r="F3505" s="354"/>
    </row>
    <row r="3506" ht="12">
      <c r="F3506" s="354"/>
    </row>
    <row r="3507" ht="12">
      <c r="F3507" s="354"/>
    </row>
    <row r="3508" ht="12">
      <c r="F3508" s="354"/>
    </row>
    <row r="3509" ht="12">
      <c r="F3509" s="354"/>
    </row>
    <row r="3510" ht="12">
      <c r="F3510" s="354"/>
    </row>
    <row r="3511" ht="12">
      <c r="F3511" s="354"/>
    </row>
    <row r="3512" ht="12">
      <c r="F3512" s="354"/>
    </row>
    <row r="3513" ht="12">
      <c r="F3513" s="354"/>
    </row>
    <row r="3514" ht="12">
      <c r="F3514" s="354"/>
    </row>
    <row r="3515" ht="12">
      <c r="F3515" s="354"/>
    </row>
    <row r="3516" ht="12">
      <c r="F3516" s="354"/>
    </row>
    <row r="3517" ht="12">
      <c r="F3517" s="354"/>
    </row>
    <row r="3518" ht="12">
      <c r="F3518" s="354"/>
    </row>
    <row r="3519" ht="12">
      <c r="F3519" s="354"/>
    </row>
    <row r="3520" ht="12">
      <c r="F3520" s="354"/>
    </row>
    <row r="3521" ht="12">
      <c r="F3521" s="354"/>
    </row>
    <row r="3522" ht="12">
      <c r="F3522" s="354"/>
    </row>
    <row r="3523" ht="12">
      <c r="F3523" s="354"/>
    </row>
    <row r="3524" ht="12">
      <c r="F3524" s="354"/>
    </row>
    <row r="3525" ht="12">
      <c r="F3525" s="354"/>
    </row>
    <row r="3526" ht="12">
      <c r="F3526" s="354"/>
    </row>
    <row r="3527" ht="12">
      <c r="F3527" s="354"/>
    </row>
    <row r="3528" ht="12">
      <c r="F3528" s="354"/>
    </row>
    <row r="3529" ht="12">
      <c r="F3529" s="354"/>
    </row>
    <row r="3530" ht="12">
      <c r="F3530" s="354"/>
    </row>
    <row r="3531" ht="12">
      <c r="F3531" s="354"/>
    </row>
    <row r="3532" ht="12">
      <c r="F3532" s="354"/>
    </row>
    <row r="3533" ht="12">
      <c r="F3533" s="354"/>
    </row>
    <row r="3534" ht="12">
      <c r="F3534" s="354"/>
    </row>
    <row r="3535" ht="12">
      <c r="F3535" s="354"/>
    </row>
    <row r="3536" ht="12">
      <c r="F3536" s="354"/>
    </row>
    <row r="3537" ht="12">
      <c r="F3537" s="354"/>
    </row>
    <row r="3538" ht="12">
      <c r="F3538" s="354"/>
    </row>
    <row r="3539" ht="12">
      <c r="F3539" s="354"/>
    </row>
    <row r="3540" ht="12">
      <c r="F3540" s="354"/>
    </row>
    <row r="3541" ht="12">
      <c r="F3541" s="354"/>
    </row>
    <row r="3542" ht="12">
      <c r="F3542" s="354"/>
    </row>
    <row r="3543" ht="12">
      <c r="F3543" s="354"/>
    </row>
    <row r="3544" ht="12">
      <c r="F3544" s="354"/>
    </row>
    <row r="3545" ht="12">
      <c r="F3545" s="354"/>
    </row>
    <row r="3546" ht="12">
      <c r="F3546" s="354"/>
    </row>
    <row r="3547" ht="12">
      <c r="F3547" s="354"/>
    </row>
    <row r="3548" ht="12">
      <c r="F3548" s="354"/>
    </row>
    <row r="3549" ht="12">
      <c r="F3549" s="354"/>
    </row>
    <row r="3550" ht="12">
      <c r="F3550" s="354"/>
    </row>
    <row r="3551" ht="12">
      <c r="F3551" s="354"/>
    </row>
    <row r="3552" ht="12">
      <c r="F3552" s="354"/>
    </row>
    <row r="3553" ht="12">
      <c r="F3553" s="354"/>
    </row>
    <row r="3554" ht="12">
      <c r="F3554" s="354"/>
    </row>
    <row r="3555" ht="12">
      <c r="F3555" s="354"/>
    </row>
    <row r="3556" ht="12">
      <c r="F3556" s="354"/>
    </row>
    <row r="3557" ht="12">
      <c r="F3557" s="354"/>
    </row>
    <row r="3558" ht="12">
      <c r="F3558" s="354"/>
    </row>
    <row r="3559" ht="12">
      <c r="F3559" s="354"/>
    </row>
    <row r="3560" ht="12">
      <c r="F3560" s="354"/>
    </row>
    <row r="3561" ht="12">
      <c r="F3561" s="354"/>
    </row>
    <row r="3562" ht="12">
      <c r="F3562" s="354"/>
    </row>
    <row r="3563" ht="12">
      <c r="F3563" s="354"/>
    </row>
    <row r="3564" ht="12">
      <c r="F3564" s="354"/>
    </row>
    <row r="3565" ht="12">
      <c r="F3565" s="354"/>
    </row>
    <row r="3566" ht="12">
      <c r="F3566" s="354"/>
    </row>
    <row r="3567" ht="12">
      <c r="F3567" s="354"/>
    </row>
    <row r="3568" ht="12">
      <c r="F3568" s="354"/>
    </row>
    <row r="3569" ht="12">
      <c r="F3569" s="354"/>
    </row>
    <row r="3570" ht="12">
      <c r="F3570" s="354"/>
    </row>
    <row r="3571" ht="12">
      <c r="F3571" s="354"/>
    </row>
    <row r="3572" ht="12">
      <c r="F3572" s="354"/>
    </row>
    <row r="3573" ht="12">
      <c r="F3573" s="354"/>
    </row>
    <row r="3574" ht="12">
      <c r="F3574" s="354"/>
    </row>
    <row r="3575" ht="12">
      <c r="F3575" s="354"/>
    </row>
    <row r="3576" ht="12">
      <c r="F3576" s="354"/>
    </row>
    <row r="3577" ht="12">
      <c r="F3577" s="354"/>
    </row>
    <row r="3578" ht="12">
      <c r="F3578" s="354"/>
    </row>
    <row r="3579" ht="12">
      <c r="F3579" s="354"/>
    </row>
    <row r="3580" ht="12">
      <c r="F3580" s="354"/>
    </row>
    <row r="3581" ht="12">
      <c r="F3581" s="354"/>
    </row>
    <row r="3582" ht="12">
      <c r="F3582" s="354"/>
    </row>
    <row r="3583" ht="12">
      <c r="F3583" s="354"/>
    </row>
    <row r="3584" ht="12">
      <c r="F3584" s="354"/>
    </row>
    <row r="3585" ht="12">
      <c r="F3585" s="354"/>
    </row>
    <row r="3586" ht="12">
      <c r="F3586" s="354"/>
    </row>
    <row r="3587" ht="12">
      <c r="F3587" s="354"/>
    </row>
    <row r="3588" ht="12">
      <c r="F3588" s="354"/>
    </row>
    <row r="3589" ht="12">
      <c r="F3589" s="354"/>
    </row>
    <row r="3590" ht="12">
      <c r="F3590" s="354"/>
    </row>
    <row r="3591" ht="12">
      <c r="F3591" s="354"/>
    </row>
    <row r="3592" ht="12">
      <c r="F3592" s="354"/>
    </row>
    <row r="3593" ht="12">
      <c r="F3593" s="354"/>
    </row>
    <row r="3594" ht="12">
      <c r="F3594" s="354"/>
    </row>
    <row r="3595" ht="12">
      <c r="F3595" s="354"/>
    </row>
    <row r="3596" ht="12">
      <c r="F3596" s="354"/>
    </row>
    <row r="3597" ht="12">
      <c r="F3597" s="354"/>
    </row>
    <row r="3598" ht="12">
      <c r="F3598" s="354"/>
    </row>
    <row r="3599" ht="12">
      <c r="F3599" s="354"/>
    </row>
    <row r="3600" ht="12">
      <c r="F3600" s="354"/>
    </row>
    <row r="3601" ht="12">
      <c r="F3601" s="354"/>
    </row>
    <row r="3602" ht="12">
      <c r="F3602" s="354"/>
    </row>
    <row r="3603" ht="12">
      <c r="F3603" s="354"/>
    </row>
    <row r="3604" ht="12">
      <c r="F3604" s="354"/>
    </row>
    <row r="3605" ht="12">
      <c r="F3605" s="354"/>
    </row>
    <row r="3606" ht="12">
      <c r="F3606" s="354"/>
    </row>
    <row r="3607" ht="12">
      <c r="F3607" s="354"/>
    </row>
    <row r="3608" ht="12">
      <c r="F3608" s="354"/>
    </row>
    <row r="3609" ht="12">
      <c r="F3609" s="354"/>
    </row>
    <row r="3610" ht="12">
      <c r="F3610" s="354"/>
    </row>
    <row r="3611" ht="12">
      <c r="F3611" s="354"/>
    </row>
    <row r="3612" ht="12">
      <c r="F3612" s="354"/>
    </row>
    <row r="3613" ht="12">
      <c r="F3613" s="354"/>
    </row>
    <row r="3614" ht="12">
      <c r="F3614" s="354"/>
    </row>
    <row r="3615" ht="12">
      <c r="F3615" s="354"/>
    </row>
    <row r="3616" ht="12">
      <c r="F3616" s="354"/>
    </row>
    <row r="3617" ht="12">
      <c r="F3617" s="354"/>
    </row>
    <row r="3618" ht="12">
      <c r="F3618" s="354"/>
    </row>
    <row r="3619" ht="12">
      <c r="F3619" s="354"/>
    </row>
    <row r="3620" ht="12">
      <c r="F3620" s="354"/>
    </row>
    <row r="3621" ht="12">
      <c r="F3621" s="354"/>
    </row>
    <row r="3622" ht="12">
      <c r="F3622" s="354"/>
    </row>
    <row r="3623" ht="12">
      <c r="F3623" s="354"/>
    </row>
    <row r="3624" ht="12">
      <c r="F3624" s="354"/>
    </row>
    <row r="3625" ht="12">
      <c r="F3625" s="354"/>
    </row>
    <row r="3626" ht="12">
      <c r="F3626" s="354"/>
    </row>
    <row r="3627" ht="12">
      <c r="F3627" s="354"/>
    </row>
    <row r="3628" ht="12">
      <c r="F3628" s="354"/>
    </row>
    <row r="3629" ht="12">
      <c r="F3629" s="354"/>
    </row>
    <row r="3630" ht="12">
      <c r="F3630" s="354"/>
    </row>
    <row r="3631" ht="12">
      <c r="F3631" s="354"/>
    </row>
    <row r="3632" ht="12">
      <c r="F3632" s="354"/>
    </row>
    <row r="3633" ht="12">
      <c r="F3633" s="354"/>
    </row>
    <row r="3634" ht="12">
      <c r="F3634" s="354"/>
    </row>
    <row r="3635" ht="12">
      <c r="F3635" s="354"/>
    </row>
    <row r="3636" ht="12">
      <c r="F3636" s="354"/>
    </row>
    <row r="3637" ht="12">
      <c r="F3637" s="354"/>
    </row>
    <row r="3638" ht="12">
      <c r="F3638" s="354"/>
    </row>
    <row r="3639" ht="12">
      <c r="F3639" s="354"/>
    </row>
    <row r="3640" ht="12">
      <c r="F3640" s="354"/>
    </row>
    <row r="3641" ht="12">
      <c r="F3641" s="354"/>
    </row>
    <row r="3642" ht="12">
      <c r="F3642" s="354"/>
    </row>
    <row r="3643" ht="12">
      <c r="F3643" s="354"/>
    </row>
    <row r="3644" ht="12">
      <c r="F3644" s="354"/>
    </row>
    <row r="3645" ht="12">
      <c r="F3645" s="354"/>
    </row>
    <row r="3646" ht="12">
      <c r="F3646" s="354"/>
    </row>
    <row r="3647" ht="12">
      <c r="F3647" s="354"/>
    </row>
    <row r="3648" ht="12">
      <c r="F3648" s="354"/>
    </row>
    <row r="3649" ht="12">
      <c r="F3649" s="354"/>
    </row>
    <row r="3650" ht="12">
      <c r="F3650" s="354"/>
    </row>
    <row r="3651" ht="12">
      <c r="F3651" s="354"/>
    </row>
    <row r="3652" ht="12">
      <c r="F3652" s="354"/>
    </row>
    <row r="3653" ht="12">
      <c r="F3653" s="354"/>
    </row>
    <row r="3654" ht="12">
      <c r="F3654" s="354"/>
    </row>
    <row r="3655" ht="12">
      <c r="F3655" s="354"/>
    </row>
    <row r="3656" ht="12">
      <c r="F3656" s="354"/>
    </row>
    <row r="3657" ht="12">
      <c r="F3657" s="354"/>
    </row>
    <row r="3658" ht="12">
      <c r="F3658" s="354"/>
    </row>
    <row r="3659" ht="12">
      <c r="F3659" s="354"/>
    </row>
    <row r="3660" ht="12">
      <c r="F3660" s="354"/>
    </row>
    <row r="3661" ht="12">
      <c r="F3661" s="354"/>
    </row>
    <row r="3662" ht="12">
      <c r="F3662" s="354"/>
    </row>
    <row r="3663" ht="12">
      <c r="F3663" s="354"/>
    </row>
    <row r="3664" ht="12">
      <c r="F3664" s="354"/>
    </row>
    <row r="3665" ht="12">
      <c r="F3665" s="354"/>
    </row>
    <row r="3666" ht="12">
      <c r="F3666" s="354"/>
    </row>
    <row r="3667" ht="12">
      <c r="F3667" s="354"/>
    </row>
    <row r="3668" ht="12">
      <c r="F3668" s="354"/>
    </row>
    <row r="3669" ht="12">
      <c r="F3669" s="354"/>
    </row>
    <row r="3670" ht="12">
      <c r="F3670" s="354"/>
    </row>
    <row r="3671" ht="12">
      <c r="F3671" s="354"/>
    </row>
    <row r="3672" ht="12">
      <c r="F3672" s="354"/>
    </row>
    <row r="3673" ht="12">
      <c r="F3673" s="354"/>
    </row>
    <row r="3674" ht="12">
      <c r="F3674" s="354"/>
    </row>
    <row r="3675" ht="12">
      <c r="F3675" s="354"/>
    </row>
    <row r="3676" ht="12">
      <c r="F3676" s="354"/>
    </row>
    <row r="3677" ht="12">
      <c r="F3677" s="354"/>
    </row>
    <row r="3678" ht="12">
      <c r="F3678" s="354"/>
    </row>
    <row r="3679" ht="12">
      <c r="F3679" s="354"/>
    </row>
    <row r="3680" ht="12">
      <c r="F3680" s="354"/>
    </row>
    <row r="3681" ht="12">
      <c r="F3681" s="354"/>
    </row>
    <row r="3682" ht="12">
      <c r="F3682" s="354"/>
    </row>
    <row r="3683" ht="12">
      <c r="F3683" s="354"/>
    </row>
    <row r="3684" ht="12">
      <c r="F3684" s="354"/>
    </row>
    <row r="3685" ht="12">
      <c r="F3685" s="354"/>
    </row>
    <row r="3686" ht="12">
      <c r="F3686" s="354"/>
    </row>
    <row r="3687" ht="12">
      <c r="F3687" s="354"/>
    </row>
    <row r="3688" ht="12">
      <c r="F3688" s="354"/>
    </row>
    <row r="3689" ht="12">
      <c r="F3689" s="354"/>
    </row>
    <row r="3690" ht="12">
      <c r="F3690" s="354"/>
    </row>
    <row r="3691" ht="12">
      <c r="F3691" s="354"/>
    </row>
    <row r="3692" ht="12">
      <c r="F3692" s="354"/>
    </row>
    <row r="3693" ht="12">
      <c r="F3693" s="354"/>
    </row>
    <row r="3694" ht="12">
      <c r="F3694" s="354"/>
    </row>
    <row r="3695" ht="12">
      <c r="F3695" s="354"/>
    </row>
    <row r="3696" ht="12">
      <c r="F3696" s="354"/>
    </row>
    <row r="3697" ht="12">
      <c r="F3697" s="354"/>
    </row>
    <row r="3698" ht="12">
      <c r="F3698" s="354"/>
    </row>
    <row r="3699" ht="12">
      <c r="F3699" s="354"/>
    </row>
    <row r="3700" ht="12">
      <c r="F3700" s="354"/>
    </row>
    <row r="3701" ht="12">
      <c r="F3701" s="354"/>
    </row>
    <row r="3702" ht="12">
      <c r="F3702" s="354"/>
    </row>
    <row r="3703" ht="12">
      <c r="F3703" s="354"/>
    </row>
    <row r="3704" ht="12">
      <c r="F3704" s="354"/>
    </row>
    <row r="3705" ht="12">
      <c r="F3705" s="354"/>
    </row>
    <row r="3706" ht="12">
      <c r="F3706" s="354"/>
    </row>
    <row r="3707" ht="12">
      <c r="F3707" s="354"/>
    </row>
    <row r="3708" ht="12">
      <c r="F3708" s="354"/>
    </row>
    <row r="3709" ht="12">
      <c r="F3709" s="354"/>
    </row>
    <row r="3710" ht="12">
      <c r="F3710" s="354"/>
    </row>
    <row r="3711" ht="12">
      <c r="F3711" s="354"/>
    </row>
    <row r="3712" ht="12">
      <c r="F3712" s="354"/>
    </row>
    <row r="3713" ht="12">
      <c r="F3713" s="354"/>
    </row>
    <row r="3714" ht="12">
      <c r="F3714" s="354"/>
    </row>
    <row r="3715" ht="12">
      <c r="F3715" s="354"/>
    </row>
    <row r="3716" ht="12">
      <c r="F3716" s="354"/>
    </row>
    <row r="3717" ht="12">
      <c r="F3717" s="354"/>
    </row>
    <row r="3718" ht="12">
      <c r="F3718" s="354"/>
    </row>
    <row r="3719" ht="12">
      <c r="F3719" s="354"/>
    </row>
    <row r="3720" ht="12">
      <c r="F3720" s="354"/>
    </row>
    <row r="3721" ht="12">
      <c r="F3721" s="354"/>
    </row>
    <row r="3722" ht="12">
      <c r="F3722" s="354"/>
    </row>
    <row r="3723" ht="12">
      <c r="F3723" s="354"/>
    </row>
    <row r="3724" ht="12">
      <c r="F3724" s="354"/>
    </row>
    <row r="3725" ht="12">
      <c r="F3725" s="354"/>
    </row>
    <row r="3726" ht="12">
      <c r="F3726" s="354"/>
    </row>
    <row r="3727" ht="12">
      <c r="F3727" s="354"/>
    </row>
    <row r="3728" ht="12">
      <c r="F3728" s="354"/>
    </row>
    <row r="3729" ht="12">
      <c r="F3729" s="354"/>
    </row>
    <row r="3730" ht="12">
      <c r="F3730" s="354"/>
    </row>
    <row r="3731" ht="12">
      <c r="F3731" s="354"/>
    </row>
    <row r="3732" ht="12">
      <c r="F3732" s="354"/>
    </row>
    <row r="3733" ht="12">
      <c r="F3733" s="354"/>
    </row>
    <row r="3734" ht="12">
      <c r="F3734" s="354"/>
    </row>
    <row r="3735" ht="12">
      <c r="F3735" s="354"/>
    </row>
    <row r="3736" ht="12">
      <c r="F3736" s="354"/>
    </row>
    <row r="3737" ht="12">
      <c r="F3737" s="354"/>
    </row>
    <row r="3738" ht="12">
      <c r="F3738" s="354"/>
    </row>
    <row r="3739" ht="12">
      <c r="F3739" s="354"/>
    </row>
    <row r="3740" ht="12">
      <c r="F3740" s="354"/>
    </row>
    <row r="3741" ht="12">
      <c r="F3741" s="354"/>
    </row>
    <row r="3742" ht="12">
      <c r="F3742" s="354"/>
    </row>
    <row r="3743" ht="12">
      <c r="F3743" s="354"/>
    </row>
    <row r="3744" ht="12">
      <c r="F3744" s="354"/>
    </row>
    <row r="3745" ht="12">
      <c r="F3745" s="354"/>
    </row>
    <row r="3746" ht="12">
      <c r="F3746" s="354"/>
    </row>
    <row r="3747" ht="12">
      <c r="F3747" s="354"/>
    </row>
    <row r="3748" ht="12">
      <c r="F3748" s="354"/>
    </row>
    <row r="3749" ht="12">
      <c r="F3749" s="354"/>
    </row>
    <row r="3750" ht="12">
      <c r="F3750" s="354"/>
    </row>
    <row r="3751" ht="12">
      <c r="F3751" s="354"/>
    </row>
    <row r="3752" ht="12">
      <c r="F3752" s="354"/>
    </row>
    <row r="3753" ht="12">
      <c r="F3753" s="354"/>
    </row>
    <row r="3754" ht="12">
      <c r="F3754" s="354"/>
    </row>
    <row r="3755" ht="12">
      <c r="F3755" s="354"/>
    </row>
    <row r="3756" ht="12">
      <c r="F3756" s="354"/>
    </row>
    <row r="3757" ht="12">
      <c r="F3757" s="354"/>
    </row>
    <row r="3758" ht="12">
      <c r="F3758" s="354"/>
    </row>
    <row r="3759" ht="12">
      <c r="F3759" s="354"/>
    </row>
    <row r="3760" ht="12">
      <c r="F3760" s="354"/>
    </row>
    <row r="3761" ht="12">
      <c r="F3761" s="354"/>
    </row>
    <row r="3762" ht="12">
      <c r="F3762" s="354"/>
    </row>
    <row r="3763" ht="12">
      <c r="F3763" s="354"/>
    </row>
    <row r="3764" ht="12">
      <c r="F3764" s="354"/>
    </row>
    <row r="3765" ht="12">
      <c r="F3765" s="354"/>
    </row>
    <row r="3766" ht="12">
      <c r="F3766" s="354"/>
    </row>
    <row r="3767" ht="12">
      <c r="F3767" s="354"/>
    </row>
    <row r="3768" ht="12">
      <c r="F3768" s="354"/>
    </row>
    <row r="3769" ht="12">
      <c r="F3769" s="354"/>
    </row>
    <row r="3770" ht="12">
      <c r="F3770" s="354"/>
    </row>
    <row r="3771" ht="12">
      <c r="F3771" s="354"/>
    </row>
    <row r="3772" ht="12">
      <c r="F3772" s="354"/>
    </row>
    <row r="3773" ht="12">
      <c r="F3773" s="354"/>
    </row>
    <row r="3774" ht="12">
      <c r="F3774" s="354"/>
    </row>
    <row r="3775" ht="12">
      <c r="F3775" s="354"/>
    </row>
    <row r="3776" ht="12">
      <c r="F3776" s="354"/>
    </row>
    <row r="3777" ht="12">
      <c r="F3777" s="354"/>
    </row>
    <row r="3778" ht="12">
      <c r="F3778" s="354"/>
    </row>
    <row r="3779" ht="12">
      <c r="F3779" s="354"/>
    </row>
    <row r="3780" ht="12">
      <c r="F3780" s="354"/>
    </row>
    <row r="3781" ht="12">
      <c r="F3781" s="354"/>
    </row>
    <row r="3782" ht="12">
      <c r="F3782" s="354"/>
    </row>
    <row r="3783" ht="12">
      <c r="F3783" s="354"/>
    </row>
    <row r="3784" ht="12">
      <c r="F3784" s="354"/>
    </row>
    <row r="3785" ht="12">
      <c r="F3785" s="354"/>
    </row>
    <row r="3786" ht="12">
      <c r="F3786" s="354"/>
    </row>
    <row r="3787" ht="12">
      <c r="F3787" s="354"/>
    </row>
    <row r="3788" ht="12">
      <c r="F3788" s="354"/>
    </row>
    <row r="3789" ht="12">
      <c r="F3789" s="354"/>
    </row>
    <row r="3790" ht="12">
      <c r="F3790" s="354"/>
    </row>
    <row r="3791" ht="12">
      <c r="F3791" s="354"/>
    </row>
    <row r="3792" ht="12">
      <c r="F3792" s="354"/>
    </row>
    <row r="3793" ht="12">
      <c r="F3793" s="354"/>
    </row>
    <row r="3794" ht="12">
      <c r="F3794" s="354"/>
    </row>
    <row r="3795" ht="12">
      <c r="F3795" s="354"/>
    </row>
    <row r="3796" ht="12">
      <c r="F3796" s="354"/>
    </row>
    <row r="3797" ht="12">
      <c r="F3797" s="354"/>
    </row>
    <row r="3798" ht="12">
      <c r="F3798" s="354"/>
    </row>
    <row r="3799" ht="12">
      <c r="F3799" s="354"/>
    </row>
    <row r="3800" ht="12">
      <c r="F3800" s="354"/>
    </row>
    <row r="3801" ht="12">
      <c r="F3801" s="354"/>
    </row>
    <row r="3802" ht="12">
      <c r="F3802" s="354"/>
    </row>
    <row r="3803" ht="12">
      <c r="F3803" s="354"/>
    </row>
    <row r="3804" ht="12">
      <c r="F3804" s="354"/>
    </row>
    <row r="3805" ht="12">
      <c r="F3805" s="354"/>
    </row>
    <row r="3806" ht="12">
      <c r="F3806" s="354"/>
    </row>
    <row r="3807" ht="12">
      <c r="F3807" s="354"/>
    </row>
    <row r="3808" ht="12">
      <c r="F3808" s="354"/>
    </row>
    <row r="3809" ht="12">
      <c r="F3809" s="354"/>
    </row>
    <row r="3810" ht="12">
      <c r="F3810" s="354"/>
    </row>
    <row r="3811" ht="12">
      <c r="F3811" s="354"/>
    </row>
    <row r="3812" ht="12">
      <c r="F3812" s="354"/>
    </row>
    <row r="3813" ht="12">
      <c r="F3813" s="354"/>
    </row>
    <row r="3814" ht="12">
      <c r="F3814" s="354"/>
    </row>
    <row r="3815" ht="12">
      <c r="F3815" s="354"/>
    </row>
    <row r="3816" ht="12">
      <c r="F3816" s="354"/>
    </row>
    <row r="3817" ht="12">
      <c r="F3817" s="354"/>
    </row>
    <row r="3818" ht="12">
      <c r="F3818" s="354"/>
    </row>
    <row r="3819" ht="12">
      <c r="F3819" s="354"/>
    </row>
    <row r="3820" ht="12">
      <c r="F3820" s="354"/>
    </row>
    <row r="3821" ht="12">
      <c r="F3821" s="354"/>
    </row>
    <row r="3822" ht="12">
      <c r="F3822" s="354"/>
    </row>
    <row r="3823" ht="12">
      <c r="F3823" s="354"/>
    </row>
    <row r="3824" ht="12">
      <c r="F3824" s="354"/>
    </row>
    <row r="3825" ht="12">
      <c r="F3825" s="354"/>
    </row>
    <row r="3826" ht="12">
      <c r="F3826" s="354"/>
    </row>
    <row r="3827" ht="12">
      <c r="F3827" s="354"/>
    </row>
    <row r="3828" ht="12">
      <c r="F3828" s="354"/>
    </row>
    <row r="3829" ht="12">
      <c r="F3829" s="354"/>
    </row>
    <row r="3830" ht="12">
      <c r="F3830" s="354"/>
    </row>
    <row r="3831" ht="12">
      <c r="F3831" s="354"/>
    </row>
    <row r="3832" ht="12">
      <c r="F3832" s="354"/>
    </row>
    <row r="3833" ht="12">
      <c r="F3833" s="354"/>
    </row>
    <row r="3834" ht="12">
      <c r="F3834" s="354"/>
    </row>
    <row r="3835" ht="12">
      <c r="F3835" s="354"/>
    </row>
    <row r="3836" ht="12">
      <c r="F3836" s="354"/>
    </row>
    <row r="3837" ht="12">
      <c r="F3837" s="354"/>
    </row>
    <row r="3838" ht="12">
      <c r="F3838" s="354"/>
    </row>
    <row r="3839" ht="12">
      <c r="F3839" s="354"/>
    </row>
    <row r="3840" ht="12">
      <c r="F3840" s="354"/>
    </row>
    <row r="3841" ht="12">
      <c r="F3841" s="354"/>
    </row>
    <row r="3842" ht="12">
      <c r="F3842" s="354"/>
    </row>
    <row r="3843" ht="12">
      <c r="F3843" s="354"/>
    </row>
    <row r="3844" ht="12">
      <c r="F3844" s="354"/>
    </row>
    <row r="3845" ht="12">
      <c r="F3845" s="354"/>
    </row>
    <row r="3846" ht="12">
      <c r="F3846" s="354"/>
    </row>
    <row r="3847" ht="12">
      <c r="F3847" s="354"/>
    </row>
    <row r="3848" ht="12">
      <c r="F3848" s="354"/>
    </row>
    <row r="3849" ht="12">
      <c r="F3849" s="354"/>
    </row>
    <row r="3850" ht="12">
      <c r="F3850" s="354"/>
    </row>
    <row r="3851" ht="12">
      <c r="F3851" s="354"/>
    </row>
    <row r="3852" ht="12">
      <c r="F3852" s="354"/>
    </row>
    <row r="3853" ht="12">
      <c r="F3853" s="354"/>
    </row>
    <row r="3854" ht="12">
      <c r="F3854" s="354"/>
    </row>
    <row r="3855" ht="12">
      <c r="F3855" s="354"/>
    </row>
    <row r="3856" ht="12">
      <c r="F3856" s="354"/>
    </row>
    <row r="3857" ht="12">
      <c r="F3857" s="354"/>
    </row>
    <row r="3858" ht="12">
      <c r="F3858" s="354"/>
    </row>
    <row r="3859" ht="12">
      <c r="F3859" s="354"/>
    </row>
    <row r="3860" ht="12">
      <c r="F3860" s="354"/>
    </row>
    <row r="3861" ht="12">
      <c r="F3861" s="354"/>
    </row>
    <row r="3862" ht="12">
      <c r="F3862" s="354"/>
    </row>
    <row r="3863" ht="12">
      <c r="F3863" s="354"/>
    </row>
    <row r="3864" ht="12">
      <c r="F3864" s="354"/>
    </row>
    <row r="3865" ht="12">
      <c r="F3865" s="354"/>
    </row>
    <row r="3866" ht="12">
      <c r="F3866" s="354"/>
    </row>
    <row r="3867" ht="12">
      <c r="F3867" s="354"/>
    </row>
    <row r="3868" ht="12">
      <c r="F3868" s="354"/>
    </row>
    <row r="3869" ht="12">
      <c r="F3869" s="354"/>
    </row>
    <row r="3870" ht="12">
      <c r="F3870" s="354"/>
    </row>
    <row r="3871" ht="12">
      <c r="F3871" s="354"/>
    </row>
    <row r="3872" ht="12">
      <c r="F3872" s="354"/>
    </row>
    <row r="3873" ht="12">
      <c r="F3873" s="354"/>
    </row>
    <row r="3874" ht="12">
      <c r="F3874" s="354"/>
    </row>
    <row r="3875" ht="12">
      <c r="F3875" s="354"/>
    </row>
    <row r="3876" ht="12">
      <c r="F3876" s="354"/>
    </row>
    <row r="3877" ht="12">
      <c r="F3877" s="354"/>
    </row>
    <row r="3878" ht="12">
      <c r="F3878" s="354"/>
    </row>
    <row r="3879" ht="12">
      <c r="F3879" s="354"/>
    </row>
    <row r="3880" ht="12">
      <c r="F3880" s="354"/>
    </row>
    <row r="3881" ht="12">
      <c r="F3881" s="354"/>
    </row>
    <row r="3882" ht="12">
      <c r="F3882" s="354"/>
    </row>
    <row r="3883" ht="12">
      <c r="F3883" s="354"/>
    </row>
    <row r="3884" ht="12">
      <c r="F3884" s="354"/>
    </row>
    <row r="3885" ht="12">
      <c r="F3885" s="354"/>
    </row>
    <row r="3886" ht="12">
      <c r="F3886" s="354"/>
    </row>
    <row r="3887" ht="12">
      <c r="F3887" s="354"/>
    </row>
    <row r="3888" ht="12">
      <c r="F3888" s="354"/>
    </row>
    <row r="3889" ht="12">
      <c r="F3889" s="354"/>
    </row>
    <row r="3890" ht="12">
      <c r="F3890" s="354"/>
    </row>
    <row r="3891" ht="12">
      <c r="F3891" s="354"/>
    </row>
    <row r="3892" ht="12">
      <c r="F3892" s="354"/>
    </row>
    <row r="3893" ht="12">
      <c r="F3893" s="354"/>
    </row>
    <row r="3894" ht="12">
      <c r="F3894" s="354"/>
    </row>
    <row r="3895" ht="12">
      <c r="F3895" s="354"/>
    </row>
    <row r="3896" ht="12">
      <c r="F3896" s="354"/>
    </row>
    <row r="3897" ht="12">
      <c r="F3897" s="354"/>
    </row>
    <row r="3898" ht="12">
      <c r="F3898" s="354"/>
    </row>
    <row r="3899" ht="12">
      <c r="F3899" s="354"/>
    </row>
    <row r="3900" ht="12">
      <c r="F3900" s="354"/>
    </row>
    <row r="3901" ht="12">
      <c r="F3901" s="354"/>
    </row>
    <row r="3902" ht="12">
      <c r="F3902" s="354"/>
    </row>
    <row r="3903" ht="12">
      <c r="F3903" s="354"/>
    </row>
    <row r="3904" ht="12">
      <c r="F3904" s="354"/>
    </row>
    <row r="3905" ht="12">
      <c r="F3905" s="354"/>
    </row>
    <row r="3906" ht="12">
      <c r="F3906" s="354"/>
    </row>
    <row r="3907" ht="12">
      <c r="F3907" s="354"/>
    </row>
    <row r="3908" ht="12">
      <c r="F3908" s="354"/>
    </row>
    <row r="3909" ht="12">
      <c r="F3909" s="354"/>
    </row>
    <row r="3910" ht="12">
      <c r="F3910" s="354"/>
    </row>
    <row r="3911" ht="12">
      <c r="F3911" s="354"/>
    </row>
    <row r="3912" ht="12">
      <c r="F3912" s="354"/>
    </row>
    <row r="3913" ht="12">
      <c r="F3913" s="354"/>
    </row>
    <row r="3914" ht="12">
      <c r="F3914" s="354"/>
    </row>
    <row r="3915" ht="12">
      <c r="F3915" s="354"/>
    </row>
    <row r="3916" ht="12">
      <c r="F3916" s="354"/>
    </row>
    <row r="3917" ht="12">
      <c r="F3917" s="354"/>
    </row>
    <row r="3918" ht="12">
      <c r="F3918" s="354"/>
    </row>
    <row r="3919" ht="12">
      <c r="F3919" s="354"/>
    </row>
    <row r="3920" ht="12">
      <c r="F3920" s="354"/>
    </row>
    <row r="3921" ht="12">
      <c r="F3921" s="354"/>
    </row>
    <row r="3922" ht="12">
      <c r="F3922" s="354"/>
    </row>
    <row r="3923" ht="12">
      <c r="F3923" s="354"/>
    </row>
    <row r="3924" ht="12">
      <c r="F3924" s="354"/>
    </row>
    <row r="3925" ht="12">
      <c r="F3925" s="354"/>
    </row>
    <row r="3926" ht="12">
      <c r="F3926" s="354"/>
    </row>
    <row r="3927" ht="12">
      <c r="F3927" s="354"/>
    </row>
    <row r="3928" ht="12">
      <c r="F3928" s="354"/>
    </row>
    <row r="3929" ht="12">
      <c r="F3929" s="354"/>
    </row>
    <row r="3930" ht="12">
      <c r="F3930" s="354"/>
    </row>
    <row r="3931" ht="12">
      <c r="F3931" s="354"/>
    </row>
    <row r="3932" ht="12">
      <c r="F3932" s="354"/>
    </row>
    <row r="3933" ht="12">
      <c r="F3933" s="354"/>
    </row>
    <row r="3934" ht="12">
      <c r="F3934" s="354"/>
    </row>
    <row r="3935" ht="12">
      <c r="F3935" s="354"/>
    </row>
    <row r="3936" ht="12">
      <c r="F3936" s="354"/>
    </row>
    <row r="3937" ht="12">
      <c r="F3937" s="354"/>
    </row>
    <row r="3938" ht="12">
      <c r="F3938" s="354"/>
    </row>
    <row r="3939" ht="12">
      <c r="F3939" s="354"/>
    </row>
    <row r="3940" ht="12">
      <c r="F3940" s="354"/>
    </row>
    <row r="3941" ht="12">
      <c r="F3941" s="354"/>
    </row>
    <row r="3942" ht="12">
      <c r="F3942" s="354"/>
    </row>
    <row r="3943" ht="12">
      <c r="F3943" s="354"/>
    </row>
    <row r="3944" ht="12">
      <c r="F3944" s="354"/>
    </row>
    <row r="3945" ht="12">
      <c r="F3945" s="354"/>
    </row>
    <row r="3946" ht="12">
      <c r="F3946" s="354"/>
    </row>
    <row r="3947" ht="12">
      <c r="F3947" s="354"/>
    </row>
    <row r="3948" ht="12">
      <c r="F3948" s="354"/>
    </row>
    <row r="3949" ht="12">
      <c r="F3949" s="354"/>
    </row>
    <row r="3950" ht="12">
      <c r="F3950" s="354"/>
    </row>
    <row r="3951" ht="12">
      <c r="F3951" s="354"/>
    </row>
    <row r="3952" ht="12">
      <c r="F3952" s="354"/>
    </row>
    <row r="3953" ht="12">
      <c r="F3953" s="354"/>
    </row>
    <row r="3954" ht="12">
      <c r="F3954" s="354"/>
    </row>
    <row r="3955" ht="12">
      <c r="F3955" s="354"/>
    </row>
    <row r="3956" ht="12">
      <c r="F3956" s="354"/>
    </row>
    <row r="3957" ht="12">
      <c r="F3957" s="354"/>
    </row>
    <row r="3958" ht="12">
      <c r="F3958" s="354"/>
    </row>
    <row r="3959" ht="12">
      <c r="F3959" s="354"/>
    </row>
    <row r="3960" ht="12">
      <c r="F3960" s="354"/>
    </row>
    <row r="3961" ht="12">
      <c r="F3961" s="354"/>
    </row>
    <row r="3962" ht="12">
      <c r="F3962" s="354"/>
    </row>
    <row r="3963" ht="12">
      <c r="F3963" s="354"/>
    </row>
    <row r="3964" ht="12">
      <c r="F3964" s="354"/>
    </row>
    <row r="3965" ht="12">
      <c r="F3965" s="354"/>
    </row>
    <row r="3966" ht="12">
      <c r="F3966" s="354"/>
    </row>
    <row r="3967" ht="12">
      <c r="F3967" s="354"/>
    </row>
    <row r="3968" ht="12">
      <c r="F3968" s="354"/>
    </row>
    <row r="3969" ht="12">
      <c r="F3969" s="354"/>
    </row>
    <row r="3970" ht="12">
      <c r="F3970" s="354"/>
    </row>
    <row r="3971" ht="12">
      <c r="F3971" s="354"/>
    </row>
    <row r="3972" ht="12">
      <c r="F3972" s="354"/>
    </row>
    <row r="3973" ht="12">
      <c r="F3973" s="354"/>
    </row>
    <row r="3974" ht="12">
      <c r="F3974" s="354"/>
    </row>
    <row r="3975" ht="12">
      <c r="F3975" s="354"/>
    </row>
    <row r="3976" ht="12">
      <c r="F3976" s="354"/>
    </row>
    <row r="3977" ht="12">
      <c r="F3977" s="354"/>
    </row>
    <row r="3978" ht="12">
      <c r="F3978" s="354"/>
    </row>
    <row r="3979" ht="12">
      <c r="F3979" s="354"/>
    </row>
    <row r="3980" ht="12">
      <c r="F3980" s="354"/>
    </row>
    <row r="3981" ht="12">
      <c r="F3981" s="354"/>
    </row>
    <row r="3982" ht="12">
      <c r="F3982" s="354"/>
    </row>
    <row r="3983" ht="12">
      <c r="F3983" s="354"/>
    </row>
    <row r="3984" ht="12">
      <c r="F3984" s="354"/>
    </row>
    <row r="3985" ht="12">
      <c r="F3985" s="354"/>
    </row>
    <row r="3986" ht="12">
      <c r="F3986" s="354"/>
    </row>
    <row r="3987" ht="12">
      <c r="F3987" s="354"/>
    </row>
    <row r="3988" ht="12">
      <c r="F3988" s="354"/>
    </row>
    <row r="3989" ht="12">
      <c r="F3989" s="354"/>
    </row>
    <row r="3990" ht="12">
      <c r="F3990" s="354"/>
    </row>
    <row r="3991" ht="12">
      <c r="F3991" s="354"/>
    </row>
    <row r="3992" ht="12">
      <c r="F3992" s="354"/>
    </row>
    <row r="3993" ht="12">
      <c r="F3993" s="354"/>
    </row>
    <row r="3994" ht="12">
      <c r="F3994" s="354"/>
    </row>
    <row r="3995" ht="12">
      <c r="F3995" s="354"/>
    </row>
    <row r="3996" ht="12">
      <c r="F3996" s="354"/>
    </row>
    <row r="3997" ht="12">
      <c r="F3997" s="354"/>
    </row>
    <row r="3998" ht="12">
      <c r="F3998" s="354"/>
    </row>
    <row r="3999" ht="12">
      <c r="F3999" s="354"/>
    </row>
    <row r="4000" ht="12">
      <c r="F4000" s="354"/>
    </row>
    <row r="4001" ht="12">
      <c r="F4001" s="354"/>
    </row>
    <row r="4002" ht="12">
      <c r="F4002" s="354"/>
    </row>
    <row r="4003" ht="12">
      <c r="F4003" s="354"/>
    </row>
    <row r="4004" ht="12">
      <c r="F4004" s="354"/>
    </row>
    <row r="4005" ht="12">
      <c r="F4005" s="354"/>
    </row>
    <row r="4006" ht="12">
      <c r="F4006" s="354"/>
    </row>
    <row r="4007" ht="12">
      <c r="F4007" s="354"/>
    </row>
    <row r="4008" ht="12">
      <c r="F4008" s="354"/>
    </row>
    <row r="4009" ht="12">
      <c r="F4009" s="354"/>
    </row>
    <row r="4010" ht="12">
      <c r="F4010" s="354"/>
    </row>
    <row r="4011" ht="12">
      <c r="F4011" s="354"/>
    </row>
    <row r="4012" ht="12">
      <c r="F4012" s="354"/>
    </row>
    <row r="4013" ht="12">
      <c r="F4013" s="354"/>
    </row>
    <row r="4014" ht="12">
      <c r="F4014" s="354"/>
    </row>
    <row r="4015" ht="12">
      <c r="F4015" s="354"/>
    </row>
    <row r="4016" ht="12">
      <c r="F4016" s="354"/>
    </row>
    <row r="4017" ht="12">
      <c r="F4017" s="354"/>
    </row>
    <row r="4018" ht="12">
      <c r="F4018" s="354"/>
    </row>
    <row r="4019" ht="12">
      <c r="F4019" s="354"/>
    </row>
    <row r="4020" ht="12">
      <c r="F4020" s="354"/>
    </row>
    <row r="4021" ht="12">
      <c r="F4021" s="354"/>
    </row>
    <row r="4022" ht="12">
      <c r="F4022" s="354"/>
    </row>
    <row r="4023" ht="12">
      <c r="F4023" s="354"/>
    </row>
    <row r="4024" ht="12">
      <c r="F4024" s="354"/>
    </row>
    <row r="4025" ht="12">
      <c r="F4025" s="354"/>
    </row>
    <row r="4026" ht="12">
      <c r="F4026" s="354"/>
    </row>
    <row r="4027" ht="12">
      <c r="F4027" s="354"/>
    </row>
    <row r="4028" ht="12">
      <c r="F4028" s="354"/>
    </row>
    <row r="4029" ht="12">
      <c r="F4029" s="354"/>
    </row>
    <row r="4030" ht="12">
      <c r="F4030" s="354"/>
    </row>
    <row r="4031" ht="12">
      <c r="F4031" s="354"/>
    </row>
    <row r="4032" ht="12">
      <c r="F4032" s="354"/>
    </row>
    <row r="4033" ht="12">
      <c r="F4033" s="354"/>
    </row>
    <row r="4034" ht="12">
      <c r="F4034" s="354"/>
    </row>
    <row r="4035" ht="12">
      <c r="F4035" s="354"/>
    </row>
    <row r="4036" ht="12">
      <c r="F4036" s="354"/>
    </row>
    <row r="4037" ht="12">
      <c r="F4037" s="354"/>
    </row>
    <row r="4038" ht="12">
      <c r="F4038" s="354"/>
    </row>
    <row r="4039" ht="12">
      <c r="F4039" s="354"/>
    </row>
    <row r="4040" ht="12">
      <c r="F4040" s="354"/>
    </row>
    <row r="4041" ht="12">
      <c r="F4041" s="354"/>
    </row>
    <row r="4042" ht="12">
      <c r="F4042" s="354"/>
    </row>
    <row r="4043" ht="12">
      <c r="F4043" s="354"/>
    </row>
    <row r="4044" ht="12">
      <c r="F4044" s="354"/>
    </row>
    <row r="4045" ht="12">
      <c r="F4045" s="354"/>
    </row>
    <row r="4046" ht="12">
      <c r="F4046" s="354"/>
    </row>
    <row r="4047" ht="12">
      <c r="F4047" s="354"/>
    </row>
    <row r="4048" ht="12">
      <c r="F4048" s="354"/>
    </row>
    <row r="4049" ht="12">
      <c r="F4049" s="354"/>
    </row>
    <row r="4050" ht="12">
      <c r="F4050" s="354"/>
    </row>
    <row r="4051" ht="12">
      <c r="F4051" s="354"/>
    </row>
    <row r="4052" ht="12">
      <c r="F4052" s="354"/>
    </row>
    <row r="4053" ht="12">
      <c r="F4053" s="354"/>
    </row>
    <row r="4054" ht="12">
      <c r="F4054" s="354"/>
    </row>
    <row r="4055" ht="12">
      <c r="F4055" s="354"/>
    </row>
    <row r="4056" ht="12">
      <c r="F4056" s="354"/>
    </row>
    <row r="4057" ht="12">
      <c r="F4057" s="354"/>
    </row>
    <row r="4058" ht="12">
      <c r="F4058" s="354"/>
    </row>
    <row r="4059" ht="12">
      <c r="F4059" s="354"/>
    </row>
    <row r="4060" ht="12">
      <c r="F4060" s="354"/>
    </row>
    <row r="4061" ht="12">
      <c r="F4061" s="354"/>
    </row>
    <row r="4062" ht="12">
      <c r="F4062" s="354"/>
    </row>
    <row r="4063" ht="12">
      <c r="F4063" s="354"/>
    </row>
    <row r="4064" ht="12">
      <c r="F4064" s="354"/>
    </row>
    <row r="4065" ht="12">
      <c r="F4065" s="354"/>
    </row>
    <row r="4066" ht="12">
      <c r="F4066" s="354"/>
    </row>
    <row r="4067" ht="12">
      <c r="F4067" s="354"/>
    </row>
    <row r="4068" ht="12">
      <c r="F4068" s="354"/>
    </row>
    <row r="4069" ht="12">
      <c r="F4069" s="354"/>
    </row>
    <row r="4070" ht="12">
      <c r="F4070" s="354"/>
    </row>
    <row r="4071" ht="12">
      <c r="F4071" s="354"/>
    </row>
    <row r="4072" ht="12">
      <c r="F4072" s="354"/>
    </row>
    <row r="4073" ht="12">
      <c r="F4073" s="354"/>
    </row>
    <row r="4074" ht="12">
      <c r="F4074" s="354"/>
    </row>
    <row r="4075" ht="12">
      <c r="F4075" s="354"/>
    </row>
    <row r="4076" ht="12">
      <c r="F4076" s="354"/>
    </row>
    <row r="4077" ht="12">
      <c r="F4077" s="354"/>
    </row>
    <row r="4078" ht="12">
      <c r="F4078" s="354"/>
    </row>
    <row r="4079" ht="12">
      <c r="F4079" s="354"/>
    </row>
    <row r="4080" ht="12">
      <c r="F4080" s="354"/>
    </row>
    <row r="4081" ht="12">
      <c r="F4081" s="354"/>
    </row>
    <row r="4082" ht="12">
      <c r="F4082" s="354"/>
    </row>
    <row r="4083" ht="12">
      <c r="F4083" s="354"/>
    </row>
    <row r="4084" ht="12">
      <c r="F4084" s="354"/>
    </row>
    <row r="4085" ht="12">
      <c r="F4085" s="354"/>
    </row>
    <row r="4086" ht="12">
      <c r="F4086" s="354"/>
    </row>
    <row r="4087" ht="12">
      <c r="F4087" s="354"/>
    </row>
    <row r="4088" ht="12">
      <c r="F4088" s="354"/>
    </row>
    <row r="4089" ht="12">
      <c r="F4089" s="354"/>
    </row>
    <row r="4090" ht="12">
      <c r="F4090" s="354"/>
    </row>
    <row r="4091" ht="12">
      <c r="F4091" s="354"/>
    </row>
    <row r="4092" ht="12">
      <c r="F4092" s="354"/>
    </row>
    <row r="4093" ht="12">
      <c r="F4093" s="354"/>
    </row>
    <row r="4094" ht="12">
      <c r="F4094" s="354"/>
    </row>
    <row r="4095" ht="12">
      <c r="F4095" s="354"/>
    </row>
    <row r="4096" ht="12">
      <c r="F4096" s="354"/>
    </row>
    <row r="4097" ht="12">
      <c r="F4097" s="354"/>
    </row>
    <row r="4098" ht="12">
      <c r="F4098" s="354"/>
    </row>
    <row r="4099" ht="12">
      <c r="F4099" s="354"/>
    </row>
    <row r="4100" ht="12">
      <c r="F4100" s="354"/>
    </row>
    <row r="4101" ht="12">
      <c r="F4101" s="354"/>
    </row>
    <row r="4102" ht="12">
      <c r="F4102" s="354"/>
    </row>
    <row r="4103" ht="12">
      <c r="F4103" s="354"/>
    </row>
    <row r="4104" ht="12">
      <c r="F4104" s="354"/>
    </row>
    <row r="4105" ht="12">
      <c r="F4105" s="354"/>
    </row>
    <row r="4106" ht="12">
      <c r="F4106" s="354"/>
    </row>
    <row r="4107" ht="12">
      <c r="F4107" s="354"/>
    </row>
    <row r="4108" ht="12">
      <c r="F4108" s="354"/>
    </row>
    <row r="4109" ht="12">
      <c r="F4109" s="354"/>
    </row>
    <row r="4110" ht="12">
      <c r="F4110" s="354"/>
    </row>
    <row r="4111" ht="12">
      <c r="F4111" s="354"/>
    </row>
    <row r="4112" ht="12">
      <c r="F4112" s="354"/>
    </row>
    <row r="4113" ht="12">
      <c r="F4113" s="354"/>
    </row>
    <row r="4114" ht="12">
      <c r="F4114" s="354"/>
    </row>
    <row r="4115" ht="12">
      <c r="F4115" s="354"/>
    </row>
    <row r="4116" ht="12">
      <c r="F4116" s="354"/>
    </row>
    <row r="4117" ht="12">
      <c r="F4117" s="354"/>
    </row>
    <row r="4118" ht="12">
      <c r="F4118" s="354"/>
    </row>
    <row r="4119" ht="12">
      <c r="F4119" s="354"/>
    </row>
    <row r="4120" ht="12">
      <c r="F4120" s="354"/>
    </row>
    <row r="4121" ht="12">
      <c r="F4121" s="354"/>
    </row>
    <row r="4122" ht="12">
      <c r="F4122" s="354"/>
    </row>
    <row r="4123" ht="12">
      <c r="F4123" s="354"/>
    </row>
    <row r="4124" ht="12">
      <c r="F4124" s="354"/>
    </row>
    <row r="4125" ht="12">
      <c r="F4125" s="354"/>
    </row>
    <row r="4126" ht="12">
      <c r="F4126" s="354"/>
    </row>
    <row r="4127" ht="12">
      <c r="F4127" s="354"/>
    </row>
    <row r="4128" ht="12">
      <c r="F4128" s="354"/>
    </row>
    <row r="4129" ht="12">
      <c r="F4129" s="354"/>
    </row>
    <row r="4130" ht="12">
      <c r="F4130" s="354"/>
    </row>
    <row r="4131" ht="12">
      <c r="F4131" s="354"/>
    </row>
    <row r="4132" ht="12">
      <c r="F4132" s="354"/>
    </row>
    <row r="4133" ht="12">
      <c r="F4133" s="354"/>
    </row>
    <row r="4134" ht="12">
      <c r="F4134" s="354"/>
    </row>
    <row r="4135" ht="12">
      <c r="F4135" s="354"/>
    </row>
    <row r="4136" ht="12">
      <c r="F4136" s="354"/>
    </row>
    <row r="4137" ht="12">
      <c r="F4137" s="354"/>
    </row>
    <row r="4138" ht="12">
      <c r="F4138" s="354"/>
    </row>
    <row r="4139" ht="12">
      <c r="F4139" s="354"/>
    </row>
    <row r="4140" ht="12">
      <c r="F4140" s="354"/>
    </row>
    <row r="4141" ht="12">
      <c r="F4141" s="354"/>
    </row>
    <row r="4142" ht="12">
      <c r="F4142" s="354"/>
    </row>
    <row r="4143" ht="12">
      <c r="F4143" s="354"/>
    </row>
    <row r="4144" ht="12">
      <c r="F4144" s="354"/>
    </row>
    <row r="4145" ht="12">
      <c r="F4145" s="354"/>
    </row>
    <row r="4146" ht="12">
      <c r="F4146" s="354"/>
    </row>
    <row r="4147" ht="12">
      <c r="F4147" s="354"/>
    </row>
    <row r="4148" ht="12">
      <c r="F4148" s="354"/>
    </row>
    <row r="4149" ht="12">
      <c r="F4149" s="354"/>
    </row>
    <row r="4150" ht="12">
      <c r="F4150" s="354"/>
    </row>
    <row r="4151" ht="12">
      <c r="F4151" s="354"/>
    </row>
    <row r="4152" ht="12">
      <c r="F4152" s="354"/>
    </row>
    <row r="4153" ht="12">
      <c r="F4153" s="354"/>
    </row>
    <row r="4154" ht="12">
      <c r="F4154" s="354"/>
    </row>
    <row r="4155" ht="12">
      <c r="F4155" s="354"/>
    </row>
    <row r="4156" ht="12">
      <c r="F4156" s="354"/>
    </row>
    <row r="4157" ht="12">
      <c r="F4157" s="354"/>
    </row>
    <row r="4158" ht="12">
      <c r="F4158" s="354"/>
    </row>
    <row r="4159" ht="12">
      <c r="F4159" s="354"/>
    </row>
    <row r="4160" ht="12">
      <c r="F4160" s="354"/>
    </row>
    <row r="4161" ht="12">
      <c r="F4161" s="354"/>
    </row>
    <row r="4162" ht="12">
      <c r="F4162" s="354"/>
    </row>
    <row r="4163" ht="12">
      <c r="F4163" s="354"/>
    </row>
    <row r="4164" ht="12">
      <c r="F4164" s="354"/>
    </row>
    <row r="4165" ht="12">
      <c r="F4165" s="354"/>
    </row>
    <row r="4166" ht="12">
      <c r="F4166" s="354"/>
    </row>
    <row r="4167" ht="12">
      <c r="F4167" s="354"/>
    </row>
    <row r="4168" ht="12">
      <c r="F4168" s="354"/>
    </row>
    <row r="4169" ht="12">
      <c r="F4169" s="354"/>
    </row>
    <row r="4170" ht="12">
      <c r="F4170" s="354"/>
    </row>
    <row r="4171" ht="12">
      <c r="F4171" s="354"/>
    </row>
    <row r="4172" ht="12">
      <c r="F4172" s="354"/>
    </row>
    <row r="4173" ht="12">
      <c r="F4173" s="354"/>
    </row>
    <row r="4174" ht="12">
      <c r="F4174" s="354"/>
    </row>
    <row r="4175" ht="12">
      <c r="F4175" s="354"/>
    </row>
    <row r="4176" ht="12">
      <c r="F4176" s="354"/>
    </row>
    <row r="4177" ht="12">
      <c r="F4177" s="354"/>
    </row>
    <row r="4178" ht="12">
      <c r="F4178" s="354"/>
    </row>
    <row r="4179" ht="12">
      <c r="F4179" s="354"/>
    </row>
    <row r="4180" ht="12">
      <c r="F4180" s="354"/>
    </row>
    <row r="4181" ht="12">
      <c r="F4181" s="354"/>
    </row>
    <row r="4182" ht="12">
      <c r="F4182" s="354"/>
    </row>
    <row r="4183" ht="12">
      <c r="F4183" s="354"/>
    </row>
    <row r="4184" ht="12">
      <c r="F4184" s="354"/>
    </row>
    <row r="4185" ht="12">
      <c r="F4185" s="354"/>
    </row>
    <row r="4186" ht="12">
      <c r="F4186" s="354"/>
    </row>
    <row r="4187" ht="12">
      <c r="F4187" s="354"/>
    </row>
    <row r="4188" ht="12">
      <c r="F4188" s="354"/>
    </row>
    <row r="4189" ht="12">
      <c r="F4189" s="354"/>
    </row>
    <row r="4190" ht="12">
      <c r="F4190" s="354"/>
    </row>
    <row r="4191" ht="12">
      <c r="F4191" s="354"/>
    </row>
    <row r="4192" ht="12">
      <c r="F4192" s="354"/>
    </row>
    <row r="4193" ht="12">
      <c r="F4193" s="354"/>
    </row>
    <row r="4194" ht="12">
      <c r="F4194" s="354"/>
    </row>
    <row r="4195" ht="12">
      <c r="F4195" s="354"/>
    </row>
    <row r="4196" ht="12">
      <c r="F4196" s="354"/>
    </row>
    <row r="4197" ht="12">
      <c r="F4197" s="354"/>
    </row>
    <row r="4198" ht="12">
      <c r="F4198" s="354"/>
    </row>
    <row r="4199" ht="12">
      <c r="F4199" s="354"/>
    </row>
    <row r="4200" ht="12">
      <c r="F4200" s="354"/>
    </row>
    <row r="4201" ht="12">
      <c r="F4201" s="354"/>
    </row>
    <row r="4202" ht="12">
      <c r="F4202" s="354"/>
    </row>
    <row r="4203" ht="12">
      <c r="F4203" s="354"/>
    </row>
    <row r="4204" ht="12">
      <c r="F4204" s="354"/>
    </row>
    <row r="4205" ht="12">
      <c r="F4205" s="354"/>
    </row>
    <row r="4206" ht="12">
      <c r="F4206" s="354"/>
    </row>
    <row r="4207" ht="12">
      <c r="F4207" s="354"/>
    </row>
    <row r="4208" ht="12">
      <c r="F4208" s="354"/>
    </row>
    <row r="4209" ht="12">
      <c r="F4209" s="354"/>
    </row>
    <row r="4210" ht="12">
      <c r="F4210" s="354"/>
    </row>
    <row r="4211" ht="12">
      <c r="F4211" s="354"/>
    </row>
    <row r="4212" ht="12">
      <c r="F4212" s="354"/>
    </row>
    <row r="4213" ht="12">
      <c r="F4213" s="354"/>
    </row>
    <row r="4214" ht="12">
      <c r="F4214" s="354"/>
    </row>
    <row r="4215" ht="12">
      <c r="F4215" s="354"/>
    </row>
    <row r="4216" ht="12">
      <c r="F4216" s="354"/>
    </row>
    <row r="4217" ht="12">
      <c r="F4217" s="354"/>
    </row>
    <row r="4218" ht="12">
      <c r="F4218" s="354"/>
    </row>
    <row r="4219" ht="12">
      <c r="F4219" s="354"/>
    </row>
    <row r="4220" ht="12">
      <c r="F4220" s="354"/>
    </row>
    <row r="4221" ht="12">
      <c r="F4221" s="354"/>
    </row>
    <row r="4222" ht="12">
      <c r="F4222" s="354"/>
    </row>
    <row r="4223" ht="12">
      <c r="F4223" s="354"/>
    </row>
    <row r="4224" ht="12">
      <c r="F4224" s="354"/>
    </row>
    <row r="4225" ht="12">
      <c r="F4225" s="354"/>
    </row>
    <row r="4226" ht="12">
      <c r="F4226" s="354"/>
    </row>
    <row r="4227" ht="12">
      <c r="F4227" s="354"/>
    </row>
    <row r="4228" ht="12">
      <c r="F4228" s="354"/>
    </row>
    <row r="4229" ht="12">
      <c r="F4229" s="354"/>
    </row>
    <row r="4230" ht="12">
      <c r="F4230" s="354"/>
    </row>
    <row r="4231" ht="12">
      <c r="F4231" s="354"/>
    </row>
    <row r="4232" ht="12">
      <c r="F4232" s="354"/>
    </row>
    <row r="4233" ht="12">
      <c r="F4233" s="354"/>
    </row>
    <row r="4234" ht="12">
      <c r="F4234" s="354"/>
    </row>
    <row r="4235" ht="12">
      <c r="F4235" s="354"/>
    </row>
    <row r="4236" ht="12">
      <c r="F4236" s="354"/>
    </row>
    <row r="4237" ht="12">
      <c r="F4237" s="354"/>
    </row>
    <row r="4238" ht="12">
      <c r="F4238" s="354"/>
    </row>
    <row r="4239" ht="12">
      <c r="F4239" s="354"/>
    </row>
    <row r="4240" ht="12">
      <c r="F4240" s="354"/>
    </row>
    <row r="4241" ht="12">
      <c r="F4241" s="354"/>
    </row>
    <row r="4242" ht="12">
      <c r="F4242" s="354"/>
    </row>
    <row r="4243" ht="12">
      <c r="F4243" s="354"/>
    </row>
    <row r="4244" ht="12">
      <c r="F4244" s="354"/>
    </row>
    <row r="4245" ht="12">
      <c r="F4245" s="354"/>
    </row>
    <row r="4246" ht="12">
      <c r="F4246" s="354"/>
    </row>
    <row r="4247" ht="12">
      <c r="F4247" s="354"/>
    </row>
    <row r="4248" ht="12">
      <c r="F4248" s="354"/>
    </row>
    <row r="4249" ht="12">
      <c r="F4249" s="354"/>
    </row>
    <row r="4250" ht="12">
      <c r="F4250" s="354"/>
    </row>
    <row r="4251" ht="12">
      <c r="F4251" s="354"/>
    </row>
    <row r="4252" ht="12">
      <c r="F4252" s="354"/>
    </row>
    <row r="4253" ht="12">
      <c r="F4253" s="354"/>
    </row>
    <row r="4254" ht="12">
      <c r="F4254" s="354"/>
    </row>
    <row r="4255" ht="12">
      <c r="F4255" s="354"/>
    </row>
    <row r="4256" ht="12">
      <c r="F4256" s="354"/>
    </row>
    <row r="4257" ht="12">
      <c r="F4257" s="354"/>
    </row>
    <row r="4258" ht="12">
      <c r="F4258" s="354"/>
    </row>
    <row r="4259" ht="12">
      <c r="F4259" s="354"/>
    </row>
    <row r="4260" ht="12">
      <c r="F4260" s="354"/>
    </row>
    <row r="4261" ht="12">
      <c r="F4261" s="354"/>
    </row>
    <row r="4262" ht="12">
      <c r="F4262" s="354"/>
    </row>
    <row r="4263" ht="12">
      <c r="F4263" s="354"/>
    </row>
    <row r="4264" ht="12">
      <c r="F4264" s="354"/>
    </row>
    <row r="4265" ht="12">
      <c r="F4265" s="354"/>
    </row>
    <row r="4266" ht="12">
      <c r="F4266" s="354"/>
    </row>
    <row r="4267" ht="12">
      <c r="F4267" s="354"/>
    </row>
    <row r="4268" ht="12">
      <c r="F4268" s="354"/>
    </row>
    <row r="4269" ht="12">
      <c r="F4269" s="354"/>
    </row>
    <row r="4270" ht="12">
      <c r="F4270" s="354"/>
    </row>
    <row r="4271" ht="12">
      <c r="F4271" s="354"/>
    </row>
    <row r="4272" ht="12">
      <c r="F4272" s="354"/>
    </row>
    <row r="4273" ht="12">
      <c r="F4273" s="354"/>
    </row>
    <row r="4274" ht="12">
      <c r="F4274" s="354"/>
    </row>
    <row r="4275" ht="12">
      <c r="F4275" s="354"/>
    </row>
    <row r="4276" ht="12">
      <c r="F4276" s="354"/>
    </row>
    <row r="4277" ht="12">
      <c r="F4277" s="354"/>
    </row>
    <row r="4278" ht="12">
      <c r="F4278" s="354"/>
    </row>
    <row r="4279" ht="12">
      <c r="F4279" s="354"/>
    </row>
    <row r="4280" ht="12">
      <c r="F4280" s="354"/>
    </row>
    <row r="4281" ht="12">
      <c r="F4281" s="354"/>
    </row>
    <row r="4282" ht="12">
      <c r="F4282" s="354"/>
    </row>
    <row r="4283" ht="12">
      <c r="F4283" s="354"/>
    </row>
    <row r="4284" ht="12">
      <c r="F4284" s="354"/>
    </row>
    <row r="4285" ht="12">
      <c r="F4285" s="354"/>
    </row>
    <row r="4286" ht="12">
      <c r="F4286" s="354"/>
    </row>
    <row r="4287" ht="12">
      <c r="F4287" s="354"/>
    </row>
    <row r="4288" ht="12">
      <c r="F4288" s="354"/>
    </row>
    <row r="4289" ht="12">
      <c r="F4289" s="354"/>
    </row>
    <row r="4290" ht="12">
      <c r="F4290" s="354"/>
    </row>
    <row r="4291" ht="12">
      <c r="F4291" s="354"/>
    </row>
    <row r="4292" ht="12">
      <c r="F4292" s="354"/>
    </row>
    <row r="4293" ht="12">
      <c r="F4293" s="354"/>
    </row>
    <row r="4294" ht="12">
      <c r="F4294" s="354"/>
    </row>
    <row r="4295" ht="12">
      <c r="F4295" s="354"/>
    </row>
    <row r="4296" ht="12">
      <c r="F4296" s="354"/>
    </row>
    <row r="4297" ht="12">
      <c r="F4297" s="354"/>
    </row>
    <row r="4298" ht="12">
      <c r="F4298" s="354"/>
    </row>
    <row r="4299" ht="12">
      <c r="F4299" s="354"/>
    </row>
    <row r="4300" ht="12">
      <c r="F4300" s="354"/>
    </row>
    <row r="4301" ht="12">
      <c r="F4301" s="354"/>
    </row>
    <row r="4302" ht="12">
      <c r="F4302" s="354"/>
    </row>
    <row r="4303" ht="12">
      <c r="F4303" s="354"/>
    </row>
    <row r="4304" ht="12">
      <c r="F4304" s="354"/>
    </row>
    <row r="4305" ht="12">
      <c r="F4305" s="354"/>
    </row>
    <row r="4306" ht="12">
      <c r="F4306" s="354"/>
    </row>
    <row r="4307" ht="12">
      <c r="F4307" s="354"/>
    </row>
    <row r="4308" ht="12">
      <c r="F4308" s="354"/>
    </row>
    <row r="4309" ht="12">
      <c r="F4309" s="354"/>
    </row>
    <row r="4310" ht="12">
      <c r="F4310" s="354"/>
    </row>
    <row r="4311" ht="12">
      <c r="F4311" s="354"/>
    </row>
    <row r="4312" ht="12">
      <c r="F4312" s="354"/>
    </row>
    <row r="4313" ht="12">
      <c r="F4313" s="354"/>
    </row>
    <row r="4314" ht="12">
      <c r="F4314" s="354"/>
    </row>
    <row r="4315" ht="12">
      <c r="F4315" s="354"/>
    </row>
    <row r="4316" ht="12">
      <c r="F4316" s="354"/>
    </row>
    <row r="4317" ht="12">
      <c r="F4317" s="354"/>
    </row>
    <row r="4318" ht="12">
      <c r="F4318" s="354"/>
    </row>
    <row r="4319" ht="12">
      <c r="F4319" s="354"/>
    </row>
    <row r="4320" ht="12">
      <c r="F4320" s="354"/>
    </row>
    <row r="4321" ht="12">
      <c r="F4321" s="354"/>
    </row>
    <row r="4322" ht="12">
      <c r="F4322" s="354"/>
    </row>
    <row r="4323" ht="12">
      <c r="F4323" s="354"/>
    </row>
    <row r="4324" ht="12">
      <c r="F4324" s="354"/>
    </row>
    <row r="4325" ht="12">
      <c r="F4325" s="354"/>
    </row>
    <row r="4326" ht="12">
      <c r="F4326" s="354"/>
    </row>
    <row r="4327" ht="12">
      <c r="F4327" s="354"/>
    </row>
    <row r="4328" ht="12">
      <c r="F4328" s="354"/>
    </row>
    <row r="4329" ht="12">
      <c r="F4329" s="354"/>
    </row>
    <row r="4330" ht="12">
      <c r="F4330" s="354"/>
    </row>
    <row r="4331" ht="12">
      <c r="F4331" s="354"/>
    </row>
    <row r="4332" ht="12">
      <c r="F4332" s="354"/>
    </row>
    <row r="4333" ht="12">
      <c r="F4333" s="354"/>
    </row>
    <row r="4334" ht="12">
      <c r="F4334" s="354"/>
    </row>
    <row r="4335" ht="12">
      <c r="F4335" s="354"/>
    </row>
    <row r="4336" ht="12">
      <c r="F4336" s="354"/>
    </row>
    <row r="4337" ht="12">
      <c r="F4337" s="354"/>
    </row>
    <row r="4338" ht="12">
      <c r="F4338" s="354"/>
    </row>
    <row r="4339" ht="12">
      <c r="F4339" s="354"/>
    </row>
    <row r="4340" ht="12">
      <c r="F4340" s="354"/>
    </row>
    <row r="4341" ht="12">
      <c r="F4341" s="354"/>
    </row>
    <row r="4342" ht="12">
      <c r="F4342" s="354"/>
    </row>
    <row r="4343" ht="12">
      <c r="F4343" s="354"/>
    </row>
    <row r="4344" ht="12">
      <c r="F4344" s="354"/>
    </row>
    <row r="4345" ht="12">
      <c r="F4345" s="354"/>
    </row>
    <row r="4346" ht="12">
      <c r="F4346" s="354"/>
    </row>
    <row r="4347" ht="12">
      <c r="F4347" s="354"/>
    </row>
    <row r="4348" ht="12">
      <c r="F4348" s="354"/>
    </row>
    <row r="4349" ht="12">
      <c r="F4349" s="354"/>
    </row>
    <row r="4350" ht="12">
      <c r="F4350" s="354"/>
    </row>
    <row r="4351" ht="12">
      <c r="F4351" s="354"/>
    </row>
    <row r="4352" ht="12">
      <c r="F4352" s="354"/>
    </row>
    <row r="4353" ht="12">
      <c r="F4353" s="354"/>
    </row>
    <row r="4354" ht="12">
      <c r="F4354" s="354"/>
    </row>
    <row r="4355" ht="12">
      <c r="F4355" s="354"/>
    </row>
    <row r="4356" ht="12">
      <c r="F4356" s="354"/>
    </row>
    <row r="4357" ht="12">
      <c r="F4357" s="354"/>
    </row>
    <row r="4358" ht="12">
      <c r="F4358" s="354"/>
    </row>
    <row r="4359" ht="12">
      <c r="F4359" s="354"/>
    </row>
    <row r="4360" ht="12">
      <c r="F4360" s="354"/>
    </row>
    <row r="4361" ht="12">
      <c r="F4361" s="354"/>
    </row>
    <row r="4362" ht="12">
      <c r="F4362" s="354"/>
    </row>
    <row r="4363" ht="12">
      <c r="F4363" s="354"/>
    </row>
    <row r="4364" ht="12">
      <c r="F4364" s="354"/>
    </row>
    <row r="4365" ht="12">
      <c r="F4365" s="354"/>
    </row>
    <row r="4366" ht="12">
      <c r="F4366" s="354"/>
    </row>
    <row r="4367" ht="12">
      <c r="F4367" s="354"/>
    </row>
    <row r="4368" ht="12">
      <c r="F4368" s="354"/>
    </row>
    <row r="4369" ht="12">
      <c r="F4369" s="354"/>
    </row>
    <row r="4370" ht="12">
      <c r="F4370" s="354"/>
    </row>
    <row r="4371" ht="12">
      <c r="F4371" s="354"/>
    </row>
    <row r="4372" ht="12">
      <c r="F4372" s="354"/>
    </row>
    <row r="4373" ht="12">
      <c r="F4373" s="354"/>
    </row>
    <row r="4374" ht="12">
      <c r="F4374" s="354"/>
    </row>
    <row r="4375" ht="12">
      <c r="F4375" s="354"/>
    </row>
    <row r="4376" ht="12">
      <c r="F4376" s="354"/>
    </row>
    <row r="4377" ht="12">
      <c r="F4377" s="354"/>
    </row>
    <row r="4378" ht="12">
      <c r="F4378" s="354"/>
    </row>
    <row r="4379" ht="12">
      <c r="F4379" s="354"/>
    </row>
    <row r="4380" ht="12">
      <c r="F4380" s="354"/>
    </row>
    <row r="4381" ht="12">
      <c r="F4381" s="354"/>
    </row>
    <row r="4382" ht="12">
      <c r="F4382" s="354"/>
    </row>
    <row r="4383" ht="12">
      <c r="F4383" s="354"/>
    </row>
    <row r="4384" ht="12">
      <c r="F4384" s="354"/>
    </row>
    <row r="4385" ht="12">
      <c r="F4385" s="354"/>
    </row>
    <row r="4386" ht="12">
      <c r="F4386" s="354"/>
    </row>
    <row r="4387" ht="12">
      <c r="F4387" s="354"/>
    </row>
    <row r="4388" ht="12">
      <c r="F4388" s="354"/>
    </row>
    <row r="4389" ht="12">
      <c r="F4389" s="354"/>
    </row>
    <row r="4390" ht="12">
      <c r="F4390" s="354"/>
    </row>
    <row r="4391" ht="12">
      <c r="F4391" s="354"/>
    </row>
    <row r="4392" ht="12">
      <c r="F4392" s="354"/>
    </row>
    <row r="4393" ht="12">
      <c r="F4393" s="354"/>
    </row>
    <row r="4394" ht="12">
      <c r="F4394" s="354"/>
    </row>
    <row r="4395" ht="12">
      <c r="F4395" s="354"/>
    </row>
    <row r="4396" ht="12">
      <c r="F4396" s="354"/>
    </row>
    <row r="4397" ht="12">
      <c r="F4397" s="354"/>
    </row>
    <row r="4398" ht="12">
      <c r="F4398" s="354"/>
    </row>
    <row r="4399" ht="12">
      <c r="F4399" s="354"/>
    </row>
    <row r="4400" ht="12">
      <c r="F4400" s="354"/>
    </row>
    <row r="4401" ht="12">
      <c r="F4401" s="354"/>
    </row>
    <row r="4402" ht="12">
      <c r="F4402" s="354"/>
    </row>
    <row r="4403" ht="12">
      <c r="F4403" s="354"/>
    </row>
    <row r="4404" ht="12">
      <c r="F4404" s="354"/>
    </row>
    <row r="4405" ht="12">
      <c r="F4405" s="354"/>
    </row>
    <row r="4406" ht="12">
      <c r="F4406" s="354"/>
    </row>
    <row r="4407" ht="12">
      <c r="F4407" s="354"/>
    </row>
    <row r="4408" ht="12">
      <c r="F4408" s="354"/>
    </row>
    <row r="4409" ht="12">
      <c r="F4409" s="354"/>
    </row>
    <row r="4410" ht="12">
      <c r="F4410" s="354"/>
    </row>
    <row r="4411" ht="12">
      <c r="F4411" s="354"/>
    </row>
    <row r="4412" ht="12">
      <c r="F4412" s="354"/>
    </row>
    <row r="4413" ht="12">
      <c r="F4413" s="354"/>
    </row>
    <row r="4414" ht="12">
      <c r="F4414" s="354"/>
    </row>
    <row r="4415" ht="12">
      <c r="F4415" s="354"/>
    </row>
    <row r="4416" ht="12">
      <c r="F4416" s="354"/>
    </row>
    <row r="4417" ht="12">
      <c r="F4417" s="354"/>
    </row>
    <row r="4418" ht="12">
      <c r="F4418" s="354"/>
    </row>
    <row r="4419" ht="12">
      <c r="F4419" s="354"/>
    </row>
    <row r="4420" ht="12">
      <c r="F4420" s="354"/>
    </row>
    <row r="4421" ht="12">
      <c r="F4421" s="354"/>
    </row>
    <row r="4422" ht="12">
      <c r="F4422" s="354"/>
    </row>
    <row r="4423" ht="12">
      <c r="F4423" s="354"/>
    </row>
    <row r="4424" ht="12">
      <c r="F4424" s="354"/>
    </row>
    <row r="4425" ht="12">
      <c r="F4425" s="354"/>
    </row>
    <row r="4426" ht="12">
      <c r="F4426" s="354"/>
    </row>
    <row r="4427" ht="12">
      <c r="F4427" s="354"/>
    </row>
    <row r="4428" ht="12">
      <c r="F4428" s="354"/>
    </row>
    <row r="4429" ht="12">
      <c r="F4429" s="354"/>
    </row>
    <row r="4430" ht="12">
      <c r="F4430" s="354"/>
    </row>
    <row r="4431" ht="12">
      <c r="F4431" s="354"/>
    </row>
    <row r="4432" ht="12">
      <c r="F4432" s="354"/>
    </row>
    <row r="4433" ht="12">
      <c r="F4433" s="354"/>
    </row>
    <row r="4434" ht="12">
      <c r="F4434" s="354"/>
    </row>
    <row r="4435" ht="12">
      <c r="F4435" s="354"/>
    </row>
    <row r="4436" ht="12">
      <c r="F4436" s="354"/>
    </row>
    <row r="4437" ht="12">
      <c r="F4437" s="354"/>
    </row>
    <row r="4438" ht="12">
      <c r="F4438" s="354"/>
    </row>
    <row r="4439" ht="12">
      <c r="F4439" s="354"/>
    </row>
    <row r="4440" ht="12">
      <c r="F4440" s="354"/>
    </row>
    <row r="4441" ht="12">
      <c r="F4441" s="354"/>
    </row>
    <row r="4442" ht="12">
      <c r="F4442" s="354"/>
    </row>
    <row r="4443" ht="12">
      <c r="F4443" s="354"/>
    </row>
    <row r="4444" ht="12">
      <c r="F4444" s="354"/>
    </row>
    <row r="4445" ht="12">
      <c r="F4445" s="354"/>
    </row>
    <row r="4446" ht="12">
      <c r="F4446" s="354"/>
    </row>
    <row r="4447" ht="12">
      <c r="F4447" s="354"/>
    </row>
    <row r="4448" ht="12">
      <c r="F4448" s="354"/>
    </row>
    <row r="4449" ht="12">
      <c r="F4449" s="354"/>
    </row>
    <row r="4450" ht="12">
      <c r="F4450" s="354"/>
    </row>
    <row r="4451" ht="12">
      <c r="F4451" s="354"/>
    </row>
    <row r="4452" ht="12">
      <c r="F4452" s="354"/>
    </row>
    <row r="4453" ht="12">
      <c r="F4453" s="354"/>
    </row>
    <row r="4454" ht="12">
      <c r="F4454" s="354"/>
    </row>
    <row r="4455" ht="12">
      <c r="F4455" s="354"/>
    </row>
    <row r="4456" ht="12">
      <c r="F4456" s="354"/>
    </row>
    <row r="4457" ht="12">
      <c r="F4457" s="354"/>
    </row>
    <row r="4458" ht="12">
      <c r="F4458" s="354"/>
    </row>
    <row r="4459" ht="12">
      <c r="F4459" s="354"/>
    </row>
    <row r="4460" ht="12">
      <c r="F4460" s="354"/>
    </row>
    <row r="4461" ht="12">
      <c r="F4461" s="354"/>
    </row>
    <row r="4462" ht="12">
      <c r="F4462" s="354"/>
    </row>
    <row r="4463" ht="12">
      <c r="F4463" s="354"/>
    </row>
    <row r="4464" ht="12">
      <c r="F4464" s="354"/>
    </row>
    <row r="4465" ht="12">
      <c r="F4465" s="354"/>
    </row>
    <row r="4466" ht="12">
      <c r="F4466" s="354"/>
    </row>
    <row r="4467" ht="12">
      <c r="F4467" s="354"/>
    </row>
    <row r="4468" ht="12">
      <c r="F4468" s="354"/>
    </row>
    <row r="4469" ht="12">
      <c r="F4469" s="354"/>
    </row>
    <row r="4470" ht="12">
      <c r="F4470" s="354"/>
    </row>
    <row r="4471" ht="12">
      <c r="F4471" s="354"/>
    </row>
    <row r="4472" ht="12">
      <c r="F4472" s="354"/>
    </row>
    <row r="4473" ht="12">
      <c r="F4473" s="354"/>
    </row>
    <row r="4474" ht="12">
      <c r="F4474" s="354"/>
    </row>
    <row r="4475" ht="12">
      <c r="F4475" s="354"/>
    </row>
    <row r="4476" ht="12">
      <c r="F4476" s="354"/>
    </row>
    <row r="4477" ht="12">
      <c r="F4477" s="354"/>
    </row>
    <row r="4478" ht="12">
      <c r="F4478" s="354"/>
    </row>
    <row r="4479" ht="12">
      <c r="F4479" s="354"/>
    </row>
    <row r="4480" ht="12">
      <c r="F4480" s="354"/>
    </row>
    <row r="4481" ht="12">
      <c r="F4481" s="354"/>
    </row>
    <row r="4482" ht="12">
      <c r="F4482" s="354"/>
    </row>
    <row r="4483" ht="12">
      <c r="F4483" s="354"/>
    </row>
    <row r="4484" ht="12">
      <c r="F4484" s="354"/>
    </row>
    <row r="4485" ht="12">
      <c r="F4485" s="354"/>
    </row>
    <row r="4486" ht="12">
      <c r="F4486" s="354"/>
    </row>
    <row r="4487" ht="12">
      <c r="F4487" s="354"/>
    </row>
    <row r="4488" ht="12">
      <c r="F4488" s="354"/>
    </row>
    <row r="4489" ht="12">
      <c r="F4489" s="354"/>
    </row>
    <row r="4490" ht="12">
      <c r="F4490" s="354"/>
    </row>
    <row r="4491" ht="12">
      <c r="F4491" s="354"/>
    </row>
    <row r="4492" ht="12">
      <c r="F4492" s="354"/>
    </row>
    <row r="4493" ht="12">
      <c r="F4493" s="354"/>
    </row>
    <row r="4494" ht="12">
      <c r="F4494" s="354"/>
    </row>
    <row r="4495" ht="12">
      <c r="F4495" s="354"/>
    </row>
    <row r="4496" ht="12">
      <c r="F4496" s="354"/>
    </row>
    <row r="4497" ht="12">
      <c r="F4497" s="354"/>
    </row>
    <row r="4498" ht="12">
      <c r="F4498" s="354"/>
    </row>
    <row r="4499" ht="12">
      <c r="F4499" s="354"/>
    </row>
    <row r="4500" ht="12">
      <c r="F4500" s="354"/>
    </row>
    <row r="4501" ht="12">
      <c r="F4501" s="354"/>
    </row>
    <row r="4502" ht="12">
      <c r="F4502" s="354"/>
    </row>
    <row r="4503" ht="12">
      <c r="F4503" s="354"/>
    </row>
    <row r="4504" ht="12">
      <c r="F4504" s="354"/>
    </row>
    <row r="4505" ht="12">
      <c r="F4505" s="354"/>
    </row>
    <row r="4506" ht="12">
      <c r="F4506" s="354"/>
    </row>
    <row r="4507" ht="12">
      <c r="F4507" s="354"/>
    </row>
    <row r="4508" ht="12">
      <c r="F4508" s="354"/>
    </row>
    <row r="4509" ht="12">
      <c r="F4509" s="354"/>
    </row>
    <row r="4510" ht="12">
      <c r="F4510" s="354"/>
    </row>
    <row r="4511" ht="12">
      <c r="F4511" s="354"/>
    </row>
    <row r="4512" ht="12">
      <c r="F4512" s="354"/>
    </row>
    <row r="4513" ht="12">
      <c r="F4513" s="354"/>
    </row>
    <row r="4514" ht="12">
      <c r="F4514" s="354"/>
    </row>
    <row r="4515" ht="12">
      <c r="F4515" s="354"/>
    </row>
    <row r="4516" ht="12">
      <c r="F4516" s="354"/>
    </row>
    <row r="4517" ht="12">
      <c r="F4517" s="354"/>
    </row>
    <row r="4518" ht="12">
      <c r="F4518" s="354"/>
    </row>
    <row r="4519" ht="12">
      <c r="F4519" s="354"/>
    </row>
    <row r="4520" ht="12">
      <c r="F4520" s="354"/>
    </row>
    <row r="4521" ht="12">
      <c r="F4521" s="354"/>
    </row>
    <row r="4522" ht="12">
      <c r="F4522" s="354"/>
    </row>
    <row r="4523" ht="12">
      <c r="F4523" s="354"/>
    </row>
    <row r="4524" ht="12">
      <c r="F4524" s="354"/>
    </row>
    <row r="4525" ht="12">
      <c r="F4525" s="354"/>
    </row>
    <row r="4526" ht="12">
      <c r="F4526" s="354"/>
    </row>
    <row r="4527" ht="12">
      <c r="F4527" s="354"/>
    </row>
    <row r="4528" ht="12">
      <c r="F4528" s="354"/>
    </row>
    <row r="4529" ht="12">
      <c r="F4529" s="354"/>
    </row>
    <row r="4530" ht="12">
      <c r="F4530" s="354"/>
    </row>
    <row r="4531" ht="12">
      <c r="F4531" s="354"/>
    </row>
    <row r="4532" ht="12">
      <c r="F4532" s="354"/>
    </row>
    <row r="4533" ht="12">
      <c r="F4533" s="354"/>
    </row>
    <row r="4534" ht="12">
      <c r="F4534" s="354"/>
    </row>
    <row r="4535" ht="12">
      <c r="F4535" s="354"/>
    </row>
    <row r="4536" ht="12">
      <c r="F4536" s="354"/>
    </row>
    <row r="4537" ht="12">
      <c r="F4537" s="354"/>
    </row>
    <row r="4538" ht="12">
      <c r="F4538" s="354"/>
    </row>
    <row r="4539" ht="12">
      <c r="F4539" s="354"/>
    </row>
    <row r="4540" ht="12">
      <c r="F4540" s="354"/>
    </row>
    <row r="4541" ht="12">
      <c r="F4541" s="354"/>
    </row>
    <row r="4542" ht="12">
      <c r="F4542" s="354"/>
    </row>
    <row r="4543" ht="12">
      <c r="F4543" s="354"/>
    </row>
    <row r="4544" ht="12">
      <c r="F4544" s="354"/>
    </row>
    <row r="4545" ht="12">
      <c r="F4545" s="354"/>
    </row>
    <row r="4546" ht="12">
      <c r="F4546" s="354"/>
    </row>
    <row r="4547" ht="12">
      <c r="F4547" s="354"/>
    </row>
    <row r="4548" ht="12">
      <c r="F4548" s="354"/>
    </row>
    <row r="4549" ht="12">
      <c r="F4549" s="354"/>
    </row>
    <row r="4550" ht="12">
      <c r="F4550" s="354"/>
    </row>
    <row r="4551" ht="12">
      <c r="F4551" s="354"/>
    </row>
    <row r="4552" ht="12">
      <c r="F4552" s="354"/>
    </row>
    <row r="4553" ht="12">
      <c r="F4553" s="354"/>
    </row>
    <row r="4554" ht="12">
      <c r="F4554" s="354"/>
    </row>
    <row r="4555" ht="12">
      <c r="F4555" s="354"/>
    </row>
    <row r="4556" ht="12">
      <c r="F4556" s="354"/>
    </row>
    <row r="4557" ht="12">
      <c r="F4557" s="354"/>
    </row>
    <row r="4558" ht="12">
      <c r="F4558" s="354"/>
    </row>
    <row r="4559" ht="12">
      <c r="F4559" s="354"/>
    </row>
    <row r="4560" ht="12">
      <c r="F4560" s="354"/>
    </row>
    <row r="4561" ht="12">
      <c r="F4561" s="354"/>
    </row>
    <row r="4562" ht="12">
      <c r="F4562" s="354"/>
    </row>
    <row r="4563" ht="12">
      <c r="F4563" s="354"/>
    </row>
    <row r="4564" ht="12">
      <c r="F4564" s="354"/>
    </row>
    <row r="4565" ht="12">
      <c r="F4565" s="354"/>
    </row>
    <row r="4566" ht="12">
      <c r="F4566" s="354"/>
    </row>
    <row r="4567" ht="12">
      <c r="F4567" s="354"/>
    </row>
    <row r="4568" ht="12">
      <c r="F4568" s="354"/>
    </row>
    <row r="4569" ht="12">
      <c r="F4569" s="354"/>
    </row>
    <row r="4570" ht="12">
      <c r="F4570" s="354"/>
    </row>
    <row r="4571" ht="12">
      <c r="F4571" s="354"/>
    </row>
    <row r="4572" ht="12">
      <c r="F4572" s="354"/>
    </row>
    <row r="4573" ht="12">
      <c r="F4573" s="354"/>
    </row>
    <row r="4574" ht="12">
      <c r="F4574" s="354"/>
    </row>
    <row r="4575" ht="12">
      <c r="F4575" s="354"/>
    </row>
    <row r="4576" ht="12">
      <c r="F4576" s="354"/>
    </row>
    <row r="4577" ht="12">
      <c r="F4577" s="354"/>
    </row>
    <row r="4578" ht="12">
      <c r="F4578" s="354"/>
    </row>
    <row r="4579" ht="12">
      <c r="F4579" s="354"/>
    </row>
    <row r="4580" ht="12">
      <c r="F4580" s="354"/>
    </row>
    <row r="4581" ht="12">
      <c r="F4581" s="354"/>
    </row>
    <row r="4582" ht="12">
      <c r="F4582" s="354"/>
    </row>
    <row r="4583" ht="12">
      <c r="F4583" s="354"/>
    </row>
    <row r="4584" ht="12">
      <c r="F4584" s="354"/>
    </row>
    <row r="4585" ht="12">
      <c r="F4585" s="354"/>
    </row>
    <row r="4586" ht="12">
      <c r="F4586" s="354"/>
    </row>
    <row r="4587" ht="12">
      <c r="F4587" s="354"/>
    </row>
    <row r="4588" ht="12">
      <c r="F4588" s="354"/>
    </row>
    <row r="4589" ht="12">
      <c r="F4589" s="354"/>
    </row>
    <row r="4590" ht="12">
      <c r="F4590" s="354"/>
    </row>
    <row r="4591" ht="12">
      <c r="F4591" s="354"/>
    </row>
    <row r="4592" ht="12">
      <c r="F4592" s="354"/>
    </row>
    <row r="4593" ht="12">
      <c r="F4593" s="354"/>
    </row>
    <row r="4594" ht="12">
      <c r="F4594" s="354"/>
    </row>
    <row r="4595" ht="12">
      <c r="F4595" s="354"/>
    </row>
    <row r="4596" ht="12">
      <c r="F4596" s="354"/>
    </row>
    <row r="4597" ht="12">
      <c r="F4597" s="354"/>
    </row>
    <row r="4598" ht="12">
      <c r="F4598" s="354"/>
    </row>
    <row r="4599" ht="12">
      <c r="F4599" s="354"/>
    </row>
    <row r="4600" ht="12">
      <c r="F4600" s="354"/>
    </row>
    <row r="4601" ht="12">
      <c r="F4601" s="354"/>
    </row>
    <row r="4602" ht="12">
      <c r="F4602" s="354"/>
    </row>
    <row r="4603" ht="12">
      <c r="F4603" s="354"/>
    </row>
    <row r="4604" ht="12">
      <c r="F4604" s="354"/>
    </row>
    <row r="4605" ht="12">
      <c r="F4605" s="354"/>
    </row>
    <row r="4606" ht="12">
      <c r="F4606" s="354"/>
    </row>
    <row r="4607" ht="12">
      <c r="F4607" s="354"/>
    </row>
    <row r="4608" ht="12">
      <c r="F4608" s="354"/>
    </row>
    <row r="4609" ht="12">
      <c r="F4609" s="354"/>
    </row>
    <row r="4610" ht="12">
      <c r="F4610" s="354"/>
    </row>
    <row r="4611" ht="12">
      <c r="F4611" s="354"/>
    </row>
    <row r="4612" ht="12">
      <c r="F4612" s="354"/>
    </row>
    <row r="4613" ht="12">
      <c r="F4613" s="354"/>
    </row>
    <row r="4614" ht="12">
      <c r="F4614" s="354"/>
    </row>
    <row r="4615" ht="12">
      <c r="F4615" s="354"/>
    </row>
    <row r="4616" ht="12">
      <c r="F4616" s="354"/>
    </row>
    <row r="4617" ht="12">
      <c r="F4617" s="354"/>
    </row>
    <row r="4618" ht="12">
      <c r="F4618" s="354"/>
    </row>
    <row r="4619" ht="12">
      <c r="F4619" s="354"/>
    </row>
    <row r="4620" ht="12">
      <c r="F4620" s="354"/>
    </row>
    <row r="4621" ht="12">
      <c r="F4621" s="354"/>
    </row>
    <row r="4622" ht="12">
      <c r="F4622" s="354"/>
    </row>
    <row r="4623" ht="12">
      <c r="F4623" s="354"/>
    </row>
    <row r="4624" ht="12">
      <c r="F4624" s="354"/>
    </row>
    <row r="4625" ht="12">
      <c r="F4625" s="354"/>
    </row>
    <row r="4626" ht="12">
      <c r="F4626" s="354"/>
    </row>
    <row r="4627" ht="12">
      <c r="F4627" s="354"/>
    </row>
    <row r="4628" ht="12">
      <c r="F4628" s="354"/>
    </row>
    <row r="4629" ht="12">
      <c r="F4629" s="354"/>
    </row>
    <row r="4630" ht="12">
      <c r="F4630" s="354"/>
    </row>
    <row r="4631" ht="12">
      <c r="F4631" s="354"/>
    </row>
    <row r="4632" ht="12">
      <c r="F4632" s="354"/>
    </row>
    <row r="4633" ht="12">
      <c r="F4633" s="354"/>
    </row>
    <row r="4634" ht="12">
      <c r="F4634" s="354"/>
    </row>
    <row r="4635" ht="12">
      <c r="F4635" s="354"/>
    </row>
    <row r="4636" ht="12">
      <c r="F4636" s="354"/>
    </row>
    <row r="4637" ht="12">
      <c r="F4637" s="354"/>
    </row>
    <row r="4638" ht="12">
      <c r="F4638" s="354"/>
    </row>
    <row r="4639" ht="12">
      <c r="F4639" s="354"/>
    </row>
    <row r="4640" ht="12">
      <c r="F4640" s="354"/>
    </row>
    <row r="4641" ht="12">
      <c r="F4641" s="354"/>
    </row>
    <row r="4642" ht="12">
      <c r="F4642" s="354"/>
    </row>
    <row r="4643" ht="12">
      <c r="F4643" s="354"/>
    </row>
    <row r="4644" ht="12">
      <c r="F4644" s="354"/>
    </row>
    <row r="4645" ht="12">
      <c r="F4645" s="354"/>
    </row>
    <row r="4646" ht="12">
      <c r="F4646" s="354"/>
    </row>
    <row r="4647" ht="12">
      <c r="F4647" s="354"/>
    </row>
    <row r="4648" ht="12">
      <c r="F4648" s="354"/>
    </row>
    <row r="4649" ht="12">
      <c r="F4649" s="354"/>
    </row>
    <row r="4650" ht="12">
      <c r="F4650" s="354"/>
    </row>
    <row r="4651" ht="12">
      <c r="F4651" s="354"/>
    </row>
    <row r="4652" ht="12">
      <c r="F4652" s="354"/>
    </row>
    <row r="4653" ht="12">
      <c r="F4653" s="354"/>
    </row>
    <row r="4654" ht="12">
      <c r="F4654" s="354"/>
    </row>
    <row r="4655" ht="12">
      <c r="F4655" s="354"/>
    </row>
    <row r="4656" ht="12">
      <c r="F4656" s="354"/>
    </row>
    <row r="4657" ht="12">
      <c r="F4657" s="354"/>
    </row>
    <row r="4658" ht="12">
      <c r="F4658" s="354"/>
    </row>
    <row r="4659" ht="12">
      <c r="F4659" s="354"/>
    </row>
    <row r="4660" ht="12">
      <c r="F4660" s="354"/>
    </row>
    <row r="4661" ht="12">
      <c r="F4661" s="354"/>
    </row>
    <row r="4662" ht="12">
      <c r="F4662" s="354"/>
    </row>
    <row r="4663" ht="12">
      <c r="F4663" s="354"/>
    </row>
    <row r="4664" ht="12">
      <c r="F4664" s="354"/>
    </row>
    <row r="4665" ht="12">
      <c r="F4665" s="354"/>
    </row>
    <row r="4666" ht="12">
      <c r="F4666" s="354"/>
    </row>
    <row r="4667" ht="12">
      <c r="F4667" s="354"/>
    </row>
    <row r="4668" ht="12">
      <c r="F4668" s="354"/>
    </row>
    <row r="4669" ht="12">
      <c r="F4669" s="354"/>
    </row>
    <row r="4670" ht="12">
      <c r="F4670" s="354"/>
    </row>
    <row r="4671" ht="12">
      <c r="F4671" s="354"/>
    </row>
    <row r="4672" ht="12">
      <c r="F4672" s="354"/>
    </row>
    <row r="4673" ht="12">
      <c r="F4673" s="354"/>
    </row>
    <row r="4674" ht="12">
      <c r="F4674" s="354"/>
    </row>
    <row r="4675" ht="12">
      <c r="F4675" s="354"/>
    </row>
    <row r="4676" ht="12">
      <c r="F4676" s="354"/>
    </row>
    <row r="4677" ht="12">
      <c r="F4677" s="354"/>
    </row>
    <row r="4678" ht="12">
      <c r="F4678" s="354"/>
    </row>
    <row r="4679" ht="12">
      <c r="F4679" s="354"/>
    </row>
    <row r="4680" ht="12">
      <c r="F4680" s="354"/>
    </row>
    <row r="4681" ht="12">
      <c r="F4681" s="354"/>
    </row>
    <row r="4682" ht="12">
      <c r="F4682" s="354"/>
    </row>
    <row r="4683" ht="12">
      <c r="F4683" s="354"/>
    </row>
    <row r="4684" ht="12">
      <c r="F4684" s="354"/>
    </row>
    <row r="4685" ht="12">
      <c r="F4685" s="354"/>
    </row>
    <row r="4686" ht="12">
      <c r="F4686" s="354"/>
    </row>
    <row r="4687" ht="12">
      <c r="F4687" s="354"/>
    </row>
    <row r="4688" ht="12">
      <c r="F4688" s="354"/>
    </row>
    <row r="4689" ht="12">
      <c r="F4689" s="354"/>
    </row>
    <row r="4690" ht="12">
      <c r="F4690" s="354"/>
    </row>
    <row r="4691" ht="12">
      <c r="F4691" s="354"/>
    </row>
    <row r="4692" ht="12">
      <c r="F4692" s="354"/>
    </row>
    <row r="4693" ht="12">
      <c r="F4693" s="354"/>
    </row>
    <row r="4694" ht="12">
      <c r="F4694" s="354"/>
    </row>
    <row r="4695" ht="12">
      <c r="F4695" s="354"/>
    </row>
    <row r="4696" ht="12">
      <c r="F4696" s="354"/>
    </row>
    <row r="4697" ht="12">
      <c r="F4697" s="354"/>
    </row>
    <row r="4698" ht="12">
      <c r="F4698" s="354"/>
    </row>
    <row r="4699" ht="12">
      <c r="F4699" s="354"/>
    </row>
    <row r="4700" ht="12">
      <c r="F4700" s="354"/>
    </row>
    <row r="4701" ht="12">
      <c r="F4701" s="354"/>
    </row>
    <row r="4702" ht="12">
      <c r="F4702" s="354"/>
    </row>
    <row r="4703" ht="12">
      <c r="F4703" s="354"/>
    </row>
    <row r="4704" ht="12">
      <c r="F4704" s="354"/>
    </row>
    <row r="4705" ht="12">
      <c r="F4705" s="354"/>
    </row>
    <row r="4706" ht="12">
      <c r="F4706" s="354"/>
    </row>
    <row r="4707" ht="12">
      <c r="F4707" s="354"/>
    </row>
    <row r="4708" ht="12">
      <c r="F4708" s="354"/>
    </row>
    <row r="4709" ht="12">
      <c r="F4709" s="354"/>
    </row>
    <row r="4710" ht="12">
      <c r="F4710" s="354"/>
    </row>
    <row r="4711" ht="12">
      <c r="F4711" s="354"/>
    </row>
    <row r="4712" ht="12">
      <c r="F4712" s="354"/>
    </row>
    <row r="4713" ht="12">
      <c r="F4713" s="354"/>
    </row>
    <row r="4714" ht="12">
      <c r="F4714" s="354"/>
    </row>
    <row r="4715" ht="12">
      <c r="F4715" s="354"/>
    </row>
    <row r="4716" ht="12">
      <c r="F4716" s="354"/>
    </row>
    <row r="4717" ht="12">
      <c r="F4717" s="354"/>
    </row>
    <row r="4718" ht="12">
      <c r="F4718" s="354"/>
    </row>
    <row r="4719" ht="12">
      <c r="F4719" s="354"/>
    </row>
    <row r="4720" ht="12">
      <c r="F4720" s="354"/>
    </row>
    <row r="4721" ht="12">
      <c r="F4721" s="354"/>
    </row>
    <row r="4722" ht="12">
      <c r="F4722" s="354"/>
    </row>
    <row r="4723" ht="12">
      <c r="F4723" s="354"/>
    </row>
    <row r="4724" ht="12">
      <c r="F4724" s="354"/>
    </row>
    <row r="4725" ht="12">
      <c r="F4725" s="354"/>
    </row>
    <row r="4726" ht="12">
      <c r="F4726" s="354"/>
    </row>
    <row r="4727" ht="12">
      <c r="F4727" s="354"/>
    </row>
    <row r="4728" ht="12">
      <c r="F4728" s="354"/>
    </row>
    <row r="4729" ht="12">
      <c r="F4729" s="354"/>
    </row>
    <row r="4730" ht="12">
      <c r="F4730" s="354"/>
    </row>
    <row r="4731" ht="12">
      <c r="F4731" s="354"/>
    </row>
    <row r="4732" ht="12">
      <c r="F4732" s="354"/>
    </row>
    <row r="4733" ht="12">
      <c r="F4733" s="354"/>
    </row>
    <row r="4734" ht="12">
      <c r="F4734" s="354"/>
    </row>
    <row r="4735" ht="12">
      <c r="F4735" s="354"/>
    </row>
    <row r="4736" ht="12">
      <c r="F4736" s="354"/>
    </row>
    <row r="4737" ht="12">
      <c r="F4737" s="354"/>
    </row>
    <row r="4738" ht="12">
      <c r="F4738" s="354"/>
    </row>
    <row r="4739" ht="12">
      <c r="F4739" s="354"/>
    </row>
    <row r="4740" ht="12">
      <c r="F4740" s="354"/>
    </row>
    <row r="4741" ht="12">
      <c r="F4741" s="354"/>
    </row>
    <row r="4742" ht="12">
      <c r="F4742" s="354"/>
    </row>
    <row r="4743" ht="12">
      <c r="F4743" s="354"/>
    </row>
    <row r="4744" ht="12">
      <c r="F4744" s="354"/>
    </row>
    <row r="4745" ht="12">
      <c r="F4745" s="354"/>
    </row>
    <row r="4746" ht="12">
      <c r="F4746" s="354"/>
    </row>
    <row r="4747" ht="12">
      <c r="F4747" s="354"/>
    </row>
    <row r="4748" ht="12">
      <c r="F4748" s="354"/>
    </row>
    <row r="4749" ht="12">
      <c r="F4749" s="354"/>
    </row>
    <row r="4750" ht="12">
      <c r="F4750" s="354"/>
    </row>
    <row r="4751" ht="12">
      <c r="F4751" s="354"/>
    </row>
    <row r="4752" ht="12">
      <c r="F4752" s="354"/>
    </row>
    <row r="4753" ht="12">
      <c r="F4753" s="354"/>
    </row>
    <row r="4754" ht="12">
      <c r="F4754" s="354"/>
    </row>
    <row r="4755" ht="12">
      <c r="F4755" s="354"/>
    </row>
    <row r="4756" ht="12">
      <c r="F4756" s="354"/>
    </row>
    <row r="4757" ht="12">
      <c r="F4757" s="354"/>
    </row>
    <row r="4758" ht="12">
      <c r="F4758" s="354"/>
    </row>
    <row r="4759" ht="12">
      <c r="F4759" s="354"/>
    </row>
    <row r="4760" ht="12">
      <c r="F4760" s="354"/>
    </row>
    <row r="4761" ht="12">
      <c r="F4761" s="354"/>
    </row>
    <row r="4762" ht="12">
      <c r="F4762" s="354"/>
    </row>
    <row r="4763" ht="12">
      <c r="F4763" s="354"/>
    </row>
    <row r="4764" ht="12">
      <c r="F4764" s="354"/>
    </row>
    <row r="4765" ht="12">
      <c r="F4765" s="354"/>
    </row>
    <row r="4766" ht="12">
      <c r="F4766" s="354"/>
    </row>
    <row r="4767" ht="12">
      <c r="F4767" s="354"/>
    </row>
    <row r="4768" ht="12">
      <c r="F4768" s="354"/>
    </row>
    <row r="4769" ht="12">
      <c r="F4769" s="354"/>
    </row>
    <row r="4770" ht="12">
      <c r="F4770" s="354"/>
    </row>
    <row r="4771" ht="12">
      <c r="F4771" s="354"/>
    </row>
    <row r="4772" ht="12">
      <c r="F4772" s="354"/>
    </row>
    <row r="4773" ht="12">
      <c r="F4773" s="354"/>
    </row>
    <row r="4774" ht="12">
      <c r="F4774" s="354"/>
    </row>
    <row r="4775" ht="12">
      <c r="F4775" s="354"/>
    </row>
    <row r="4776" ht="12">
      <c r="F4776" s="354"/>
    </row>
    <row r="4777" ht="12">
      <c r="F4777" s="354"/>
    </row>
    <row r="4778" ht="12">
      <c r="F4778" s="354"/>
    </row>
    <row r="4779" ht="12">
      <c r="F4779" s="354"/>
    </row>
    <row r="4780" ht="12">
      <c r="F4780" s="354"/>
    </row>
    <row r="4781" ht="12">
      <c r="F4781" s="354"/>
    </row>
    <row r="4782" ht="12">
      <c r="F4782" s="354"/>
    </row>
    <row r="4783" ht="12">
      <c r="F4783" s="354"/>
    </row>
    <row r="4784" ht="12">
      <c r="F4784" s="354"/>
    </row>
    <row r="4785" ht="12">
      <c r="F4785" s="354"/>
    </row>
    <row r="4786" ht="12">
      <c r="F4786" s="354"/>
    </row>
    <row r="4787" ht="12">
      <c r="F4787" s="354"/>
    </row>
    <row r="4788" ht="12">
      <c r="F4788" s="354"/>
    </row>
    <row r="4789" ht="12">
      <c r="F4789" s="354"/>
    </row>
    <row r="4790" ht="12">
      <c r="F4790" s="354"/>
    </row>
    <row r="4791" ht="12">
      <c r="F4791" s="354"/>
    </row>
    <row r="4792" ht="12">
      <c r="F4792" s="354"/>
    </row>
    <row r="4793" ht="12">
      <c r="F4793" s="354"/>
    </row>
    <row r="4794" ht="12">
      <c r="F4794" s="354"/>
    </row>
    <row r="4795" ht="12">
      <c r="F4795" s="354"/>
    </row>
    <row r="4796" ht="12">
      <c r="F4796" s="354"/>
    </row>
    <row r="4797" ht="12">
      <c r="F4797" s="354"/>
    </row>
    <row r="4798" ht="12">
      <c r="F4798" s="354"/>
    </row>
    <row r="4799" ht="12">
      <c r="F4799" s="354"/>
    </row>
    <row r="4800" ht="12">
      <c r="F4800" s="354"/>
    </row>
    <row r="4801" ht="12">
      <c r="F4801" s="354"/>
    </row>
    <row r="4802" ht="12">
      <c r="F4802" s="354"/>
    </row>
    <row r="4803" ht="12">
      <c r="F4803" s="354"/>
    </row>
    <row r="4804" ht="12">
      <c r="F4804" s="354"/>
    </row>
    <row r="4805" ht="12">
      <c r="F4805" s="354"/>
    </row>
    <row r="4806" ht="12">
      <c r="F4806" s="354"/>
    </row>
    <row r="4807" ht="12">
      <c r="F4807" s="354"/>
    </row>
    <row r="4808" ht="12">
      <c r="F4808" s="354"/>
    </row>
    <row r="4809" ht="12">
      <c r="F4809" s="354"/>
    </row>
    <row r="4810" ht="12">
      <c r="F4810" s="354"/>
    </row>
    <row r="4811" ht="12">
      <c r="F4811" s="354"/>
    </row>
    <row r="4812" ht="12">
      <c r="F4812" s="354"/>
    </row>
    <row r="4813" ht="12">
      <c r="F4813" s="354"/>
    </row>
    <row r="4814" ht="12">
      <c r="F4814" s="354"/>
    </row>
    <row r="4815" ht="12">
      <c r="F4815" s="354"/>
    </row>
    <row r="4816" ht="12">
      <c r="F4816" s="354"/>
    </row>
    <row r="4817" ht="12">
      <c r="F4817" s="354"/>
    </row>
    <row r="4818" ht="12">
      <c r="F4818" s="354"/>
    </row>
    <row r="4819" ht="12">
      <c r="F4819" s="354"/>
    </row>
    <row r="4820" ht="12">
      <c r="F4820" s="354"/>
    </row>
    <row r="4821" ht="12">
      <c r="F4821" s="354"/>
    </row>
    <row r="4822" ht="12">
      <c r="F4822" s="354"/>
    </row>
    <row r="4823" ht="12">
      <c r="F4823" s="354"/>
    </row>
    <row r="4824" ht="12">
      <c r="F4824" s="354"/>
    </row>
    <row r="4825" ht="12">
      <c r="F4825" s="354"/>
    </row>
    <row r="4826" ht="12">
      <c r="F4826" s="354"/>
    </row>
    <row r="4827" ht="12">
      <c r="F4827" s="354"/>
    </row>
    <row r="4828" ht="12">
      <c r="F4828" s="354"/>
    </row>
    <row r="4829" ht="12">
      <c r="F4829" s="354"/>
    </row>
    <row r="4830" ht="12">
      <c r="F4830" s="354"/>
    </row>
    <row r="4831" ht="12">
      <c r="F4831" s="354"/>
    </row>
    <row r="4832" ht="12">
      <c r="F4832" s="354"/>
    </row>
    <row r="4833" ht="12">
      <c r="F4833" s="354"/>
    </row>
    <row r="4834" ht="12">
      <c r="F4834" s="354"/>
    </row>
    <row r="4835" ht="12">
      <c r="F4835" s="354"/>
    </row>
    <row r="4836" ht="12">
      <c r="F4836" s="354"/>
    </row>
    <row r="4837" ht="12">
      <c r="F4837" s="354"/>
    </row>
    <row r="4838" ht="12">
      <c r="F4838" s="354"/>
    </row>
    <row r="4839" ht="12">
      <c r="F4839" s="354"/>
    </row>
    <row r="4840" ht="12">
      <c r="F4840" s="354"/>
    </row>
    <row r="4841" ht="12">
      <c r="F4841" s="354"/>
    </row>
    <row r="4842" ht="12">
      <c r="F4842" s="354"/>
    </row>
    <row r="4843" ht="12">
      <c r="F4843" s="354"/>
    </row>
    <row r="4844" ht="12">
      <c r="F4844" s="354"/>
    </row>
    <row r="4845" ht="12">
      <c r="F4845" s="354"/>
    </row>
    <row r="4846" ht="12">
      <c r="F4846" s="354"/>
    </row>
    <row r="4847" ht="12">
      <c r="F4847" s="354"/>
    </row>
    <row r="4848" ht="12">
      <c r="F4848" s="354"/>
    </row>
    <row r="4849" ht="12">
      <c r="F4849" s="354"/>
    </row>
    <row r="4850" ht="12">
      <c r="F4850" s="354"/>
    </row>
    <row r="4851" ht="12">
      <c r="F4851" s="354"/>
    </row>
    <row r="4852" ht="12">
      <c r="F4852" s="354"/>
    </row>
    <row r="4853" ht="12">
      <c r="F4853" s="354"/>
    </row>
    <row r="4854" ht="12">
      <c r="F4854" s="354"/>
    </row>
    <row r="4855" ht="12">
      <c r="F4855" s="354"/>
    </row>
    <row r="4856" ht="12">
      <c r="F4856" s="354"/>
    </row>
    <row r="4857" ht="12">
      <c r="F4857" s="354"/>
    </row>
    <row r="4858" ht="12">
      <c r="F4858" s="354"/>
    </row>
    <row r="4859" ht="12">
      <c r="F4859" s="354"/>
    </row>
    <row r="4860" ht="12">
      <c r="F4860" s="354"/>
    </row>
    <row r="4861" ht="12">
      <c r="F4861" s="354"/>
    </row>
    <row r="4862" ht="12">
      <c r="F4862" s="354"/>
    </row>
    <row r="4863" ht="12">
      <c r="F4863" s="354"/>
    </row>
    <row r="4864" ht="12">
      <c r="F4864" s="354"/>
    </row>
    <row r="4865" ht="12">
      <c r="F4865" s="354"/>
    </row>
    <row r="4866" ht="12">
      <c r="F4866" s="354"/>
    </row>
    <row r="4867" ht="12">
      <c r="F4867" s="354"/>
    </row>
    <row r="4868" ht="12">
      <c r="F4868" s="354"/>
    </row>
    <row r="4869" ht="12">
      <c r="F4869" s="354"/>
    </row>
    <row r="4870" ht="12">
      <c r="F4870" s="354"/>
    </row>
    <row r="4871" ht="12">
      <c r="F4871" s="354"/>
    </row>
    <row r="4872" ht="12">
      <c r="F4872" s="354"/>
    </row>
    <row r="4873" ht="12">
      <c r="F4873" s="354"/>
    </row>
    <row r="4874" ht="12">
      <c r="F4874" s="354"/>
    </row>
    <row r="4875" ht="12">
      <c r="F4875" s="354"/>
    </row>
    <row r="4876" ht="12">
      <c r="F4876" s="354"/>
    </row>
    <row r="4877" ht="12">
      <c r="F4877" s="354"/>
    </row>
    <row r="4878" ht="12">
      <c r="F4878" s="354"/>
    </row>
    <row r="4879" ht="12">
      <c r="F4879" s="354"/>
    </row>
    <row r="4880" ht="12">
      <c r="F4880" s="354"/>
    </row>
    <row r="4881" ht="12">
      <c r="F4881" s="354"/>
    </row>
    <row r="4882" ht="12">
      <c r="F4882" s="354"/>
    </row>
    <row r="4883" ht="12">
      <c r="F4883" s="354"/>
    </row>
    <row r="4884" ht="12">
      <c r="F4884" s="354"/>
    </row>
    <row r="4885" ht="12">
      <c r="F4885" s="354"/>
    </row>
    <row r="4886" ht="12">
      <c r="F4886" s="354"/>
    </row>
    <row r="4887" ht="12">
      <c r="F4887" s="354"/>
    </row>
    <row r="4888" ht="12">
      <c r="F4888" s="354"/>
    </row>
    <row r="4889" ht="12">
      <c r="F4889" s="354"/>
    </row>
    <row r="4890" ht="12">
      <c r="F4890" s="354"/>
    </row>
    <row r="4891" ht="12">
      <c r="F4891" s="354"/>
    </row>
    <row r="4892" ht="12">
      <c r="F4892" s="354"/>
    </row>
    <row r="4893" ht="12">
      <c r="F4893" s="354"/>
    </row>
    <row r="4894" ht="12">
      <c r="F4894" s="354"/>
    </row>
    <row r="4895" ht="12">
      <c r="F4895" s="354"/>
    </row>
    <row r="4896" ht="12">
      <c r="F4896" s="354"/>
    </row>
    <row r="4897" ht="12">
      <c r="F4897" s="354"/>
    </row>
    <row r="4898" ht="12">
      <c r="F4898" s="354"/>
    </row>
    <row r="4899" ht="12">
      <c r="F4899" s="354"/>
    </row>
    <row r="4900" ht="12">
      <c r="F4900" s="354"/>
    </row>
    <row r="4901" ht="12">
      <c r="F4901" s="354"/>
    </row>
    <row r="4902" ht="12">
      <c r="F4902" s="354"/>
    </row>
    <row r="4903" ht="12">
      <c r="F4903" s="354"/>
    </row>
    <row r="4904" ht="12">
      <c r="F4904" s="354"/>
    </row>
    <row r="4905" ht="12">
      <c r="F4905" s="354"/>
    </row>
    <row r="4906" ht="12">
      <c r="F4906" s="354"/>
    </row>
    <row r="4907" ht="12">
      <c r="F4907" s="354"/>
    </row>
    <row r="4908" ht="12">
      <c r="F4908" s="354"/>
    </row>
    <row r="4909" ht="12">
      <c r="F4909" s="354"/>
    </row>
    <row r="4910" ht="12">
      <c r="F4910" s="354"/>
    </row>
    <row r="4911" ht="12">
      <c r="F4911" s="354"/>
    </row>
    <row r="4912" ht="12">
      <c r="F4912" s="354"/>
    </row>
    <row r="4913" ht="12">
      <c r="F4913" s="354"/>
    </row>
    <row r="4914" ht="12">
      <c r="F4914" s="354"/>
    </row>
    <row r="4915" ht="12">
      <c r="F4915" s="354"/>
    </row>
    <row r="4916" ht="12">
      <c r="F4916" s="354"/>
    </row>
    <row r="4917" ht="12">
      <c r="F4917" s="354"/>
    </row>
    <row r="4918" ht="12">
      <c r="F4918" s="354"/>
    </row>
    <row r="4919" ht="12">
      <c r="F4919" s="354"/>
    </row>
    <row r="4920" ht="12">
      <c r="F4920" s="354"/>
    </row>
    <row r="4921" ht="12">
      <c r="F4921" s="354"/>
    </row>
    <row r="4922" ht="12">
      <c r="F4922" s="354"/>
    </row>
    <row r="4923" ht="12">
      <c r="F4923" s="354"/>
    </row>
    <row r="4924" ht="12">
      <c r="F4924" s="354"/>
    </row>
    <row r="4925" ht="12">
      <c r="F4925" s="354"/>
    </row>
    <row r="4926" ht="12">
      <c r="F4926" s="354"/>
    </row>
    <row r="4927" ht="12">
      <c r="F4927" s="354"/>
    </row>
    <row r="4928" ht="12">
      <c r="F4928" s="354"/>
    </row>
    <row r="4929" ht="12">
      <c r="F4929" s="354"/>
    </row>
    <row r="4930" ht="12">
      <c r="F4930" s="354"/>
    </row>
    <row r="4931" ht="12">
      <c r="F4931" s="354"/>
    </row>
    <row r="4932" ht="12">
      <c r="F4932" s="354"/>
    </row>
    <row r="4933" ht="12">
      <c r="F4933" s="354"/>
    </row>
    <row r="4934" ht="12">
      <c r="F4934" s="354"/>
    </row>
    <row r="4935" ht="12">
      <c r="F4935" s="354"/>
    </row>
    <row r="4936" ht="12">
      <c r="F4936" s="354"/>
    </row>
    <row r="4937" ht="12">
      <c r="F4937" s="354"/>
    </row>
    <row r="4938" ht="12">
      <c r="F4938" s="354"/>
    </row>
    <row r="4939" ht="12">
      <c r="F4939" s="354"/>
    </row>
    <row r="4940" ht="12">
      <c r="F4940" s="354"/>
    </row>
    <row r="4941" ht="12">
      <c r="F4941" s="354"/>
    </row>
    <row r="4942" ht="12">
      <c r="F4942" s="354"/>
    </row>
    <row r="4943" ht="12">
      <c r="F4943" s="354"/>
    </row>
    <row r="4944" ht="12">
      <c r="F4944" s="354"/>
    </row>
    <row r="4945" ht="12">
      <c r="F4945" s="354"/>
    </row>
    <row r="4946" ht="12">
      <c r="F4946" s="354"/>
    </row>
    <row r="4947" ht="12">
      <c r="F4947" s="354"/>
    </row>
    <row r="4948" ht="12">
      <c r="F4948" s="354"/>
    </row>
    <row r="4949" ht="12">
      <c r="F4949" s="354"/>
    </row>
    <row r="4950" ht="12">
      <c r="F4950" s="354"/>
    </row>
    <row r="4951" ht="12">
      <c r="F4951" s="354"/>
    </row>
    <row r="4952" ht="12">
      <c r="F4952" s="354"/>
    </row>
    <row r="4953" ht="12">
      <c r="F4953" s="354"/>
    </row>
    <row r="4954" ht="12">
      <c r="F4954" s="354"/>
    </row>
    <row r="4955" ht="12">
      <c r="F4955" s="354"/>
    </row>
    <row r="4956" ht="12">
      <c r="F4956" s="354"/>
    </row>
    <row r="4957" ht="12">
      <c r="F4957" s="354"/>
    </row>
    <row r="4958" ht="12">
      <c r="F4958" s="354"/>
    </row>
    <row r="4959" ht="12">
      <c r="F4959" s="354"/>
    </row>
    <row r="4960" ht="12">
      <c r="F4960" s="354"/>
    </row>
    <row r="4961" ht="12">
      <c r="F4961" s="354"/>
    </row>
    <row r="4962" ht="12">
      <c r="F4962" s="354"/>
    </row>
    <row r="4963" ht="12">
      <c r="F4963" s="354"/>
    </row>
    <row r="4964" ht="12">
      <c r="F4964" s="354"/>
    </row>
    <row r="4965" ht="12">
      <c r="F4965" s="354"/>
    </row>
    <row r="4966" ht="12">
      <c r="F4966" s="354"/>
    </row>
    <row r="4967" ht="12">
      <c r="F4967" s="354"/>
    </row>
    <row r="4968" ht="12">
      <c r="F4968" s="354"/>
    </row>
    <row r="4969" ht="12">
      <c r="F4969" s="354"/>
    </row>
    <row r="4970" ht="12">
      <c r="F4970" s="354"/>
    </row>
    <row r="4971" ht="12">
      <c r="F4971" s="354"/>
    </row>
    <row r="4972" ht="12">
      <c r="F4972" s="354"/>
    </row>
    <row r="4973" ht="12">
      <c r="F4973" s="354"/>
    </row>
    <row r="4974" ht="12">
      <c r="F4974" s="354"/>
    </row>
    <row r="4975" ht="12">
      <c r="F4975" s="354"/>
    </row>
    <row r="4976" ht="12">
      <c r="F4976" s="354"/>
    </row>
    <row r="4977" ht="12">
      <c r="F4977" s="354"/>
    </row>
    <row r="4978" ht="12">
      <c r="F4978" s="354"/>
    </row>
    <row r="4979" ht="12">
      <c r="F4979" s="354"/>
    </row>
    <row r="4980" ht="12">
      <c r="F4980" s="354"/>
    </row>
    <row r="4981" ht="12">
      <c r="F4981" s="354"/>
    </row>
    <row r="4982" ht="12">
      <c r="F4982" s="354"/>
    </row>
    <row r="4983" ht="12">
      <c r="F4983" s="354"/>
    </row>
    <row r="4984" ht="12">
      <c r="F4984" s="354"/>
    </row>
    <row r="4985" ht="12">
      <c r="F4985" s="354"/>
    </row>
    <row r="4986" ht="12">
      <c r="F4986" s="354"/>
    </row>
    <row r="4987" ht="12">
      <c r="F4987" s="354"/>
    </row>
    <row r="4988" ht="12">
      <c r="F4988" s="354"/>
    </row>
    <row r="4989" ht="12">
      <c r="F4989" s="354"/>
    </row>
    <row r="4990" ht="12">
      <c r="F4990" s="354"/>
    </row>
    <row r="4991" ht="12">
      <c r="F4991" s="354"/>
    </row>
    <row r="4992" ht="12">
      <c r="F4992" s="354"/>
    </row>
    <row r="4993" ht="12">
      <c r="F4993" s="354"/>
    </row>
    <row r="4994" ht="12">
      <c r="F4994" s="354"/>
    </row>
    <row r="4995" ht="12">
      <c r="F4995" s="354"/>
    </row>
    <row r="4996" ht="12">
      <c r="F4996" s="354"/>
    </row>
    <row r="4997" ht="12">
      <c r="F4997" s="354"/>
    </row>
    <row r="4998" ht="12">
      <c r="F4998" s="354"/>
    </row>
    <row r="4999" ht="12">
      <c r="F4999" s="354"/>
    </row>
    <row r="5000" ht="12">
      <c r="F5000" s="354"/>
    </row>
    <row r="5001" ht="12">
      <c r="F5001" s="354"/>
    </row>
    <row r="5002" ht="12">
      <c r="F5002" s="354"/>
    </row>
    <row r="5003" ht="12">
      <c r="F5003" s="354"/>
    </row>
    <row r="5004" ht="12">
      <c r="F5004" s="354"/>
    </row>
    <row r="5005" ht="12">
      <c r="F5005" s="354"/>
    </row>
    <row r="5006" ht="12">
      <c r="F5006" s="354"/>
    </row>
    <row r="5007" ht="12">
      <c r="F5007" s="354"/>
    </row>
    <row r="5008" ht="12">
      <c r="F5008" s="354"/>
    </row>
    <row r="5009" ht="12">
      <c r="F5009" s="354"/>
    </row>
    <row r="5010" ht="12">
      <c r="F5010" s="354"/>
    </row>
    <row r="5011" ht="12">
      <c r="F5011" s="354"/>
    </row>
    <row r="5012" ht="12">
      <c r="F5012" s="354"/>
    </row>
    <row r="5013" ht="12">
      <c r="F5013" s="354"/>
    </row>
    <row r="5014" ht="12">
      <c r="F5014" s="354"/>
    </row>
    <row r="5015" ht="12">
      <c r="F5015" s="354"/>
    </row>
    <row r="5016" ht="12">
      <c r="F5016" s="354"/>
    </row>
    <row r="5017" ht="12">
      <c r="F5017" s="354"/>
    </row>
    <row r="5018" ht="12">
      <c r="F5018" s="354"/>
    </row>
    <row r="5019" ht="12">
      <c r="F5019" s="354"/>
    </row>
    <row r="5020" ht="12">
      <c r="F5020" s="354"/>
    </row>
    <row r="5021" ht="12">
      <c r="F5021" s="354"/>
    </row>
    <row r="5022" ht="12">
      <c r="F5022" s="354"/>
    </row>
    <row r="5023" ht="12">
      <c r="F5023" s="354"/>
    </row>
    <row r="5024" ht="12">
      <c r="F5024" s="354"/>
    </row>
    <row r="5025" ht="12">
      <c r="F5025" s="354"/>
    </row>
    <row r="5026" ht="12">
      <c r="F5026" s="354"/>
    </row>
    <row r="5027" ht="12">
      <c r="F5027" s="354"/>
    </row>
    <row r="5028" ht="12">
      <c r="F5028" s="354"/>
    </row>
    <row r="5029" ht="12">
      <c r="F5029" s="354"/>
    </row>
    <row r="5030" ht="12">
      <c r="F5030" s="354"/>
    </row>
    <row r="5031" ht="12">
      <c r="F5031" s="354"/>
    </row>
    <row r="5032" ht="12">
      <c r="F5032" s="354"/>
    </row>
    <row r="5033" ht="12">
      <c r="F5033" s="354"/>
    </row>
    <row r="5034" ht="12">
      <c r="F5034" s="354"/>
    </row>
    <row r="5035" ht="12">
      <c r="F5035" s="354"/>
    </row>
    <row r="5036" ht="12">
      <c r="F5036" s="354"/>
    </row>
    <row r="5037" ht="12">
      <c r="F5037" s="354"/>
    </row>
    <row r="5038" ht="12">
      <c r="F5038" s="354"/>
    </row>
    <row r="5039" ht="12">
      <c r="F5039" s="354"/>
    </row>
    <row r="5040" ht="12">
      <c r="F5040" s="354"/>
    </row>
    <row r="5041" ht="12">
      <c r="F5041" s="354"/>
    </row>
    <row r="5042" ht="12">
      <c r="F5042" s="354"/>
    </row>
    <row r="5043" ht="12">
      <c r="F5043" s="354"/>
    </row>
    <row r="5044" ht="12">
      <c r="F5044" s="354"/>
    </row>
    <row r="5045" ht="12">
      <c r="F5045" s="354"/>
    </row>
    <row r="5046" ht="12">
      <c r="F5046" s="354"/>
    </row>
    <row r="5047" ht="12">
      <c r="F5047" s="354"/>
    </row>
    <row r="5048" ht="12">
      <c r="F5048" s="354"/>
    </row>
    <row r="5049" ht="12">
      <c r="F5049" s="354"/>
    </row>
    <row r="5050" ht="12">
      <c r="F5050" s="354"/>
    </row>
    <row r="5051" ht="12">
      <c r="F5051" s="354"/>
    </row>
    <row r="5052" ht="12">
      <c r="F5052" s="354"/>
    </row>
    <row r="5053" ht="12">
      <c r="F5053" s="354"/>
    </row>
    <row r="5054" ht="12">
      <c r="F5054" s="354"/>
    </row>
    <row r="5055" ht="12">
      <c r="F5055" s="354"/>
    </row>
    <row r="5056" ht="12">
      <c r="F5056" s="354"/>
    </row>
    <row r="5057" ht="12">
      <c r="F5057" s="354"/>
    </row>
    <row r="5058" ht="12">
      <c r="F5058" s="354"/>
    </row>
    <row r="5059" ht="12">
      <c r="F5059" s="354"/>
    </row>
    <row r="5060" ht="12">
      <c r="F5060" s="354"/>
    </row>
    <row r="5061" ht="12">
      <c r="F5061" s="354"/>
    </row>
    <row r="5062" ht="12">
      <c r="F5062" s="354"/>
    </row>
    <row r="5063" ht="12">
      <c r="F5063" s="354"/>
    </row>
    <row r="5064" ht="12">
      <c r="F5064" s="354"/>
    </row>
    <row r="5065" ht="12">
      <c r="F5065" s="354"/>
    </row>
    <row r="5066" ht="12">
      <c r="F5066" s="354"/>
    </row>
    <row r="5067" ht="12">
      <c r="F5067" s="354"/>
    </row>
    <row r="5068" ht="12">
      <c r="F5068" s="354"/>
    </row>
    <row r="5069" ht="12">
      <c r="F5069" s="354"/>
    </row>
    <row r="5070" ht="12">
      <c r="F5070" s="354"/>
    </row>
    <row r="5071" ht="12">
      <c r="F5071" s="354"/>
    </row>
    <row r="5072" ht="12">
      <c r="F5072" s="354"/>
    </row>
    <row r="5073" ht="12">
      <c r="F5073" s="354"/>
    </row>
    <row r="5074" ht="12">
      <c r="F5074" s="354"/>
    </row>
    <row r="5075" ht="12">
      <c r="F5075" s="354"/>
    </row>
    <row r="5076" ht="12">
      <c r="F5076" s="354"/>
    </row>
    <row r="5077" ht="12">
      <c r="F5077" s="354"/>
    </row>
    <row r="5078" ht="12">
      <c r="F5078" s="354"/>
    </row>
    <row r="5079" ht="12">
      <c r="F5079" s="354"/>
    </row>
    <row r="5080" ht="12">
      <c r="F5080" s="354"/>
    </row>
    <row r="5081" ht="12">
      <c r="F5081" s="354"/>
    </row>
  </sheetData>
  <sheetProtection algorithmName="SHA-512" hashValue="eJmVv0b77zzfa1YSdenF60QENwv8HHUC7AqFfh46J29XylpOBXV9O+TtIFR++4/s0aXJoC7iHgQ9WiNZToZ4tA==" saltValue="5kEAVvmYaLsiUPJ0v3E9rg==" spinCount="100000" sheet="1" objects="1" scenarios="1"/>
  <mergeCells count="7">
    <mergeCell ref="D106:I106"/>
    <mergeCell ref="F93:I93"/>
    <mergeCell ref="B1:I1"/>
    <mergeCell ref="D2:I2"/>
    <mergeCell ref="D3:I3"/>
    <mergeCell ref="D4:I4"/>
    <mergeCell ref="D100:I100"/>
  </mergeCells>
  <printOptions/>
  <pageMargins left="0.3937007874015748" right="0.3937007874015748" top="0.5905511811023623" bottom="0.3937007874015748" header="0.31496062992125984" footer="0.31496062992125984"/>
  <pageSetup fitToHeight="10" horizontalDpi="600" verticalDpi="600" orientation="landscape" paperSize="9" scale="110" r:id="rId1"/>
  <headerFooter>
    <oddFooter>&amp;RStránka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2:BM97"/>
  <sheetViews>
    <sheetView showGridLines="0" workbookViewId="0" topLeftCell="A84">
      <selection activeCell="F118" sqref="F118"/>
    </sheetView>
  </sheetViews>
  <sheetFormatPr defaultColWidth="9.140625" defaultRowHeight="12"/>
  <cols>
    <col min="1" max="1" width="8.8515625" style="1" customWidth="1"/>
    <col min="2" max="2" width="1.1484375" style="1" customWidth="1"/>
    <col min="3" max="4" width="4.421875" style="1" customWidth="1"/>
    <col min="5" max="5" width="18.28125" style="1" customWidth="1"/>
    <col min="6" max="6" width="108.00390625" style="1" customWidth="1"/>
    <col min="7" max="7" width="8.00390625" style="1" customWidth="1"/>
    <col min="8" max="8" width="12.28125" style="1" customWidth="1"/>
    <col min="9" max="11" width="21.421875" style="1" customWidth="1"/>
    <col min="12" max="12" width="10.00390625" style="1" customWidth="1"/>
    <col min="13" max="13" width="11.421875" style="1" hidden="1" customWidth="1"/>
    <col min="14" max="14" width="9.140625" style="1" hidden="1" customWidth="1"/>
    <col min="15" max="20" width="15.140625" style="1" hidden="1" customWidth="1"/>
    <col min="21" max="21" width="17.421875" style="1" hidden="1" customWidth="1"/>
    <col min="22" max="22" width="13.140625" style="1" customWidth="1"/>
    <col min="23" max="23" width="17.421875" style="1" customWidth="1"/>
    <col min="24" max="24" width="13.140625" style="1" customWidth="1"/>
    <col min="25" max="25" width="16.00390625" style="1" customWidth="1"/>
    <col min="26" max="26" width="11.7109375" style="1" customWidth="1"/>
    <col min="27" max="27" width="16.00390625" style="1" customWidth="1"/>
    <col min="28" max="28" width="17.421875" style="1" customWidth="1"/>
    <col min="29" max="29" width="11.7109375" style="1" customWidth="1"/>
    <col min="30" max="30" width="16.00390625" style="1" customWidth="1"/>
    <col min="31" max="31" width="17.421875" style="1" customWidth="1"/>
    <col min="44" max="65" width="9.140625" style="1" hidden="1" customWidth="1"/>
  </cols>
  <sheetData>
    <row r="1" ht="12"/>
    <row r="2" spans="12:46" s="1" customFormat="1" ht="36.95" customHeight="1">
      <c r="L2" s="682"/>
      <c r="M2" s="682"/>
      <c r="N2" s="682"/>
      <c r="O2" s="682"/>
      <c r="P2" s="682"/>
      <c r="Q2" s="682"/>
      <c r="R2" s="682"/>
      <c r="S2" s="682"/>
      <c r="T2" s="682"/>
      <c r="U2" s="682"/>
      <c r="V2" s="682"/>
      <c r="AT2" s="15" t="s">
        <v>103</v>
      </c>
    </row>
    <row r="3" spans="2:46" s="1" customFormat="1" ht="6.95" customHeight="1">
      <c r="B3" s="106"/>
      <c r="C3" s="107"/>
      <c r="D3" s="107"/>
      <c r="E3" s="107"/>
      <c r="F3" s="107"/>
      <c r="G3" s="107"/>
      <c r="H3" s="107"/>
      <c r="I3" s="107"/>
      <c r="J3" s="107"/>
      <c r="K3" s="107"/>
      <c r="L3" s="18"/>
      <c r="AT3" s="15" t="s">
        <v>79</v>
      </c>
    </row>
    <row r="4" spans="2:46" s="1" customFormat="1" ht="24.95" customHeight="1">
      <c r="B4" s="18"/>
      <c r="D4" s="108" t="s">
        <v>141</v>
      </c>
      <c r="L4" s="18"/>
      <c r="M4" s="109" t="s">
        <v>10</v>
      </c>
      <c r="AT4" s="15" t="s">
        <v>4</v>
      </c>
    </row>
    <row r="5" spans="2:12" s="1" customFormat="1" ht="6.95" customHeight="1">
      <c r="B5" s="18"/>
      <c r="L5" s="18"/>
    </row>
    <row r="6" spans="2:12" s="1" customFormat="1" ht="12" customHeight="1">
      <c r="B6" s="18"/>
      <c r="D6" s="110" t="s">
        <v>16</v>
      </c>
      <c r="L6" s="18"/>
    </row>
    <row r="7" spans="2:12" s="1" customFormat="1" ht="14.45" customHeight="1">
      <c r="B7" s="18"/>
      <c r="E7" s="702" t="str">
        <f>'Rekapitulace stavby'!K6</f>
        <v>Úpravy gastroprovozu Úřadu vlády ČR v 1.pp Strakovy akademie</v>
      </c>
      <c r="F7" s="703"/>
      <c r="G7" s="703"/>
      <c r="H7" s="703"/>
      <c r="L7" s="18"/>
    </row>
    <row r="8" spans="2:12" ht="12.75">
      <c r="B8" s="18"/>
      <c r="D8" s="110" t="s">
        <v>142</v>
      </c>
      <c r="L8" s="18"/>
    </row>
    <row r="9" spans="2:12" s="1" customFormat="1" ht="14.45" customHeight="1">
      <c r="B9" s="18"/>
      <c r="E9" s="702" t="s">
        <v>1429</v>
      </c>
      <c r="F9" s="682"/>
      <c r="G9" s="682"/>
      <c r="H9" s="682"/>
      <c r="L9" s="18"/>
    </row>
    <row r="10" spans="2:12" s="1" customFormat="1" ht="12" customHeight="1">
      <c r="B10" s="18"/>
      <c r="D10" s="110" t="s">
        <v>144</v>
      </c>
      <c r="L10" s="18"/>
    </row>
    <row r="11" spans="1:31" s="2" customFormat="1" ht="14.45" customHeight="1">
      <c r="A11" s="32"/>
      <c r="B11" s="37"/>
      <c r="C11" s="32"/>
      <c r="D11" s="32"/>
      <c r="E11" s="747" t="s">
        <v>1449</v>
      </c>
      <c r="F11" s="704"/>
      <c r="G11" s="704"/>
      <c r="H11" s="704"/>
      <c r="I11" s="32"/>
      <c r="J11" s="32"/>
      <c r="K11" s="32"/>
      <c r="L11" s="111"/>
      <c r="S11" s="32"/>
      <c r="T11" s="32"/>
      <c r="U11" s="32"/>
      <c r="V11" s="32"/>
      <c r="W11" s="32"/>
      <c r="X11" s="32"/>
      <c r="Y11" s="32"/>
      <c r="Z11" s="32"/>
      <c r="AA11" s="32"/>
      <c r="AB11" s="32"/>
      <c r="AC11" s="32"/>
      <c r="AD11" s="32"/>
      <c r="AE11" s="32"/>
    </row>
    <row r="12" spans="1:31" s="2" customFormat="1" ht="12" customHeight="1">
      <c r="A12" s="32"/>
      <c r="B12" s="37"/>
      <c r="C12" s="32"/>
      <c r="D12" s="110" t="s">
        <v>1450</v>
      </c>
      <c r="E12" s="32"/>
      <c r="F12" s="32"/>
      <c r="G12" s="32"/>
      <c r="H12" s="32"/>
      <c r="I12" s="32"/>
      <c r="J12" s="32"/>
      <c r="K12" s="32"/>
      <c r="L12" s="111"/>
      <c r="S12" s="32"/>
      <c r="T12" s="32"/>
      <c r="U12" s="32"/>
      <c r="V12" s="32"/>
      <c r="W12" s="32"/>
      <c r="X12" s="32"/>
      <c r="Y12" s="32"/>
      <c r="Z12" s="32"/>
      <c r="AA12" s="32"/>
      <c r="AB12" s="32"/>
      <c r="AC12" s="32"/>
      <c r="AD12" s="32"/>
      <c r="AE12" s="32"/>
    </row>
    <row r="13" spans="1:31" s="2" customFormat="1" ht="14.45" customHeight="1">
      <c r="A13" s="32"/>
      <c r="B13" s="37"/>
      <c r="C13" s="32"/>
      <c r="D13" s="32"/>
      <c r="E13" s="705" t="s">
        <v>1451</v>
      </c>
      <c r="F13" s="704"/>
      <c r="G13" s="704"/>
      <c r="H13" s="704"/>
      <c r="I13" s="32"/>
      <c r="J13" s="32"/>
      <c r="K13" s="32"/>
      <c r="L13" s="111"/>
      <c r="S13" s="32"/>
      <c r="T13" s="32"/>
      <c r="U13" s="32"/>
      <c r="V13" s="32"/>
      <c r="W13" s="32"/>
      <c r="X13" s="32"/>
      <c r="Y13" s="32"/>
      <c r="Z13" s="32"/>
      <c r="AA13" s="32"/>
      <c r="AB13" s="32"/>
      <c r="AC13" s="32"/>
      <c r="AD13" s="32"/>
      <c r="AE13" s="32"/>
    </row>
    <row r="14" spans="1:31" s="2" customFormat="1" ht="12">
      <c r="A14" s="32"/>
      <c r="B14" s="37"/>
      <c r="C14" s="32"/>
      <c r="D14" s="32"/>
      <c r="E14" s="32"/>
      <c r="F14" s="32"/>
      <c r="G14" s="32"/>
      <c r="H14" s="32"/>
      <c r="I14" s="32"/>
      <c r="J14" s="32"/>
      <c r="K14" s="32"/>
      <c r="L14" s="111"/>
      <c r="S14" s="32"/>
      <c r="T14" s="32"/>
      <c r="U14" s="32"/>
      <c r="V14" s="32"/>
      <c r="W14" s="32"/>
      <c r="X14" s="32"/>
      <c r="Y14" s="32"/>
      <c r="Z14" s="32"/>
      <c r="AA14" s="32"/>
      <c r="AB14" s="32"/>
      <c r="AC14" s="32"/>
      <c r="AD14" s="32"/>
      <c r="AE14" s="32"/>
    </row>
    <row r="15" spans="1:31" s="2" customFormat="1" ht="12" customHeight="1">
      <c r="A15" s="32"/>
      <c r="B15" s="37"/>
      <c r="C15" s="32"/>
      <c r="D15" s="110" t="s">
        <v>18</v>
      </c>
      <c r="E15" s="32"/>
      <c r="F15" s="101" t="s">
        <v>19</v>
      </c>
      <c r="G15" s="32"/>
      <c r="H15" s="32"/>
      <c r="I15" s="110" t="s">
        <v>20</v>
      </c>
      <c r="J15" s="101" t="s">
        <v>19</v>
      </c>
      <c r="K15" s="32"/>
      <c r="L15" s="111"/>
      <c r="S15" s="32"/>
      <c r="T15" s="32"/>
      <c r="U15" s="32"/>
      <c r="V15" s="32"/>
      <c r="W15" s="32"/>
      <c r="X15" s="32"/>
      <c r="Y15" s="32"/>
      <c r="Z15" s="32"/>
      <c r="AA15" s="32"/>
      <c r="AB15" s="32"/>
      <c r="AC15" s="32"/>
      <c r="AD15" s="32"/>
      <c r="AE15" s="32"/>
    </row>
    <row r="16" spans="1:31" s="2" customFormat="1" ht="12" customHeight="1">
      <c r="A16" s="32"/>
      <c r="B16" s="37"/>
      <c r="C16" s="32"/>
      <c r="D16" s="110" t="s">
        <v>21</v>
      </c>
      <c r="E16" s="32"/>
      <c r="F16" s="101" t="s">
        <v>146</v>
      </c>
      <c r="G16" s="32"/>
      <c r="H16" s="32"/>
      <c r="I16" s="110" t="s">
        <v>23</v>
      </c>
      <c r="J16" s="112" t="str">
        <f>'Rekapitulace stavby'!AN8</f>
        <v>Vyplň údaj</v>
      </c>
      <c r="K16" s="32"/>
      <c r="L16" s="111"/>
      <c r="S16" s="32"/>
      <c r="T16" s="32"/>
      <c r="U16" s="32"/>
      <c r="V16" s="32"/>
      <c r="W16" s="32"/>
      <c r="X16" s="32"/>
      <c r="Y16" s="32"/>
      <c r="Z16" s="32"/>
      <c r="AA16" s="32"/>
      <c r="AB16" s="32"/>
      <c r="AC16" s="32"/>
      <c r="AD16" s="32"/>
      <c r="AE16" s="32"/>
    </row>
    <row r="17" spans="1:31" s="2" customFormat="1" ht="10.9" customHeight="1">
      <c r="A17" s="32"/>
      <c r="B17" s="37"/>
      <c r="C17" s="32"/>
      <c r="D17" s="32"/>
      <c r="E17" s="32"/>
      <c r="F17" s="32"/>
      <c r="G17" s="32"/>
      <c r="H17" s="32"/>
      <c r="I17" s="32"/>
      <c r="J17" s="32"/>
      <c r="K17" s="32"/>
      <c r="L17" s="111"/>
      <c r="S17" s="32"/>
      <c r="T17" s="32"/>
      <c r="U17" s="32"/>
      <c r="V17" s="32"/>
      <c r="W17" s="32"/>
      <c r="X17" s="32"/>
      <c r="Y17" s="32"/>
      <c r="Z17" s="32"/>
      <c r="AA17" s="32"/>
      <c r="AB17" s="32"/>
      <c r="AC17" s="32"/>
      <c r="AD17" s="32"/>
      <c r="AE17" s="32"/>
    </row>
    <row r="18" spans="1:31" s="2" customFormat="1" ht="12" customHeight="1">
      <c r="A18" s="32"/>
      <c r="B18" s="37"/>
      <c r="C18" s="32"/>
      <c r="D18" s="110" t="s">
        <v>24</v>
      </c>
      <c r="E18" s="32"/>
      <c r="F18" s="32"/>
      <c r="G18" s="32"/>
      <c r="H18" s="32"/>
      <c r="I18" s="110" t="s">
        <v>25</v>
      </c>
      <c r="J18" s="101" t="s">
        <v>19</v>
      </c>
      <c r="K18" s="32"/>
      <c r="L18" s="111"/>
      <c r="S18" s="32"/>
      <c r="T18" s="32"/>
      <c r="U18" s="32"/>
      <c r="V18" s="32"/>
      <c r="W18" s="32"/>
      <c r="X18" s="32"/>
      <c r="Y18" s="32"/>
      <c r="Z18" s="32"/>
      <c r="AA18" s="32"/>
      <c r="AB18" s="32"/>
      <c r="AC18" s="32"/>
      <c r="AD18" s="32"/>
      <c r="AE18" s="32"/>
    </row>
    <row r="19" spans="1:31" s="2" customFormat="1" ht="18" customHeight="1">
      <c r="A19" s="32"/>
      <c r="B19" s="37"/>
      <c r="C19" s="32"/>
      <c r="D19" s="32"/>
      <c r="E19" s="101" t="s">
        <v>26</v>
      </c>
      <c r="F19" s="32"/>
      <c r="G19" s="32"/>
      <c r="H19" s="32"/>
      <c r="I19" s="110" t="s">
        <v>27</v>
      </c>
      <c r="J19" s="101" t="s">
        <v>19</v>
      </c>
      <c r="K19" s="32"/>
      <c r="L19" s="111"/>
      <c r="S19" s="32"/>
      <c r="T19" s="32"/>
      <c r="U19" s="32"/>
      <c r="V19" s="32"/>
      <c r="W19" s="32"/>
      <c r="X19" s="32"/>
      <c r="Y19" s="32"/>
      <c r="Z19" s="32"/>
      <c r="AA19" s="32"/>
      <c r="AB19" s="32"/>
      <c r="AC19" s="32"/>
      <c r="AD19" s="32"/>
      <c r="AE19" s="32"/>
    </row>
    <row r="20" spans="1:31" s="2" customFormat="1" ht="6.95" customHeight="1">
      <c r="A20" s="32"/>
      <c r="B20" s="37"/>
      <c r="C20" s="32"/>
      <c r="D20" s="32"/>
      <c r="E20" s="32"/>
      <c r="F20" s="32"/>
      <c r="G20" s="32"/>
      <c r="H20" s="32"/>
      <c r="I20" s="32"/>
      <c r="J20" s="32"/>
      <c r="K20" s="32"/>
      <c r="L20" s="111"/>
      <c r="S20" s="32"/>
      <c r="T20" s="32"/>
      <c r="U20" s="32"/>
      <c r="V20" s="32"/>
      <c r="W20" s="32"/>
      <c r="X20" s="32"/>
      <c r="Y20" s="32"/>
      <c r="Z20" s="32"/>
      <c r="AA20" s="32"/>
      <c r="AB20" s="32"/>
      <c r="AC20" s="32"/>
      <c r="AD20" s="32"/>
      <c r="AE20" s="32"/>
    </row>
    <row r="21" spans="1:31" s="2" customFormat="1" ht="12" customHeight="1">
      <c r="A21" s="32"/>
      <c r="B21" s="37"/>
      <c r="C21" s="32"/>
      <c r="D21" s="110" t="s">
        <v>28</v>
      </c>
      <c r="E21" s="32"/>
      <c r="F21" s="32"/>
      <c r="G21" s="32"/>
      <c r="H21" s="32"/>
      <c r="I21" s="110" t="s">
        <v>25</v>
      </c>
      <c r="J21" s="28" t="str">
        <f>'Rekapitulace stavby'!AN13</f>
        <v>Vyplň údaj</v>
      </c>
      <c r="K21" s="32"/>
      <c r="L21" s="111"/>
      <c r="S21" s="32"/>
      <c r="T21" s="32"/>
      <c r="U21" s="32"/>
      <c r="V21" s="32"/>
      <c r="W21" s="32"/>
      <c r="X21" s="32"/>
      <c r="Y21" s="32"/>
      <c r="Z21" s="32"/>
      <c r="AA21" s="32"/>
      <c r="AB21" s="32"/>
      <c r="AC21" s="32"/>
      <c r="AD21" s="32"/>
      <c r="AE21" s="32"/>
    </row>
    <row r="22" spans="1:31" s="2" customFormat="1" ht="18" customHeight="1">
      <c r="A22" s="32"/>
      <c r="B22" s="37"/>
      <c r="C22" s="32"/>
      <c r="D22" s="32"/>
      <c r="E22" s="706" t="str">
        <f>'Rekapitulace stavby'!E14</f>
        <v>Vyplň údaj</v>
      </c>
      <c r="F22" s="707"/>
      <c r="G22" s="707"/>
      <c r="H22" s="707"/>
      <c r="I22" s="110" t="s">
        <v>27</v>
      </c>
      <c r="J22" s="28" t="str">
        <f>'Rekapitulace stavby'!AN14</f>
        <v>Vyplň údaj</v>
      </c>
      <c r="K22" s="32"/>
      <c r="L22" s="111"/>
      <c r="S22" s="32"/>
      <c r="T22" s="32"/>
      <c r="U22" s="32"/>
      <c r="V22" s="32"/>
      <c r="W22" s="32"/>
      <c r="X22" s="32"/>
      <c r="Y22" s="32"/>
      <c r="Z22" s="32"/>
      <c r="AA22" s="32"/>
      <c r="AB22" s="32"/>
      <c r="AC22" s="32"/>
      <c r="AD22" s="32"/>
      <c r="AE22" s="32"/>
    </row>
    <row r="23" spans="1:31" s="2" customFormat="1" ht="6.95" customHeight="1">
      <c r="A23" s="32"/>
      <c r="B23" s="37"/>
      <c r="C23" s="32"/>
      <c r="D23" s="32"/>
      <c r="E23" s="32"/>
      <c r="F23" s="32"/>
      <c r="G23" s="32"/>
      <c r="H23" s="32"/>
      <c r="I23" s="32"/>
      <c r="J23" s="32"/>
      <c r="K23" s="32"/>
      <c r="L23" s="111"/>
      <c r="S23" s="32"/>
      <c r="T23" s="32"/>
      <c r="U23" s="32"/>
      <c r="V23" s="32"/>
      <c r="W23" s="32"/>
      <c r="X23" s="32"/>
      <c r="Y23" s="32"/>
      <c r="Z23" s="32"/>
      <c r="AA23" s="32"/>
      <c r="AB23" s="32"/>
      <c r="AC23" s="32"/>
      <c r="AD23" s="32"/>
      <c r="AE23" s="32"/>
    </row>
    <row r="24" spans="1:31" s="2" customFormat="1" ht="12" customHeight="1">
      <c r="A24" s="32"/>
      <c r="B24" s="37"/>
      <c r="C24" s="32"/>
      <c r="D24" s="110" t="s">
        <v>30</v>
      </c>
      <c r="E24" s="32"/>
      <c r="F24" s="32"/>
      <c r="G24" s="32"/>
      <c r="H24" s="32"/>
      <c r="I24" s="110" t="s">
        <v>25</v>
      </c>
      <c r="J24" s="101" t="s">
        <v>19</v>
      </c>
      <c r="K24" s="32"/>
      <c r="L24" s="111"/>
      <c r="S24" s="32"/>
      <c r="T24" s="32"/>
      <c r="U24" s="32"/>
      <c r="V24" s="32"/>
      <c r="W24" s="32"/>
      <c r="X24" s="32"/>
      <c r="Y24" s="32"/>
      <c r="Z24" s="32"/>
      <c r="AA24" s="32"/>
      <c r="AB24" s="32"/>
      <c r="AC24" s="32"/>
      <c r="AD24" s="32"/>
      <c r="AE24" s="32"/>
    </row>
    <row r="25" spans="1:31" s="2" customFormat="1" ht="18" customHeight="1">
      <c r="A25" s="32"/>
      <c r="B25" s="37"/>
      <c r="C25" s="32"/>
      <c r="D25" s="32"/>
      <c r="E25" s="101" t="s">
        <v>31</v>
      </c>
      <c r="F25" s="32"/>
      <c r="G25" s="32"/>
      <c r="H25" s="32"/>
      <c r="I25" s="110" t="s">
        <v>27</v>
      </c>
      <c r="J25" s="101" t="s">
        <v>19</v>
      </c>
      <c r="K25" s="32"/>
      <c r="L25" s="111"/>
      <c r="S25" s="32"/>
      <c r="T25" s="32"/>
      <c r="U25" s="32"/>
      <c r="V25" s="32"/>
      <c r="W25" s="32"/>
      <c r="X25" s="32"/>
      <c r="Y25" s="32"/>
      <c r="Z25" s="32"/>
      <c r="AA25" s="32"/>
      <c r="AB25" s="32"/>
      <c r="AC25" s="32"/>
      <c r="AD25" s="32"/>
      <c r="AE25" s="32"/>
    </row>
    <row r="26" spans="1:31" s="2" customFormat="1" ht="6.95" customHeight="1">
      <c r="A26" s="32"/>
      <c r="B26" s="37"/>
      <c r="C26" s="32"/>
      <c r="D26" s="32"/>
      <c r="E26" s="32"/>
      <c r="F26" s="32"/>
      <c r="G26" s="32"/>
      <c r="H26" s="32"/>
      <c r="I26" s="32"/>
      <c r="J26" s="32"/>
      <c r="K26" s="32"/>
      <c r="L26" s="111"/>
      <c r="S26" s="32"/>
      <c r="T26" s="32"/>
      <c r="U26" s="32"/>
      <c r="V26" s="32"/>
      <c r="W26" s="32"/>
      <c r="X26" s="32"/>
      <c r="Y26" s="32"/>
      <c r="Z26" s="32"/>
      <c r="AA26" s="32"/>
      <c r="AB26" s="32"/>
      <c r="AC26" s="32"/>
      <c r="AD26" s="32"/>
      <c r="AE26" s="32"/>
    </row>
    <row r="27" spans="1:31" s="2" customFormat="1" ht="12" customHeight="1">
      <c r="A27" s="32"/>
      <c r="B27" s="37"/>
      <c r="C27" s="32"/>
      <c r="D27" s="110" t="s">
        <v>33</v>
      </c>
      <c r="E27" s="32"/>
      <c r="F27" s="32"/>
      <c r="G27" s="32"/>
      <c r="H27" s="32"/>
      <c r="I27" s="110" t="s">
        <v>25</v>
      </c>
      <c r="J27" s="101" t="s">
        <v>19</v>
      </c>
      <c r="K27" s="32"/>
      <c r="L27" s="111"/>
      <c r="S27" s="32"/>
      <c r="T27" s="32"/>
      <c r="U27" s="32"/>
      <c r="V27" s="32"/>
      <c r="W27" s="32"/>
      <c r="X27" s="32"/>
      <c r="Y27" s="32"/>
      <c r="Z27" s="32"/>
      <c r="AA27" s="32"/>
      <c r="AB27" s="32"/>
      <c r="AC27" s="32"/>
      <c r="AD27" s="32"/>
      <c r="AE27" s="32"/>
    </row>
    <row r="28" spans="1:31" s="2" customFormat="1" ht="18" customHeight="1">
      <c r="A28" s="32"/>
      <c r="B28" s="37"/>
      <c r="C28" s="32"/>
      <c r="D28" s="32"/>
      <c r="E28" s="101" t="s">
        <v>31</v>
      </c>
      <c r="F28" s="32"/>
      <c r="G28" s="32"/>
      <c r="H28" s="32"/>
      <c r="I28" s="110" t="s">
        <v>27</v>
      </c>
      <c r="J28" s="101" t="s">
        <v>19</v>
      </c>
      <c r="K28" s="32"/>
      <c r="L28" s="111"/>
      <c r="S28" s="32"/>
      <c r="T28" s="32"/>
      <c r="U28" s="32"/>
      <c r="V28" s="32"/>
      <c r="W28" s="32"/>
      <c r="X28" s="32"/>
      <c r="Y28" s="32"/>
      <c r="Z28" s="32"/>
      <c r="AA28" s="32"/>
      <c r="AB28" s="32"/>
      <c r="AC28" s="32"/>
      <c r="AD28" s="32"/>
      <c r="AE28" s="32"/>
    </row>
    <row r="29" spans="1:31" s="2" customFormat="1" ht="6.95" customHeight="1">
      <c r="A29" s="32"/>
      <c r="B29" s="37"/>
      <c r="C29" s="32"/>
      <c r="D29" s="32"/>
      <c r="E29" s="32"/>
      <c r="F29" s="32"/>
      <c r="G29" s="32"/>
      <c r="H29" s="32"/>
      <c r="I29" s="32"/>
      <c r="J29" s="32"/>
      <c r="K29" s="32"/>
      <c r="L29" s="111"/>
      <c r="S29" s="32"/>
      <c r="T29" s="32"/>
      <c r="U29" s="32"/>
      <c r="V29" s="32"/>
      <c r="W29" s="32"/>
      <c r="X29" s="32"/>
      <c r="Y29" s="32"/>
      <c r="Z29" s="32"/>
      <c r="AA29" s="32"/>
      <c r="AB29" s="32"/>
      <c r="AC29" s="32"/>
      <c r="AD29" s="32"/>
      <c r="AE29" s="32"/>
    </row>
    <row r="30" spans="1:31" s="2" customFormat="1" ht="12" customHeight="1">
      <c r="A30" s="32"/>
      <c r="B30" s="37"/>
      <c r="C30" s="32"/>
      <c r="D30" s="110" t="s">
        <v>34</v>
      </c>
      <c r="E30" s="32"/>
      <c r="F30" s="32"/>
      <c r="G30" s="32"/>
      <c r="H30" s="32"/>
      <c r="I30" s="32"/>
      <c r="J30" s="32"/>
      <c r="K30" s="32"/>
      <c r="L30" s="111"/>
      <c r="S30" s="32"/>
      <c r="T30" s="32"/>
      <c r="U30" s="32"/>
      <c r="V30" s="32"/>
      <c r="W30" s="32"/>
      <c r="X30" s="32"/>
      <c r="Y30" s="32"/>
      <c r="Z30" s="32"/>
      <c r="AA30" s="32"/>
      <c r="AB30" s="32"/>
      <c r="AC30" s="32"/>
      <c r="AD30" s="32"/>
      <c r="AE30" s="32"/>
    </row>
    <row r="31" spans="1:31" s="8" customFormat="1" ht="14.45" customHeight="1">
      <c r="A31" s="113"/>
      <c r="B31" s="114"/>
      <c r="C31" s="113"/>
      <c r="D31" s="113"/>
      <c r="E31" s="708" t="s">
        <v>19</v>
      </c>
      <c r="F31" s="708"/>
      <c r="G31" s="708"/>
      <c r="H31" s="708"/>
      <c r="I31" s="113"/>
      <c r="J31" s="113"/>
      <c r="K31" s="113"/>
      <c r="L31" s="115"/>
      <c r="S31" s="113"/>
      <c r="T31" s="113"/>
      <c r="U31" s="113"/>
      <c r="V31" s="113"/>
      <c r="W31" s="113"/>
      <c r="X31" s="113"/>
      <c r="Y31" s="113"/>
      <c r="Z31" s="113"/>
      <c r="AA31" s="113"/>
      <c r="AB31" s="113"/>
      <c r="AC31" s="113"/>
      <c r="AD31" s="113"/>
      <c r="AE31" s="113"/>
    </row>
    <row r="32" spans="1:31" s="2" customFormat="1" ht="6.95" customHeight="1">
      <c r="A32" s="32"/>
      <c r="B32" s="37"/>
      <c r="C32" s="32"/>
      <c r="D32" s="32"/>
      <c r="E32" s="32"/>
      <c r="F32" s="32"/>
      <c r="G32" s="32"/>
      <c r="H32" s="32"/>
      <c r="I32" s="32"/>
      <c r="J32" s="32"/>
      <c r="K32" s="32"/>
      <c r="L32" s="111"/>
      <c r="S32" s="32"/>
      <c r="T32" s="32"/>
      <c r="U32" s="32"/>
      <c r="V32" s="32"/>
      <c r="W32" s="32"/>
      <c r="X32" s="32"/>
      <c r="Y32" s="32"/>
      <c r="Z32" s="32"/>
      <c r="AA32" s="32"/>
      <c r="AB32" s="32"/>
      <c r="AC32" s="32"/>
      <c r="AD32" s="32"/>
      <c r="AE32" s="32"/>
    </row>
    <row r="33" spans="1:31" s="2" customFormat="1" ht="6.95" customHeight="1">
      <c r="A33" s="32"/>
      <c r="B33" s="37"/>
      <c r="C33" s="32"/>
      <c r="D33" s="116"/>
      <c r="E33" s="116"/>
      <c r="F33" s="116"/>
      <c r="G33" s="116"/>
      <c r="H33" s="116"/>
      <c r="I33" s="116"/>
      <c r="J33" s="116"/>
      <c r="K33" s="116"/>
      <c r="L33" s="111"/>
      <c r="S33" s="32"/>
      <c r="T33" s="32"/>
      <c r="U33" s="32"/>
      <c r="V33" s="32"/>
      <c r="W33" s="32"/>
      <c r="X33" s="32"/>
      <c r="Y33" s="32"/>
      <c r="Z33" s="32"/>
      <c r="AA33" s="32"/>
      <c r="AB33" s="32"/>
      <c r="AC33" s="32"/>
      <c r="AD33" s="32"/>
      <c r="AE33" s="32"/>
    </row>
    <row r="34" spans="1:31" s="2" customFormat="1" ht="25.35" customHeight="1">
      <c r="A34" s="32"/>
      <c r="B34" s="37"/>
      <c r="C34" s="32"/>
      <c r="D34" s="117" t="s">
        <v>36</v>
      </c>
      <c r="E34" s="32"/>
      <c r="F34" s="32"/>
      <c r="G34" s="32"/>
      <c r="H34" s="32"/>
      <c r="I34" s="32"/>
      <c r="J34" s="118">
        <f>ROUND(J93,2)</f>
        <v>0</v>
      </c>
      <c r="K34" s="32"/>
      <c r="L34" s="111"/>
      <c r="S34" s="32"/>
      <c r="T34" s="32"/>
      <c r="U34" s="32"/>
      <c r="V34" s="32"/>
      <c r="W34" s="32"/>
      <c r="X34" s="32"/>
      <c r="Y34" s="32"/>
      <c r="Z34" s="32"/>
      <c r="AA34" s="32"/>
      <c r="AB34" s="32"/>
      <c r="AC34" s="32"/>
      <c r="AD34" s="32"/>
      <c r="AE34" s="32"/>
    </row>
    <row r="35" spans="1:31" s="2" customFormat="1" ht="6.95" customHeight="1">
      <c r="A35" s="32"/>
      <c r="B35" s="37"/>
      <c r="C35" s="32"/>
      <c r="D35" s="116"/>
      <c r="E35" s="116"/>
      <c r="F35" s="116"/>
      <c r="G35" s="116"/>
      <c r="H35" s="116"/>
      <c r="I35" s="116"/>
      <c r="J35" s="116"/>
      <c r="K35" s="116"/>
      <c r="L35" s="111"/>
      <c r="S35" s="32"/>
      <c r="T35" s="32"/>
      <c r="U35" s="32"/>
      <c r="V35" s="32"/>
      <c r="W35" s="32"/>
      <c r="X35" s="32"/>
      <c r="Y35" s="32"/>
      <c r="Z35" s="32"/>
      <c r="AA35" s="32"/>
      <c r="AB35" s="32"/>
      <c r="AC35" s="32"/>
      <c r="AD35" s="32"/>
      <c r="AE35" s="32"/>
    </row>
    <row r="36" spans="1:31" s="2" customFormat="1" ht="14.45" customHeight="1">
      <c r="A36" s="32"/>
      <c r="B36" s="37"/>
      <c r="C36" s="32"/>
      <c r="D36" s="32"/>
      <c r="E36" s="32"/>
      <c r="F36" s="119" t="s">
        <v>38</v>
      </c>
      <c r="G36" s="32"/>
      <c r="H36" s="32"/>
      <c r="I36" s="119" t="s">
        <v>37</v>
      </c>
      <c r="J36" s="119" t="s">
        <v>39</v>
      </c>
      <c r="K36" s="32"/>
      <c r="L36" s="111"/>
      <c r="S36" s="32"/>
      <c r="T36" s="32"/>
      <c r="U36" s="32"/>
      <c r="V36" s="32"/>
      <c r="W36" s="32"/>
      <c r="X36" s="32"/>
      <c r="Y36" s="32"/>
      <c r="Z36" s="32"/>
      <c r="AA36" s="32"/>
      <c r="AB36" s="32"/>
      <c r="AC36" s="32"/>
      <c r="AD36" s="32"/>
      <c r="AE36" s="32"/>
    </row>
    <row r="37" spans="1:31" s="2" customFormat="1" ht="14.45" customHeight="1">
      <c r="A37" s="32"/>
      <c r="B37" s="37"/>
      <c r="C37" s="32"/>
      <c r="D37" s="120" t="s">
        <v>40</v>
      </c>
      <c r="E37" s="110" t="s">
        <v>41</v>
      </c>
      <c r="F37" s="121">
        <f>ROUND((SUM(BE93:BE96)),2)</f>
        <v>0</v>
      </c>
      <c r="G37" s="32"/>
      <c r="H37" s="32"/>
      <c r="I37" s="122">
        <v>0.21</v>
      </c>
      <c r="J37" s="121">
        <f>ROUND(((SUM(BE93:BE96))*I37),2)</f>
        <v>0</v>
      </c>
      <c r="K37" s="32"/>
      <c r="L37" s="111"/>
      <c r="S37" s="32"/>
      <c r="T37" s="32"/>
      <c r="U37" s="32"/>
      <c r="V37" s="32"/>
      <c r="W37" s="32"/>
      <c r="X37" s="32"/>
      <c r="Y37" s="32"/>
      <c r="Z37" s="32"/>
      <c r="AA37" s="32"/>
      <c r="AB37" s="32"/>
      <c r="AC37" s="32"/>
      <c r="AD37" s="32"/>
      <c r="AE37" s="32"/>
    </row>
    <row r="38" spans="1:31" s="2" customFormat="1" ht="14.45" customHeight="1">
      <c r="A38" s="32"/>
      <c r="B38" s="37"/>
      <c r="C38" s="32"/>
      <c r="D38" s="32"/>
      <c r="E38" s="110" t="s">
        <v>42</v>
      </c>
      <c r="F38" s="121">
        <f>ROUND((SUM(BF93:BF96)),2)</f>
        <v>0</v>
      </c>
      <c r="G38" s="32"/>
      <c r="H38" s="32"/>
      <c r="I38" s="122">
        <v>0.15</v>
      </c>
      <c r="J38" s="121">
        <f>ROUND(((SUM(BF93:BF96))*I38),2)</f>
        <v>0</v>
      </c>
      <c r="K38" s="32"/>
      <c r="L38" s="111"/>
      <c r="S38" s="32"/>
      <c r="T38" s="32"/>
      <c r="U38" s="32"/>
      <c r="V38" s="32"/>
      <c r="W38" s="32"/>
      <c r="X38" s="32"/>
      <c r="Y38" s="32"/>
      <c r="Z38" s="32"/>
      <c r="AA38" s="32"/>
      <c r="AB38" s="32"/>
      <c r="AC38" s="32"/>
      <c r="AD38" s="32"/>
      <c r="AE38" s="32"/>
    </row>
    <row r="39" spans="1:31" s="2" customFormat="1" ht="14.45" customHeight="1" hidden="1">
      <c r="A39" s="32"/>
      <c r="B39" s="37"/>
      <c r="C39" s="32"/>
      <c r="D39" s="32"/>
      <c r="E39" s="110" t="s">
        <v>43</v>
      </c>
      <c r="F39" s="121">
        <f>ROUND((SUM(BG93:BG96)),2)</f>
        <v>0</v>
      </c>
      <c r="G39" s="32"/>
      <c r="H39" s="32"/>
      <c r="I39" s="122">
        <v>0.21</v>
      </c>
      <c r="J39" s="121">
        <f>0</f>
        <v>0</v>
      </c>
      <c r="K39" s="32"/>
      <c r="L39" s="111"/>
      <c r="S39" s="32"/>
      <c r="T39" s="32"/>
      <c r="U39" s="32"/>
      <c r="V39" s="32"/>
      <c r="W39" s="32"/>
      <c r="X39" s="32"/>
      <c r="Y39" s="32"/>
      <c r="Z39" s="32"/>
      <c r="AA39" s="32"/>
      <c r="AB39" s="32"/>
      <c r="AC39" s="32"/>
      <c r="AD39" s="32"/>
      <c r="AE39" s="32"/>
    </row>
    <row r="40" spans="1:31" s="2" customFormat="1" ht="14.45" customHeight="1" hidden="1">
      <c r="A40" s="32"/>
      <c r="B40" s="37"/>
      <c r="C40" s="32"/>
      <c r="D40" s="32"/>
      <c r="E40" s="110" t="s">
        <v>44</v>
      </c>
      <c r="F40" s="121">
        <f>ROUND((SUM(BH93:BH96)),2)</f>
        <v>0</v>
      </c>
      <c r="G40" s="32"/>
      <c r="H40" s="32"/>
      <c r="I40" s="122">
        <v>0.15</v>
      </c>
      <c r="J40" s="121">
        <f>0</f>
        <v>0</v>
      </c>
      <c r="K40" s="32"/>
      <c r="L40" s="111"/>
      <c r="S40" s="32"/>
      <c r="T40" s="32"/>
      <c r="U40" s="32"/>
      <c r="V40" s="32"/>
      <c r="W40" s="32"/>
      <c r="X40" s="32"/>
      <c r="Y40" s="32"/>
      <c r="Z40" s="32"/>
      <c r="AA40" s="32"/>
      <c r="AB40" s="32"/>
      <c r="AC40" s="32"/>
      <c r="AD40" s="32"/>
      <c r="AE40" s="32"/>
    </row>
    <row r="41" spans="1:31" s="2" customFormat="1" ht="14.45" customHeight="1" hidden="1">
      <c r="A41" s="32"/>
      <c r="B41" s="37"/>
      <c r="C41" s="32"/>
      <c r="D41" s="32"/>
      <c r="E41" s="110" t="s">
        <v>45</v>
      </c>
      <c r="F41" s="121">
        <f>ROUND((SUM(BI93:BI96)),2)</f>
        <v>0</v>
      </c>
      <c r="G41" s="32"/>
      <c r="H41" s="32"/>
      <c r="I41" s="122">
        <v>0</v>
      </c>
      <c r="J41" s="121">
        <f>0</f>
        <v>0</v>
      </c>
      <c r="K41" s="32"/>
      <c r="L41" s="111"/>
      <c r="S41" s="32"/>
      <c r="T41" s="32"/>
      <c r="U41" s="32"/>
      <c r="V41" s="32"/>
      <c r="W41" s="32"/>
      <c r="X41" s="32"/>
      <c r="Y41" s="32"/>
      <c r="Z41" s="32"/>
      <c r="AA41" s="32"/>
      <c r="AB41" s="32"/>
      <c r="AC41" s="32"/>
      <c r="AD41" s="32"/>
      <c r="AE41" s="32"/>
    </row>
    <row r="42" spans="1:31" s="2" customFormat="1" ht="6.95" customHeight="1">
      <c r="A42" s="32"/>
      <c r="B42" s="37"/>
      <c r="C42" s="32"/>
      <c r="D42" s="32"/>
      <c r="E42" s="32"/>
      <c r="F42" s="32"/>
      <c r="G42" s="32"/>
      <c r="H42" s="32"/>
      <c r="I42" s="32"/>
      <c r="J42" s="32"/>
      <c r="K42" s="32"/>
      <c r="L42" s="111"/>
      <c r="S42" s="32"/>
      <c r="T42" s="32"/>
      <c r="U42" s="32"/>
      <c r="V42" s="32"/>
      <c r="W42" s="32"/>
      <c r="X42" s="32"/>
      <c r="Y42" s="32"/>
      <c r="Z42" s="32"/>
      <c r="AA42" s="32"/>
      <c r="AB42" s="32"/>
      <c r="AC42" s="32"/>
      <c r="AD42" s="32"/>
      <c r="AE42" s="32"/>
    </row>
    <row r="43" spans="1:31" s="2" customFormat="1" ht="25.35" customHeight="1">
      <c r="A43" s="32"/>
      <c r="B43" s="37"/>
      <c r="C43" s="123"/>
      <c r="D43" s="124" t="s">
        <v>46</v>
      </c>
      <c r="E43" s="125"/>
      <c r="F43" s="125"/>
      <c r="G43" s="126" t="s">
        <v>47</v>
      </c>
      <c r="H43" s="127" t="s">
        <v>48</v>
      </c>
      <c r="I43" s="125"/>
      <c r="J43" s="128">
        <f>SUM(J34:J41)</f>
        <v>0</v>
      </c>
      <c r="K43" s="129"/>
      <c r="L43" s="111"/>
      <c r="S43" s="32"/>
      <c r="T43" s="32"/>
      <c r="U43" s="32"/>
      <c r="V43" s="32"/>
      <c r="W43" s="32"/>
      <c r="X43" s="32"/>
      <c r="Y43" s="32"/>
      <c r="Z43" s="32"/>
      <c r="AA43" s="32"/>
      <c r="AB43" s="32"/>
      <c r="AC43" s="32"/>
      <c r="AD43" s="32"/>
      <c r="AE43" s="32"/>
    </row>
    <row r="44" spans="1:31" s="2" customFormat="1" ht="14.45" customHeight="1">
      <c r="A44" s="32"/>
      <c r="B44" s="130"/>
      <c r="C44" s="131"/>
      <c r="D44" s="131"/>
      <c r="E44" s="131"/>
      <c r="F44" s="131"/>
      <c r="G44" s="131"/>
      <c r="H44" s="131"/>
      <c r="I44" s="131"/>
      <c r="J44" s="131"/>
      <c r="K44" s="131"/>
      <c r="L44" s="111"/>
      <c r="S44" s="32"/>
      <c r="T44" s="32"/>
      <c r="U44" s="32"/>
      <c r="V44" s="32"/>
      <c r="W44" s="32"/>
      <c r="X44" s="32"/>
      <c r="Y44" s="32"/>
      <c r="Z44" s="32"/>
      <c r="AA44" s="32"/>
      <c r="AB44" s="32"/>
      <c r="AC44" s="32"/>
      <c r="AD44" s="32"/>
      <c r="AE44" s="32"/>
    </row>
    <row r="48" spans="1:31" s="2" customFormat="1" ht="6.95" customHeight="1">
      <c r="A48" s="32"/>
      <c r="B48" s="132"/>
      <c r="C48" s="133"/>
      <c r="D48" s="133"/>
      <c r="E48" s="133"/>
      <c r="F48" s="133"/>
      <c r="G48" s="133"/>
      <c r="H48" s="133"/>
      <c r="I48" s="133"/>
      <c r="J48" s="133"/>
      <c r="K48" s="133"/>
      <c r="L48" s="111"/>
      <c r="S48" s="32"/>
      <c r="T48" s="32"/>
      <c r="U48" s="32"/>
      <c r="V48" s="32"/>
      <c r="W48" s="32"/>
      <c r="X48" s="32"/>
      <c r="Y48" s="32"/>
      <c r="Z48" s="32"/>
      <c r="AA48" s="32"/>
      <c r="AB48" s="32"/>
      <c r="AC48" s="32"/>
      <c r="AD48" s="32"/>
      <c r="AE48" s="32"/>
    </row>
    <row r="49" spans="1:31" s="2" customFormat="1" ht="24.95" customHeight="1">
      <c r="A49" s="32"/>
      <c r="B49" s="33"/>
      <c r="C49" s="21" t="s">
        <v>147</v>
      </c>
      <c r="D49" s="34"/>
      <c r="E49" s="34"/>
      <c r="F49" s="34"/>
      <c r="G49" s="34"/>
      <c r="H49" s="34"/>
      <c r="I49" s="34"/>
      <c r="J49" s="34"/>
      <c r="K49" s="34"/>
      <c r="L49" s="111"/>
      <c r="S49" s="32"/>
      <c r="T49" s="32"/>
      <c r="U49" s="32"/>
      <c r="V49" s="32"/>
      <c r="W49" s="32"/>
      <c r="X49" s="32"/>
      <c r="Y49" s="32"/>
      <c r="Z49" s="32"/>
      <c r="AA49" s="32"/>
      <c r="AB49" s="32"/>
      <c r="AC49" s="32"/>
      <c r="AD49" s="32"/>
      <c r="AE49" s="32"/>
    </row>
    <row r="50" spans="1:31" s="2" customFormat="1" ht="6.95" customHeight="1">
      <c r="A50" s="32"/>
      <c r="B50" s="33"/>
      <c r="C50" s="34"/>
      <c r="D50" s="34"/>
      <c r="E50" s="34"/>
      <c r="F50" s="34"/>
      <c r="G50" s="34"/>
      <c r="H50" s="34"/>
      <c r="I50" s="34"/>
      <c r="J50" s="34"/>
      <c r="K50" s="34"/>
      <c r="L50" s="111"/>
      <c r="S50" s="32"/>
      <c r="T50" s="32"/>
      <c r="U50" s="32"/>
      <c r="V50" s="32"/>
      <c r="W50" s="32"/>
      <c r="X50" s="32"/>
      <c r="Y50" s="32"/>
      <c r="Z50" s="32"/>
      <c r="AA50" s="32"/>
      <c r="AB50" s="32"/>
      <c r="AC50" s="32"/>
      <c r="AD50" s="32"/>
      <c r="AE50" s="32"/>
    </row>
    <row r="51" spans="1:31" s="2" customFormat="1" ht="12" customHeight="1">
      <c r="A51" s="32"/>
      <c r="B51" s="33"/>
      <c r="C51" s="27" t="s">
        <v>16</v>
      </c>
      <c r="D51" s="34"/>
      <c r="E51" s="34"/>
      <c r="F51" s="34"/>
      <c r="G51" s="34"/>
      <c r="H51" s="34"/>
      <c r="I51" s="34"/>
      <c r="J51" s="34"/>
      <c r="K51" s="34"/>
      <c r="L51" s="111"/>
      <c r="S51" s="32"/>
      <c r="T51" s="32"/>
      <c r="U51" s="32"/>
      <c r="V51" s="32"/>
      <c r="W51" s="32"/>
      <c r="X51" s="32"/>
      <c r="Y51" s="32"/>
      <c r="Z51" s="32"/>
      <c r="AA51" s="32"/>
      <c r="AB51" s="32"/>
      <c r="AC51" s="32"/>
      <c r="AD51" s="32"/>
      <c r="AE51" s="32"/>
    </row>
    <row r="52" spans="1:31" s="2" customFormat="1" ht="14.45" customHeight="1">
      <c r="A52" s="32"/>
      <c r="B52" s="33"/>
      <c r="C52" s="34"/>
      <c r="D52" s="34"/>
      <c r="E52" s="700" t="str">
        <f>E7</f>
        <v>Úpravy gastroprovozu Úřadu vlády ČR v 1.pp Strakovy akademie</v>
      </c>
      <c r="F52" s="701"/>
      <c r="G52" s="701"/>
      <c r="H52" s="701"/>
      <c r="I52" s="34"/>
      <c r="J52" s="34"/>
      <c r="K52" s="34"/>
      <c r="L52" s="111"/>
      <c r="S52" s="32"/>
      <c r="T52" s="32"/>
      <c r="U52" s="32"/>
      <c r="V52" s="32"/>
      <c r="W52" s="32"/>
      <c r="X52" s="32"/>
      <c r="Y52" s="32"/>
      <c r="Z52" s="32"/>
      <c r="AA52" s="32"/>
      <c r="AB52" s="32"/>
      <c r="AC52" s="32"/>
      <c r="AD52" s="32"/>
      <c r="AE52" s="32"/>
    </row>
    <row r="53" spans="2:12" s="1" customFormat="1" ht="12" customHeight="1">
      <c r="B53" s="19"/>
      <c r="C53" s="27" t="s">
        <v>142</v>
      </c>
      <c r="D53" s="20"/>
      <c r="E53" s="20"/>
      <c r="F53" s="20"/>
      <c r="G53" s="20"/>
      <c r="H53" s="20"/>
      <c r="I53" s="20"/>
      <c r="J53" s="20"/>
      <c r="K53" s="20"/>
      <c r="L53" s="18"/>
    </row>
    <row r="54" spans="2:12" s="1" customFormat="1" ht="14.45" customHeight="1">
      <c r="B54" s="19"/>
      <c r="C54" s="20"/>
      <c r="D54" s="20"/>
      <c r="E54" s="700" t="s">
        <v>1429</v>
      </c>
      <c r="F54" s="667"/>
      <c r="G54" s="667"/>
      <c r="H54" s="667"/>
      <c r="I54" s="20"/>
      <c r="J54" s="20"/>
      <c r="K54" s="20"/>
      <c r="L54" s="18"/>
    </row>
    <row r="55" spans="2:12" s="1" customFormat="1" ht="12" customHeight="1">
      <c r="B55" s="19"/>
      <c r="C55" s="27" t="s">
        <v>144</v>
      </c>
      <c r="D55" s="20"/>
      <c r="E55" s="20"/>
      <c r="F55" s="20"/>
      <c r="G55" s="20"/>
      <c r="H55" s="20"/>
      <c r="I55" s="20"/>
      <c r="J55" s="20"/>
      <c r="K55" s="20"/>
      <c r="L55" s="18"/>
    </row>
    <row r="56" spans="1:31" s="2" customFormat="1" ht="14.45" customHeight="1">
      <c r="A56" s="32"/>
      <c r="B56" s="33"/>
      <c r="C56" s="34"/>
      <c r="D56" s="34"/>
      <c r="E56" s="746" t="s">
        <v>1449</v>
      </c>
      <c r="F56" s="699"/>
      <c r="G56" s="699"/>
      <c r="H56" s="699"/>
      <c r="I56" s="34"/>
      <c r="J56" s="34"/>
      <c r="K56" s="34"/>
      <c r="L56" s="111"/>
      <c r="S56" s="32"/>
      <c r="T56" s="32"/>
      <c r="U56" s="32"/>
      <c r="V56" s="32"/>
      <c r="W56" s="32"/>
      <c r="X56" s="32"/>
      <c r="Y56" s="32"/>
      <c r="Z56" s="32"/>
      <c r="AA56" s="32"/>
      <c r="AB56" s="32"/>
      <c r="AC56" s="32"/>
      <c r="AD56" s="32"/>
      <c r="AE56" s="32"/>
    </row>
    <row r="57" spans="1:31" s="2" customFormat="1" ht="12" customHeight="1">
      <c r="A57" s="32"/>
      <c r="B57" s="33"/>
      <c r="C57" s="27" t="s">
        <v>1450</v>
      </c>
      <c r="D57" s="34"/>
      <c r="E57" s="34"/>
      <c r="F57" s="34"/>
      <c r="G57" s="34"/>
      <c r="H57" s="34"/>
      <c r="I57" s="34"/>
      <c r="J57" s="34"/>
      <c r="K57" s="34"/>
      <c r="L57" s="111"/>
      <c r="S57" s="32"/>
      <c r="T57" s="32"/>
      <c r="U57" s="32"/>
      <c r="V57" s="32"/>
      <c r="W57" s="32"/>
      <c r="X57" s="32"/>
      <c r="Y57" s="32"/>
      <c r="Z57" s="32"/>
      <c r="AA57" s="32"/>
      <c r="AB57" s="32"/>
      <c r="AC57" s="32"/>
      <c r="AD57" s="32"/>
      <c r="AE57" s="32"/>
    </row>
    <row r="58" spans="1:31" s="2" customFormat="1" ht="14.45" customHeight="1">
      <c r="A58" s="32"/>
      <c r="B58" s="33"/>
      <c r="C58" s="34"/>
      <c r="D58" s="34"/>
      <c r="E58" s="696" t="str">
        <f>E13</f>
        <v>D.1.4.04.1 - Soupis prací - EPS</v>
      </c>
      <c r="F58" s="699"/>
      <c r="G58" s="699"/>
      <c r="H58" s="699"/>
      <c r="I58" s="34"/>
      <c r="J58" s="34"/>
      <c r="K58" s="34"/>
      <c r="L58" s="111"/>
      <c r="S58" s="32"/>
      <c r="T58" s="32"/>
      <c r="U58" s="32"/>
      <c r="V58" s="32"/>
      <c r="W58" s="32"/>
      <c r="X58" s="32"/>
      <c r="Y58" s="32"/>
      <c r="Z58" s="32"/>
      <c r="AA58" s="32"/>
      <c r="AB58" s="32"/>
      <c r="AC58" s="32"/>
      <c r="AD58" s="32"/>
      <c r="AE58" s="32"/>
    </row>
    <row r="59" spans="1:31" s="2" customFormat="1" ht="6.95" customHeight="1">
      <c r="A59" s="32"/>
      <c r="B59" s="33"/>
      <c r="C59" s="34"/>
      <c r="D59" s="34"/>
      <c r="E59" s="34"/>
      <c r="F59" s="34"/>
      <c r="G59" s="34"/>
      <c r="H59" s="34"/>
      <c r="I59" s="34"/>
      <c r="J59" s="34"/>
      <c r="K59" s="34"/>
      <c r="L59" s="111"/>
      <c r="S59" s="32"/>
      <c r="T59" s="32"/>
      <c r="U59" s="32"/>
      <c r="V59" s="32"/>
      <c r="W59" s="32"/>
      <c r="X59" s="32"/>
      <c r="Y59" s="32"/>
      <c r="Z59" s="32"/>
      <c r="AA59" s="32"/>
      <c r="AB59" s="32"/>
      <c r="AC59" s="32"/>
      <c r="AD59" s="32"/>
      <c r="AE59" s="32"/>
    </row>
    <row r="60" spans="1:31" s="2" customFormat="1" ht="12" customHeight="1">
      <c r="A60" s="32"/>
      <c r="B60" s="33"/>
      <c r="C60" s="27" t="s">
        <v>21</v>
      </c>
      <c r="D60" s="34"/>
      <c r="E60" s="34"/>
      <c r="F60" s="25" t="str">
        <f>F16</f>
        <v xml:space="preserve"> </v>
      </c>
      <c r="G60" s="34"/>
      <c r="H60" s="34"/>
      <c r="I60" s="27" t="s">
        <v>23</v>
      </c>
      <c r="J60" s="57" t="str">
        <f>IF(J16="","",J16)</f>
        <v>Vyplň údaj</v>
      </c>
      <c r="K60" s="34"/>
      <c r="L60" s="111"/>
      <c r="S60" s="32"/>
      <c r="T60" s="32"/>
      <c r="U60" s="32"/>
      <c r="V60" s="32"/>
      <c r="W60" s="32"/>
      <c r="X60" s="32"/>
      <c r="Y60" s="32"/>
      <c r="Z60" s="32"/>
      <c r="AA60" s="32"/>
      <c r="AB60" s="32"/>
      <c r="AC60" s="32"/>
      <c r="AD60" s="32"/>
      <c r="AE60" s="32"/>
    </row>
    <row r="61" spans="1:31" s="2" customFormat="1" ht="6.95" customHeight="1">
      <c r="A61" s="32"/>
      <c r="B61" s="33"/>
      <c r="C61" s="34"/>
      <c r="D61" s="34"/>
      <c r="E61" s="34"/>
      <c r="F61" s="34"/>
      <c r="G61" s="34"/>
      <c r="H61" s="34"/>
      <c r="I61" s="34"/>
      <c r="J61" s="34"/>
      <c r="K61" s="34"/>
      <c r="L61" s="111"/>
      <c r="S61" s="32"/>
      <c r="T61" s="32"/>
      <c r="U61" s="32"/>
      <c r="V61" s="32"/>
      <c r="W61" s="32"/>
      <c r="X61" s="32"/>
      <c r="Y61" s="32"/>
      <c r="Z61" s="32"/>
      <c r="AA61" s="32"/>
      <c r="AB61" s="32"/>
      <c r="AC61" s="32"/>
      <c r="AD61" s="32"/>
      <c r="AE61" s="32"/>
    </row>
    <row r="62" spans="1:31" s="2" customFormat="1" ht="26.45" customHeight="1">
      <c r="A62" s="32"/>
      <c r="B62" s="33"/>
      <c r="C62" s="27" t="s">
        <v>24</v>
      </c>
      <c r="D62" s="34"/>
      <c r="E62" s="34"/>
      <c r="F62" s="25" t="str">
        <f>E19</f>
        <v xml:space="preserve">Úřad vlády České republiky </v>
      </c>
      <c r="G62" s="34"/>
      <c r="H62" s="34"/>
      <c r="I62" s="27" t="s">
        <v>30</v>
      </c>
      <c r="J62" s="30" t="str">
        <f>E25</f>
        <v>Ateliér Simona Group</v>
      </c>
      <c r="K62" s="34"/>
      <c r="L62" s="111"/>
      <c r="S62" s="32"/>
      <c r="T62" s="32"/>
      <c r="U62" s="32"/>
      <c r="V62" s="32"/>
      <c r="W62" s="32"/>
      <c r="X62" s="32"/>
      <c r="Y62" s="32"/>
      <c r="Z62" s="32"/>
      <c r="AA62" s="32"/>
      <c r="AB62" s="32"/>
      <c r="AC62" s="32"/>
      <c r="AD62" s="32"/>
      <c r="AE62" s="32"/>
    </row>
    <row r="63" spans="1:31" s="2" customFormat="1" ht="26.45" customHeight="1">
      <c r="A63" s="32"/>
      <c r="B63" s="33"/>
      <c r="C63" s="27" t="s">
        <v>28</v>
      </c>
      <c r="D63" s="34"/>
      <c r="E63" s="34"/>
      <c r="F63" s="25" t="str">
        <f>IF(E22="","",E22)</f>
        <v>Vyplň údaj</v>
      </c>
      <c r="G63" s="34"/>
      <c r="H63" s="34"/>
      <c r="I63" s="27" t="s">
        <v>33</v>
      </c>
      <c r="J63" s="30" t="str">
        <f>E28</f>
        <v>Ateliér Simona Group</v>
      </c>
      <c r="K63" s="34"/>
      <c r="L63" s="111"/>
      <c r="S63" s="32"/>
      <c r="T63" s="32"/>
      <c r="U63" s="32"/>
      <c r="V63" s="32"/>
      <c r="W63" s="32"/>
      <c r="X63" s="32"/>
      <c r="Y63" s="32"/>
      <c r="Z63" s="32"/>
      <c r="AA63" s="32"/>
      <c r="AB63" s="32"/>
      <c r="AC63" s="32"/>
      <c r="AD63" s="32"/>
      <c r="AE63" s="32"/>
    </row>
    <row r="64" spans="1:31" s="2" customFormat="1" ht="10.35" customHeight="1">
      <c r="A64" s="32"/>
      <c r="B64" s="33"/>
      <c r="C64" s="34"/>
      <c r="D64" s="34"/>
      <c r="E64" s="34"/>
      <c r="F64" s="34"/>
      <c r="G64" s="34"/>
      <c r="H64" s="34"/>
      <c r="I64" s="34"/>
      <c r="J64" s="34"/>
      <c r="K64" s="34"/>
      <c r="L64" s="111"/>
      <c r="S64" s="32"/>
      <c r="T64" s="32"/>
      <c r="U64" s="32"/>
      <c r="V64" s="32"/>
      <c r="W64" s="32"/>
      <c r="X64" s="32"/>
      <c r="Y64" s="32"/>
      <c r="Z64" s="32"/>
      <c r="AA64" s="32"/>
      <c r="AB64" s="32"/>
      <c r="AC64" s="32"/>
      <c r="AD64" s="32"/>
      <c r="AE64" s="32"/>
    </row>
    <row r="65" spans="1:31" s="2" customFormat="1" ht="29.25" customHeight="1">
      <c r="A65" s="32"/>
      <c r="B65" s="33"/>
      <c r="C65" s="134" t="s">
        <v>148</v>
      </c>
      <c r="D65" s="135"/>
      <c r="E65" s="135"/>
      <c r="F65" s="135"/>
      <c r="G65" s="135"/>
      <c r="H65" s="135"/>
      <c r="I65" s="135"/>
      <c r="J65" s="136" t="s">
        <v>149</v>
      </c>
      <c r="K65" s="135"/>
      <c r="L65" s="111"/>
      <c r="S65" s="32"/>
      <c r="T65" s="32"/>
      <c r="U65" s="32"/>
      <c r="V65" s="32"/>
      <c r="W65" s="32"/>
      <c r="X65" s="32"/>
      <c r="Y65" s="32"/>
      <c r="Z65" s="32"/>
      <c r="AA65" s="32"/>
      <c r="AB65" s="32"/>
      <c r="AC65" s="32"/>
      <c r="AD65" s="32"/>
      <c r="AE65" s="32"/>
    </row>
    <row r="66" spans="1:31" s="2" customFormat="1" ht="10.35" customHeight="1">
      <c r="A66" s="32"/>
      <c r="B66" s="33"/>
      <c r="C66" s="34"/>
      <c r="D66" s="34"/>
      <c r="E66" s="34"/>
      <c r="F66" s="34"/>
      <c r="G66" s="34"/>
      <c r="H66" s="34"/>
      <c r="I66" s="34"/>
      <c r="J66" s="34"/>
      <c r="K66" s="34"/>
      <c r="L66" s="111"/>
      <c r="S66" s="32"/>
      <c r="T66" s="32"/>
      <c r="U66" s="32"/>
      <c r="V66" s="32"/>
      <c r="W66" s="32"/>
      <c r="X66" s="32"/>
      <c r="Y66" s="32"/>
      <c r="Z66" s="32"/>
      <c r="AA66" s="32"/>
      <c r="AB66" s="32"/>
      <c r="AC66" s="32"/>
      <c r="AD66" s="32"/>
      <c r="AE66" s="32"/>
    </row>
    <row r="67" spans="1:47" s="2" customFormat="1" ht="22.9" customHeight="1">
      <c r="A67" s="32"/>
      <c r="B67" s="33"/>
      <c r="C67" s="137" t="s">
        <v>68</v>
      </c>
      <c r="D67" s="34"/>
      <c r="E67" s="34"/>
      <c r="F67" s="34"/>
      <c r="G67" s="34"/>
      <c r="H67" s="34"/>
      <c r="I67" s="34"/>
      <c r="J67" s="75">
        <f>J93</f>
        <v>0</v>
      </c>
      <c r="K67" s="34"/>
      <c r="L67" s="111"/>
      <c r="S67" s="32"/>
      <c r="T67" s="32"/>
      <c r="U67" s="32"/>
      <c r="V67" s="32"/>
      <c r="W67" s="32"/>
      <c r="X67" s="32"/>
      <c r="Y67" s="32"/>
      <c r="Z67" s="32"/>
      <c r="AA67" s="32"/>
      <c r="AB67" s="32"/>
      <c r="AC67" s="32"/>
      <c r="AD67" s="32"/>
      <c r="AE67" s="32"/>
      <c r="AU67" s="15" t="s">
        <v>150</v>
      </c>
    </row>
    <row r="68" spans="2:12" s="9" customFormat="1" ht="24.95" customHeight="1">
      <c r="B68" s="138"/>
      <c r="C68" s="139"/>
      <c r="D68" s="140" t="s">
        <v>161</v>
      </c>
      <c r="E68" s="141"/>
      <c r="F68" s="141"/>
      <c r="G68" s="141"/>
      <c r="H68" s="141"/>
      <c r="I68" s="141"/>
      <c r="J68" s="142">
        <f>J94</f>
        <v>0</v>
      </c>
      <c r="K68" s="139"/>
      <c r="L68" s="143"/>
    </row>
    <row r="69" spans="2:12" s="10" customFormat="1" ht="19.9" customHeight="1">
      <c r="B69" s="144"/>
      <c r="C69" s="95"/>
      <c r="D69" s="145" t="s">
        <v>165</v>
      </c>
      <c r="E69" s="146"/>
      <c r="F69" s="146"/>
      <c r="G69" s="146"/>
      <c r="H69" s="146"/>
      <c r="I69" s="146"/>
      <c r="J69" s="147">
        <f>J95</f>
        <v>0</v>
      </c>
      <c r="K69" s="95"/>
      <c r="L69" s="148"/>
    </row>
    <row r="70" spans="1:31" s="2" customFormat="1" ht="21.75" customHeight="1">
      <c r="A70" s="32"/>
      <c r="B70" s="33"/>
      <c r="C70" s="34"/>
      <c r="D70" s="34"/>
      <c r="E70" s="34"/>
      <c r="F70" s="34"/>
      <c r="G70" s="34"/>
      <c r="H70" s="34"/>
      <c r="I70" s="34"/>
      <c r="J70" s="34"/>
      <c r="K70" s="34"/>
      <c r="L70" s="111"/>
      <c r="S70" s="32"/>
      <c r="T70" s="32"/>
      <c r="U70" s="32"/>
      <c r="V70" s="32"/>
      <c r="W70" s="32"/>
      <c r="X70" s="32"/>
      <c r="Y70" s="32"/>
      <c r="Z70" s="32"/>
      <c r="AA70" s="32"/>
      <c r="AB70" s="32"/>
      <c r="AC70" s="32"/>
      <c r="AD70" s="32"/>
      <c r="AE70" s="32"/>
    </row>
    <row r="71" spans="1:31" s="2" customFormat="1" ht="6.95" customHeight="1">
      <c r="A71" s="32"/>
      <c r="B71" s="45"/>
      <c r="C71" s="46"/>
      <c r="D71" s="46"/>
      <c r="E71" s="46"/>
      <c r="F71" s="46"/>
      <c r="G71" s="46"/>
      <c r="H71" s="46"/>
      <c r="I71" s="46"/>
      <c r="J71" s="46"/>
      <c r="K71" s="46"/>
      <c r="L71" s="111"/>
      <c r="S71" s="32"/>
      <c r="T71" s="32"/>
      <c r="U71" s="32"/>
      <c r="V71" s="32"/>
      <c r="W71" s="32"/>
      <c r="X71" s="32"/>
      <c r="Y71" s="32"/>
      <c r="Z71" s="32"/>
      <c r="AA71" s="32"/>
      <c r="AB71" s="32"/>
      <c r="AC71" s="32"/>
      <c r="AD71" s="32"/>
      <c r="AE71" s="32"/>
    </row>
    <row r="75" spans="1:31" s="2" customFormat="1" ht="6.95" customHeight="1">
      <c r="A75" s="32"/>
      <c r="B75" s="47"/>
      <c r="C75" s="48"/>
      <c r="D75" s="48"/>
      <c r="E75" s="48"/>
      <c r="F75" s="48"/>
      <c r="G75" s="48"/>
      <c r="H75" s="48"/>
      <c r="I75" s="48"/>
      <c r="J75" s="48"/>
      <c r="K75" s="48"/>
      <c r="L75" s="111"/>
      <c r="S75" s="32"/>
      <c r="T75" s="32"/>
      <c r="U75" s="32"/>
      <c r="V75" s="32"/>
      <c r="W75" s="32"/>
      <c r="X75" s="32"/>
      <c r="Y75" s="32"/>
      <c r="Z75" s="32"/>
      <c r="AA75" s="32"/>
      <c r="AB75" s="32"/>
      <c r="AC75" s="32"/>
      <c r="AD75" s="32"/>
      <c r="AE75" s="32"/>
    </row>
    <row r="76" spans="1:31" s="2" customFormat="1" ht="24.95" customHeight="1">
      <c r="A76" s="32"/>
      <c r="B76" s="33"/>
      <c r="C76" s="21" t="s">
        <v>181</v>
      </c>
      <c r="D76" s="34"/>
      <c r="E76" s="34"/>
      <c r="F76" s="34"/>
      <c r="G76" s="34"/>
      <c r="H76" s="34"/>
      <c r="I76" s="34"/>
      <c r="J76" s="34"/>
      <c r="K76" s="34"/>
      <c r="L76" s="111"/>
      <c r="S76" s="32"/>
      <c r="T76" s="32"/>
      <c r="U76" s="32"/>
      <c r="V76" s="32"/>
      <c r="W76" s="32"/>
      <c r="X76" s="32"/>
      <c r="Y76" s="32"/>
      <c r="Z76" s="32"/>
      <c r="AA76" s="32"/>
      <c r="AB76" s="32"/>
      <c r="AC76" s="32"/>
      <c r="AD76" s="32"/>
      <c r="AE76" s="32"/>
    </row>
    <row r="77" spans="1:31" s="2" customFormat="1" ht="6.95" customHeight="1">
      <c r="A77" s="32"/>
      <c r="B77" s="33"/>
      <c r="C77" s="34"/>
      <c r="D77" s="34"/>
      <c r="E77" s="34"/>
      <c r="F77" s="34"/>
      <c r="G77" s="34"/>
      <c r="H77" s="34"/>
      <c r="I77" s="34"/>
      <c r="J77" s="34"/>
      <c r="K77" s="34"/>
      <c r="L77" s="111"/>
      <c r="S77" s="32"/>
      <c r="T77" s="32"/>
      <c r="U77" s="32"/>
      <c r="V77" s="32"/>
      <c r="W77" s="32"/>
      <c r="X77" s="32"/>
      <c r="Y77" s="32"/>
      <c r="Z77" s="32"/>
      <c r="AA77" s="32"/>
      <c r="AB77" s="32"/>
      <c r="AC77" s="32"/>
      <c r="AD77" s="32"/>
      <c r="AE77" s="32"/>
    </row>
    <row r="78" spans="1:31" s="2" customFormat="1" ht="12" customHeight="1">
      <c r="A78" s="32"/>
      <c r="B78" s="33"/>
      <c r="C78" s="27" t="s">
        <v>16</v>
      </c>
      <c r="D78" s="34"/>
      <c r="E78" s="34"/>
      <c r="F78" s="34"/>
      <c r="G78" s="34"/>
      <c r="H78" s="34"/>
      <c r="I78" s="34"/>
      <c r="J78" s="34"/>
      <c r="K78" s="34"/>
      <c r="L78" s="111"/>
      <c r="S78" s="32"/>
      <c r="T78" s="32"/>
      <c r="U78" s="32"/>
      <c r="V78" s="32"/>
      <c r="W78" s="32"/>
      <c r="X78" s="32"/>
      <c r="Y78" s="32"/>
      <c r="Z78" s="32"/>
      <c r="AA78" s="32"/>
      <c r="AB78" s="32"/>
      <c r="AC78" s="32"/>
      <c r="AD78" s="32"/>
      <c r="AE78" s="32"/>
    </row>
    <row r="79" spans="1:31" s="2" customFormat="1" ht="14.45" customHeight="1">
      <c r="A79" s="32"/>
      <c r="B79" s="33"/>
      <c r="C79" s="34"/>
      <c r="D79" s="34"/>
      <c r="E79" s="700" t="str">
        <f>E7</f>
        <v>Úpravy gastroprovozu Úřadu vlády ČR v 1.pp Strakovy akademie</v>
      </c>
      <c r="F79" s="701"/>
      <c r="G79" s="701"/>
      <c r="H79" s="701"/>
      <c r="I79" s="34"/>
      <c r="J79" s="34"/>
      <c r="K79" s="34"/>
      <c r="L79" s="111"/>
      <c r="S79" s="32"/>
      <c r="T79" s="32"/>
      <c r="U79" s="32"/>
      <c r="V79" s="32"/>
      <c r="W79" s="32"/>
      <c r="X79" s="32"/>
      <c r="Y79" s="32"/>
      <c r="Z79" s="32"/>
      <c r="AA79" s="32"/>
      <c r="AB79" s="32"/>
      <c r="AC79" s="32"/>
      <c r="AD79" s="32"/>
      <c r="AE79" s="32"/>
    </row>
    <row r="80" spans="2:12" s="1" customFormat="1" ht="12" customHeight="1">
      <c r="B80" s="19"/>
      <c r="C80" s="27" t="s">
        <v>142</v>
      </c>
      <c r="D80" s="20"/>
      <c r="E80" s="20"/>
      <c r="F80" s="20"/>
      <c r="G80" s="20"/>
      <c r="H80" s="20"/>
      <c r="I80" s="20"/>
      <c r="J80" s="20"/>
      <c r="K80" s="20"/>
      <c r="L80" s="18"/>
    </row>
    <row r="81" spans="2:12" s="1" customFormat="1" ht="14.45" customHeight="1">
      <c r="B81" s="19"/>
      <c r="C81" s="20"/>
      <c r="D81" s="20"/>
      <c r="E81" s="700" t="s">
        <v>1429</v>
      </c>
      <c r="F81" s="667"/>
      <c r="G81" s="667"/>
      <c r="H81" s="667"/>
      <c r="I81" s="20"/>
      <c r="J81" s="20"/>
      <c r="K81" s="20"/>
      <c r="L81" s="18"/>
    </row>
    <row r="82" spans="2:12" s="1" customFormat="1" ht="12" customHeight="1">
      <c r="B82" s="19"/>
      <c r="C82" s="27" t="s">
        <v>144</v>
      </c>
      <c r="D82" s="20"/>
      <c r="E82" s="20"/>
      <c r="F82" s="20"/>
      <c r="G82" s="20"/>
      <c r="H82" s="20"/>
      <c r="I82" s="20"/>
      <c r="J82" s="20"/>
      <c r="K82" s="20"/>
      <c r="L82" s="18"/>
    </row>
    <row r="83" spans="1:31" s="2" customFormat="1" ht="14.45" customHeight="1">
      <c r="A83" s="32"/>
      <c r="B83" s="33"/>
      <c r="C83" s="34"/>
      <c r="D83" s="34"/>
      <c r="E83" s="746" t="s">
        <v>1449</v>
      </c>
      <c r="F83" s="699"/>
      <c r="G83" s="699"/>
      <c r="H83" s="699"/>
      <c r="I83" s="34"/>
      <c r="J83" s="34"/>
      <c r="K83" s="34"/>
      <c r="L83" s="111"/>
      <c r="S83" s="32"/>
      <c r="T83" s="32"/>
      <c r="U83" s="32"/>
      <c r="V83" s="32"/>
      <c r="W83" s="32"/>
      <c r="X83" s="32"/>
      <c r="Y83" s="32"/>
      <c r="Z83" s="32"/>
      <c r="AA83" s="32"/>
      <c r="AB83" s="32"/>
      <c r="AC83" s="32"/>
      <c r="AD83" s="32"/>
      <c r="AE83" s="32"/>
    </row>
    <row r="84" spans="1:31" s="2" customFormat="1" ht="12" customHeight="1">
      <c r="A84" s="32"/>
      <c r="B84" s="33"/>
      <c r="C84" s="27" t="s">
        <v>1450</v>
      </c>
      <c r="D84" s="34"/>
      <c r="E84" s="34"/>
      <c r="F84" s="34"/>
      <c r="G84" s="34"/>
      <c r="H84" s="34"/>
      <c r="I84" s="34"/>
      <c r="J84" s="34"/>
      <c r="K84" s="34"/>
      <c r="L84" s="111"/>
      <c r="S84" s="32"/>
      <c r="T84" s="32"/>
      <c r="U84" s="32"/>
      <c r="V84" s="32"/>
      <c r="W84" s="32"/>
      <c r="X84" s="32"/>
      <c r="Y84" s="32"/>
      <c r="Z84" s="32"/>
      <c r="AA84" s="32"/>
      <c r="AB84" s="32"/>
      <c r="AC84" s="32"/>
      <c r="AD84" s="32"/>
      <c r="AE84" s="32"/>
    </row>
    <row r="85" spans="1:31" s="2" customFormat="1" ht="14.45" customHeight="1">
      <c r="A85" s="32"/>
      <c r="B85" s="33"/>
      <c r="C85" s="34"/>
      <c r="D85" s="34"/>
      <c r="E85" s="696" t="str">
        <f>E13</f>
        <v>D.1.4.04.1 - Soupis prací - EPS</v>
      </c>
      <c r="F85" s="699"/>
      <c r="G85" s="699"/>
      <c r="H85" s="699"/>
      <c r="I85" s="34"/>
      <c r="J85" s="34"/>
      <c r="K85" s="34"/>
      <c r="L85" s="111"/>
      <c r="S85" s="32"/>
      <c r="T85" s="32"/>
      <c r="U85" s="32"/>
      <c r="V85" s="32"/>
      <c r="W85" s="32"/>
      <c r="X85" s="32"/>
      <c r="Y85" s="32"/>
      <c r="Z85" s="32"/>
      <c r="AA85" s="32"/>
      <c r="AB85" s="32"/>
      <c r="AC85" s="32"/>
      <c r="AD85" s="32"/>
      <c r="AE85" s="32"/>
    </row>
    <row r="86" spans="1:31" s="2" customFormat="1" ht="6.95" customHeight="1">
      <c r="A86" s="32"/>
      <c r="B86" s="33"/>
      <c r="C86" s="34"/>
      <c r="D86" s="34"/>
      <c r="E86" s="34"/>
      <c r="F86" s="34"/>
      <c r="G86" s="34"/>
      <c r="H86" s="34"/>
      <c r="I86" s="34"/>
      <c r="J86" s="34"/>
      <c r="K86" s="34"/>
      <c r="L86" s="111"/>
      <c r="S86" s="32"/>
      <c r="T86" s="32"/>
      <c r="U86" s="32"/>
      <c r="V86" s="32"/>
      <c r="W86" s="32"/>
      <c r="X86" s="32"/>
      <c r="Y86" s="32"/>
      <c r="Z86" s="32"/>
      <c r="AA86" s="32"/>
      <c r="AB86" s="32"/>
      <c r="AC86" s="32"/>
      <c r="AD86" s="32"/>
      <c r="AE86" s="32"/>
    </row>
    <row r="87" spans="1:31" s="2" customFormat="1" ht="12" customHeight="1">
      <c r="A87" s="32"/>
      <c r="B87" s="33"/>
      <c r="C87" s="27" t="s">
        <v>21</v>
      </c>
      <c r="D87" s="34"/>
      <c r="E87" s="34"/>
      <c r="F87" s="25" t="str">
        <f>F16</f>
        <v xml:space="preserve"> </v>
      </c>
      <c r="G87" s="34"/>
      <c r="H87" s="34"/>
      <c r="I87" s="27" t="s">
        <v>23</v>
      </c>
      <c r="J87" s="57" t="str">
        <f>IF(J16="","",J16)</f>
        <v>Vyplň údaj</v>
      </c>
      <c r="K87" s="34"/>
      <c r="L87" s="111"/>
      <c r="S87" s="32"/>
      <c r="T87" s="32"/>
      <c r="U87" s="32"/>
      <c r="V87" s="32"/>
      <c r="W87" s="32"/>
      <c r="X87" s="32"/>
      <c r="Y87" s="32"/>
      <c r="Z87" s="32"/>
      <c r="AA87" s="32"/>
      <c r="AB87" s="32"/>
      <c r="AC87" s="32"/>
      <c r="AD87" s="32"/>
      <c r="AE87" s="32"/>
    </row>
    <row r="88" spans="1:31" s="2" customFormat="1" ht="6.95" customHeight="1">
      <c r="A88" s="32"/>
      <c r="B88" s="33"/>
      <c r="C88" s="34"/>
      <c r="D88" s="34"/>
      <c r="E88" s="34"/>
      <c r="F88" s="34"/>
      <c r="G88" s="34"/>
      <c r="H88" s="34"/>
      <c r="I88" s="34"/>
      <c r="J88" s="34"/>
      <c r="K88" s="34"/>
      <c r="L88" s="111"/>
      <c r="S88" s="32"/>
      <c r="T88" s="32"/>
      <c r="U88" s="32"/>
      <c r="V88" s="32"/>
      <c r="W88" s="32"/>
      <c r="X88" s="32"/>
      <c r="Y88" s="32"/>
      <c r="Z88" s="32"/>
      <c r="AA88" s="32"/>
      <c r="AB88" s="32"/>
      <c r="AC88" s="32"/>
      <c r="AD88" s="32"/>
      <c r="AE88" s="32"/>
    </row>
    <row r="89" spans="1:31" s="2" customFormat="1" ht="26.45" customHeight="1">
      <c r="A89" s="32"/>
      <c r="B89" s="33"/>
      <c r="C89" s="27" t="s">
        <v>24</v>
      </c>
      <c r="D89" s="34"/>
      <c r="E89" s="34"/>
      <c r="F89" s="25" t="str">
        <f>E19</f>
        <v xml:space="preserve">Úřad vlády České republiky </v>
      </c>
      <c r="G89" s="34"/>
      <c r="H89" s="34"/>
      <c r="I89" s="27" t="s">
        <v>30</v>
      </c>
      <c r="J89" s="30" t="str">
        <f>E25</f>
        <v>Ateliér Simona Group</v>
      </c>
      <c r="K89" s="34"/>
      <c r="L89" s="111"/>
      <c r="S89" s="32"/>
      <c r="T89" s="32"/>
      <c r="U89" s="32"/>
      <c r="V89" s="32"/>
      <c r="W89" s="32"/>
      <c r="X89" s="32"/>
      <c r="Y89" s="32"/>
      <c r="Z89" s="32"/>
      <c r="AA89" s="32"/>
      <c r="AB89" s="32"/>
      <c r="AC89" s="32"/>
      <c r="AD89" s="32"/>
      <c r="AE89" s="32"/>
    </row>
    <row r="90" spans="1:31" s="2" customFormat="1" ht="26.45" customHeight="1">
      <c r="A90" s="32"/>
      <c r="B90" s="33"/>
      <c r="C90" s="27" t="s">
        <v>28</v>
      </c>
      <c r="D90" s="34"/>
      <c r="E90" s="34"/>
      <c r="F90" s="25" t="str">
        <f>IF(E22="","",E22)</f>
        <v>Vyplň údaj</v>
      </c>
      <c r="G90" s="34"/>
      <c r="H90" s="34"/>
      <c r="I90" s="27" t="s">
        <v>33</v>
      </c>
      <c r="J90" s="30" t="str">
        <f>E28</f>
        <v>Ateliér Simona Group</v>
      </c>
      <c r="K90" s="34"/>
      <c r="L90" s="111"/>
      <c r="S90" s="32"/>
      <c r="T90" s="32"/>
      <c r="U90" s="32"/>
      <c r="V90" s="32"/>
      <c r="W90" s="32"/>
      <c r="X90" s="32"/>
      <c r="Y90" s="32"/>
      <c r="Z90" s="32"/>
      <c r="AA90" s="32"/>
      <c r="AB90" s="32"/>
      <c r="AC90" s="32"/>
      <c r="AD90" s="32"/>
      <c r="AE90" s="32"/>
    </row>
    <row r="91" spans="1:31" s="2" customFormat="1" ht="10.35" customHeight="1">
      <c r="A91" s="32"/>
      <c r="B91" s="33"/>
      <c r="C91" s="34"/>
      <c r="D91" s="34"/>
      <c r="E91" s="34"/>
      <c r="F91" s="34"/>
      <c r="G91" s="34"/>
      <c r="H91" s="34"/>
      <c r="I91" s="34"/>
      <c r="J91" s="34"/>
      <c r="K91" s="34"/>
      <c r="L91" s="111"/>
      <c r="S91" s="32"/>
      <c r="T91" s="32"/>
      <c r="U91" s="32"/>
      <c r="V91" s="32"/>
      <c r="W91" s="32"/>
      <c r="X91" s="32"/>
      <c r="Y91" s="32"/>
      <c r="Z91" s="32"/>
      <c r="AA91" s="32"/>
      <c r="AB91" s="32"/>
      <c r="AC91" s="32"/>
      <c r="AD91" s="32"/>
      <c r="AE91" s="32"/>
    </row>
    <row r="92" spans="1:31" s="11" customFormat="1" ht="29.25" customHeight="1">
      <c r="A92" s="149"/>
      <c r="B92" s="150"/>
      <c r="C92" s="151" t="s">
        <v>182</v>
      </c>
      <c r="D92" s="152" t="s">
        <v>55</v>
      </c>
      <c r="E92" s="152" t="s">
        <v>51</v>
      </c>
      <c r="F92" s="152" t="s">
        <v>52</v>
      </c>
      <c r="G92" s="152" t="s">
        <v>183</v>
      </c>
      <c r="H92" s="152" t="s">
        <v>184</v>
      </c>
      <c r="I92" s="152" t="s">
        <v>185</v>
      </c>
      <c r="J92" s="152" t="s">
        <v>149</v>
      </c>
      <c r="K92" s="153" t="s">
        <v>186</v>
      </c>
      <c r="L92" s="154"/>
      <c r="M92" s="66" t="s">
        <v>19</v>
      </c>
      <c r="N92" s="67" t="s">
        <v>40</v>
      </c>
      <c r="O92" s="67" t="s">
        <v>187</v>
      </c>
      <c r="P92" s="67" t="s">
        <v>188</v>
      </c>
      <c r="Q92" s="67" t="s">
        <v>189</v>
      </c>
      <c r="R92" s="67" t="s">
        <v>190</v>
      </c>
      <c r="S92" s="67" t="s">
        <v>191</v>
      </c>
      <c r="T92" s="68" t="s">
        <v>192</v>
      </c>
      <c r="U92" s="149"/>
      <c r="V92" s="149"/>
      <c r="W92" s="149"/>
      <c r="X92" s="149"/>
      <c r="Y92" s="149"/>
      <c r="Z92" s="149"/>
      <c r="AA92" s="149"/>
      <c r="AB92" s="149"/>
      <c r="AC92" s="149"/>
      <c r="AD92" s="149"/>
      <c r="AE92" s="149"/>
    </row>
    <row r="93" spans="1:63" s="2" customFormat="1" ht="22.9" customHeight="1">
      <c r="A93" s="32"/>
      <c r="B93" s="33"/>
      <c r="C93" s="73" t="s">
        <v>193</v>
      </c>
      <c r="D93" s="34"/>
      <c r="E93" s="34"/>
      <c r="F93" s="34"/>
      <c r="G93" s="34"/>
      <c r="H93" s="34"/>
      <c r="I93" s="34"/>
      <c r="J93" s="155">
        <f>BK93</f>
        <v>0</v>
      </c>
      <c r="K93" s="34"/>
      <c r="L93" s="37"/>
      <c r="M93" s="69"/>
      <c r="N93" s="156"/>
      <c r="O93" s="70"/>
      <c r="P93" s="157">
        <f>P94</f>
        <v>0</v>
      </c>
      <c r="Q93" s="70"/>
      <c r="R93" s="157">
        <f>R94</f>
        <v>0</v>
      </c>
      <c r="S93" s="70"/>
      <c r="T93" s="158">
        <f>T94</f>
        <v>0</v>
      </c>
      <c r="U93" s="32"/>
      <c r="V93" s="32"/>
      <c r="W93" s="32"/>
      <c r="X93" s="32"/>
      <c r="Y93" s="32"/>
      <c r="Z93" s="32"/>
      <c r="AA93" s="32"/>
      <c r="AB93" s="32"/>
      <c r="AC93" s="32"/>
      <c r="AD93" s="32"/>
      <c r="AE93" s="32"/>
      <c r="AT93" s="15" t="s">
        <v>69</v>
      </c>
      <c r="AU93" s="15" t="s">
        <v>150</v>
      </c>
      <c r="BK93" s="159">
        <f>BK94</f>
        <v>0</v>
      </c>
    </row>
    <row r="94" spans="2:63" s="12" customFormat="1" ht="25.9" customHeight="1">
      <c r="B94" s="160"/>
      <c r="C94" s="161"/>
      <c r="D94" s="162" t="s">
        <v>69</v>
      </c>
      <c r="E94" s="163" t="s">
        <v>694</v>
      </c>
      <c r="F94" s="163" t="s">
        <v>695</v>
      </c>
      <c r="G94" s="161"/>
      <c r="H94" s="161"/>
      <c r="I94" s="164"/>
      <c r="J94" s="165">
        <f>BK94</f>
        <v>0</v>
      </c>
      <c r="K94" s="161"/>
      <c r="L94" s="166"/>
      <c r="M94" s="167"/>
      <c r="N94" s="168"/>
      <c r="O94" s="168"/>
      <c r="P94" s="169">
        <f>P95</f>
        <v>0</v>
      </c>
      <c r="Q94" s="168"/>
      <c r="R94" s="169">
        <f>R95</f>
        <v>0</v>
      </c>
      <c r="S94" s="168"/>
      <c r="T94" s="170">
        <f>T95</f>
        <v>0</v>
      </c>
      <c r="AR94" s="171" t="s">
        <v>79</v>
      </c>
      <c r="AT94" s="172" t="s">
        <v>69</v>
      </c>
      <c r="AU94" s="172" t="s">
        <v>70</v>
      </c>
      <c r="AY94" s="171" t="s">
        <v>196</v>
      </c>
      <c r="BK94" s="173">
        <f>BK95</f>
        <v>0</v>
      </c>
    </row>
    <row r="95" spans="2:63" s="12" customFormat="1" ht="22.9" customHeight="1">
      <c r="B95" s="160"/>
      <c r="C95" s="161"/>
      <c r="D95" s="162" t="s">
        <v>69</v>
      </c>
      <c r="E95" s="174" t="s">
        <v>757</v>
      </c>
      <c r="F95" s="174" t="s">
        <v>758</v>
      </c>
      <c r="G95" s="161"/>
      <c r="H95" s="161"/>
      <c r="I95" s="164"/>
      <c r="J95" s="175">
        <f>BK95</f>
        <v>0</v>
      </c>
      <c r="K95" s="161"/>
      <c r="L95" s="166"/>
      <c r="M95" s="167"/>
      <c r="N95" s="168"/>
      <c r="O95" s="168"/>
      <c r="P95" s="169">
        <f>P96</f>
        <v>0</v>
      </c>
      <c r="Q95" s="168"/>
      <c r="R95" s="169">
        <f>R96</f>
        <v>0</v>
      </c>
      <c r="S95" s="168"/>
      <c r="T95" s="170">
        <f>T96</f>
        <v>0</v>
      </c>
      <c r="AR95" s="171" t="s">
        <v>79</v>
      </c>
      <c r="AT95" s="172" t="s">
        <v>69</v>
      </c>
      <c r="AU95" s="172" t="s">
        <v>77</v>
      </c>
      <c r="AY95" s="171" t="s">
        <v>196</v>
      </c>
      <c r="BK95" s="173">
        <f>BK96</f>
        <v>0</v>
      </c>
    </row>
    <row r="96" spans="1:65" s="2" customFormat="1" ht="13.9" customHeight="1">
      <c r="A96" s="32"/>
      <c r="B96" s="33"/>
      <c r="C96" s="176" t="s">
        <v>77</v>
      </c>
      <c r="D96" s="176" t="s">
        <v>198</v>
      </c>
      <c r="E96" s="177" t="s">
        <v>1452</v>
      </c>
      <c r="F96" s="178" t="s">
        <v>1453</v>
      </c>
      <c r="G96" s="179" t="s">
        <v>1437</v>
      </c>
      <c r="H96" s="180">
        <v>1</v>
      </c>
      <c r="I96" s="181">
        <f>EPS!F103</f>
        <v>0</v>
      </c>
      <c r="J96" s="182">
        <f>ROUND(I96*H96,2)</f>
        <v>0</v>
      </c>
      <c r="K96" s="178" t="s">
        <v>19</v>
      </c>
      <c r="L96" s="37"/>
      <c r="M96" s="204" t="s">
        <v>19</v>
      </c>
      <c r="N96" s="205" t="s">
        <v>41</v>
      </c>
      <c r="O96" s="206"/>
      <c r="P96" s="207">
        <f>O96*H96</f>
        <v>0</v>
      </c>
      <c r="Q96" s="207">
        <v>0</v>
      </c>
      <c r="R96" s="207">
        <f>Q96*H96</f>
        <v>0</v>
      </c>
      <c r="S96" s="207">
        <v>0</v>
      </c>
      <c r="T96" s="208">
        <f>S96*H96</f>
        <v>0</v>
      </c>
      <c r="U96" s="32"/>
      <c r="V96" s="32"/>
      <c r="W96" s="32"/>
      <c r="X96" s="32"/>
      <c r="Y96" s="32"/>
      <c r="Z96" s="32"/>
      <c r="AA96" s="32"/>
      <c r="AB96" s="32"/>
      <c r="AC96" s="32"/>
      <c r="AD96" s="32"/>
      <c r="AE96" s="32"/>
      <c r="AR96" s="187" t="s">
        <v>270</v>
      </c>
      <c r="AT96" s="187" t="s">
        <v>198</v>
      </c>
      <c r="AU96" s="187" t="s">
        <v>79</v>
      </c>
      <c r="AY96" s="15" t="s">
        <v>196</v>
      </c>
      <c r="BE96" s="188">
        <f>IF(N96="základní",J96,0)</f>
        <v>0</v>
      </c>
      <c r="BF96" s="188">
        <f>IF(N96="snížená",J96,0)</f>
        <v>0</v>
      </c>
      <c r="BG96" s="188">
        <f>IF(N96="zákl. přenesená",J96,0)</f>
        <v>0</v>
      </c>
      <c r="BH96" s="188">
        <f>IF(N96="sníž. přenesená",J96,0)</f>
        <v>0</v>
      </c>
      <c r="BI96" s="188">
        <f>IF(N96="nulová",J96,0)</f>
        <v>0</v>
      </c>
      <c r="BJ96" s="15" t="s">
        <v>77</v>
      </c>
      <c r="BK96" s="188">
        <f>ROUND(I96*H96,2)</f>
        <v>0</v>
      </c>
      <c r="BL96" s="15" t="s">
        <v>270</v>
      </c>
      <c r="BM96" s="187" t="s">
        <v>1454</v>
      </c>
    </row>
    <row r="97" spans="1:31" s="2" customFormat="1" ht="6.95" customHeight="1">
      <c r="A97" s="32"/>
      <c r="B97" s="45"/>
      <c r="C97" s="46"/>
      <c r="D97" s="46"/>
      <c r="E97" s="46"/>
      <c r="F97" s="46"/>
      <c r="G97" s="46"/>
      <c r="H97" s="46"/>
      <c r="I97" s="46"/>
      <c r="J97" s="46"/>
      <c r="K97" s="46"/>
      <c r="L97" s="37"/>
      <c r="M97" s="32"/>
      <c r="O97" s="32"/>
      <c r="P97" s="32"/>
      <c r="Q97" s="32"/>
      <c r="R97" s="32"/>
      <c r="S97" s="32"/>
      <c r="T97" s="32"/>
      <c r="U97" s="32"/>
      <c r="V97" s="32"/>
      <c r="W97" s="32"/>
      <c r="X97" s="32"/>
      <c r="Y97" s="32"/>
      <c r="Z97" s="32"/>
      <c r="AA97" s="32"/>
      <c r="AB97" s="32"/>
      <c r="AC97" s="32"/>
      <c r="AD97" s="32"/>
      <c r="AE97" s="32"/>
    </row>
  </sheetData>
  <sheetProtection algorithmName="SHA-512" hashValue="hnyhaYFcgRC0MNdWL6BpeMcTTZEiiZKlBwVPHCxldXQdBLkhn7xztte0KxbZHUf4wqUTeqVkd7CLNc5yhA+qSA==" saltValue="TWIni266+1ILXEU7CZkNwCNAJTtb1drEC5zzEYRfpNoTn06yUOii6OS/1+eFlT/axitNtnKvdNbhhfF1lBKoLw==" spinCount="100000" sheet="1" objects="1" scenarios="1" formatColumns="0" formatRows="0" autoFilter="0"/>
  <autoFilter ref="C92:K96"/>
  <mergeCells count="15">
    <mergeCell ref="E79:H79"/>
    <mergeCell ref="E83:H83"/>
    <mergeCell ref="E81:H81"/>
    <mergeCell ref="E85:H85"/>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Darja Kolkova</dc:creator>
  <cp:keywords/>
  <dc:description/>
  <cp:lastModifiedBy>Uživatel</cp:lastModifiedBy>
  <dcterms:created xsi:type="dcterms:W3CDTF">2021-01-06T08:16:38Z</dcterms:created>
  <dcterms:modified xsi:type="dcterms:W3CDTF">2021-01-06T16:07:33Z</dcterms:modified>
  <cp:category/>
  <cp:version/>
  <cp:contentType/>
  <cp:contentStatus/>
</cp:coreProperties>
</file>